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namedSheetViews/namedSheetView1.xml" ContentType="application/vnd.ms-excel.namedsheetview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6.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17.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18.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slicers/slicer6.xml" ContentType="application/vnd.ms-excel.slicer+xml"/>
  <Override PartName="/xl/pivotTables/pivotTable19.xml" ContentType="application/vnd.openxmlformats-officedocument.spreadsheetml.pivotTable+xml"/>
  <Override PartName="/xl/drawings/drawing15.xml" ContentType="application/vnd.openxmlformats-officedocument.drawing+xml"/>
  <Override PartName="/xl/pivotTables/pivotTable20.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pivotTables/pivotTable21.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hidePivotFieldList="1" defaultThemeVersion="166925"/>
  <mc:AlternateContent xmlns:mc="http://schemas.openxmlformats.org/markup-compatibility/2006">
    <mc:Choice Requires="x15">
      <x15ac:absPath xmlns:x15ac="http://schemas.microsoft.com/office/spreadsheetml/2010/11/ac" url="C:\Users\dgallego\Downloads\"/>
    </mc:Choice>
  </mc:AlternateContent>
  <xr:revisionPtr revIDLastSave="0" documentId="13_ncr:1_{93C74401-D731-4EB5-8A8E-51F7730CE74C}" xr6:coauthVersionLast="47" xr6:coauthVersionMax="47" xr10:uidLastSave="{00000000-0000-0000-0000-000000000000}"/>
  <bookViews>
    <workbookView xWindow="-120" yWindow="-120" windowWidth="20730" windowHeight="11160" tabRatio="936" firstSheet="6" activeTab="9"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terri" sheetId="52" r:id="rId7"/>
    <sheet name="archivo_PAA" sheetId="44" r:id="rId8"/>
    <sheet name="archivo_CDP" sheetId="25" r:id="rId9"/>
    <sheet name="Inicio" sheetId="15" r:id="rId10"/>
    <sheet name="Ejecución presupuestal" sheetId="48" r:id="rId11"/>
    <sheet name="Plan de compras" sheetId="50" r:id="rId12"/>
    <sheet name="Reservas reducido" sheetId="49" r:id="rId13"/>
    <sheet name="Territoriales" sheetId="16" r:id="rId14"/>
    <sheet name="Proyectos" sheetId="7"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8" hidden="1">archivo_CDP!$A$1:$Y$1</definedName>
    <definedName name="_xlnm._FilterDatabase" localSheetId="1" hidden="1">archivo_ejec!$A$4:$AC$4</definedName>
    <definedName name="_xlnm._FilterDatabase" localSheetId="7" hidden="1">archivo_PAA!$A$2:$BB$398</definedName>
    <definedName name="_xlnm._FilterDatabase" localSheetId="6" hidden="1">'archivo_PAA terri'!$A$2:$BD$223</definedName>
    <definedName name="_xlnm._FilterDatabase" localSheetId="4" hidden="1">Archivo_prd!$A$4:$AB$55</definedName>
    <definedName name="_xlnm._FilterDatabase" localSheetId="5" hidden="1">archivo_reserva!$A$1:$S$135</definedName>
    <definedName name="_xlnm._FilterDatabase" localSheetId="2" hidden="1">Archivo_terri!$A$4:$AD$657</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_LOS_RECURSOS3">#N/A</definedName>
    <definedName name="SegmentaciónDeDatos_FUENTE_DE_LOS_RECURSOS4">#N/A</definedName>
    <definedName name="SegmentaciónDeDatos_FUENTE_DE_LOS_RECURSOS5">#N/A</definedName>
    <definedName name="SegmentaciónDeDatos_FUENTE_DE_LOS_RECURSOS6">#N/A</definedName>
    <definedName name="SegmentaciónDeDatos_FUENTE_DE_LOS_RECURSOS7">#N/A</definedName>
    <definedName name="SegmentaciónDeDatos_FUENTE_DE_LOS_RECURSOS8">#N/A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_de_Recurso3">#N/A</definedName>
    <definedName name="SegmentaciónDeDatos_Tipo_de_Recurso4">#N/A</definedName>
    <definedName name="SegmentaciónDeDatos_Tipo_de_Recurso5">#N/A</definedName>
    <definedName name="SegmentaciónDeDatos_Tipo_de_Recurso6">#N/A</definedName>
    <definedName name="SegmentaciónDeDatos_Tipo_de_Recurso7">#N/A</definedName>
    <definedName name="SegmentaciónDeDatos_Tipo_de_Recurso8">#N/A</definedName>
    <definedName name="SegmentaciónDeDatos_TIPO1">#N/A</definedName>
  </definedNames>
  <calcPr calcId="191028"/>
  <pivotCaches>
    <pivotCache cacheId="0" r:id="rId24"/>
    <pivotCache cacheId="1" r:id="rId25"/>
    <pivotCache cacheId="2" r:id="rId26"/>
    <pivotCache cacheId="3" r:id="rId27"/>
    <pivotCache cacheId="4" r:id="rId28"/>
    <pivotCache cacheId="5" r:id="rId29"/>
    <pivotCache cacheId="6" r:id="rId30"/>
    <pivotCache cacheId="7" r:id="rId31"/>
    <pivotCache cacheId="8" r:id="rId32"/>
    <pivotCache cacheId="12" r:id="rId33"/>
    <pivotCache cacheId="13" r:id="rId34"/>
    <pivotCache cacheId="14" r:id="rId35"/>
    <pivotCache cacheId="15" r:id="rId36"/>
    <pivotCache cacheId="16" r:id="rId37"/>
    <pivotCache cacheId="17" r:id="rId38"/>
    <pivotCache cacheId="21" r:id="rId39"/>
    <pivotCache cacheId="26" r:id="rId40"/>
    <pivotCache cacheId="39" r:id="rId41"/>
  </pivotCaches>
  <extLs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398" i="44" l="1"/>
  <c r="AJ398" i="44"/>
  <c r="AI398" i="44"/>
  <c r="AH398" i="44"/>
  <c r="AK397" i="44"/>
  <c r="AJ397" i="44"/>
  <c r="AI397" i="44"/>
  <c r="AH397" i="44"/>
  <c r="AK396" i="44"/>
  <c r="AJ396" i="44"/>
  <c r="AI396" i="44"/>
  <c r="AH396" i="44"/>
  <c r="AK395" i="44"/>
  <c r="AJ395" i="44"/>
  <c r="AI395" i="44"/>
  <c r="AH395" i="44"/>
  <c r="AK394" i="44"/>
  <c r="AJ394" i="44"/>
  <c r="AI394" i="44"/>
  <c r="AH394" i="44"/>
  <c r="AK393" i="44"/>
  <c r="AJ393" i="44"/>
  <c r="AI393" i="44"/>
  <c r="AH393" i="44"/>
  <c r="AK392" i="44"/>
  <c r="AJ392" i="44"/>
  <c r="AI392" i="44"/>
  <c r="AH392" i="44"/>
  <c r="AK391" i="44"/>
  <c r="AJ391" i="44"/>
  <c r="AI391" i="44"/>
  <c r="AH391" i="44"/>
  <c r="AK390" i="44"/>
  <c r="AJ390" i="44"/>
  <c r="AI390" i="44"/>
  <c r="AH390" i="44"/>
  <c r="AK389" i="44"/>
  <c r="AJ389" i="44"/>
  <c r="AI389" i="44"/>
  <c r="AH389" i="44"/>
  <c r="AK388" i="44"/>
  <c r="AJ388" i="44"/>
  <c r="AI388" i="44"/>
  <c r="AH388" i="44"/>
  <c r="AK387" i="44"/>
  <c r="AJ387" i="44"/>
  <c r="AI387" i="44"/>
  <c r="AH387" i="44"/>
  <c r="AK386" i="44"/>
  <c r="AJ386" i="44"/>
  <c r="AI386" i="44"/>
  <c r="AH386" i="44"/>
  <c r="AK385" i="44"/>
  <c r="AJ385" i="44"/>
  <c r="AI385" i="44"/>
  <c r="AH385" i="44"/>
  <c r="AK384" i="44"/>
  <c r="AJ384" i="44"/>
  <c r="AI384" i="44"/>
  <c r="AH384" i="44"/>
  <c r="AK383" i="44"/>
  <c r="AJ383" i="44"/>
  <c r="AI383" i="44"/>
  <c r="AH383" i="44"/>
  <c r="AK382" i="44"/>
  <c r="AJ382" i="44"/>
  <c r="AI382" i="44"/>
  <c r="AH382" i="44"/>
  <c r="AK381" i="44"/>
  <c r="AJ381" i="44"/>
  <c r="AI381" i="44"/>
  <c r="AH381" i="44"/>
  <c r="AK380" i="44"/>
  <c r="AJ380" i="44"/>
  <c r="AI380" i="44"/>
  <c r="AH380" i="44"/>
  <c r="AK379" i="44"/>
  <c r="AJ379" i="44"/>
  <c r="AI379" i="44"/>
  <c r="AH379" i="44"/>
  <c r="AK378" i="44"/>
  <c r="AJ378" i="44"/>
  <c r="AI378" i="44"/>
  <c r="AH378" i="44"/>
  <c r="AK377" i="44"/>
  <c r="AJ377" i="44"/>
  <c r="AI377" i="44"/>
  <c r="AH377" i="44"/>
  <c r="AK376" i="44"/>
  <c r="AJ376" i="44"/>
  <c r="AI376" i="44"/>
  <c r="AH376" i="44"/>
  <c r="AK375" i="44"/>
  <c r="AJ375" i="44"/>
  <c r="AI375" i="44"/>
  <c r="AH375" i="44"/>
  <c r="AK374" i="44"/>
  <c r="AJ374" i="44"/>
  <c r="AI374" i="44"/>
  <c r="AH374" i="44"/>
  <c r="AK373" i="44"/>
  <c r="AJ373" i="44"/>
  <c r="AI373" i="44"/>
  <c r="AH373" i="44"/>
  <c r="AK372" i="44"/>
  <c r="AJ372" i="44"/>
  <c r="AI372" i="44"/>
  <c r="AH372" i="44"/>
  <c r="AK371" i="44"/>
  <c r="AJ371" i="44"/>
  <c r="AI371" i="44"/>
  <c r="AH371" i="44"/>
  <c r="AK370" i="44"/>
  <c r="AJ370" i="44"/>
  <c r="AI370" i="44"/>
  <c r="AH370" i="44"/>
  <c r="AK369" i="44"/>
  <c r="AJ369" i="44"/>
  <c r="AI369" i="44"/>
  <c r="AH369" i="44"/>
  <c r="AK368" i="44"/>
  <c r="AJ368" i="44"/>
  <c r="AI368" i="44"/>
  <c r="AH368" i="44"/>
  <c r="AK367" i="44"/>
  <c r="AJ367" i="44"/>
  <c r="AI367" i="44"/>
  <c r="AH367" i="44"/>
  <c r="AK366" i="44"/>
  <c r="AJ366" i="44"/>
  <c r="AI366" i="44"/>
  <c r="AH366" i="44"/>
  <c r="AK365" i="44"/>
  <c r="AJ365" i="44"/>
  <c r="AI365" i="44"/>
  <c r="AH365" i="44"/>
  <c r="AK364" i="44"/>
  <c r="AJ364" i="44"/>
  <c r="AI364" i="44"/>
  <c r="AH364" i="44"/>
  <c r="AK363" i="44"/>
  <c r="AJ363" i="44"/>
  <c r="AI363" i="44"/>
  <c r="AH363" i="44"/>
  <c r="AK362" i="44"/>
  <c r="AJ362" i="44"/>
  <c r="AI362" i="44"/>
  <c r="AH362" i="44"/>
  <c r="AK361" i="44"/>
  <c r="AJ361" i="44"/>
  <c r="AI361" i="44"/>
  <c r="AH361" i="44"/>
  <c r="AK360" i="44"/>
  <c r="AJ360" i="44"/>
  <c r="AI360" i="44"/>
  <c r="AH360" i="44"/>
  <c r="AK359" i="44"/>
  <c r="AJ359" i="44"/>
  <c r="AI359" i="44"/>
  <c r="AH359" i="44"/>
  <c r="AK358" i="44"/>
  <c r="AJ358" i="44"/>
  <c r="AI358" i="44"/>
  <c r="AH358" i="44"/>
  <c r="AK357" i="44"/>
  <c r="AJ357" i="44"/>
  <c r="AI357" i="44"/>
  <c r="AH357" i="44"/>
  <c r="AK356" i="44"/>
  <c r="AJ356" i="44"/>
  <c r="AI356" i="44"/>
  <c r="AH356" i="44"/>
  <c r="AK355" i="44"/>
  <c r="AJ355" i="44"/>
  <c r="AI355" i="44"/>
  <c r="AH355" i="44"/>
  <c r="AK354" i="44"/>
  <c r="AJ354" i="44"/>
  <c r="AI354" i="44"/>
  <c r="AH354" i="44"/>
  <c r="AK353" i="44"/>
  <c r="AJ353" i="44"/>
  <c r="AI353" i="44"/>
  <c r="AH353" i="44"/>
  <c r="AK352" i="44"/>
  <c r="AJ352" i="44"/>
  <c r="AI352" i="44"/>
  <c r="AH352" i="44"/>
  <c r="AK351" i="44"/>
  <c r="AJ351" i="44"/>
  <c r="AI351" i="44"/>
  <c r="AH351" i="44"/>
  <c r="AK350" i="44"/>
  <c r="AJ350" i="44"/>
  <c r="AI350" i="44"/>
  <c r="AH350" i="44"/>
  <c r="AK349" i="44"/>
  <c r="AJ349" i="44"/>
  <c r="AI349" i="44"/>
  <c r="AH349" i="44"/>
  <c r="AK348" i="44"/>
  <c r="AJ348" i="44"/>
  <c r="AI348" i="44"/>
  <c r="AH348" i="44"/>
  <c r="AK347" i="44"/>
  <c r="AJ347" i="44"/>
  <c r="AI347" i="44"/>
  <c r="AH347" i="44"/>
  <c r="AK346" i="44"/>
  <c r="AJ346" i="44"/>
  <c r="AI346" i="44"/>
  <c r="AH346" i="44"/>
  <c r="AK345" i="44"/>
  <c r="AJ345" i="44"/>
  <c r="AI345" i="44"/>
  <c r="AH345" i="44"/>
  <c r="AK344" i="44"/>
  <c r="AJ344" i="44"/>
  <c r="AI344" i="44"/>
  <c r="AH344" i="44"/>
  <c r="AK343" i="44"/>
  <c r="AJ343" i="44"/>
  <c r="AI343" i="44"/>
  <c r="AH343" i="44"/>
  <c r="AK342" i="44"/>
  <c r="AJ342" i="44"/>
  <c r="AI342" i="44"/>
  <c r="AH342" i="44"/>
  <c r="AK341" i="44"/>
  <c r="AJ341" i="44"/>
  <c r="AI341" i="44"/>
  <c r="AH341" i="44"/>
  <c r="AK340" i="44"/>
  <c r="AJ340" i="44"/>
  <c r="AI340" i="44"/>
  <c r="AH340" i="44"/>
  <c r="AK339" i="44"/>
  <c r="AJ339" i="44"/>
  <c r="AI339" i="44"/>
  <c r="AH339" i="44"/>
  <c r="AK338" i="44"/>
  <c r="AJ338" i="44"/>
  <c r="AI338" i="44"/>
  <c r="AH338" i="44"/>
  <c r="AK337" i="44"/>
  <c r="AJ337" i="44"/>
  <c r="AI337" i="44"/>
  <c r="AH337" i="44"/>
  <c r="AK336" i="44"/>
  <c r="AJ336" i="44"/>
  <c r="AI336" i="44"/>
  <c r="AH336" i="44"/>
  <c r="AK335" i="44"/>
  <c r="AJ335" i="44"/>
  <c r="AI335" i="44"/>
  <c r="AH335" i="44"/>
  <c r="AK334" i="44"/>
  <c r="AJ334" i="44"/>
  <c r="AI334" i="44"/>
  <c r="AH334" i="44"/>
  <c r="AK333" i="44"/>
  <c r="AJ333" i="44"/>
  <c r="AI333" i="44"/>
  <c r="AH333" i="44"/>
  <c r="AK332" i="44"/>
  <c r="AJ332" i="44"/>
  <c r="AI332" i="44"/>
  <c r="AH332" i="44"/>
  <c r="AK331" i="44"/>
  <c r="AJ331" i="44"/>
  <c r="AI331" i="44"/>
  <c r="AH331" i="44"/>
  <c r="AK330" i="44"/>
  <c r="AJ330" i="44"/>
  <c r="AI330" i="44"/>
  <c r="AH330" i="44"/>
  <c r="AK329" i="44"/>
  <c r="AJ329" i="44"/>
  <c r="AI329" i="44"/>
  <c r="AH329" i="44"/>
  <c r="AK328" i="44"/>
  <c r="AJ328" i="44"/>
  <c r="AI328" i="44"/>
  <c r="AH328" i="44"/>
  <c r="AK327" i="44"/>
  <c r="AJ327" i="44"/>
  <c r="AI327" i="44"/>
  <c r="AH327" i="44"/>
  <c r="AK326" i="44"/>
  <c r="AJ326" i="44"/>
  <c r="AI326" i="44"/>
  <c r="AH326" i="44"/>
  <c r="AK325" i="44"/>
  <c r="AJ325" i="44"/>
  <c r="AI325" i="44"/>
  <c r="AH325" i="44"/>
  <c r="AK324" i="44"/>
  <c r="AJ324" i="44"/>
  <c r="AI324" i="44"/>
  <c r="AH324" i="44"/>
  <c r="AK323" i="44"/>
  <c r="AJ323" i="44"/>
  <c r="AI323" i="44"/>
  <c r="AH323" i="44"/>
  <c r="AK322" i="44"/>
  <c r="AJ322" i="44"/>
  <c r="AI322" i="44"/>
  <c r="AH322" i="44"/>
  <c r="AK321" i="44"/>
  <c r="AJ321" i="44"/>
  <c r="AI321" i="44"/>
  <c r="AH321" i="44"/>
  <c r="AK320" i="44"/>
  <c r="AJ320" i="44"/>
  <c r="AI320" i="44"/>
  <c r="AH320" i="44"/>
  <c r="AK319" i="44"/>
  <c r="AJ319" i="44"/>
  <c r="AI319" i="44"/>
  <c r="AH319" i="44"/>
  <c r="AK318" i="44"/>
  <c r="AJ318" i="44"/>
  <c r="AI318" i="44"/>
  <c r="AH318" i="44"/>
  <c r="AK317" i="44"/>
  <c r="AJ317" i="44"/>
  <c r="AI317" i="44"/>
  <c r="AH317" i="44"/>
  <c r="AK316" i="44"/>
  <c r="AJ316" i="44"/>
  <c r="AI316" i="44"/>
  <c r="AH316" i="44"/>
  <c r="AK315" i="44"/>
  <c r="AJ315" i="44"/>
  <c r="AI315" i="44"/>
  <c r="AH315" i="44"/>
  <c r="AK314" i="44"/>
  <c r="AJ314" i="44"/>
  <c r="AI314" i="44"/>
  <c r="AH314" i="44"/>
  <c r="AK313" i="44"/>
  <c r="AJ313" i="44"/>
  <c r="AI313" i="44"/>
  <c r="AH313" i="44"/>
  <c r="AK312" i="44"/>
  <c r="AJ312" i="44"/>
  <c r="AI312" i="44"/>
  <c r="AH312" i="44"/>
  <c r="AK311" i="44"/>
  <c r="AJ311" i="44"/>
  <c r="AI311" i="44"/>
  <c r="AH311" i="44"/>
  <c r="AK310" i="44"/>
  <c r="AJ310" i="44"/>
  <c r="AI310" i="44"/>
  <c r="AH310" i="44"/>
  <c r="AK309" i="44"/>
  <c r="AJ309" i="44"/>
  <c r="AI309" i="44"/>
  <c r="AH309" i="44"/>
  <c r="AK308" i="44"/>
  <c r="AJ308" i="44"/>
  <c r="AI308" i="44"/>
  <c r="AH308" i="44"/>
  <c r="AK307" i="44"/>
  <c r="AJ307" i="44"/>
  <c r="AI307" i="44"/>
  <c r="AH307" i="44"/>
  <c r="AK306" i="44"/>
  <c r="AJ306" i="44"/>
  <c r="AI306" i="44"/>
  <c r="AH306" i="44"/>
  <c r="AK305" i="44"/>
  <c r="AJ305" i="44"/>
  <c r="AI305" i="44"/>
  <c r="AH305" i="44"/>
  <c r="AK304" i="44"/>
  <c r="AJ304" i="44"/>
  <c r="AI304" i="44"/>
  <c r="AH304" i="44"/>
  <c r="AK303" i="44"/>
  <c r="AJ303" i="44"/>
  <c r="AI303" i="44"/>
  <c r="AH303" i="44"/>
  <c r="AK302" i="44"/>
  <c r="AJ302" i="44"/>
  <c r="AI302" i="44"/>
  <c r="AH302" i="44"/>
  <c r="AK301" i="44"/>
  <c r="AJ301" i="44"/>
  <c r="AI301" i="44"/>
  <c r="AH301" i="44"/>
  <c r="AK300" i="44"/>
  <c r="AJ300" i="44"/>
  <c r="AI300" i="44"/>
  <c r="AH300" i="44"/>
  <c r="AK299" i="44"/>
  <c r="AJ299" i="44"/>
  <c r="AI299" i="44"/>
  <c r="AH299" i="44"/>
  <c r="AK298" i="44"/>
  <c r="AJ298" i="44"/>
  <c r="AI298" i="44"/>
  <c r="AH298" i="44"/>
  <c r="AK297" i="44"/>
  <c r="AJ297" i="44"/>
  <c r="AI297" i="44"/>
  <c r="AH297" i="44"/>
  <c r="AK296" i="44"/>
  <c r="AJ296" i="44"/>
  <c r="AI296" i="44"/>
  <c r="AH296" i="44"/>
  <c r="AK295" i="44"/>
  <c r="AJ295" i="44"/>
  <c r="AI295" i="44"/>
  <c r="AH295" i="44"/>
  <c r="AK294" i="44"/>
  <c r="AJ294" i="44"/>
  <c r="AI294" i="44"/>
  <c r="AH294" i="44"/>
  <c r="AK293" i="44"/>
  <c r="AJ293" i="44"/>
  <c r="AI293" i="44"/>
  <c r="AH293" i="44"/>
  <c r="AK292" i="44"/>
  <c r="AJ292" i="44"/>
  <c r="AI292" i="44"/>
  <c r="AH292" i="44"/>
  <c r="AK291" i="44"/>
  <c r="AJ291" i="44"/>
  <c r="AI291" i="44"/>
  <c r="AH291" i="44"/>
  <c r="AK290" i="44"/>
  <c r="AJ290" i="44"/>
  <c r="AI290" i="44"/>
  <c r="AH290" i="44"/>
  <c r="AK289" i="44"/>
  <c r="AJ289" i="44"/>
  <c r="AI289" i="44"/>
  <c r="AH289" i="44"/>
  <c r="AK288" i="44"/>
  <c r="AJ288" i="44"/>
  <c r="AI288" i="44"/>
  <c r="AH288" i="44"/>
  <c r="AK287" i="44"/>
  <c r="AJ287" i="44"/>
  <c r="AI287" i="44"/>
  <c r="AH287" i="44"/>
  <c r="AK286" i="44"/>
  <c r="AJ286" i="44"/>
  <c r="AI286" i="44"/>
  <c r="AH286" i="44"/>
  <c r="AK285" i="44"/>
  <c r="AJ285" i="44"/>
  <c r="AI285" i="44"/>
  <c r="AH285" i="44"/>
  <c r="AK284" i="44"/>
  <c r="AJ284" i="44"/>
  <c r="AI284" i="44"/>
  <c r="AH284" i="44"/>
  <c r="AK283" i="44"/>
  <c r="AJ283" i="44"/>
  <c r="AI283" i="44"/>
  <c r="AH283" i="44"/>
  <c r="AK282" i="44"/>
  <c r="AJ282" i="44"/>
  <c r="AI282" i="44"/>
  <c r="AH282" i="44"/>
  <c r="AK281" i="44"/>
  <c r="AJ281" i="44"/>
  <c r="AI281" i="44"/>
  <c r="AH281" i="44"/>
  <c r="AK280" i="44"/>
  <c r="AJ280" i="44"/>
  <c r="AI280" i="44"/>
  <c r="AH280" i="44"/>
  <c r="AK279" i="44"/>
  <c r="AJ279" i="44"/>
  <c r="AI279" i="44"/>
  <c r="AH279" i="44"/>
  <c r="AK278" i="44"/>
  <c r="AJ278" i="44"/>
  <c r="AI278" i="44"/>
  <c r="AH278" i="44"/>
  <c r="AK277" i="44"/>
  <c r="AJ277" i="44"/>
  <c r="AI277" i="44"/>
  <c r="AH277" i="44"/>
  <c r="AK276" i="44"/>
  <c r="AJ276" i="44"/>
  <c r="AI276" i="44"/>
  <c r="AH276" i="44"/>
  <c r="AK275" i="44"/>
  <c r="AJ275" i="44"/>
  <c r="AI275" i="44"/>
  <c r="AH275" i="44"/>
  <c r="AK274" i="44"/>
  <c r="AJ274" i="44"/>
  <c r="AI274" i="44"/>
  <c r="AH274" i="44"/>
  <c r="AK273" i="44"/>
  <c r="AJ273" i="44"/>
  <c r="AI273" i="44"/>
  <c r="AH273" i="44"/>
  <c r="AK272" i="44"/>
  <c r="AJ272" i="44"/>
  <c r="AI272" i="44"/>
  <c r="AH272" i="44"/>
  <c r="AK271" i="44"/>
  <c r="AJ271" i="44"/>
  <c r="AI271" i="44"/>
  <c r="AH271" i="44"/>
  <c r="AK270" i="44"/>
  <c r="AJ270" i="44"/>
  <c r="AI270" i="44"/>
  <c r="AH270" i="44"/>
  <c r="AK269" i="44"/>
  <c r="AJ269" i="44"/>
  <c r="AI269" i="44"/>
  <c r="AH269" i="44"/>
  <c r="AK268" i="44"/>
  <c r="AJ268" i="44"/>
  <c r="AI268" i="44"/>
  <c r="AH268" i="44"/>
  <c r="AK267" i="44"/>
  <c r="AJ267" i="44"/>
  <c r="AI267" i="44"/>
  <c r="AH267" i="44"/>
  <c r="AK266" i="44"/>
  <c r="AJ266" i="44"/>
  <c r="AI266" i="44"/>
  <c r="AH266" i="44"/>
  <c r="AK265" i="44"/>
  <c r="AJ265" i="44"/>
  <c r="AI265" i="44"/>
  <c r="AH265" i="44"/>
  <c r="AK264" i="44"/>
  <c r="AJ264" i="44"/>
  <c r="AI264" i="44"/>
  <c r="AH264" i="44"/>
  <c r="AK263" i="44"/>
  <c r="AJ263" i="44"/>
  <c r="AI263" i="44"/>
  <c r="AH263" i="44"/>
  <c r="AK262" i="44"/>
  <c r="AJ262" i="44"/>
  <c r="AI262" i="44"/>
  <c r="AH262" i="44"/>
  <c r="AK261" i="44"/>
  <c r="AJ261" i="44"/>
  <c r="AI261" i="44"/>
  <c r="AH261" i="44"/>
  <c r="AK260" i="44"/>
  <c r="AJ260" i="44"/>
  <c r="AI260" i="44"/>
  <c r="AH260" i="44"/>
  <c r="AK259" i="44"/>
  <c r="AJ259" i="44"/>
  <c r="AI259" i="44"/>
  <c r="AH259" i="44"/>
  <c r="AK258" i="44"/>
  <c r="AJ258" i="44"/>
  <c r="AI258" i="44"/>
  <c r="AH258" i="44"/>
  <c r="AK257" i="44"/>
  <c r="AJ257" i="44"/>
  <c r="AI257" i="44"/>
  <c r="AH257" i="44"/>
  <c r="AK256" i="44"/>
  <c r="AJ256" i="44"/>
  <c r="AI256" i="44"/>
  <c r="AH256" i="44"/>
  <c r="AK255" i="44"/>
  <c r="AJ255" i="44"/>
  <c r="AI255" i="44"/>
  <c r="AH255" i="44"/>
  <c r="AK254" i="44"/>
  <c r="AJ254" i="44"/>
  <c r="AI254" i="44"/>
  <c r="AH254" i="44"/>
  <c r="AK253" i="44"/>
  <c r="AJ253" i="44"/>
  <c r="AI253" i="44"/>
  <c r="AH253" i="44"/>
  <c r="AK252" i="44"/>
  <c r="AJ252" i="44"/>
  <c r="AI252" i="44"/>
  <c r="AH252" i="44"/>
  <c r="AK251" i="44"/>
  <c r="AJ251" i="44"/>
  <c r="AI251" i="44"/>
  <c r="AH251" i="44"/>
  <c r="AK250" i="44"/>
  <c r="AJ250" i="44"/>
  <c r="AI250" i="44"/>
  <c r="AH250" i="44"/>
  <c r="AK249" i="44"/>
  <c r="AJ249" i="44"/>
  <c r="AI249" i="44"/>
  <c r="AH249" i="44"/>
  <c r="AK248" i="44"/>
  <c r="AJ248" i="44"/>
  <c r="AI248" i="44"/>
  <c r="AH248" i="44"/>
  <c r="AK247" i="44"/>
  <c r="AJ247" i="44"/>
  <c r="AI247" i="44"/>
  <c r="AH247" i="44"/>
  <c r="AK246" i="44"/>
  <c r="AJ246" i="44"/>
  <c r="AI246" i="44"/>
  <c r="AH246" i="44"/>
  <c r="AK245" i="44"/>
  <c r="AJ245" i="44"/>
  <c r="AI245" i="44"/>
  <c r="AH245" i="44"/>
  <c r="AK244" i="44"/>
  <c r="AJ244" i="44"/>
  <c r="AI244" i="44"/>
  <c r="AH244" i="44"/>
  <c r="AK243" i="44"/>
  <c r="AJ243" i="44"/>
  <c r="AI243" i="44"/>
  <c r="AH243" i="44"/>
  <c r="AK242" i="44"/>
  <c r="AJ242" i="44"/>
  <c r="AI242" i="44"/>
  <c r="AH242" i="44"/>
  <c r="AK241" i="44"/>
  <c r="AJ241" i="44"/>
  <c r="AI241" i="44"/>
  <c r="AH241" i="44"/>
  <c r="AK240" i="44"/>
  <c r="AJ240" i="44"/>
  <c r="AI240" i="44"/>
  <c r="AH240" i="44"/>
  <c r="AK239" i="44"/>
  <c r="AJ239" i="44"/>
  <c r="AI239" i="44"/>
  <c r="AH239" i="44"/>
  <c r="AK238" i="44"/>
  <c r="AJ238" i="44"/>
  <c r="AI238" i="44"/>
  <c r="AH238" i="44"/>
  <c r="AK237" i="44"/>
  <c r="AJ237" i="44"/>
  <c r="AI237" i="44"/>
  <c r="AH237" i="44"/>
  <c r="AK236" i="44"/>
  <c r="AJ236" i="44"/>
  <c r="AI236" i="44"/>
  <c r="AH236" i="44"/>
  <c r="AK235" i="44"/>
  <c r="AJ235" i="44"/>
  <c r="AI235" i="44"/>
  <c r="AH235" i="44"/>
  <c r="AK234" i="44"/>
  <c r="AJ234" i="44"/>
  <c r="AI234" i="44"/>
  <c r="AH234" i="44"/>
  <c r="AK233" i="44"/>
  <c r="AJ233" i="44"/>
  <c r="AI233" i="44"/>
  <c r="AH233" i="44"/>
  <c r="AK232" i="44"/>
  <c r="AJ232" i="44"/>
  <c r="AI232" i="44"/>
  <c r="AH232" i="44"/>
  <c r="AK231" i="44"/>
  <c r="AJ231" i="44"/>
  <c r="AI231" i="44"/>
  <c r="AH231" i="44"/>
  <c r="AK230" i="44"/>
  <c r="AJ230" i="44"/>
  <c r="AI230" i="44"/>
  <c r="AH230" i="44"/>
  <c r="AK229" i="44"/>
  <c r="AJ229" i="44"/>
  <c r="AI229" i="44"/>
  <c r="AH229" i="44"/>
  <c r="AK228" i="44"/>
  <c r="AJ228" i="44"/>
  <c r="AI228" i="44"/>
  <c r="AH228" i="44"/>
  <c r="AK227" i="44"/>
  <c r="AJ227" i="44"/>
  <c r="AI227" i="44"/>
  <c r="AH227" i="44"/>
  <c r="AK226" i="44"/>
  <c r="AJ226" i="44"/>
  <c r="AI226" i="44"/>
  <c r="AH226" i="44"/>
  <c r="AK225" i="44"/>
  <c r="AJ225" i="44"/>
  <c r="AI225" i="44"/>
  <c r="AH225" i="44"/>
  <c r="AK224" i="44"/>
  <c r="AJ224" i="44"/>
  <c r="AI224" i="44"/>
  <c r="AH224" i="44"/>
  <c r="AK223" i="44"/>
  <c r="AJ223" i="44"/>
  <c r="AI223" i="44"/>
  <c r="AH223" i="44"/>
  <c r="AK222" i="44"/>
  <c r="AJ222" i="44"/>
  <c r="AI222" i="44"/>
  <c r="AH222" i="44"/>
  <c r="AK221" i="44"/>
  <c r="AJ221" i="44"/>
  <c r="AI221" i="44"/>
  <c r="AH221" i="44"/>
  <c r="AK220" i="44"/>
  <c r="AJ220" i="44"/>
  <c r="AI220" i="44"/>
  <c r="AH220" i="44"/>
  <c r="AK219" i="44"/>
  <c r="AJ219" i="44"/>
  <c r="AI219" i="44"/>
  <c r="AH219" i="44"/>
  <c r="AK218" i="44"/>
  <c r="AJ218" i="44"/>
  <c r="AI218" i="44"/>
  <c r="AH218" i="44"/>
  <c r="AK217" i="44"/>
  <c r="AJ217" i="44"/>
  <c r="AI217" i="44"/>
  <c r="AH217" i="44"/>
  <c r="AK216" i="44"/>
  <c r="AJ216" i="44"/>
  <c r="AI216" i="44"/>
  <c r="AH216" i="44"/>
  <c r="AK215" i="44"/>
  <c r="AJ215" i="44"/>
  <c r="AI215" i="44"/>
  <c r="AH215" i="44"/>
  <c r="AK214" i="44"/>
  <c r="AJ214" i="44"/>
  <c r="AI214" i="44"/>
  <c r="AH214" i="44"/>
  <c r="AK213" i="44"/>
  <c r="AJ213" i="44"/>
  <c r="AI213" i="44"/>
  <c r="AH213" i="44"/>
  <c r="AK212" i="44"/>
  <c r="AJ212" i="44"/>
  <c r="AI212" i="44"/>
  <c r="AH212" i="44"/>
  <c r="AK211" i="44"/>
  <c r="AJ211" i="44"/>
  <c r="AI211" i="44"/>
  <c r="AH211" i="44"/>
  <c r="AK210" i="44"/>
  <c r="AJ210" i="44"/>
  <c r="AI210" i="44"/>
  <c r="AH210" i="44"/>
  <c r="AK209" i="44"/>
  <c r="AJ209" i="44"/>
  <c r="AI209" i="44"/>
  <c r="AH209" i="44"/>
  <c r="AK208" i="44"/>
  <c r="AJ208" i="44"/>
  <c r="AI208" i="44"/>
  <c r="AH208" i="44"/>
  <c r="AK207" i="44"/>
  <c r="AJ207" i="44"/>
  <c r="AI207" i="44"/>
  <c r="AH207" i="44"/>
  <c r="AK206" i="44"/>
  <c r="AJ206" i="44"/>
  <c r="AI206" i="44"/>
  <c r="AH206" i="44"/>
  <c r="AK205" i="44"/>
  <c r="AJ205" i="44"/>
  <c r="AI205" i="44"/>
  <c r="AH205" i="44"/>
  <c r="AK204" i="44"/>
  <c r="AJ204" i="44"/>
  <c r="AI204" i="44"/>
  <c r="AH204" i="44"/>
  <c r="AK203" i="44"/>
  <c r="AJ203" i="44"/>
  <c r="AI203" i="44"/>
  <c r="AH203" i="44"/>
  <c r="AK202" i="44"/>
  <c r="AJ202" i="44"/>
  <c r="AI202" i="44"/>
  <c r="AH202" i="44"/>
  <c r="AK201" i="44"/>
  <c r="AJ201" i="44"/>
  <c r="AI201" i="44"/>
  <c r="AH201" i="44"/>
  <c r="AK200" i="44"/>
  <c r="AJ200" i="44"/>
  <c r="AI200" i="44"/>
  <c r="AH200" i="44"/>
  <c r="AK199" i="44"/>
  <c r="AJ199" i="44"/>
  <c r="AI199" i="44"/>
  <c r="AH199" i="44"/>
  <c r="AK198" i="44"/>
  <c r="AJ198" i="44"/>
  <c r="AI198" i="44"/>
  <c r="AH198" i="44"/>
  <c r="AK197" i="44"/>
  <c r="AJ197" i="44"/>
  <c r="AI197" i="44"/>
  <c r="AH197" i="44"/>
  <c r="AK196" i="44"/>
  <c r="AJ196" i="44"/>
  <c r="AI196" i="44"/>
  <c r="AH196" i="44"/>
  <c r="AK195" i="44"/>
  <c r="AJ195" i="44"/>
  <c r="AI195" i="44"/>
  <c r="AH195" i="44"/>
  <c r="AK194" i="44"/>
  <c r="AJ194" i="44"/>
  <c r="AI194" i="44"/>
  <c r="AH194" i="44"/>
  <c r="AK193" i="44"/>
  <c r="AJ193" i="44"/>
  <c r="AI193" i="44"/>
  <c r="AH193" i="44"/>
  <c r="AK192" i="44"/>
  <c r="AJ192" i="44"/>
  <c r="AI192" i="44"/>
  <c r="AH192" i="44"/>
  <c r="AK191" i="44"/>
  <c r="AJ191" i="44"/>
  <c r="AI191" i="44"/>
  <c r="AH191" i="44"/>
  <c r="AK190" i="44"/>
  <c r="AJ190" i="44"/>
  <c r="AI190" i="44"/>
  <c r="AH190" i="44"/>
  <c r="AK189" i="44"/>
  <c r="AJ189" i="44"/>
  <c r="AI189" i="44"/>
  <c r="AH189" i="44"/>
  <c r="AK188" i="44"/>
  <c r="AJ188" i="44"/>
  <c r="AI188" i="44"/>
  <c r="AH188" i="44"/>
  <c r="AK187" i="44"/>
  <c r="AJ187" i="44"/>
  <c r="AI187" i="44"/>
  <c r="AH187" i="44"/>
  <c r="AK186" i="44"/>
  <c r="AJ186" i="44"/>
  <c r="AI186" i="44"/>
  <c r="AH186" i="44"/>
  <c r="AK185" i="44"/>
  <c r="AJ185" i="44"/>
  <c r="AI185" i="44"/>
  <c r="AH185" i="44"/>
  <c r="AK184" i="44"/>
  <c r="AJ184" i="44"/>
  <c r="AI184" i="44"/>
  <c r="AH184" i="44"/>
  <c r="AK183" i="44"/>
  <c r="AJ183" i="44"/>
  <c r="AI183" i="44"/>
  <c r="AH183" i="44"/>
  <c r="AK182" i="44"/>
  <c r="AJ182" i="44"/>
  <c r="AI182" i="44"/>
  <c r="AH182" i="44"/>
  <c r="AK181" i="44"/>
  <c r="AJ181" i="44"/>
  <c r="AI181" i="44"/>
  <c r="AH181" i="44"/>
  <c r="AK180" i="44"/>
  <c r="AJ180" i="44"/>
  <c r="AI180" i="44"/>
  <c r="AH180" i="44"/>
  <c r="AK179" i="44"/>
  <c r="AJ179" i="44"/>
  <c r="AI179" i="44"/>
  <c r="AH179" i="44"/>
  <c r="AK178" i="44"/>
  <c r="AJ178" i="44"/>
  <c r="AI178" i="44"/>
  <c r="AH178" i="44"/>
  <c r="AK177" i="44"/>
  <c r="AJ177" i="44"/>
  <c r="AI177" i="44"/>
  <c r="AH177" i="44"/>
  <c r="AK176" i="44"/>
  <c r="AJ176" i="44"/>
  <c r="AI176" i="44"/>
  <c r="AH176" i="44"/>
  <c r="AK175" i="44"/>
  <c r="AJ175" i="44"/>
  <c r="AI175" i="44"/>
  <c r="AH175" i="44"/>
  <c r="AK174" i="44"/>
  <c r="AJ174" i="44"/>
  <c r="AI174" i="44"/>
  <c r="AH174" i="44"/>
  <c r="AK173" i="44"/>
  <c r="AJ173" i="44"/>
  <c r="AI173" i="44"/>
  <c r="AH173" i="44"/>
  <c r="AK172" i="44"/>
  <c r="AJ172" i="44"/>
  <c r="AI172" i="44"/>
  <c r="AH172" i="44"/>
  <c r="AK171" i="44"/>
  <c r="AJ171" i="44"/>
  <c r="AI171" i="44"/>
  <c r="AH171" i="44"/>
  <c r="AK170" i="44"/>
  <c r="AJ170" i="44"/>
  <c r="AI170" i="44"/>
  <c r="AH170" i="44"/>
  <c r="AK169" i="44"/>
  <c r="AJ169" i="44"/>
  <c r="AI169" i="44"/>
  <c r="AH169" i="44"/>
  <c r="AK168" i="44"/>
  <c r="AJ168" i="44"/>
  <c r="AI168" i="44"/>
  <c r="AH168" i="44"/>
  <c r="AK167" i="44"/>
  <c r="AJ167" i="44"/>
  <c r="AI167" i="44"/>
  <c r="AH167" i="44"/>
  <c r="AK166" i="44"/>
  <c r="AJ166" i="44"/>
  <c r="AI166" i="44"/>
  <c r="AH166" i="44"/>
  <c r="AK165" i="44"/>
  <c r="AJ165" i="44"/>
  <c r="AI165" i="44"/>
  <c r="AH165" i="44"/>
  <c r="AK164" i="44"/>
  <c r="AJ164" i="44"/>
  <c r="AI164" i="44"/>
  <c r="AH164" i="44"/>
  <c r="AK163" i="44"/>
  <c r="AJ163" i="44"/>
  <c r="AI163" i="44"/>
  <c r="AH163" i="44"/>
  <c r="AK162" i="44"/>
  <c r="AJ162" i="44"/>
  <c r="AI162" i="44"/>
  <c r="AH162" i="44"/>
  <c r="AK161" i="44"/>
  <c r="AJ161" i="44"/>
  <c r="AI161" i="44"/>
  <c r="AH161" i="44"/>
  <c r="AK160" i="44"/>
  <c r="AJ160" i="44"/>
  <c r="AI160" i="44"/>
  <c r="AH160" i="44"/>
  <c r="AK159" i="44"/>
  <c r="AJ159" i="44"/>
  <c r="AI159" i="44"/>
  <c r="AH159" i="44"/>
  <c r="AK158" i="44"/>
  <c r="AJ158" i="44"/>
  <c r="AI158" i="44"/>
  <c r="AH158" i="44"/>
  <c r="AK157" i="44"/>
  <c r="AJ157" i="44"/>
  <c r="AI157" i="44"/>
  <c r="AH157" i="44"/>
  <c r="AK156" i="44"/>
  <c r="AJ156" i="44"/>
  <c r="AI156" i="44"/>
  <c r="AH156" i="44"/>
  <c r="AK155" i="44"/>
  <c r="AJ155" i="44"/>
  <c r="AI155" i="44"/>
  <c r="AH155" i="44"/>
  <c r="AK154" i="44"/>
  <c r="AJ154" i="44"/>
  <c r="AI154" i="44"/>
  <c r="AH154" i="44"/>
  <c r="AK153" i="44"/>
  <c r="AJ153" i="44"/>
  <c r="AI153" i="44"/>
  <c r="AH153" i="44"/>
  <c r="AK152" i="44"/>
  <c r="AJ152" i="44"/>
  <c r="AI152" i="44"/>
  <c r="AH152" i="44"/>
  <c r="AK151" i="44"/>
  <c r="AJ151" i="44"/>
  <c r="AI151" i="44"/>
  <c r="AH151" i="44"/>
  <c r="AK150" i="44"/>
  <c r="AJ150" i="44"/>
  <c r="AI150" i="44"/>
  <c r="AH150" i="44"/>
  <c r="AK149" i="44"/>
  <c r="AJ149" i="44"/>
  <c r="AI149" i="44"/>
  <c r="AH149" i="44"/>
  <c r="AK148" i="44"/>
  <c r="AJ148" i="44"/>
  <c r="AI148" i="44"/>
  <c r="AH148" i="44"/>
  <c r="AK147" i="44"/>
  <c r="AJ147" i="44"/>
  <c r="AI147" i="44"/>
  <c r="AH147" i="44"/>
  <c r="AK146" i="44"/>
  <c r="AJ146" i="44"/>
  <c r="AI146" i="44"/>
  <c r="AH146" i="44"/>
  <c r="AK145" i="44"/>
  <c r="AJ145" i="44"/>
  <c r="AI145" i="44"/>
  <c r="AH145" i="44"/>
  <c r="AK144" i="44"/>
  <c r="AJ144" i="44"/>
  <c r="AI144" i="44"/>
  <c r="AH144" i="44"/>
  <c r="AK143" i="44"/>
  <c r="AJ143" i="44"/>
  <c r="AI143" i="44"/>
  <c r="AH143" i="44"/>
  <c r="AK142" i="44"/>
  <c r="AJ142" i="44"/>
  <c r="AI142" i="44"/>
  <c r="AH142" i="44"/>
  <c r="AK141" i="44"/>
  <c r="AJ141" i="44"/>
  <c r="AI141" i="44"/>
  <c r="AH141" i="44"/>
  <c r="AK140" i="44"/>
  <c r="AJ140" i="44"/>
  <c r="AI140" i="44"/>
  <c r="AH140" i="44"/>
  <c r="AK139" i="44"/>
  <c r="AJ139" i="44"/>
  <c r="AI139" i="44"/>
  <c r="AH139" i="44"/>
  <c r="AK138" i="44"/>
  <c r="AJ138" i="44"/>
  <c r="AI138" i="44"/>
  <c r="AH138" i="44"/>
  <c r="AK137" i="44"/>
  <c r="AJ137" i="44"/>
  <c r="AI137" i="44"/>
  <c r="AH137" i="44"/>
  <c r="AK136" i="44"/>
  <c r="AJ136" i="44"/>
  <c r="AI136" i="44"/>
  <c r="AH136" i="44"/>
  <c r="AK135" i="44"/>
  <c r="AJ135" i="44"/>
  <c r="AI135" i="44"/>
  <c r="AH135" i="44"/>
  <c r="AK134" i="44"/>
  <c r="AJ134" i="44"/>
  <c r="AI134" i="44"/>
  <c r="AH134" i="44"/>
  <c r="AK133" i="44"/>
  <c r="AJ133" i="44"/>
  <c r="AI133" i="44"/>
  <c r="AH133" i="44"/>
  <c r="AK132" i="44"/>
  <c r="AJ132" i="44"/>
  <c r="AI132" i="44"/>
  <c r="AH132" i="44"/>
  <c r="AK131" i="44"/>
  <c r="AJ131" i="44"/>
  <c r="AI131" i="44"/>
  <c r="AH131" i="44"/>
  <c r="AK130" i="44"/>
  <c r="AJ130" i="44"/>
  <c r="AI130" i="44"/>
  <c r="AH130" i="44"/>
  <c r="AK129" i="44"/>
  <c r="AJ129" i="44"/>
  <c r="AI129" i="44"/>
  <c r="AH129" i="44"/>
  <c r="AK128" i="44"/>
  <c r="AJ128" i="44"/>
  <c r="AI128" i="44"/>
  <c r="AH128" i="44"/>
  <c r="AK127" i="44"/>
  <c r="AJ127" i="44"/>
  <c r="AI127" i="44"/>
  <c r="AH127" i="44"/>
  <c r="AK126" i="44"/>
  <c r="AJ126" i="44"/>
  <c r="AI126" i="44"/>
  <c r="AH126" i="44"/>
  <c r="AK125" i="44"/>
  <c r="AJ125" i="44"/>
  <c r="AI125" i="44"/>
  <c r="AH125" i="44"/>
  <c r="AK124" i="44"/>
  <c r="AJ124" i="44"/>
  <c r="AI124" i="44"/>
  <c r="AH124" i="44"/>
  <c r="AK123" i="44"/>
  <c r="AJ123" i="44"/>
  <c r="AI123" i="44"/>
  <c r="AH123" i="44"/>
  <c r="AK122" i="44"/>
  <c r="AJ122" i="44"/>
  <c r="AI122" i="44"/>
  <c r="AH122" i="44"/>
  <c r="AK121" i="44"/>
  <c r="AJ121" i="44"/>
  <c r="AI121" i="44"/>
  <c r="AH121" i="44"/>
  <c r="AK120" i="44"/>
  <c r="AJ120" i="44"/>
  <c r="AI120" i="44"/>
  <c r="AH120" i="44"/>
  <c r="AK119" i="44"/>
  <c r="AJ119" i="44"/>
  <c r="AI119" i="44"/>
  <c r="AH119" i="44"/>
  <c r="AK118" i="44"/>
  <c r="AJ118" i="44"/>
  <c r="AI118" i="44"/>
  <c r="AH118" i="44"/>
  <c r="AK117" i="44"/>
  <c r="AJ117" i="44"/>
  <c r="AI117" i="44"/>
  <c r="AH117" i="44"/>
  <c r="AK116" i="44"/>
  <c r="AJ116" i="44"/>
  <c r="AI116" i="44"/>
  <c r="AH116" i="44"/>
  <c r="AK115" i="44"/>
  <c r="AJ115" i="44"/>
  <c r="AI115" i="44"/>
  <c r="AH115" i="44"/>
  <c r="AK114" i="44"/>
  <c r="AJ114" i="44"/>
  <c r="AI114" i="44"/>
  <c r="AH114" i="44"/>
  <c r="AK113" i="44"/>
  <c r="AJ113" i="44"/>
  <c r="AI113" i="44"/>
  <c r="AH113" i="44"/>
  <c r="AK112" i="44"/>
  <c r="AJ112" i="44"/>
  <c r="AI112" i="44"/>
  <c r="AH112" i="44"/>
  <c r="AK111" i="44"/>
  <c r="AJ111" i="44"/>
  <c r="AI111" i="44"/>
  <c r="AH111" i="44"/>
  <c r="AK110" i="44"/>
  <c r="AJ110" i="44"/>
  <c r="AI110" i="44"/>
  <c r="AH110" i="44"/>
  <c r="AK109" i="44"/>
  <c r="AJ109" i="44"/>
  <c r="AI109" i="44"/>
  <c r="AH109" i="44"/>
  <c r="AK108" i="44"/>
  <c r="AJ108" i="44"/>
  <c r="AI108" i="44"/>
  <c r="AH108" i="44"/>
  <c r="AK107" i="44"/>
  <c r="AJ107" i="44"/>
  <c r="AI107" i="44"/>
  <c r="AH107" i="44"/>
  <c r="AK106" i="44"/>
  <c r="AJ106" i="44"/>
  <c r="AI106" i="44"/>
  <c r="AH106" i="44"/>
  <c r="AK105" i="44"/>
  <c r="AJ105" i="44"/>
  <c r="AI105" i="44"/>
  <c r="AH105" i="44"/>
  <c r="AK104" i="44"/>
  <c r="AJ104" i="44"/>
  <c r="AI104" i="44"/>
  <c r="AH104" i="44"/>
  <c r="AK103" i="44"/>
  <c r="AJ103" i="44"/>
  <c r="AI103" i="44"/>
  <c r="AH103" i="44"/>
  <c r="AK102" i="44"/>
  <c r="AJ102" i="44"/>
  <c r="AI102" i="44"/>
  <c r="AH102" i="44"/>
  <c r="AK101" i="44"/>
  <c r="AJ101" i="44"/>
  <c r="AI101" i="44"/>
  <c r="AH101" i="44"/>
  <c r="AK100" i="44"/>
  <c r="AJ100" i="44"/>
  <c r="AI100" i="44"/>
  <c r="AH100" i="44"/>
  <c r="AK99" i="44"/>
  <c r="AJ99" i="44"/>
  <c r="AI99" i="44"/>
  <c r="AH99" i="44"/>
  <c r="AK98" i="44"/>
  <c r="AJ98" i="44"/>
  <c r="AI98" i="44"/>
  <c r="AH98" i="44"/>
  <c r="AK97" i="44"/>
  <c r="AJ97" i="44"/>
  <c r="AI97" i="44"/>
  <c r="AH97" i="44"/>
  <c r="AK96" i="44"/>
  <c r="AJ96" i="44"/>
  <c r="AI96" i="44"/>
  <c r="AH96" i="44"/>
  <c r="AK95" i="44"/>
  <c r="AJ95" i="44"/>
  <c r="AI95" i="44"/>
  <c r="AH95" i="44"/>
  <c r="AK94" i="44"/>
  <c r="AJ94" i="44"/>
  <c r="AI94" i="44"/>
  <c r="AH94" i="44"/>
  <c r="AK93" i="44"/>
  <c r="AJ93" i="44"/>
  <c r="AI93" i="44"/>
  <c r="AH93" i="44"/>
  <c r="AK92" i="44"/>
  <c r="AJ92" i="44"/>
  <c r="AI92" i="44"/>
  <c r="AH92" i="44"/>
  <c r="AK91" i="44"/>
  <c r="AJ91" i="44"/>
  <c r="AI91" i="44"/>
  <c r="AH91" i="44"/>
  <c r="AK90" i="44"/>
  <c r="AJ90" i="44"/>
  <c r="AI90" i="44"/>
  <c r="AH90" i="44"/>
  <c r="AK89" i="44"/>
  <c r="AJ89" i="44"/>
  <c r="AI89" i="44"/>
  <c r="AH89" i="44"/>
  <c r="AK88" i="44"/>
  <c r="AJ88" i="44"/>
  <c r="AI88" i="44"/>
  <c r="AH88" i="44"/>
  <c r="AK87" i="44"/>
  <c r="AJ87" i="44"/>
  <c r="AI87" i="44"/>
  <c r="AH87" i="44"/>
  <c r="AK86" i="44"/>
  <c r="AJ86" i="44"/>
  <c r="AI86" i="44"/>
  <c r="AH86" i="44"/>
  <c r="AK85" i="44"/>
  <c r="AJ85" i="44"/>
  <c r="AI85" i="44"/>
  <c r="AH85" i="44"/>
  <c r="AK84" i="44"/>
  <c r="AJ84" i="44"/>
  <c r="AI84" i="44"/>
  <c r="AH84" i="44"/>
  <c r="AK83" i="44"/>
  <c r="AJ83" i="44"/>
  <c r="AI83" i="44"/>
  <c r="AH83" i="44"/>
  <c r="AK82" i="44"/>
  <c r="AJ82" i="44"/>
  <c r="AI82" i="44"/>
  <c r="AH82" i="44"/>
  <c r="AK81" i="44"/>
  <c r="AJ81" i="44"/>
  <c r="AI81" i="44"/>
  <c r="AH81" i="44"/>
  <c r="AK80" i="44"/>
  <c r="AJ80" i="44"/>
  <c r="AI80" i="44"/>
  <c r="AH80" i="44"/>
  <c r="AK79" i="44"/>
  <c r="AJ79" i="44"/>
  <c r="AI79" i="44"/>
  <c r="AH79" i="44"/>
  <c r="AK78" i="44"/>
  <c r="AJ78" i="44"/>
  <c r="AI78" i="44"/>
  <c r="AH78" i="44"/>
  <c r="AK77" i="44"/>
  <c r="AJ77" i="44"/>
  <c r="AI77" i="44"/>
  <c r="AH77" i="44"/>
  <c r="AK76" i="44"/>
  <c r="AJ76" i="44"/>
  <c r="AI76" i="44"/>
  <c r="AH76" i="44"/>
  <c r="AK75" i="44"/>
  <c r="AJ75" i="44"/>
  <c r="AI75" i="44"/>
  <c r="AH75" i="44"/>
  <c r="AK74" i="44"/>
  <c r="AJ74" i="44"/>
  <c r="AI74" i="44"/>
  <c r="AH74" i="44"/>
  <c r="AK73" i="44"/>
  <c r="AJ73" i="44"/>
  <c r="AI73" i="44"/>
  <c r="AH73" i="44"/>
  <c r="AK72" i="44"/>
  <c r="AJ72" i="44"/>
  <c r="AI72" i="44"/>
  <c r="AH72" i="44"/>
  <c r="AK71" i="44"/>
  <c r="AJ71" i="44"/>
  <c r="AI71" i="44"/>
  <c r="AH71" i="44"/>
  <c r="AK70" i="44"/>
  <c r="AJ70" i="44"/>
  <c r="AI70" i="44"/>
  <c r="AH70" i="44"/>
  <c r="AK69" i="44"/>
  <c r="AJ69" i="44"/>
  <c r="AI69" i="44"/>
  <c r="AH69" i="44"/>
  <c r="AK68" i="44"/>
  <c r="AJ68" i="44"/>
  <c r="AI68" i="44"/>
  <c r="AH68" i="44"/>
  <c r="AK67" i="44"/>
  <c r="AJ67" i="44"/>
  <c r="AI67" i="44"/>
  <c r="AH67" i="44"/>
  <c r="AK66" i="44"/>
  <c r="AJ66" i="44"/>
  <c r="AI66" i="44"/>
  <c r="AH66" i="44"/>
  <c r="AK65" i="44"/>
  <c r="AJ65" i="44"/>
  <c r="AI65" i="44"/>
  <c r="AH65" i="44"/>
  <c r="AK64" i="44"/>
  <c r="AJ64" i="44"/>
  <c r="AI64" i="44"/>
  <c r="AH64" i="44"/>
  <c r="AK63" i="44"/>
  <c r="AJ63" i="44"/>
  <c r="AI63" i="44"/>
  <c r="AH63" i="44"/>
  <c r="AK62" i="44"/>
  <c r="AJ62" i="44"/>
  <c r="AI62" i="44"/>
  <c r="AH62" i="44"/>
  <c r="AK61" i="44"/>
  <c r="AJ61" i="44"/>
  <c r="AI61" i="44"/>
  <c r="AH61" i="44"/>
  <c r="AK60" i="44"/>
  <c r="AJ60" i="44"/>
  <c r="AI60" i="44"/>
  <c r="AH60" i="44"/>
  <c r="AK59" i="44"/>
  <c r="AJ59" i="44"/>
  <c r="AI59" i="44"/>
  <c r="AH59" i="44"/>
  <c r="AK58" i="44"/>
  <c r="AJ58" i="44"/>
  <c r="AI58" i="44"/>
  <c r="AH58" i="44"/>
  <c r="AK57" i="44"/>
  <c r="AJ57" i="44"/>
  <c r="AI57" i="44"/>
  <c r="AH57" i="44"/>
  <c r="AK56" i="44"/>
  <c r="AJ56" i="44"/>
  <c r="AI56" i="44"/>
  <c r="AH56" i="44"/>
  <c r="AK55" i="44"/>
  <c r="AJ55" i="44"/>
  <c r="AI55" i="44"/>
  <c r="AH55" i="44"/>
  <c r="AK54" i="44"/>
  <c r="AJ54" i="44"/>
  <c r="AI54" i="44"/>
  <c r="AH54" i="44"/>
  <c r="AK53" i="44"/>
  <c r="AJ53" i="44"/>
  <c r="AI53" i="44"/>
  <c r="AH53" i="44"/>
  <c r="AK52" i="44"/>
  <c r="AJ52" i="44"/>
  <c r="AI52" i="44"/>
  <c r="AH52" i="44"/>
  <c r="AK51" i="44"/>
  <c r="AJ51" i="44"/>
  <c r="AI51" i="44"/>
  <c r="AH51" i="44"/>
  <c r="AK50" i="44"/>
  <c r="AJ50" i="44"/>
  <c r="AI50" i="44"/>
  <c r="AH50" i="44"/>
  <c r="AK49" i="44"/>
  <c r="AJ49" i="44"/>
  <c r="AI49" i="44"/>
  <c r="AH49" i="44"/>
  <c r="AK48" i="44"/>
  <c r="AJ48" i="44"/>
  <c r="AI48" i="44"/>
  <c r="AH48" i="44"/>
  <c r="AK47" i="44"/>
  <c r="AJ47" i="44"/>
  <c r="AI47" i="44"/>
  <c r="AH47" i="44"/>
  <c r="AK46" i="44"/>
  <c r="AJ46" i="44"/>
  <c r="AI46" i="44"/>
  <c r="AH46" i="44"/>
  <c r="AK45" i="44"/>
  <c r="AJ45" i="44"/>
  <c r="AI45" i="44"/>
  <c r="AH45" i="44"/>
  <c r="AK44" i="44"/>
  <c r="AJ44" i="44"/>
  <c r="AI44" i="44"/>
  <c r="AH44" i="44"/>
  <c r="AK43" i="44"/>
  <c r="AJ43" i="44"/>
  <c r="AI43" i="44"/>
  <c r="AH43" i="44"/>
  <c r="AK42" i="44"/>
  <c r="AJ42" i="44"/>
  <c r="AI42" i="44"/>
  <c r="AH42" i="44"/>
  <c r="AK41" i="44"/>
  <c r="AJ41" i="44"/>
  <c r="AI41" i="44"/>
  <c r="AH41" i="44"/>
  <c r="AK40" i="44"/>
  <c r="AJ40" i="44"/>
  <c r="AI40" i="44"/>
  <c r="AH40" i="44"/>
  <c r="AK39" i="44"/>
  <c r="AJ39" i="44"/>
  <c r="AI39" i="44"/>
  <c r="AH39" i="44"/>
  <c r="AK38" i="44"/>
  <c r="AJ38" i="44"/>
  <c r="AI38" i="44"/>
  <c r="AH38" i="44"/>
  <c r="AK37" i="44"/>
  <c r="AJ37" i="44"/>
  <c r="AI37" i="44"/>
  <c r="AH37" i="44"/>
  <c r="AK36" i="44"/>
  <c r="AJ36" i="44"/>
  <c r="AI36" i="44"/>
  <c r="AH36" i="44"/>
  <c r="AK35" i="44"/>
  <c r="AJ35" i="44"/>
  <c r="AI35" i="44"/>
  <c r="AH35" i="44"/>
  <c r="AK34" i="44"/>
  <c r="AJ34" i="44"/>
  <c r="AI34" i="44"/>
  <c r="AH34" i="44"/>
  <c r="AK33" i="44"/>
  <c r="AJ33" i="44"/>
  <c r="AI33" i="44"/>
  <c r="AH33" i="44"/>
  <c r="AK32" i="44"/>
  <c r="AJ32" i="44"/>
  <c r="AI32" i="44"/>
  <c r="AH32" i="44"/>
  <c r="AK31" i="44"/>
  <c r="AJ31" i="44"/>
  <c r="AI31" i="44"/>
  <c r="AH31" i="44"/>
  <c r="AK30" i="44"/>
  <c r="AJ30" i="44"/>
  <c r="AI30" i="44"/>
  <c r="AH30" i="44"/>
  <c r="AK29" i="44"/>
  <c r="AJ29" i="44"/>
  <c r="AI29" i="44"/>
  <c r="AH29" i="44"/>
  <c r="AK28" i="44"/>
  <c r="AJ28" i="44"/>
  <c r="AI28" i="44"/>
  <c r="AH28" i="44"/>
  <c r="AK27" i="44"/>
  <c r="AJ27" i="44"/>
  <c r="AI27" i="44"/>
  <c r="AH27" i="44"/>
  <c r="AK26" i="44"/>
  <c r="AJ26" i="44"/>
  <c r="AI26" i="44"/>
  <c r="AH26" i="44"/>
  <c r="AK25" i="44"/>
  <c r="AJ25" i="44"/>
  <c r="AI25" i="44"/>
  <c r="AH25" i="44"/>
  <c r="AK24" i="44"/>
  <c r="AJ24" i="44"/>
  <c r="AI24" i="44"/>
  <c r="AH24" i="44"/>
  <c r="AK23" i="44"/>
  <c r="AJ23" i="44"/>
  <c r="AI23" i="44"/>
  <c r="AH23" i="44"/>
  <c r="AK22" i="44"/>
  <c r="AJ22" i="44"/>
  <c r="AI22" i="44"/>
  <c r="AH22" i="44"/>
  <c r="AK21" i="44"/>
  <c r="AJ21" i="44"/>
  <c r="AI21" i="44"/>
  <c r="AH21" i="44"/>
  <c r="AK20" i="44"/>
  <c r="AJ20" i="44"/>
  <c r="AI20" i="44"/>
  <c r="AH20" i="44"/>
  <c r="AK19" i="44"/>
  <c r="AJ19" i="44"/>
  <c r="AI19" i="44"/>
  <c r="AH19" i="44"/>
  <c r="AK18" i="44"/>
  <c r="AJ18" i="44"/>
  <c r="AI18" i="44"/>
  <c r="AH18" i="44"/>
  <c r="AK17" i="44"/>
  <c r="AJ17" i="44"/>
  <c r="AI17" i="44"/>
  <c r="AH17" i="44"/>
  <c r="AK16" i="44"/>
  <c r="AJ16" i="44"/>
  <c r="AI16" i="44"/>
  <c r="AH16" i="44"/>
  <c r="AK15" i="44"/>
  <c r="AJ15" i="44"/>
  <c r="AI15" i="44"/>
  <c r="AH15" i="44"/>
  <c r="AK14" i="44"/>
  <c r="AJ14" i="44"/>
  <c r="AI14" i="44"/>
  <c r="AH14" i="44"/>
  <c r="AK13" i="44"/>
  <c r="AJ13" i="44"/>
  <c r="AI13" i="44"/>
  <c r="AH13" i="44"/>
  <c r="AK12" i="44"/>
  <c r="AJ12" i="44"/>
  <c r="AI12" i="44"/>
  <c r="AH12" i="44"/>
  <c r="AK11" i="44"/>
  <c r="AJ11" i="44"/>
  <c r="AI11" i="44"/>
  <c r="AH11" i="44"/>
  <c r="AK10" i="44"/>
  <c r="AJ10" i="44"/>
  <c r="AI10" i="44"/>
  <c r="AH10" i="44"/>
  <c r="AK9" i="44"/>
  <c r="AJ9" i="44"/>
  <c r="AI9" i="44"/>
  <c r="AH9" i="44"/>
  <c r="AK8" i="44"/>
  <c r="AJ8" i="44"/>
  <c r="AI8" i="44"/>
  <c r="AH8" i="44"/>
  <c r="AK7" i="44"/>
  <c r="AJ7" i="44"/>
  <c r="AI7" i="44"/>
  <c r="AH7" i="44"/>
  <c r="AK6" i="44"/>
  <c r="AJ6" i="44"/>
  <c r="AI6" i="44"/>
  <c r="AH6" i="44"/>
  <c r="AK5" i="44"/>
  <c r="AJ5" i="44"/>
  <c r="AI5" i="44"/>
  <c r="AH5" i="44"/>
  <c r="AK4" i="44"/>
  <c r="AJ4" i="44"/>
  <c r="AI4" i="44"/>
  <c r="AH4" i="44"/>
  <c r="AK3" i="44"/>
  <c r="AJ3" i="44"/>
  <c r="AI3" i="44"/>
  <c r="AH3" i="44"/>
  <c r="Q377" i="44"/>
  <c r="Q333" i="44"/>
  <c r="Q270" i="44"/>
  <c r="Q269" i="44"/>
  <c r="Q268" i="44"/>
  <c r="Q247" i="44"/>
  <c r="Q246" i="44"/>
  <c r="Q245" i="44"/>
  <c r="Q244" i="44"/>
  <c r="Q243" i="44"/>
  <c r="Q242" i="44"/>
  <c r="Q241" i="44"/>
  <c r="Q240" i="44"/>
  <c r="Q239" i="44"/>
  <c r="Q238" i="44"/>
  <c r="Q235" i="44"/>
  <c r="Q234" i="44"/>
  <c r="Q232" i="44"/>
  <c r="Q231" i="44"/>
  <c r="Q230" i="44"/>
  <c r="Q229" i="44"/>
  <c r="Q228" i="44"/>
  <c r="Q226" i="44"/>
  <c r="Q189" i="44"/>
  <c r="R180" i="44"/>
  <c r="U139" i="44"/>
  <c r="T139" i="44"/>
  <c r="S139" i="44"/>
  <c r="R139" i="44"/>
  <c r="T77" i="44"/>
  <c r="Q73" i="44"/>
  <c r="Q72" i="44"/>
  <c r="Q71" i="44"/>
  <c r="Q70" i="44"/>
  <c r="Q69" i="44"/>
  <c r="Q68" i="44"/>
  <c r="Q67" i="44"/>
  <c r="Q66" i="44"/>
  <c r="Q65" i="44"/>
  <c r="Q64" i="44"/>
  <c r="Q63" i="44"/>
  <c r="Q62" i="44"/>
  <c r="Q61" i="44"/>
  <c r="Q60" i="44"/>
  <c r="Q59" i="44"/>
  <c r="Q58" i="44"/>
  <c r="Q57" i="44"/>
  <c r="Q56" i="44"/>
  <c r="Q55" i="44"/>
  <c r="Q54" i="44"/>
  <c r="Q53" i="44"/>
  <c r="Q52" i="44"/>
  <c r="AN223" i="52" l="1"/>
  <c r="AM223" i="52"/>
  <c r="AL223" i="52"/>
  <c r="AK223" i="52"/>
  <c r="AJ223" i="52"/>
  <c r="AN222" i="52"/>
  <c r="AM222" i="52"/>
  <c r="AL222" i="52"/>
  <c r="AK222" i="52"/>
  <c r="AJ222" i="52"/>
  <c r="AN221" i="52"/>
  <c r="AM221" i="52"/>
  <c r="AL221" i="52"/>
  <c r="AK221" i="52"/>
  <c r="AJ221" i="52"/>
  <c r="AN220" i="52"/>
  <c r="AM220" i="52"/>
  <c r="AL220" i="52"/>
  <c r="AK220" i="52"/>
  <c r="AJ220" i="52"/>
  <c r="AN219" i="52"/>
  <c r="AM219" i="52"/>
  <c r="AL219" i="52"/>
  <c r="AK219" i="52"/>
  <c r="AJ219" i="52"/>
  <c r="AN218" i="52"/>
  <c r="AM218" i="52"/>
  <c r="AL218" i="52"/>
  <c r="AK218" i="52"/>
  <c r="AJ218" i="52"/>
  <c r="AN217" i="52"/>
  <c r="AM217" i="52"/>
  <c r="AL217" i="52"/>
  <c r="AK217" i="52"/>
  <c r="AJ217" i="52"/>
  <c r="AN216" i="52"/>
  <c r="AM216" i="52"/>
  <c r="AL216" i="52"/>
  <c r="AK216" i="52"/>
  <c r="AJ216" i="52"/>
  <c r="AN215" i="52"/>
  <c r="AM215" i="52"/>
  <c r="AL215" i="52"/>
  <c r="AK215" i="52"/>
  <c r="AJ215" i="52"/>
  <c r="AN214" i="52"/>
  <c r="AM214" i="52"/>
  <c r="AL214" i="52"/>
  <c r="AK214" i="52"/>
  <c r="AJ214" i="52"/>
  <c r="AN213" i="52"/>
  <c r="AM213" i="52"/>
  <c r="AL213" i="52"/>
  <c r="AK213" i="52"/>
  <c r="AJ213" i="52"/>
  <c r="AN212" i="52"/>
  <c r="AM212" i="52"/>
  <c r="AL212" i="52"/>
  <c r="AK212" i="52"/>
  <c r="AJ212" i="52"/>
  <c r="AN211" i="52"/>
  <c r="AM211" i="52"/>
  <c r="AL211" i="52"/>
  <c r="AK211" i="52"/>
  <c r="AJ211" i="52"/>
  <c r="AN210" i="52"/>
  <c r="AM210" i="52"/>
  <c r="AL210" i="52"/>
  <c r="AK210" i="52"/>
  <c r="AJ210" i="52"/>
  <c r="AN209" i="52"/>
  <c r="AM209" i="52"/>
  <c r="AL209" i="52"/>
  <c r="AK209" i="52"/>
  <c r="AJ209" i="52"/>
  <c r="AN208" i="52"/>
  <c r="AM208" i="52"/>
  <c r="AL208" i="52"/>
  <c r="AK208" i="52"/>
  <c r="AJ208" i="52"/>
  <c r="AN207" i="52"/>
  <c r="AM207" i="52"/>
  <c r="AL207" i="52"/>
  <c r="AK207" i="52"/>
  <c r="AJ207" i="52"/>
  <c r="AN206" i="52"/>
  <c r="AM206" i="52"/>
  <c r="AL206" i="52"/>
  <c r="AK206" i="52"/>
  <c r="AJ206" i="52"/>
  <c r="AN205" i="52"/>
  <c r="AM205" i="52"/>
  <c r="AL205" i="52"/>
  <c r="AK205" i="52"/>
  <c r="AJ205" i="52"/>
  <c r="AN204" i="52"/>
  <c r="AM204" i="52"/>
  <c r="AL204" i="52"/>
  <c r="AK204" i="52"/>
  <c r="AJ204" i="52"/>
  <c r="AN203" i="52"/>
  <c r="AM203" i="52"/>
  <c r="AL203" i="52"/>
  <c r="AK203" i="52"/>
  <c r="AJ203" i="52"/>
  <c r="AN202" i="52"/>
  <c r="AM202" i="52"/>
  <c r="AL202" i="52"/>
  <c r="AK202" i="52"/>
  <c r="AJ202" i="52"/>
  <c r="AN201" i="52"/>
  <c r="AM201" i="52"/>
  <c r="AL201" i="52"/>
  <c r="AK201" i="52"/>
  <c r="AJ201" i="52"/>
  <c r="AN200" i="52"/>
  <c r="AM200" i="52"/>
  <c r="AL200" i="52"/>
  <c r="AK200" i="52"/>
  <c r="AJ200" i="52"/>
  <c r="AN199" i="52"/>
  <c r="AM199" i="52"/>
  <c r="AL199" i="52"/>
  <c r="AK199" i="52"/>
  <c r="AJ199" i="52"/>
  <c r="AN198" i="52"/>
  <c r="AM198" i="52"/>
  <c r="AL198" i="52"/>
  <c r="AK198" i="52"/>
  <c r="AJ198" i="52"/>
  <c r="AN197" i="52"/>
  <c r="AM197" i="52"/>
  <c r="AL197" i="52"/>
  <c r="AK197" i="52"/>
  <c r="AJ197" i="52"/>
  <c r="AN196" i="52"/>
  <c r="AM196" i="52"/>
  <c r="AL196" i="52"/>
  <c r="AK196" i="52"/>
  <c r="AJ196" i="52"/>
  <c r="AN195" i="52"/>
  <c r="AM195" i="52"/>
  <c r="AL195" i="52"/>
  <c r="AK195" i="52"/>
  <c r="AJ195" i="52"/>
  <c r="AN194" i="52"/>
  <c r="AM194" i="52"/>
  <c r="AL194" i="52"/>
  <c r="AK194" i="52"/>
  <c r="AJ194" i="52"/>
  <c r="AN193" i="52"/>
  <c r="AM193" i="52"/>
  <c r="AL193" i="52"/>
  <c r="AK193" i="52"/>
  <c r="AJ193" i="52"/>
  <c r="AN192" i="52"/>
  <c r="AM192" i="52"/>
  <c r="AL192" i="52"/>
  <c r="AK192" i="52"/>
  <c r="AJ192" i="52"/>
  <c r="AN191" i="52"/>
  <c r="AM191" i="52"/>
  <c r="AL191" i="52"/>
  <c r="AK191" i="52"/>
  <c r="AJ191" i="52"/>
  <c r="AN190" i="52"/>
  <c r="AM190" i="52"/>
  <c r="AL190" i="52"/>
  <c r="AK190" i="52"/>
  <c r="AJ190" i="52"/>
  <c r="AN189" i="52"/>
  <c r="AM189" i="52"/>
  <c r="AL189" i="52"/>
  <c r="AK189" i="52"/>
  <c r="AJ189" i="52"/>
  <c r="AN188" i="52"/>
  <c r="AM188" i="52"/>
  <c r="AL188" i="52"/>
  <c r="AK188" i="52"/>
  <c r="AJ188" i="52"/>
  <c r="AN187" i="52"/>
  <c r="AM187" i="52"/>
  <c r="AL187" i="52"/>
  <c r="AK187" i="52"/>
  <c r="AJ187" i="52"/>
  <c r="AN186" i="52"/>
  <c r="AM186" i="52"/>
  <c r="AL186" i="52"/>
  <c r="AK186" i="52"/>
  <c r="AJ186" i="52"/>
  <c r="AN185" i="52"/>
  <c r="AM185" i="52"/>
  <c r="AL185" i="52"/>
  <c r="AK185" i="52"/>
  <c r="AJ185" i="52"/>
  <c r="AN184" i="52"/>
  <c r="AM184" i="52"/>
  <c r="AL184" i="52"/>
  <c r="AK184" i="52"/>
  <c r="AJ184" i="52"/>
  <c r="AN183" i="52"/>
  <c r="AM183" i="52"/>
  <c r="AL183" i="52"/>
  <c r="AK183" i="52"/>
  <c r="AJ183" i="52"/>
  <c r="AN182" i="52"/>
  <c r="AM182" i="52"/>
  <c r="AL182" i="52"/>
  <c r="AK182" i="52"/>
  <c r="AJ182" i="52"/>
  <c r="AN181" i="52"/>
  <c r="AM181" i="52"/>
  <c r="AL181" i="52"/>
  <c r="AK181" i="52"/>
  <c r="AJ181" i="52"/>
  <c r="AN180" i="52"/>
  <c r="AM180" i="52"/>
  <c r="AL180" i="52"/>
  <c r="AK180" i="52"/>
  <c r="AJ180" i="52"/>
  <c r="AN179" i="52"/>
  <c r="AM179" i="52"/>
  <c r="AL179" i="52"/>
  <c r="AK179" i="52"/>
  <c r="AJ179" i="52"/>
  <c r="AN178" i="52"/>
  <c r="AM178" i="52"/>
  <c r="AL178" i="52"/>
  <c r="AK178" i="52"/>
  <c r="AJ178" i="52"/>
  <c r="AN177" i="52"/>
  <c r="AM177" i="52"/>
  <c r="AL177" i="52"/>
  <c r="AK177" i="52"/>
  <c r="AJ177" i="52"/>
  <c r="AN176" i="52"/>
  <c r="AM176" i="52"/>
  <c r="AL176" i="52"/>
  <c r="AK176" i="52"/>
  <c r="AJ176" i="52"/>
  <c r="AN175" i="52"/>
  <c r="AM175" i="52"/>
  <c r="AL175" i="52"/>
  <c r="AK175" i="52"/>
  <c r="AJ175" i="52"/>
  <c r="AN174" i="52"/>
  <c r="AM174" i="52"/>
  <c r="AL174" i="52"/>
  <c r="AK174" i="52"/>
  <c r="AJ174" i="52"/>
  <c r="AN173" i="52"/>
  <c r="AM173" i="52"/>
  <c r="AL173" i="52"/>
  <c r="AK173" i="52"/>
  <c r="AJ173" i="52"/>
  <c r="AN172" i="52"/>
  <c r="AM172" i="52"/>
  <c r="AL172" i="52"/>
  <c r="AK172" i="52"/>
  <c r="AJ172" i="52"/>
  <c r="AN171" i="52"/>
  <c r="AM171" i="52"/>
  <c r="AL171" i="52"/>
  <c r="AK171" i="52"/>
  <c r="AJ171" i="52"/>
  <c r="AN170" i="52"/>
  <c r="AM170" i="52"/>
  <c r="AL170" i="52"/>
  <c r="AK170" i="52"/>
  <c r="AJ170" i="52"/>
  <c r="AN169" i="52"/>
  <c r="AM169" i="52"/>
  <c r="AL169" i="52"/>
  <c r="AK169" i="52"/>
  <c r="AJ169" i="52"/>
  <c r="AN168" i="52"/>
  <c r="AM168" i="52"/>
  <c r="AL168" i="52"/>
  <c r="AK168" i="52"/>
  <c r="AJ168" i="52"/>
  <c r="AN167" i="52"/>
  <c r="AM167" i="52"/>
  <c r="AL167" i="52"/>
  <c r="AK167" i="52"/>
  <c r="AJ167" i="52"/>
  <c r="AN166" i="52"/>
  <c r="AM166" i="52"/>
  <c r="AL166" i="52"/>
  <c r="AK166" i="52"/>
  <c r="AJ166" i="52"/>
  <c r="AN165" i="52"/>
  <c r="AM165" i="52"/>
  <c r="AL165" i="52"/>
  <c r="AK165" i="52"/>
  <c r="AJ165" i="52"/>
  <c r="AN164" i="52"/>
  <c r="AM164" i="52"/>
  <c r="AL164" i="52"/>
  <c r="AK164" i="52"/>
  <c r="AJ164" i="52"/>
  <c r="AN163" i="52"/>
  <c r="AM163" i="52"/>
  <c r="AL163" i="52"/>
  <c r="AK163" i="52"/>
  <c r="AJ163" i="52"/>
  <c r="AN162" i="52"/>
  <c r="AM162" i="52"/>
  <c r="AL162" i="52"/>
  <c r="AK162" i="52"/>
  <c r="AJ162" i="52"/>
  <c r="AN161" i="52"/>
  <c r="AM161" i="52"/>
  <c r="AL161" i="52"/>
  <c r="AK161" i="52"/>
  <c r="AJ161" i="52"/>
  <c r="AN160" i="52"/>
  <c r="AM160" i="52"/>
  <c r="AL160" i="52"/>
  <c r="AK160" i="52"/>
  <c r="AJ160" i="52"/>
  <c r="AN159" i="52"/>
  <c r="AM159" i="52"/>
  <c r="AL159" i="52"/>
  <c r="AK159" i="52"/>
  <c r="AJ159" i="52"/>
  <c r="AN158" i="52"/>
  <c r="AM158" i="52"/>
  <c r="AL158" i="52"/>
  <c r="AK158" i="52"/>
  <c r="AJ158" i="52"/>
  <c r="AN157" i="52"/>
  <c r="AM157" i="52"/>
  <c r="AL157" i="52"/>
  <c r="AK157" i="52"/>
  <c r="AJ157" i="52"/>
  <c r="AN156" i="52"/>
  <c r="AM156" i="52"/>
  <c r="AL156" i="52"/>
  <c r="AK156" i="52"/>
  <c r="AJ156" i="52"/>
  <c r="AN155" i="52"/>
  <c r="AM155" i="52"/>
  <c r="AL155" i="52"/>
  <c r="AK155" i="52"/>
  <c r="AJ155" i="52"/>
  <c r="AN154" i="52"/>
  <c r="AM154" i="52"/>
  <c r="AL154" i="52"/>
  <c r="AK154" i="52"/>
  <c r="AJ154" i="52"/>
  <c r="AN153" i="52"/>
  <c r="AM153" i="52"/>
  <c r="AL153" i="52"/>
  <c r="AK153" i="52"/>
  <c r="AJ153" i="52"/>
  <c r="AN152" i="52"/>
  <c r="AM152" i="52"/>
  <c r="AL152" i="52"/>
  <c r="AK152" i="52"/>
  <c r="AJ152" i="52"/>
  <c r="AN151" i="52"/>
  <c r="AM151" i="52"/>
  <c r="AL151" i="52"/>
  <c r="AK151" i="52"/>
  <c r="AJ151" i="52"/>
  <c r="AN150" i="52"/>
  <c r="AM150" i="52"/>
  <c r="AL150" i="52"/>
  <c r="AK150" i="52"/>
  <c r="AJ150" i="52"/>
  <c r="AN149" i="52"/>
  <c r="AM149" i="52"/>
  <c r="AL149" i="52"/>
  <c r="AK149" i="52"/>
  <c r="AJ149" i="52"/>
  <c r="AN148" i="52"/>
  <c r="AM148" i="52"/>
  <c r="AL148" i="52"/>
  <c r="AK148" i="52"/>
  <c r="AJ148" i="52"/>
  <c r="AN147" i="52"/>
  <c r="AM147" i="52"/>
  <c r="AL147" i="52"/>
  <c r="AK147" i="52"/>
  <c r="AJ147" i="52"/>
  <c r="AN146" i="52"/>
  <c r="AM146" i="52"/>
  <c r="AL146" i="52"/>
  <c r="AK146" i="52"/>
  <c r="AJ146" i="52"/>
  <c r="AN145" i="52"/>
  <c r="AM145" i="52"/>
  <c r="AL145" i="52"/>
  <c r="AK145" i="52"/>
  <c r="AJ145" i="52"/>
  <c r="AN144" i="52"/>
  <c r="AM144" i="52"/>
  <c r="AL144" i="52"/>
  <c r="AK144" i="52"/>
  <c r="AJ144" i="52"/>
  <c r="AN143" i="52"/>
  <c r="AM143" i="52"/>
  <c r="AL143" i="52"/>
  <c r="AK143" i="52"/>
  <c r="AJ143" i="52"/>
  <c r="AN142" i="52"/>
  <c r="AM142" i="52"/>
  <c r="AL142" i="52"/>
  <c r="AK142" i="52"/>
  <c r="AJ142" i="52"/>
  <c r="AN141" i="52"/>
  <c r="AM141" i="52"/>
  <c r="AL141" i="52"/>
  <c r="AK141" i="52"/>
  <c r="AJ141" i="52"/>
  <c r="AN140" i="52"/>
  <c r="AM140" i="52"/>
  <c r="AL140" i="52"/>
  <c r="AK140" i="52"/>
  <c r="AJ140" i="52"/>
  <c r="AN139" i="52"/>
  <c r="AM139" i="52"/>
  <c r="AL139" i="52"/>
  <c r="AK139" i="52"/>
  <c r="AJ139" i="52"/>
  <c r="AN138" i="52"/>
  <c r="AM138" i="52"/>
  <c r="AL138" i="52"/>
  <c r="AK138" i="52"/>
  <c r="AJ138" i="52"/>
  <c r="AN137" i="52"/>
  <c r="AM137" i="52"/>
  <c r="AL137" i="52"/>
  <c r="AK137" i="52"/>
  <c r="AJ137" i="52"/>
  <c r="AN136" i="52"/>
  <c r="AM136" i="52"/>
  <c r="AL136" i="52"/>
  <c r="AK136" i="52"/>
  <c r="AJ136" i="52"/>
  <c r="AN135" i="52"/>
  <c r="AM135" i="52"/>
  <c r="AL135" i="52"/>
  <c r="AK135" i="52"/>
  <c r="AJ135" i="52"/>
  <c r="AN134" i="52"/>
  <c r="AM134" i="52"/>
  <c r="AL134" i="52"/>
  <c r="AK134" i="52"/>
  <c r="AJ134" i="52"/>
  <c r="AN133" i="52"/>
  <c r="AM133" i="52"/>
  <c r="AL133" i="52"/>
  <c r="AK133" i="52"/>
  <c r="AJ133" i="52"/>
  <c r="AN132" i="52"/>
  <c r="AM132" i="52"/>
  <c r="AL132" i="52"/>
  <c r="AK132" i="52"/>
  <c r="AJ132" i="52"/>
  <c r="AN131" i="52"/>
  <c r="AM131" i="52"/>
  <c r="AL131" i="52"/>
  <c r="AK131" i="52"/>
  <c r="AJ131" i="52"/>
  <c r="AN130" i="52"/>
  <c r="AM130" i="52"/>
  <c r="AL130" i="52"/>
  <c r="AK130" i="52"/>
  <c r="AJ130" i="52"/>
  <c r="AN129" i="52"/>
  <c r="AM129" i="52"/>
  <c r="AL129" i="52"/>
  <c r="AK129" i="52"/>
  <c r="AJ129" i="52"/>
  <c r="AN128" i="52"/>
  <c r="AM128" i="52"/>
  <c r="AL128" i="52"/>
  <c r="AK128" i="52"/>
  <c r="AJ128" i="52"/>
  <c r="AN127" i="52"/>
  <c r="AM127" i="52"/>
  <c r="AL127" i="52"/>
  <c r="AK127" i="52"/>
  <c r="AJ127" i="52"/>
  <c r="AN126" i="52"/>
  <c r="AM126" i="52"/>
  <c r="AL126" i="52"/>
  <c r="AK126" i="52"/>
  <c r="AJ126" i="52"/>
  <c r="AN125" i="52"/>
  <c r="AM125" i="52"/>
  <c r="AL125" i="52"/>
  <c r="AK125" i="52"/>
  <c r="AJ125" i="52"/>
  <c r="AN124" i="52"/>
  <c r="AM124" i="52"/>
  <c r="AL124" i="52"/>
  <c r="AK124" i="52"/>
  <c r="AJ124" i="52"/>
  <c r="AN123" i="52"/>
  <c r="AM123" i="52"/>
  <c r="AL123" i="52"/>
  <c r="AK123" i="52"/>
  <c r="AJ123" i="52"/>
  <c r="AN122" i="52"/>
  <c r="AM122" i="52"/>
  <c r="AL122" i="52"/>
  <c r="AK122" i="52"/>
  <c r="AJ122" i="52"/>
  <c r="AN121" i="52"/>
  <c r="AM121" i="52"/>
  <c r="AL121" i="52"/>
  <c r="AK121" i="52"/>
  <c r="AJ121" i="52"/>
  <c r="AN120" i="52"/>
  <c r="AM120" i="52"/>
  <c r="AL120" i="52"/>
  <c r="AK120" i="52"/>
  <c r="AJ120" i="52"/>
  <c r="AN119" i="52"/>
  <c r="AM119" i="52"/>
  <c r="AL119" i="52"/>
  <c r="AK119" i="52"/>
  <c r="AJ119" i="52"/>
  <c r="AN118" i="52"/>
  <c r="AM118" i="52"/>
  <c r="AL118" i="52"/>
  <c r="AK118" i="52"/>
  <c r="AJ118" i="52"/>
  <c r="AN117" i="52"/>
  <c r="AM117" i="52"/>
  <c r="AL117" i="52"/>
  <c r="AK117" i="52"/>
  <c r="AJ117" i="52"/>
  <c r="AN116" i="52"/>
  <c r="AM116" i="52"/>
  <c r="AL116" i="52"/>
  <c r="AK116" i="52"/>
  <c r="AJ116" i="52"/>
  <c r="AN115" i="52"/>
  <c r="AM115" i="52"/>
  <c r="AL115" i="52"/>
  <c r="AK115" i="52"/>
  <c r="AJ115" i="52"/>
  <c r="AN114" i="52"/>
  <c r="AM114" i="52"/>
  <c r="AL114" i="52"/>
  <c r="AK114" i="52"/>
  <c r="AJ114" i="52"/>
  <c r="AN113" i="52"/>
  <c r="AM113" i="52"/>
  <c r="AL113" i="52"/>
  <c r="AK113" i="52"/>
  <c r="AJ113" i="52"/>
  <c r="AN112" i="52"/>
  <c r="AM112" i="52"/>
  <c r="AL112" i="52"/>
  <c r="AK112" i="52"/>
  <c r="AJ112" i="52"/>
  <c r="AN111" i="52"/>
  <c r="AM111" i="52"/>
  <c r="AL111" i="52"/>
  <c r="AK111" i="52"/>
  <c r="AJ111" i="52"/>
  <c r="AN110" i="52"/>
  <c r="AM110" i="52"/>
  <c r="AL110" i="52"/>
  <c r="AK110" i="52"/>
  <c r="AJ110" i="52"/>
  <c r="AN109" i="52"/>
  <c r="AM109" i="52"/>
  <c r="AL109" i="52"/>
  <c r="AK109" i="52"/>
  <c r="AJ109" i="52"/>
  <c r="AN108" i="52"/>
  <c r="AM108" i="52"/>
  <c r="AL108" i="52"/>
  <c r="AK108" i="52"/>
  <c r="AJ108" i="52"/>
  <c r="AN107" i="52"/>
  <c r="AM107" i="52"/>
  <c r="AL107" i="52"/>
  <c r="AK107" i="52"/>
  <c r="AJ107" i="52"/>
  <c r="AN106" i="52"/>
  <c r="AM106" i="52"/>
  <c r="AL106" i="52"/>
  <c r="AK106" i="52"/>
  <c r="AJ106" i="52"/>
  <c r="AN105" i="52"/>
  <c r="AM105" i="52"/>
  <c r="AL105" i="52"/>
  <c r="AK105" i="52"/>
  <c r="AJ105" i="52"/>
  <c r="AN104" i="52"/>
  <c r="AM104" i="52"/>
  <c r="AL104" i="52"/>
  <c r="AK104" i="52"/>
  <c r="AJ104" i="52"/>
  <c r="AN103" i="52"/>
  <c r="AM103" i="52"/>
  <c r="AL103" i="52"/>
  <c r="AK103" i="52"/>
  <c r="AJ103" i="52"/>
  <c r="AN102" i="52"/>
  <c r="AM102" i="52"/>
  <c r="AL102" i="52"/>
  <c r="AK102" i="52"/>
  <c r="AJ102" i="52"/>
  <c r="AN101" i="52"/>
  <c r="AM101" i="52"/>
  <c r="AL101" i="52"/>
  <c r="AK101" i="52"/>
  <c r="AJ101" i="52"/>
  <c r="AN100" i="52"/>
  <c r="AM100" i="52"/>
  <c r="AL100" i="52"/>
  <c r="AK100" i="52"/>
  <c r="AJ100" i="52"/>
  <c r="AN99" i="52"/>
  <c r="AM99" i="52"/>
  <c r="AL99" i="52"/>
  <c r="AK99" i="52"/>
  <c r="AJ99" i="52"/>
  <c r="AN98" i="52"/>
  <c r="AM98" i="52"/>
  <c r="AL98" i="52"/>
  <c r="AK98" i="52"/>
  <c r="AJ98" i="52"/>
  <c r="AN97" i="52"/>
  <c r="AM97" i="52"/>
  <c r="AL97" i="52"/>
  <c r="AK97" i="52"/>
  <c r="AJ97" i="52"/>
  <c r="AN96" i="52"/>
  <c r="AM96" i="52"/>
  <c r="AL96" i="52"/>
  <c r="AK96" i="52"/>
  <c r="AJ96" i="52"/>
  <c r="AN95" i="52"/>
  <c r="AM95" i="52"/>
  <c r="AL95" i="52"/>
  <c r="AK95" i="52"/>
  <c r="AJ95" i="52"/>
  <c r="AN94" i="52"/>
  <c r="AM94" i="52"/>
  <c r="AL94" i="52"/>
  <c r="AK94" i="52"/>
  <c r="AJ94" i="52"/>
  <c r="AN93" i="52"/>
  <c r="AM93" i="52"/>
  <c r="AL93" i="52"/>
  <c r="AK93" i="52"/>
  <c r="AJ93" i="52"/>
  <c r="AN92" i="52"/>
  <c r="AM92" i="52"/>
  <c r="AL92" i="52"/>
  <c r="AK92" i="52"/>
  <c r="AJ92" i="52"/>
  <c r="AN91" i="52"/>
  <c r="AM91" i="52"/>
  <c r="AL91" i="52"/>
  <c r="AK91" i="52"/>
  <c r="AJ91" i="52"/>
  <c r="AN90" i="52"/>
  <c r="AM90" i="52"/>
  <c r="AL90" i="52"/>
  <c r="AK90" i="52"/>
  <c r="AJ90" i="52"/>
  <c r="AN89" i="52"/>
  <c r="AM89" i="52"/>
  <c r="AL89" i="52"/>
  <c r="AK89" i="52"/>
  <c r="AJ89" i="52"/>
  <c r="AN88" i="52"/>
  <c r="AM88" i="52"/>
  <c r="AL88" i="52"/>
  <c r="AK88" i="52"/>
  <c r="AJ88" i="52"/>
  <c r="AN87" i="52"/>
  <c r="AM87" i="52"/>
  <c r="AL87" i="52"/>
  <c r="AK87" i="52"/>
  <c r="AJ87" i="52"/>
  <c r="AN86" i="52"/>
  <c r="AM86" i="52"/>
  <c r="AL86" i="52"/>
  <c r="AK86" i="52"/>
  <c r="AJ86" i="52"/>
  <c r="AN85" i="52"/>
  <c r="AM85" i="52"/>
  <c r="AL85" i="52"/>
  <c r="AK85" i="52"/>
  <c r="AJ85" i="52"/>
  <c r="AN84" i="52"/>
  <c r="AM84" i="52"/>
  <c r="AL84" i="52"/>
  <c r="AK84" i="52"/>
  <c r="AJ84" i="52"/>
  <c r="AN83" i="52"/>
  <c r="AM83" i="52"/>
  <c r="AL83" i="52"/>
  <c r="AK83" i="52"/>
  <c r="AJ83" i="52"/>
  <c r="AN82" i="52"/>
  <c r="AM82" i="52"/>
  <c r="AL82" i="52"/>
  <c r="AK82" i="52"/>
  <c r="AJ82" i="52"/>
  <c r="AN81" i="52"/>
  <c r="AM81" i="52"/>
  <c r="AL81" i="52"/>
  <c r="AK81" i="52"/>
  <c r="AJ81" i="52"/>
  <c r="AN80" i="52"/>
  <c r="AM80" i="52"/>
  <c r="AL80" i="52"/>
  <c r="AK80" i="52"/>
  <c r="AJ80" i="52"/>
  <c r="AN79" i="52"/>
  <c r="AM79" i="52"/>
  <c r="AL79" i="52"/>
  <c r="AK79" i="52"/>
  <c r="AJ79" i="52"/>
  <c r="AN78" i="52"/>
  <c r="AM78" i="52"/>
  <c r="AL78" i="52"/>
  <c r="AK78" i="52"/>
  <c r="AJ78" i="52"/>
  <c r="AN77" i="52"/>
  <c r="AM77" i="52"/>
  <c r="AL77" i="52"/>
  <c r="AK77" i="52"/>
  <c r="AJ77" i="52"/>
  <c r="AN76" i="52"/>
  <c r="AM76" i="52"/>
  <c r="AL76" i="52"/>
  <c r="AK76" i="52"/>
  <c r="AJ76" i="52"/>
  <c r="AN75" i="52"/>
  <c r="AM75" i="52"/>
  <c r="AL75" i="52"/>
  <c r="AK75" i="52"/>
  <c r="AJ75" i="52"/>
  <c r="AN74" i="52"/>
  <c r="AM74" i="52"/>
  <c r="AL74" i="52"/>
  <c r="AK74" i="52"/>
  <c r="AJ74" i="52"/>
  <c r="AN73" i="52"/>
  <c r="AM73" i="52"/>
  <c r="AL73" i="52"/>
  <c r="AK73" i="52"/>
  <c r="AJ73" i="52"/>
  <c r="AN72" i="52"/>
  <c r="AM72" i="52"/>
  <c r="AL72" i="52"/>
  <c r="AK72" i="52"/>
  <c r="AJ72" i="52"/>
  <c r="AN71" i="52"/>
  <c r="AM71" i="52"/>
  <c r="AL71" i="52"/>
  <c r="AK71" i="52"/>
  <c r="AJ71" i="52"/>
  <c r="AN70" i="52"/>
  <c r="AM70" i="52"/>
  <c r="AL70" i="52"/>
  <c r="AK70" i="52"/>
  <c r="AJ70" i="52"/>
  <c r="AN69" i="52"/>
  <c r="AM69" i="52"/>
  <c r="AL69" i="52"/>
  <c r="AK69" i="52"/>
  <c r="AJ69" i="52"/>
  <c r="AN68" i="52"/>
  <c r="AM68" i="52"/>
  <c r="AL68" i="52"/>
  <c r="AK68" i="52"/>
  <c r="AJ68" i="52"/>
  <c r="AN67" i="52"/>
  <c r="AM67" i="52"/>
  <c r="AL67" i="52"/>
  <c r="AK67" i="52"/>
  <c r="AJ67" i="52"/>
  <c r="AN66" i="52"/>
  <c r="AM66" i="52"/>
  <c r="AL66" i="52"/>
  <c r="AK66" i="52"/>
  <c r="AJ66" i="52"/>
  <c r="AN65" i="52"/>
  <c r="AM65" i="52"/>
  <c r="AL65" i="52"/>
  <c r="AK65" i="52"/>
  <c r="AJ65" i="52"/>
  <c r="AN64" i="52"/>
  <c r="AM64" i="52"/>
  <c r="AL64" i="52"/>
  <c r="AK64" i="52"/>
  <c r="AJ64" i="52"/>
  <c r="AN63" i="52"/>
  <c r="AM63" i="52"/>
  <c r="AL63" i="52"/>
  <c r="AK63" i="52"/>
  <c r="AJ63" i="52"/>
  <c r="AN62" i="52"/>
  <c r="AM62" i="52"/>
  <c r="AL62" i="52"/>
  <c r="AK62" i="52"/>
  <c r="AJ62" i="52"/>
  <c r="AN61" i="52"/>
  <c r="AM61" i="52"/>
  <c r="AL61" i="52"/>
  <c r="AK61" i="52"/>
  <c r="AJ61" i="52"/>
  <c r="AN60" i="52"/>
  <c r="AM60" i="52"/>
  <c r="AL60" i="52"/>
  <c r="AK60" i="52"/>
  <c r="AJ60" i="52"/>
  <c r="AN59" i="52"/>
  <c r="AM59" i="52"/>
  <c r="AL59" i="52"/>
  <c r="AK59" i="52"/>
  <c r="AJ59" i="52"/>
  <c r="AN58" i="52"/>
  <c r="AM58" i="52"/>
  <c r="AL58" i="52"/>
  <c r="AK58" i="52"/>
  <c r="AJ58" i="52"/>
  <c r="AN57" i="52"/>
  <c r="AM57" i="52"/>
  <c r="AL57" i="52"/>
  <c r="AK57" i="52"/>
  <c r="AJ57" i="52"/>
  <c r="AN56" i="52"/>
  <c r="AM56" i="52"/>
  <c r="AL56" i="52"/>
  <c r="AK56" i="52"/>
  <c r="AJ56" i="52"/>
  <c r="AN55" i="52"/>
  <c r="AM55" i="52"/>
  <c r="AL55" i="52"/>
  <c r="AK55" i="52"/>
  <c r="AJ55" i="52"/>
  <c r="AN54" i="52"/>
  <c r="AM54" i="52"/>
  <c r="AL54" i="52"/>
  <c r="AK54" i="52"/>
  <c r="AJ54" i="52"/>
  <c r="AN53" i="52"/>
  <c r="AM53" i="52"/>
  <c r="AL53" i="52"/>
  <c r="AK53" i="52"/>
  <c r="AJ53" i="52"/>
  <c r="AN52" i="52"/>
  <c r="AM52" i="52"/>
  <c r="AL52" i="52"/>
  <c r="AK52" i="52"/>
  <c r="AJ52" i="52"/>
  <c r="AN51" i="52"/>
  <c r="AM51" i="52"/>
  <c r="AL51" i="52"/>
  <c r="AK51" i="52"/>
  <c r="AJ51" i="52"/>
  <c r="AN50" i="52"/>
  <c r="AM50" i="52"/>
  <c r="AL50" i="52"/>
  <c r="AK50" i="52"/>
  <c r="AJ50" i="52"/>
  <c r="AN49" i="52"/>
  <c r="AM49" i="52"/>
  <c r="AL49" i="52"/>
  <c r="AK49" i="52"/>
  <c r="AJ49" i="52"/>
  <c r="AN48" i="52"/>
  <c r="AM48" i="52"/>
  <c r="AL48" i="52"/>
  <c r="AK48" i="52"/>
  <c r="AJ48" i="52"/>
  <c r="AN47" i="52"/>
  <c r="AM47" i="52"/>
  <c r="AL47" i="52"/>
  <c r="AK47" i="52"/>
  <c r="AJ47" i="52"/>
  <c r="AN46" i="52"/>
  <c r="AM46" i="52"/>
  <c r="AL46" i="52"/>
  <c r="AK46" i="52"/>
  <c r="AJ46" i="52"/>
  <c r="AN45" i="52"/>
  <c r="AM45" i="52"/>
  <c r="AL45" i="52"/>
  <c r="AK45" i="52"/>
  <c r="AJ45" i="52"/>
  <c r="AN44" i="52"/>
  <c r="AM44" i="52"/>
  <c r="AL44" i="52"/>
  <c r="AK44" i="52"/>
  <c r="AJ44" i="52"/>
  <c r="AN43" i="52"/>
  <c r="AM43" i="52"/>
  <c r="AL43" i="52"/>
  <c r="AK43" i="52"/>
  <c r="AJ43" i="52"/>
  <c r="AN42" i="52"/>
  <c r="AM42" i="52"/>
  <c r="AL42" i="52"/>
  <c r="AK42" i="52"/>
  <c r="AJ42" i="52"/>
  <c r="AN41" i="52"/>
  <c r="AM41" i="52"/>
  <c r="AL41" i="52"/>
  <c r="AK41" i="52"/>
  <c r="AJ41" i="52"/>
  <c r="AN40" i="52"/>
  <c r="AM40" i="52"/>
  <c r="AL40" i="52"/>
  <c r="AK40" i="52"/>
  <c r="AJ40" i="52"/>
  <c r="AN39" i="52"/>
  <c r="AM39" i="52"/>
  <c r="AL39" i="52"/>
  <c r="AK39" i="52"/>
  <c r="AJ39" i="52"/>
  <c r="AN38" i="52"/>
  <c r="AM38" i="52"/>
  <c r="AL38" i="52"/>
  <c r="AK38" i="52"/>
  <c r="AJ38" i="52"/>
  <c r="AN37" i="52"/>
  <c r="AM37" i="52"/>
  <c r="AL37" i="52"/>
  <c r="AK37" i="52"/>
  <c r="AJ37" i="52"/>
  <c r="AN36" i="52"/>
  <c r="AM36" i="52"/>
  <c r="AL36" i="52"/>
  <c r="AK36" i="52"/>
  <c r="AJ36" i="52"/>
  <c r="AN35" i="52"/>
  <c r="AM35" i="52"/>
  <c r="AL35" i="52"/>
  <c r="AK35" i="52"/>
  <c r="AJ35" i="52"/>
  <c r="AN34" i="52"/>
  <c r="AM34" i="52"/>
  <c r="AL34" i="52"/>
  <c r="AK34" i="52"/>
  <c r="AJ34" i="52"/>
  <c r="AN33" i="52"/>
  <c r="AM33" i="52"/>
  <c r="AL33" i="52"/>
  <c r="AK33" i="52"/>
  <c r="AJ33" i="52"/>
  <c r="AN32" i="52"/>
  <c r="AM32" i="52"/>
  <c r="AL32" i="52"/>
  <c r="AK32" i="52"/>
  <c r="AJ32" i="52"/>
  <c r="AN31" i="52"/>
  <c r="AM31" i="52"/>
  <c r="AL31" i="52"/>
  <c r="AK31" i="52"/>
  <c r="AJ31" i="52"/>
  <c r="AN30" i="52"/>
  <c r="AM30" i="52"/>
  <c r="AL30" i="52"/>
  <c r="AK30" i="52"/>
  <c r="AJ30" i="52"/>
  <c r="AN29" i="52"/>
  <c r="AM29" i="52"/>
  <c r="AL29" i="52"/>
  <c r="AK29" i="52"/>
  <c r="AJ29" i="52"/>
  <c r="AN28" i="52"/>
  <c r="AM28" i="52"/>
  <c r="AL28" i="52"/>
  <c r="AK28" i="52"/>
  <c r="AJ28" i="52"/>
  <c r="AN27" i="52"/>
  <c r="AM27" i="52"/>
  <c r="AL27" i="52"/>
  <c r="AK27" i="52"/>
  <c r="AJ27" i="52"/>
  <c r="AN26" i="52"/>
  <c r="AM26" i="52"/>
  <c r="AL26" i="52"/>
  <c r="AK26" i="52"/>
  <c r="AJ26" i="52"/>
  <c r="AN25" i="52"/>
  <c r="AM25" i="52"/>
  <c r="AL25" i="52"/>
  <c r="AK25" i="52"/>
  <c r="AJ25" i="52"/>
  <c r="AN24" i="52"/>
  <c r="AM24" i="52"/>
  <c r="AL24" i="52"/>
  <c r="AK24" i="52"/>
  <c r="AJ24" i="52"/>
  <c r="AN23" i="52"/>
  <c r="AM23" i="52"/>
  <c r="AL23" i="52"/>
  <c r="AK23" i="52"/>
  <c r="AJ23" i="52"/>
  <c r="AN22" i="52"/>
  <c r="AM22" i="52"/>
  <c r="AL22" i="52"/>
  <c r="AK22" i="52"/>
  <c r="AJ22" i="52"/>
  <c r="AN21" i="52"/>
  <c r="AM21" i="52"/>
  <c r="AL21" i="52"/>
  <c r="AK21" i="52"/>
  <c r="AJ21" i="52"/>
  <c r="AN20" i="52"/>
  <c r="AM20" i="52"/>
  <c r="AL20" i="52"/>
  <c r="AK20" i="52"/>
  <c r="AJ20" i="52"/>
  <c r="AN19" i="52"/>
  <c r="AM19" i="52"/>
  <c r="AL19" i="52"/>
  <c r="AK19" i="52"/>
  <c r="AJ19" i="52"/>
  <c r="AN18" i="52"/>
  <c r="AM18" i="52"/>
  <c r="AL18" i="52"/>
  <c r="AK18" i="52"/>
  <c r="AJ18" i="52"/>
  <c r="AN17" i="52"/>
  <c r="AM17" i="52"/>
  <c r="AL17" i="52"/>
  <c r="AK17" i="52"/>
  <c r="AJ17" i="52"/>
  <c r="AN16" i="52"/>
  <c r="AM16" i="52"/>
  <c r="AL16" i="52"/>
  <c r="AK16" i="52"/>
  <c r="AJ16" i="52"/>
  <c r="AN15" i="52"/>
  <c r="AM15" i="52"/>
  <c r="AL15" i="52"/>
  <c r="AK15" i="52"/>
  <c r="AJ15" i="52"/>
  <c r="AN14" i="52"/>
  <c r="AM14" i="52"/>
  <c r="AL14" i="52"/>
  <c r="AK14" i="52"/>
  <c r="AJ14" i="52"/>
  <c r="AN13" i="52"/>
  <c r="AM13" i="52"/>
  <c r="AL13" i="52"/>
  <c r="AK13" i="52"/>
  <c r="AJ13" i="52"/>
  <c r="AN12" i="52"/>
  <c r="AM12" i="52"/>
  <c r="AL12" i="52"/>
  <c r="AK12" i="52"/>
  <c r="AJ12" i="52"/>
  <c r="AN11" i="52"/>
  <c r="AM11" i="52"/>
  <c r="AL11" i="52"/>
  <c r="AK11" i="52"/>
  <c r="AJ11" i="52"/>
  <c r="AN10" i="52"/>
  <c r="AM10" i="52"/>
  <c r="AL10" i="52"/>
  <c r="AK10" i="52"/>
  <c r="AJ10" i="52"/>
  <c r="AN9" i="52"/>
  <c r="AM9" i="52"/>
  <c r="AL9" i="52"/>
  <c r="AK9" i="52"/>
  <c r="AJ9" i="52"/>
  <c r="AN8" i="52"/>
  <c r="AM8" i="52"/>
  <c r="AL8" i="52"/>
  <c r="AK8" i="52"/>
  <c r="AJ8" i="52"/>
  <c r="AN7" i="52"/>
  <c r="AM7" i="52"/>
  <c r="AL7" i="52"/>
  <c r="AK7" i="52"/>
  <c r="AJ7" i="52"/>
  <c r="AN6" i="52"/>
  <c r="AM6" i="52"/>
  <c r="AL6" i="52"/>
  <c r="AK6" i="52"/>
  <c r="AJ6" i="52"/>
  <c r="AN5" i="52"/>
  <c r="AM5" i="52"/>
  <c r="AL5" i="52"/>
  <c r="AK5" i="52"/>
  <c r="AJ5" i="52"/>
  <c r="AN4" i="52"/>
  <c r="AM4" i="52"/>
  <c r="AL4" i="52"/>
  <c r="AK4" i="52"/>
  <c r="AJ4" i="52"/>
  <c r="AN3" i="52"/>
  <c r="AM3" i="52"/>
  <c r="AL3" i="52"/>
  <c r="AK3" i="52"/>
  <c r="AJ3" i="52"/>
  <c r="AE223" i="52"/>
  <c r="R223" i="52"/>
  <c r="M223" i="52"/>
  <c r="AE222" i="52"/>
  <c r="M222" i="52"/>
  <c r="AE221" i="52"/>
  <c r="M221" i="52"/>
  <c r="AE220" i="52"/>
  <c r="M220" i="52"/>
  <c r="AE219" i="52"/>
  <c r="M219" i="52"/>
  <c r="AE218" i="52"/>
  <c r="M218" i="52"/>
  <c r="AE217" i="52"/>
  <c r="M217" i="52"/>
  <c r="AE216" i="52"/>
  <c r="M216" i="52"/>
  <c r="AE215" i="52"/>
  <c r="M215" i="52"/>
  <c r="AE214" i="52"/>
  <c r="M214" i="52"/>
  <c r="AE213" i="52"/>
  <c r="R213" i="52"/>
  <c r="M213" i="52"/>
  <c r="AE212" i="52"/>
  <c r="M212" i="52"/>
  <c r="AE211" i="52"/>
  <c r="M211" i="52"/>
  <c r="AE210" i="52"/>
  <c r="M210" i="52"/>
  <c r="AE209" i="52"/>
  <c r="M209" i="52"/>
  <c r="AE208" i="52"/>
  <c r="M208" i="52"/>
  <c r="AE207" i="52"/>
  <c r="M207" i="52"/>
  <c r="AE206" i="52"/>
  <c r="M206" i="52"/>
  <c r="AE205" i="52"/>
  <c r="M205" i="52"/>
  <c r="AE204" i="52"/>
  <c r="M204" i="52"/>
  <c r="AE203" i="52"/>
  <c r="M203" i="52"/>
  <c r="AE202" i="52"/>
  <c r="R202" i="52"/>
  <c r="M202" i="52"/>
  <c r="AE201" i="52"/>
  <c r="M201" i="52"/>
  <c r="AE200" i="52"/>
  <c r="M200" i="52"/>
  <c r="AE199" i="52"/>
  <c r="M199" i="52"/>
  <c r="AE198" i="52"/>
  <c r="M198" i="52"/>
  <c r="AE197" i="52"/>
  <c r="M197" i="52"/>
  <c r="AE196" i="52"/>
  <c r="M196" i="52"/>
  <c r="AE195" i="52"/>
  <c r="M195" i="52"/>
  <c r="AE194" i="52"/>
  <c r="M194" i="52"/>
  <c r="AE193" i="52"/>
  <c r="M193" i="52"/>
  <c r="AE192" i="52"/>
  <c r="R192" i="52"/>
  <c r="M192" i="52"/>
  <c r="AE191" i="52"/>
  <c r="M191" i="52"/>
  <c r="AE190" i="52"/>
  <c r="M190" i="52"/>
  <c r="AE189" i="52"/>
  <c r="M189" i="52"/>
  <c r="AE188" i="52"/>
  <c r="M188" i="52"/>
  <c r="AE187" i="52"/>
  <c r="M187" i="52"/>
  <c r="AE186" i="52"/>
  <c r="M186" i="52"/>
  <c r="AE185" i="52"/>
  <c r="M185" i="52"/>
  <c r="AE184" i="52"/>
  <c r="M184" i="52"/>
  <c r="AE183" i="52"/>
  <c r="M183" i="52"/>
  <c r="AE182" i="52"/>
  <c r="R182" i="52"/>
  <c r="M182" i="52"/>
  <c r="AE181" i="52"/>
  <c r="M181" i="52"/>
  <c r="AE180" i="52"/>
  <c r="M180" i="52"/>
  <c r="AE179" i="52"/>
  <c r="M179" i="52"/>
  <c r="AE178" i="52"/>
  <c r="M178" i="52"/>
  <c r="AE177" i="52"/>
  <c r="M177" i="52"/>
  <c r="AE176" i="52"/>
  <c r="M176" i="52"/>
  <c r="AE175" i="52"/>
  <c r="M175" i="52"/>
  <c r="AE174" i="52"/>
  <c r="M174" i="52"/>
  <c r="AE173" i="52"/>
  <c r="M173" i="52"/>
  <c r="AE172" i="52"/>
  <c r="R172" i="52"/>
  <c r="M172" i="52"/>
  <c r="AE171" i="52"/>
  <c r="M171" i="52"/>
  <c r="AE170" i="52"/>
  <c r="M170" i="52"/>
  <c r="AE169" i="52"/>
  <c r="M169" i="52"/>
  <c r="AE168" i="52"/>
  <c r="M168" i="52"/>
  <c r="AE167" i="52"/>
  <c r="M167" i="52"/>
  <c r="AE166" i="52"/>
  <c r="M166" i="52"/>
  <c r="AE165" i="52"/>
  <c r="M165" i="52"/>
  <c r="AE164" i="52"/>
  <c r="M164" i="52"/>
  <c r="AE163" i="52"/>
  <c r="R163" i="52"/>
  <c r="M163" i="52"/>
  <c r="AE162" i="52"/>
  <c r="M162" i="52"/>
  <c r="AE161" i="52"/>
  <c r="M161" i="52"/>
  <c r="AE160" i="52"/>
  <c r="M160" i="52"/>
  <c r="AE159" i="52"/>
  <c r="M159" i="52"/>
  <c r="AE158" i="52"/>
  <c r="M158" i="52"/>
  <c r="AE157" i="52"/>
  <c r="M157" i="52"/>
  <c r="AE156" i="52"/>
  <c r="M156" i="52"/>
  <c r="AE155" i="52"/>
  <c r="M155" i="52"/>
  <c r="AE154" i="52"/>
  <c r="M154" i="52"/>
  <c r="AE153" i="52"/>
  <c r="R153" i="52"/>
  <c r="M153" i="52"/>
  <c r="AE152" i="52"/>
  <c r="M152" i="52"/>
  <c r="AE151" i="52"/>
  <c r="M151" i="52"/>
  <c r="AE150" i="52"/>
  <c r="M150" i="52"/>
  <c r="AE149" i="52"/>
  <c r="M149" i="52"/>
  <c r="AE148" i="52"/>
  <c r="M148" i="52"/>
  <c r="AE147" i="52"/>
  <c r="M147" i="52"/>
  <c r="AE146" i="52"/>
  <c r="M146" i="52"/>
  <c r="AE145" i="52"/>
  <c r="M145" i="52"/>
  <c r="AE144" i="52"/>
  <c r="M144" i="52"/>
  <c r="AE143" i="52"/>
  <c r="R143" i="52"/>
  <c r="M143" i="52"/>
  <c r="AE142" i="52"/>
  <c r="M142" i="52"/>
  <c r="AE141" i="52"/>
  <c r="M141" i="52"/>
  <c r="AE140" i="52"/>
  <c r="M140" i="52"/>
  <c r="AE139" i="52"/>
  <c r="M139" i="52"/>
  <c r="AE138" i="52"/>
  <c r="M138" i="52"/>
  <c r="AE137" i="52"/>
  <c r="M137" i="52"/>
  <c r="AE136" i="52"/>
  <c r="M136" i="52"/>
  <c r="AE135" i="52"/>
  <c r="M135" i="52"/>
  <c r="AE134" i="52"/>
  <c r="M134" i="52"/>
  <c r="AE133" i="52"/>
  <c r="R133" i="52"/>
  <c r="M133" i="52"/>
  <c r="AE132" i="52"/>
  <c r="M132" i="52"/>
  <c r="AE131" i="52"/>
  <c r="M131" i="52"/>
  <c r="AE130" i="52"/>
  <c r="M130" i="52"/>
  <c r="AE129" i="52"/>
  <c r="M129" i="52"/>
  <c r="AE128" i="52"/>
  <c r="M128" i="52"/>
  <c r="AE127" i="52"/>
  <c r="M127" i="52"/>
  <c r="AE126" i="52"/>
  <c r="M126" i="52"/>
  <c r="AE125" i="52"/>
  <c r="M125" i="52"/>
  <c r="AE124" i="52"/>
  <c r="M124" i="52"/>
  <c r="AE123" i="52"/>
  <c r="M123" i="52"/>
  <c r="AE122" i="52"/>
  <c r="R122" i="52"/>
  <c r="M122" i="52"/>
  <c r="AE121" i="52"/>
  <c r="M121" i="52"/>
  <c r="AE120" i="52"/>
  <c r="M120" i="52"/>
  <c r="AE119" i="52"/>
  <c r="M119" i="52"/>
  <c r="AE118" i="52"/>
  <c r="M118" i="52"/>
  <c r="AE117" i="52"/>
  <c r="M117" i="52"/>
  <c r="AE116" i="52"/>
  <c r="M116" i="52"/>
  <c r="AE115" i="52"/>
  <c r="M115" i="52"/>
  <c r="AE114" i="52"/>
  <c r="M114" i="52"/>
  <c r="AE113" i="52"/>
  <c r="R113" i="52"/>
  <c r="M113" i="52"/>
  <c r="AE112" i="52"/>
  <c r="M112" i="52"/>
  <c r="AE111" i="52"/>
  <c r="M111" i="52"/>
  <c r="AE110" i="52"/>
  <c r="M110" i="52"/>
  <c r="AE109" i="52"/>
  <c r="M109" i="52"/>
  <c r="AE108" i="52"/>
  <c r="M108" i="52"/>
  <c r="AE107" i="52"/>
  <c r="M107" i="52"/>
  <c r="AE106" i="52"/>
  <c r="M106" i="52"/>
  <c r="AE105" i="52"/>
  <c r="M105" i="52"/>
  <c r="AE104" i="52"/>
  <c r="M104" i="52"/>
  <c r="AE103" i="52"/>
  <c r="R103" i="52"/>
  <c r="M103" i="52"/>
  <c r="AE102" i="52"/>
  <c r="M102" i="52"/>
  <c r="AE101" i="52"/>
  <c r="M101" i="52"/>
  <c r="AE100" i="52"/>
  <c r="M100" i="52"/>
  <c r="AE99" i="52"/>
  <c r="M99" i="52"/>
  <c r="AE98" i="52"/>
  <c r="M98" i="52"/>
  <c r="AE97" i="52"/>
  <c r="M97" i="52"/>
  <c r="AE96" i="52"/>
  <c r="M96" i="52"/>
  <c r="AE95" i="52"/>
  <c r="M95" i="52"/>
  <c r="AE94" i="52"/>
  <c r="M94" i="52"/>
  <c r="AE93" i="52"/>
  <c r="R93" i="52"/>
  <c r="M93" i="52"/>
  <c r="AE92" i="52"/>
  <c r="M92" i="52"/>
  <c r="AE91" i="52"/>
  <c r="M91" i="52"/>
  <c r="AE90" i="52"/>
  <c r="M90" i="52"/>
  <c r="AE89" i="52"/>
  <c r="M89" i="52"/>
  <c r="AE88" i="52"/>
  <c r="M88" i="52"/>
  <c r="AE87" i="52"/>
  <c r="M87" i="52"/>
  <c r="AE86" i="52"/>
  <c r="M86" i="52"/>
  <c r="AE85" i="52"/>
  <c r="M85" i="52"/>
  <c r="AE84" i="52"/>
  <c r="M84" i="52"/>
  <c r="AE83" i="52"/>
  <c r="M83" i="52"/>
  <c r="AE82" i="52"/>
  <c r="R82" i="52"/>
  <c r="M82" i="52"/>
  <c r="AE81" i="52"/>
  <c r="M81" i="52"/>
  <c r="AE80" i="52"/>
  <c r="M80" i="52"/>
  <c r="AE79" i="52"/>
  <c r="M79" i="52"/>
  <c r="AE78" i="52"/>
  <c r="M78" i="52"/>
  <c r="AE77" i="52"/>
  <c r="M77" i="52"/>
  <c r="AE76" i="52"/>
  <c r="M76" i="52"/>
  <c r="AE75" i="52"/>
  <c r="M75" i="52"/>
  <c r="AE74" i="52"/>
  <c r="M74" i="52"/>
  <c r="AE73" i="52"/>
  <c r="R73" i="52"/>
  <c r="M73" i="52"/>
  <c r="AE72" i="52"/>
  <c r="M72" i="52"/>
  <c r="AE71" i="52"/>
  <c r="M71" i="52"/>
  <c r="AE70" i="52"/>
  <c r="M70" i="52"/>
  <c r="AE69" i="52"/>
  <c r="M69" i="52"/>
  <c r="AE68" i="52"/>
  <c r="M68" i="52"/>
  <c r="AE67" i="52"/>
  <c r="M67" i="52"/>
  <c r="AE66" i="52"/>
  <c r="M66" i="52"/>
  <c r="AE65" i="52"/>
  <c r="M65" i="52"/>
  <c r="AE64" i="52"/>
  <c r="M64" i="52"/>
  <c r="AE63" i="52"/>
  <c r="M63" i="52"/>
  <c r="AE62" i="52"/>
  <c r="R62" i="52"/>
  <c r="M62" i="52"/>
  <c r="AE61" i="52"/>
  <c r="M61" i="52"/>
  <c r="AE60" i="52"/>
  <c r="M60" i="52"/>
  <c r="AE59" i="52"/>
  <c r="M59" i="52"/>
  <c r="AE58" i="52"/>
  <c r="M58" i="52"/>
  <c r="AE57" i="52"/>
  <c r="M57" i="52"/>
  <c r="AE56" i="52"/>
  <c r="M56" i="52"/>
  <c r="AE55" i="52"/>
  <c r="M55" i="52"/>
  <c r="AE54" i="52"/>
  <c r="M54" i="52"/>
  <c r="AE53" i="52"/>
  <c r="M53" i="52"/>
  <c r="AE52" i="52"/>
  <c r="R52" i="52"/>
  <c r="M52" i="52"/>
  <c r="AE51" i="52"/>
  <c r="M51" i="52"/>
  <c r="AE50" i="52"/>
  <c r="M50" i="52"/>
  <c r="AE49" i="52"/>
  <c r="M49" i="52"/>
  <c r="AE48" i="52"/>
  <c r="M48" i="52"/>
  <c r="AE47" i="52"/>
  <c r="M47" i="52"/>
  <c r="AE46" i="52"/>
  <c r="M46" i="52"/>
  <c r="AE45" i="52"/>
  <c r="M45" i="52"/>
  <c r="AE44" i="52"/>
  <c r="M44" i="52"/>
  <c r="AE43" i="52"/>
  <c r="M43" i="52"/>
  <c r="AE42" i="52"/>
  <c r="R42" i="52"/>
  <c r="M42" i="52"/>
  <c r="AE41" i="52"/>
  <c r="M41" i="52"/>
  <c r="AE40" i="52"/>
  <c r="M40" i="52"/>
  <c r="AE39" i="52"/>
  <c r="M39" i="52"/>
  <c r="AE38" i="52"/>
  <c r="M38" i="52"/>
  <c r="AE37" i="52"/>
  <c r="M37" i="52"/>
  <c r="AE36" i="52"/>
  <c r="M36" i="52"/>
  <c r="AE35" i="52"/>
  <c r="M35" i="52"/>
  <c r="AE34" i="52"/>
  <c r="M34" i="52"/>
  <c r="AE33" i="52"/>
  <c r="M33" i="52"/>
  <c r="AE32" i="52"/>
  <c r="R32" i="52"/>
  <c r="M32" i="52"/>
  <c r="AE31" i="52"/>
  <c r="M31" i="52"/>
  <c r="AE30" i="52"/>
  <c r="M30" i="52"/>
  <c r="AE29" i="52"/>
  <c r="M29" i="52"/>
  <c r="AE28" i="52"/>
  <c r="M28" i="52"/>
  <c r="AE27" i="52"/>
  <c r="M27" i="52"/>
  <c r="AE26" i="52"/>
  <c r="M26" i="52"/>
  <c r="AE25" i="52"/>
  <c r="M25" i="52"/>
  <c r="AE24" i="52"/>
  <c r="M24" i="52"/>
  <c r="AE23" i="52"/>
  <c r="M23" i="52"/>
  <c r="AE22" i="52"/>
  <c r="M22" i="52"/>
  <c r="AE21" i="52"/>
  <c r="M21" i="52"/>
  <c r="AE20" i="52"/>
  <c r="R20" i="52"/>
  <c r="M20" i="52"/>
  <c r="AE19" i="52"/>
  <c r="M19" i="52"/>
  <c r="AE18" i="52"/>
  <c r="M18" i="52"/>
  <c r="AE17" i="52"/>
  <c r="M17" i="52"/>
  <c r="AE16" i="52"/>
  <c r="M16" i="52"/>
  <c r="AE15" i="52"/>
  <c r="M15" i="52"/>
  <c r="AE14" i="52"/>
  <c r="M14" i="52"/>
  <c r="AE13" i="52"/>
  <c r="M13" i="52"/>
  <c r="AE12" i="52"/>
  <c r="M12" i="52"/>
  <c r="AE11" i="52"/>
  <c r="M11" i="52"/>
  <c r="AE10" i="52"/>
  <c r="R10" i="52"/>
  <c r="M10" i="52"/>
  <c r="AE9" i="52"/>
  <c r="M9" i="52"/>
  <c r="AE8" i="52"/>
  <c r="M8" i="52"/>
  <c r="AE7" i="52"/>
  <c r="M7" i="52"/>
  <c r="AE6" i="52"/>
  <c r="M6" i="52"/>
  <c r="AE5" i="52"/>
  <c r="M5" i="52"/>
  <c r="AE4" i="52"/>
  <c r="M4" i="52"/>
  <c r="AE3" i="52"/>
  <c r="M3" i="52"/>
  <c r="AB38" i="2" l="1"/>
  <c r="AB37" i="2"/>
  <c r="AB36" i="2" l="1"/>
  <c r="AB35" i="2"/>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X2" i="25"/>
  <c r="O98" i="48"/>
  <c r="M98" i="48"/>
  <c r="O63" i="48"/>
  <c r="O107" i="48"/>
  <c r="O123" i="48"/>
  <c r="M75" i="48"/>
  <c r="M63" i="48"/>
  <c r="M123" i="48"/>
  <c r="M107" i="48"/>
  <c r="K63" i="48"/>
  <c r="K71" i="48"/>
  <c r="K98" i="48"/>
  <c r="I98" i="48"/>
  <c r="E168" i="48"/>
  <c r="H168" i="48"/>
  <c r="E167" i="48"/>
  <c r="E169" i="48"/>
  <c r="H169" i="48"/>
  <c r="E165" i="48"/>
  <c r="H165" i="48"/>
  <c r="E164" i="48"/>
  <c r="E166" i="48"/>
  <c r="H166" i="48"/>
  <c r="E162" i="48"/>
  <c r="E161" i="48"/>
  <c r="E62" i="48"/>
  <c r="E158" i="48"/>
  <c r="E157" i="48"/>
  <c r="H157" i="48"/>
  <c r="E159" i="48"/>
  <c r="G187" i="48"/>
  <c r="F187" i="48"/>
  <c r="G186" i="48"/>
  <c r="F186" i="48"/>
  <c r="E186" i="48"/>
  <c r="G185" i="48"/>
  <c r="F185" i="48"/>
  <c r="E185" i="48"/>
  <c r="G184" i="48"/>
  <c r="F184" i="48"/>
  <c r="E184" i="48"/>
  <c r="E183" i="48"/>
  <c r="H183" i="48"/>
  <c r="H182" i="48"/>
  <c r="H181" i="48"/>
  <c r="E180" i="48"/>
  <c r="H180" i="48"/>
  <c r="H179" i="48"/>
  <c r="E178" i="48"/>
  <c r="H178" i="48" s="1"/>
  <c r="H177" i="48"/>
  <c r="H176" i="48"/>
  <c r="E175" i="48"/>
  <c r="H175" i="48" s="1"/>
  <c r="H174" i="48"/>
  <c r="H173" i="48"/>
  <c r="E172" i="48"/>
  <c r="H172" i="48" s="1"/>
  <c r="H171" i="48"/>
  <c r="H170" i="48"/>
  <c r="H167" i="48"/>
  <c r="E163" i="48"/>
  <c r="H163" i="48"/>
  <c r="H162" i="48"/>
  <c r="H161" i="48"/>
  <c r="G52" i="48"/>
  <c r="F52" i="48"/>
  <c r="G51" i="48"/>
  <c r="F51" i="48"/>
  <c r="G50" i="48"/>
  <c r="F50" i="48"/>
  <c r="G49" i="48"/>
  <c r="F49" i="48"/>
  <c r="E51" i="48"/>
  <c r="E50" i="48"/>
  <c r="E49" i="48"/>
  <c r="H47" i="48"/>
  <c r="H46" i="48"/>
  <c r="H44" i="48"/>
  <c r="H42" i="48"/>
  <c r="H41" i="48"/>
  <c r="H39" i="48"/>
  <c r="H38" i="48"/>
  <c r="H36" i="48"/>
  <c r="H35" i="48"/>
  <c r="H33" i="48"/>
  <c r="H32" i="48"/>
  <c r="H30" i="48"/>
  <c r="H29" i="48"/>
  <c r="H27" i="48"/>
  <c r="H26" i="48"/>
  <c r="H24" i="48"/>
  <c r="H186" i="48" s="1"/>
  <c r="H51" i="48"/>
  <c r="H23" i="48"/>
  <c r="H185" i="48" s="1"/>
  <c r="H50" i="48"/>
  <c r="H22" i="48"/>
  <c r="H184" i="48" s="1"/>
  <c r="E45" i="48"/>
  <c r="H45" i="48"/>
  <c r="E48" i="48"/>
  <c r="H48" i="48"/>
  <c r="E43" i="48"/>
  <c r="H43" i="48"/>
  <c r="E40" i="48"/>
  <c r="H40" i="48"/>
  <c r="E37" i="48"/>
  <c r="H37" i="48"/>
  <c r="E34" i="48"/>
  <c r="H34" i="48"/>
  <c r="E31" i="48"/>
  <c r="H31" i="48"/>
  <c r="E28" i="48"/>
  <c r="E25" i="48"/>
  <c r="E187" i="48" s="1"/>
  <c r="H25" i="48"/>
  <c r="AL1" i="44"/>
  <c r="AK1" i="44"/>
  <c r="AJ1" i="44"/>
  <c r="AN1" i="52"/>
  <c r="AM1" i="52"/>
  <c r="AL1" i="52"/>
  <c r="AK1" i="52"/>
  <c r="AJ1" i="52"/>
  <c r="H164" i="48"/>
  <c r="H158" i="48"/>
  <c r="E160" i="48"/>
  <c r="H160" i="48"/>
  <c r="H159" i="48"/>
  <c r="H49" i="48"/>
  <c r="E52" i="48"/>
  <c r="H28" i="48"/>
  <c r="H52" i="48"/>
  <c r="D7" i="49"/>
  <c r="C7" i="49"/>
  <c r="E7" i="49"/>
  <c r="C6" i="49"/>
  <c r="G5" i="49"/>
  <c r="H122" i="48"/>
  <c r="E108" i="48"/>
  <c r="O112" i="48"/>
  <c r="M112" i="48"/>
  <c r="K112" i="48"/>
  <c r="I112" i="48"/>
  <c r="G112" i="48"/>
  <c r="F112" i="48"/>
  <c r="E112" i="48"/>
  <c r="H111" i="48"/>
  <c r="P111" i="48"/>
  <c r="H110" i="48"/>
  <c r="H109" i="48"/>
  <c r="Q109" i="48"/>
  <c r="H139" i="48"/>
  <c r="J139" i="48"/>
  <c r="H135" i="48"/>
  <c r="P135" i="48"/>
  <c r="H134" i="48"/>
  <c r="J134" i="48"/>
  <c r="H133" i="48"/>
  <c r="L133" i="48"/>
  <c r="H131" i="48"/>
  <c r="L131" i="48"/>
  <c r="H130" i="48"/>
  <c r="H129" i="48"/>
  <c r="H127" i="48"/>
  <c r="Q127" i="48"/>
  <c r="R127" i="48"/>
  <c r="H123" i="48"/>
  <c r="P123" i="48"/>
  <c r="Q122" i="48"/>
  <c r="H121" i="48"/>
  <c r="N121" i="48"/>
  <c r="H119" i="48"/>
  <c r="Q119" i="48"/>
  <c r="H118" i="48"/>
  <c r="N118" i="48"/>
  <c r="H117" i="48"/>
  <c r="P117" i="48"/>
  <c r="H115" i="48"/>
  <c r="L115" i="48"/>
  <c r="H114" i="48"/>
  <c r="L114" i="48"/>
  <c r="H113" i="48"/>
  <c r="L113" i="48"/>
  <c r="H107" i="48"/>
  <c r="H105" i="48"/>
  <c r="Q105" i="48"/>
  <c r="R105" i="48"/>
  <c r="H103" i="48"/>
  <c r="Q103" i="48"/>
  <c r="R103" i="48"/>
  <c r="H102" i="48"/>
  <c r="Q102" i="48"/>
  <c r="H101" i="48"/>
  <c r="L101" i="48"/>
  <c r="H99" i="48"/>
  <c r="H98" i="48"/>
  <c r="L98" i="48"/>
  <c r="H97" i="48"/>
  <c r="P97" i="48"/>
  <c r="H95" i="48"/>
  <c r="L95" i="48"/>
  <c r="H91" i="48"/>
  <c r="H90" i="48"/>
  <c r="P90" i="48"/>
  <c r="H89" i="48"/>
  <c r="P89" i="48"/>
  <c r="H87" i="48"/>
  <c r="N87" i="48"/>
  <c r="H86" i="48"/>
  <c r="N86" i="48"/>
  <c r="H85" i="48"/>
  <c r="N85" i="48" s="1"/>
  <c r="Q85" i="48"/>
  <c r="H83" i="48"/>
  <c r="J83" i="48"/>
  <c r="H82" i="48"/>
  <c r="H81" i="48"/>
  <c r="H79" i="48"/>
  <c r="N79" i="48"/>
  <c r="H75" i="48"/>
  <c r="P75" i="48"/>
  <c r="H74" i="48"/>
  <c r="H73" i="48"/>
  <c r="H71" i="48"/>
  <c r="H67" i="48"/>
  <c r="L67" i="48"/>
  <c r="H66" i="48"/>
  <c r="H65" i="48"/>
  <c r="H63" i="48"/>
  <c r="H59" i="48"/>
  <c r="P127" i="48"/>
  <c r="P101" i="48"/>
  <c r="G140" i="48"/>
  <c r="E140" i="48"/>
  <c r="O136" i="48"/>
  <c r="M136" i="48"/>
  <c r="K136" i="48"/>
  <c r="I136" i="48"/>
  <c r="G136" i="48"/>
  <c r="F136" i="48"/>
  <c r="E136" i="48"/>
  <c r="G132" i="48"/>
  <c r="F132" i="48"/>
  <c r="E132" i="48"/>
  <c r="F128" i="48"/>
  <c r="E128" i="48"/>
  <c r="O124" i="48"/>
  <c r="M124" i="48"/>
  <c r="K124" i="48"/>
  <c r="I124" i="48"/>
  <c r="G124" i="48"/>
  <c r="F124" i="48"/>
  <c r="E124" i="48"/>
  <c r="O120" i="48"/>
  <c r="M120" i="48"/>
  <c r="K120" i="48"/>
  <c r="I120" i="48"/>
  <c r="G120" i="48"/>
  <c r="F120" i="48"/>
  <c r="E120" i="48"/>
  <c r="O116" i="48"/>
  <c r="M116" i="48"/>
  <c r="K116" i="48"/>
  <c r="I116" i="48"/>
  <c r="G116" i="48"/>
  <c r="F116" i="48"/>
  <c r="E116" i="48"/>
  <c r="O108" i="48"/>
  <c r="M108" i="48"/>
  <c r="K108" i="48"/>
  <c r="I108" i="48"/>
  <c r="G108" i="48"/>
  <c r="F108" i="48"/>
  <c r="O104" i="48"/>
  <c r="M104" i="48"/>
  <c r="K104" i="48"/>
  <c r="I104" i="48"/>
  <c r="G104" i="48"/>
  <c r="F104" i="48"/>
  <c r="E104" i="48"/>
  <c r="G100" i="48"/>
  <c r="F100" i="48"/>
  <c r="E100" i="48"/>
  <c r="O96" i="48"/>
  <c r="M96" i="48"/>
  <c r="K96" i="48"/>
  <c r="I96" i="48"/>
  <c r="F96" i="48"/>
  <c r="E96" i="48"/>
  <c r="G92" i="48"/>
  <c r="F92" i="48"/>
  <c r="E92" i="48"/>
  <c r="O88" i="48"/>
  <c r="M88" i="48"/>
  <c r="K88" i="48"/>
  <c r="I88" i="48"/>
  <c r="G88" i="48"/>
  <c r="F88" i="48"/>
  <c r="E88" i="48"/>
  <c r="G84" i="48"/>
  <c r="F84" i="48"/>
  <c r="E84" i="48"/>
  <c r="F80" i="48"/>
  <c r="E80" i="48"/>
  <c r="G76" i="48"/>
  <c r="F76" i="48"/>
  <c r="E76" i="48"/>
  <c r="F72" i="48"/>
  <c r="E72" i="48"/>
  <c r="G68" i="48"/>
  <c r="F68" i="48"/>
  <c r="E68" i="48"/>
  <c r="F64" i="48"/>
  <c r="E64" i="48"/>
  <c r="F60" i="48"/>
  <c r="E60" i="48"/>
  <c r="E143" i="48"/>
  <c r="E142" i="48"/>
  <c r="E141" i="48"/>
  <c r="J127" i="48"/>
  <c r="J102" i="48"/>
  <c r="L97" i="48"/>
  <c r="L103" i="48"/>
  <c r="N102" i="48"/>
  <c r="L121" i="48"/>
  <c r="J101" i="48"/>
  <c r="L127" i="48"/>
  <c r="J103" i="48"/>
  <c r="N101" i="48"/>
  <c r="H76" i="48"/>
  <c r="Q63" i="48"/>
  <c r="R63" i="48"/>
  <c r="P63" i="48"/>
  <c r="N63" i="48"/>
  <c r="L63" i="48"/>
  <c r="J63" i="48"/>
  <c r="L71" i="48"/>
  <c r="N71" i="48"/>
  <c r="P71" i="48"/>
  <c r="N110" i="48"/>
  <c r="Q110" i="48"/>
  <c r="J107" i="48"/>
  <c r="J59" i="48"/>
  <c r="J122" i="48"/>
  <c r="L122" i="48"/>
  <c r="H106" i="48"/>
  <c r="P105" i="48"/>
  <c r="L105" i="48"/>
  <c r="J105" i="48"/>
  <c r="N105" i="48"/>
  <c r="N90" i="48"/>
  <c r="N97" i="48"/>
  <c r="P133" i="48"/>
  <c r="Q97" i="48"/>
  <c r="R97" i="48"/>
  <c r="H104" i="48"/>
  <c r="L104" i="48"/>
  <c r="Q101" i="48"/>
  <c r="R101" i="48"/>
  <c r="J135" i="48"/>
  <c r="L117" i="48"/>
  <c r="N133" i="48"/>
  <c r="J75" i="48"/>
  <c r="J121" i="48"/>
  <c r="L102" i="48"/>
  <c r="N115" i="48"/>
  <c r="Q115" i="48"/>
  <c r="R115" i="48"/>
  <c r="J114" i="48"/>
  <c r="H136" i="48"/>
  <c r="N136" i="48"/>
  <c r="H132" i="48"/>
  <c r="H143" i="48"/>
  <c r="Q121" i="48"/>
  <c r="R121" i="48"/>
  <c r="L107" i="48"/>
  <c r="N122" i="48"/>
  <c r="P121" i="48"/>
  <c r="Q79" i="48"/>
  <c r="R79" i="48"/>
  <c r="L111" i="48"/>
  <c r="J115" i="48"/>
  <c r="N117" i="48"/>
  <c r="P114" i="48"/>
  <c r="Q117" i="48"/>
  <c r="R117" i="48"/>
  <c r="J90" i="48"/>
  <c r="P115" i="48"/>
  <c r="J111" i="48"/>
  <c r="J97" i="48"/>
  <c r="N75" i="48"/>
  <c r="P122" i="48"/>
  <c r="Q131" i="48"/>
  <c r="R131" i="48"/>
  <c r="Q111" i="48"/>
  <c r="R111" i="48"/>
  <c r="L89" i="48"/>
  <c r="J133" i="48"/>
  <c r="Q133" i="48"/>
  <c r="R133" i="48"/>
  <c r="Q89" i="48"/>
  <c r="R89" i="48"/>
  <c r="Q95" i="48"/>
  <c r="R95" i="48"/>
  <c r="J117" i="48"/>
  <c r="H92" i="48"/>
  <c r="N114" i="48"/>
  <c r="P102" i="48"/>
  <c r="Q114" i="48"/>
  <c r="R114" i="48"/>
  <c r="P109" i="48"/>
  <c r="J109" i="48"/>
  <c r="L109" i="48"/>
  <c r="J110" i="48"/>
  <c r="L110" i="48"/>
  <c r="R109" i="48"/>
  <c r="P110" i="48"/>
  <c r="N109" i="48"/>
  <c r="R110" i="48"/>
  <c r="H112" i="48"/>
  <c r="P112" i="48"/>
  <c r="N111" i="48"/>
  <c r="E144" i="48"/>
  <c r="R122" i="48"/>
  <c r="R102" i="48"/>
  <c r="L135" i="48"/>
  <c r="N119" i="48"/>
  <c r="P118" i="48"/>
  <c r="N98" i="48"/>
  <c r="N127" i="48"/>
  <c r="R85" i="48"/>
  <c r="H124" i="48"/>
  <c r="J124" i="48"/>
  <c r="Q98" i="48"/>
  <c r="R98" i="48"/>
  <c r="Q118" i="48"/>
  <c r="Q134" i="48"/>
  <c r="R134" i="48"/>
  <c r="L59" i="48"/>
  <c r="L134" i="48"/>
  <c r="P98" i="48"/>
  <c r="Q67" i="48"/>
  <c r="R67" i="48"/>
  <c r="Q83" i="48"/>
  <c r="R83" i="48"/>
  <c r="Q135" i="48"/>
  <c r="R135" i="48"/>
  <c r="J118" i="48"/>
  <c r="N103" i="48"/>
  <c r="Q86" i="48"/>
  <c r="R86" i="48"/>
  <c r="L83" i="48"/>
  <c r="L118" i="48"/>
  <c r="N59" i="48"/>
  <c r="N134" i="48"/>
  <c r="P103" i="48"/>
  <c r="Q71" i="48"/>
  <c r="R71" i="48"/>
  <c r="Q87" i="48"/>
  <c r="R87" i="48"/>
  <c r="Q123" i="48"/>
  <c r="R123" i="48"/>
  <c r="Q139" i="48"/>
  <c r="R139" i="48"/>
  <c r="N135" i="48"/>
  <c r="H120" i="48"/>
  <c r="J120" i="48"/>
  <c r="N83" i="48"/>
  <c r="P134" i="48"/>
  <c r="Q90" i="48"/>
  <c r="J98" i="48"/>
  <c r="P59" i="48"/>
  <c r="Q59" i="48"/>
  <c r="Q75" i="48"/>
  <c r="R75" i="48"/>
  <c r="Q107" i="48"/>
  <c r="R107" i="48"/>
  <c r="H100" i="48"/>
  <c r="Q113" i="48"/>
  <c r="P104" i="48"/>
  <c r="P139" i="48"/>
  <c r="L139" i="48"/>
  <c r="N139" i="48"/>
  <c r="J131" i="48"/>
  <c r="N131" i="48"/>
  <c r="P131" i="48"/>
  <c r="N123" i="48"/>
  <c r="J123" i="48"/>
  <c r="L123" i="48"/>
  <c r="J119" i="48"/>
  <c r="R119" i="48"/>
  <c r="L119" i="48"/>
  <c r="P119" i="48"/>
  <c r="J113" i="48"/>
  <c r="P113" i="48"/>
  <c r="H116" i="48"/>
  <c r="J116" i="48"/>
  <c r="N113" i="48"/>
  <c r="P107" i="48"/>
  <c r="N107" i="48"/>
  <c r="J104" i="48"/>
  <c r="N95" i="48"/>
  <c r="P95" i="48"/>
  <c r="J95" i="48"/>
  <c r="N89" i="48"/>
  <c r="J89" i="48"/>
  <c r="L90" i="48"/>
  <c r="H88" i="48"/>
  <c r="J87" i="48"/>
  <c r="L85" i="48"/>
  <c r="P85" i="48"/>
  <c r="J85" i="48"/>
  <c r="L86" i="48"/>
  <c r="P86" i="48"/>
  <c r="J86" i="48"/>
  <c r="L87" i="48"/>
  <c r="P87" i="48"/>
  <c r="P83" i="48"/>
  <c r="H84" i="48"/>
  <c r="P79" i="48"/>
  <c r="L79" i="48"/>
  <c r="J79" i="48"/>
  <c r="L75" i="48"/>
  <c r="J71" i="48"/>
  <c r="H68" i="48"/>
  <c r="P67" i="48"/>
  <c r="N67" i="48"/>
  <c r="J67" i="48"/>
  <c r="G143" i="48"/>
  <c r="F143" i="48"/>
  <c r="N104" i="48"/>
  <c r="N120" i="48"/>
  <c r="J136" i="48"/>
  <c r="Q104" i="48"/>
  <c r="R104" i="48"/>
  <c r="L136" i="48"/>
  <c r="P136" i="48"/>
  <c r="P124" i="48"/>
  <c r="N106" i="48"/>
  <c r="L106" i="48"/>
  <c r="J106" i="48"/>
  <c r="H108" i="48"/>
  <c r="P106" i="48"/>
  <c r="Q106" i="48"/>
  <c r="R106" i="48"/>
  <c r="N124" i="48"/>
  <c r="L124" i="48"/>
  <c r="P120" i="48"/>
  <c r="L120" i="48"/>
  <c r="N112" i="48"/>
  <c r="L112" i="48"/>
  <c r="J112" i="48"/>
  <c r="Q112" i="48"/>
  <c r="R112" i="48"/>
  <c r="R90" i="48"/>
  <c r="Q120" i="48"/>
  <c r="R120" i="48"/>
  <c r="R118" i="48"/>
  <c r="Q124" i="48"/>
  <c r="R124" i="48"/>
  <c r="Q116" i="48"/>
  <c r="R116" i="48"/>
  <c r="R113" i="48"/>
  <c r="R59" i="48"/>
  <c r="Q88" i="48"/>
  <c r="R88" i="48"/>
  <c r="Q136" i="48"/>
  <c r="R136" i="48"/>
  <c r="L116" i="48"/>
  <c r="N116" i="48"/>
  <c r="P116" i="48"/>
  <c r="P88" i="48"/>
  <c r="L88" i="48"/>
  <c r="N88" i="48"/>
  <c r="J88" i="48"/>
  <c r="L108" i="48"/>
  <c r="P108" i="48"/>
  <c r="J108" i="48"/>
  <c r="N108" i="48"/>
  <c r="Q108" i="48"/>
  <c r="R108" i="48"/>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7" i="2"/>
  <c r="AB6" i="2"/>
  <c r="C12" i="49"/>
  <c r="C13" i="49"/>
  <c r="C14" i="49"/>
  <c r="C15" i="49"/>
  <c r="AI1" i="44"/>
  <c r="AH1" i="44"/>
  <c r="AI1" i="52"/>
  <c r="E8" i="48"/>
  <c r="M10" i="48"/>
  <c r="C5" i="49"/>
  <c r="D5" i="49"/>
  <c r="E5" i="49"/>
  <c r="H5" i="49"/>
  <c r="K5" i="49"/>
  <c r="N5" i="49"/>
  <c r="D6" i="49"/>
  <c r="E6" i="49"/>
  <c r="H6" i="49"/>
  <c r="K6" i="49"/>
  <c r="N6" i="49"/>
  <c r="C8" i="49"/>
  <c r="D8" i="49"/>
  <c r="E8" i="49"/>
  <c r="H8" i="49"/>
  <c r="K8" i="49"/>
  <c r="N8" i="49"/>
  <c r="C9" i="49"/>
  <c r="D9" i="49"/>
  <c r="E9" i="49"/>
  <c r="H9" i="49"/>
  <c r="K9" i="49"/>
  <c r="N9" i="49"/>
  <c r="C10" i="49"/>
  <c r="D10" i="49"/>
  <c r="E10" i="49"/>
  <c r="H10" i="49"/>
  <c r="K10" i="49"/>
  <c r="N10" i="49"/>
  <c r="C11" i="49"/>
  <c r="D11" i="49"/>
  <c r="E11" i="49"/>
  <c r="H11" i="49"/>
  <c r="K11" i="49"/>
  <c r="N11" i="49"/>
  <c r="D12" i="49"/>
  <c r="E12" i="49"/>
  <c r="H12" i="49"/>
  <c r="K12" i="49"/>
  <c r="N12" i="49"/>
  <c r="D13" i="49"/>
  <c r="E13" i="49"/>
  <c r="H13" i="49"/>
  <c r="K13" i="49"/>
  <c r="N13" i="49"/>
  <c r="D14" i="49"/>
  <c r="E14" i="49"/>
  <c r="H14" i="49"/>
  <c r="K14" i="49"/>
  <c r="N14" i="49"/>
  <c r="D15" i="49"/>
  <c r="E15" i="49"/>
  <c r="H15" i="49"/>
  <c r="K15" i="49"/>
  <c r="N15" i="49"/>
  <c r="C16" i="49"/>
  <c r="D16" i="49"/>
  <c r="E16" i="49"/>
  <c r="F16" i="49"/>
  <c r="G16" i="49"/>
  <c r="H16" i="49"/>
  <c r="I16" i="49"/>
  <c r="J16" i="49"/>
  <c r="K16" i="49"/>
  <c r="L16" i="49"/>
  <c r="M16" i="49"/>
  <c r="N16" i="49"/>
  <c r="O12" i="48"/>
  <c r="O16" i="48" s="1"/>
  <c r="O11" i="48"/>
  <c r="O10" i="48"/>
  <c r="M12" i="48"/>
  <c r="M16" i="48" s="1"/>
  <c r="M11" i="48"/>
  <c r="K12" i="48"/>
  <c r="K16" i="48" s="1"/>
  <c r="K11" i="48"/>
  <c r="K10" i="48"/>
  <c r="I12" i="48"/>
  <c r="I16" i="48" s="1"/>
  <c r="I11" i="48"/>
  <c r="I10" i="48"/>
  <c r="G12" i="48"/>
  <c r="G16" i="48" s="1"/>
  <c r="E11" i="48"/>
  <c r="E10" i="48"/>
  <c r="O8" i="48"/>
  <c r="M8" i="48"/>
  <c r="N8" i="48" s="1"/>
  <c r="K8" i="48"/>
  <c r="I8" i="48"/>
  <c r="O7" i="48"/>
  <c r="M7" i="48"/>
  <c r="K7" i="48"/>
  <c r="I7" i="48"/>
  <c r="G7" i="48"/>
  <c r="E7" i="48"/>
  <c r="E12" i="48"/>
  <c r="E16" i="48" s="1"/>
  <c r="G11" i="48"/>
  <c r="G10" i="48"/>
  <c r="G8"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B5" i="2"/>
  <c r="F55" i="47"/>
  <c r="F54" i="47"/>
  <c r="F53" i="47"/>
  <c r="F52" i="47"/>
  <c r="F51" i="47"/>
  <c r="F50" i="47"/>
  <c r="F48" i="47"/>
  <c r="F47" i="47"/>
  <c r="F46" i="47"/>
  <c r="F45" i="47"/>
  <c r="F44" i="47"/>
  <c r="F43" i="47"/>
  <c r="E49" i="47"/>
  <c r="D49" i="47"/>
  <c r="F49" i="47"/>
  <c r="C49" i="47"/>
  <c r="E42" i="47"/>
  <c r="D42" i="47"/>
  <c r="F42" i="47"/>
  <c r="C42" i="47"/>
  <c r="D35" i="47"/>
  <c r="C35" i="47"/>
  <c r="F32" i="47"/>
  <c r="F34" i="47"/>
  <c r="F33" i="47"/>
  <c r="F31" i="47"/>
  <c r="F30" i="47"/>
  <c r="F29" i="47"/>
  <c r="E28" i="47"/>
  <c r="D28" i="47"/>
  <c r="C28" i="47"/>
  <c r="C57" i="47"/>
  <c r="F28" i="47"/>
  <c r="D57" i="47"/>
  <c r="D8" i="47"/>
  <c r="F16" i="47"/>
  <c r="E16" i="47"/>
  <c r="D16" i="47"/>
  <c r="F15" i="47"/>
  <c r="E15" i="47"/>
  <c r="D15" i="47"/>
  <c r="C15" i="47"/>
  <c r="C16" i="47"/>
  <c r="C8" i="47"/>
  <c r="E8" i="47"/>
  <c r="S60" i="46"/>
  <c r="R60" i="46"/>
  <c r="O60" i="46"/>
  <c r="N60" i="46"/>
  <c r="K60" i="46"/>
  <c r="J60" i="46"/>
  <c r="H60" i="46"/>
  <c r="F59" i="46"/>
  <c r="F58" i="46"/>
  <c r="F57" i="46"/>
  <c r="F56" i="46"/>
  <c r="D52" i="46"/>
  <c r="E52" i="46"/>
  <c r="D51" i="46"/>
  <c r="E51" i="46"/>
  <c r="D50" i="46"/>
  <c r="D49" i="46"/>
  <c r="E49" i="46"/>
  <c r="D48" i="46"/>
  <c r="E48" i="46"/>
  <c r="D47" i="46"/>
  <c r="E47" i="46"/>
  <c r="D46" i="46"/>
  <c r="D45" i="46"/>
  <c r="E45" i="46"/>
  <c r="D44" i="46"/>
  <c r="E44" i="46"/>
  <c r="D43" i="46"/>
  <c r="D42" i="46"/>
  <c r="D41" i="46"/>
  <c r="E41" i="46"/>
  <c r="D40" i="46"/>
  <c r="E40" i="46"/>
  <c r="D39" i="46"/>
  <c r="D38" i="46"/>
  <c r="D37" i="46"/>
  <c r="E37" i="46"/>
  <c r="D36" i="46"/>
  <c r="E36" i="46"/>
  <c r="D35" i="46"/>
  <c r="D34" i="46"/>
  <c r="D33" i="46"/>
  <c r="E33" i="46"/>
  <c r="D32" i="46"/>
  <c r="E32" i="46"/>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c r="D24" i="46"/>
  <c r="E24" i="46"/>
  <c r="D23" i="46"/>
  <c r="E23" i="46"/>
  <c r="D22" i="46"/>
  <c r="E22" i="46"/>
  <c r="D21" i="46"/>
  <c r="E21" i="46"/>
  <c r="D20" i="46"/>
  <c r="E20" i="46"/>
  <c r="D19" i="46"/>
  <c r="E19" i="46"/>
  <c r="D18" i="46"/>
  <c r="E18" i="46"/>
  <c r="D17" i="46"/>
  <c r="E17" i="46"/>
  <c r="D16" i="46"/>
  <c r="E16" i="46"/>
  <c r="D15" i="46"/>
  <c r="E15" i="46"/>
  <c r="D14" i="46"/>
  <c r="E14" i="46"/>
  <c r="D13" i="46"/>
  <c r="E13" i="46"/>
  <c r="D12" i="46"/>
  <c r="E12" i="46"/>
  <c r="D11" i="46"/>
  <c r="E11" i="46"/>
  <c r="D10" i="46"/>
  <c r="E10" i="46"/>
  <c r="D9" i="46"/>
  <c r="E9" i="46"/>
  <c r="D8" i="46"/>
  <c r="E8" i="46"/>
  <c r="D7" i="46"/>
  <c r="E7" i="46"/>
  <c r="D6" i="46"/>
  <c r="E6" i="46"/>
  <c r="D5" i="46"/>
  <c r="E5" i="46"/>
  <c r="D4" i="46"/>
  <c r="E4" i="46"/>
  <c r="D3" i="46"/>
  <c r="E3" i="46"/>
  <c r="G25" i="46"/>
  <c r="G24" i="46"/>
  <c r="G23" i="46"/>
  <c r="G22" i="46"/>
  <c r="G21" i="46"/>
  <c r="G20" i="46"/>
  <c r="G19" i="46"/>
  <c r="G18" i="46"/>
  <c r="G17" i="46"/>
  <c r="G16" i="46"/>
  <c r="G15" i="46"/>
  <c r="G14" i="46"/>
  <c r="G13" i="46"/>
  <c r="G12" i="46"/>
  <c r="G11" i="46"/>
  <c r="G10" i="46"/>
  <c r="G9" i="46"/>
  <c r="G8" i="46"/>
  <c r="G7" i="46"/>
  <c r="G6" i="46"/>
  <c r="G5" i="46"/>
  <c r="G4" i="46"/>
  <c r="G3" i="46"/>
  <c r="F26" i="46"/>
  <c r="D7" i="47"/>
  <c r="J25" i="46"/>
  <c r="J24" i="46"/>
  <c r="J23" i="46"/>
  <c r="J22" i="46"/>
  <c r="J21" i="46"/>
  <c r="J20" i="46"/>
  <c r="J19" i="46"/>
  <c r="J18" i="46"/>
  <c r="J17" i="46"/>
  <c r="J16" i="46"/>
  <c r="J15" i="46"/>
  <c r="J14" i="46"/>
  <c r="J13" i="46"/>
  <c r="J12" i="46"/>
  <c r="J11" i="46"/>
  <c r="J10" i="46"/>
  <c r="J9" i="46"/>
  <c r="J8" i="46"/>
  <c r="J7" i="46"/>
  <c r="J6" i="46"/>
  <c r="J5" i="46"/>
  <c r="J4" i="46"/>
  <c r="J3" i="46"/>
  <c r="C26" i="46"/>
  <c r="K26" i="46"/>
  <c r="N26" i="46"/>
  <c r="J53" i="46"/>
  <c r="R53" i="46"/>
  <c r="N53" i="46"/>
  <c r="F8" i="47"/>
  <c r="D10" i="47"/>
  <c r="R26" i="46"/>
  <c r="C7" i="47"/>
  <c r="E7" i="47"/>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c r="G53" i="46"/>
  <c r="K53" i="46"/>
  <c r="D26" i="46"/>
  <c r="E26" i="46"/>
  <c r="J26" i="46"/>
  <c r="C10" i="47"/>
  <c r="F7" i="47"/>
  <c r="L60" i="46"/>
  <c r="T57" i="46"/>
  <c r="Q58" i="46"/>
  <c r="T59" i="46"/>
  <c r="I59" i="46"/>
  <c r="P60" i="46"/>
  <c r="P59" i="46"/>
  <c r="U58" i="46"/>
  <c r="M58" i="46"/>
  <c r="U59" i="46"/>
  <c r="L59" i="46"/>
  <c r="G59" i="46"/>
  <c r="F10" i="47"/>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60" i="46"/>
  <c r="Q60" i="46"/>
  <c r="M60" i="46"/>
  <c r="U60" i="46"/>
  <c r="H187" i="48" l="1"/>
  <c r="I15" i="48"/>
  <c r="H12" i="48"/>
  <c r="H148" i="48" s="1"/>
  <c r="J12" i="48"/>
  <c r="C18" i="47"/>
  <c r="C22" i="47" s="1"/>
  <c r="I13" i="48"/>
  <c r="K13" i="48"/>
  <c r="K19" i="48"/>
  <c r="P12" i="48"/>
  <c r="I14" i="48"/>
  <c r="I17" i="48" s="1"/>
  <c r="N10" i="48"/>
  <c r="F18" i="47"/>
  <c r="F22" i="47" s="1"/>
  <c r="O15" i="48"/>
  <c r="O13" i="48"/>
  <c r="L10" i="48"/>
  <c r="P7" i="48"/>
  <c r="J10" i="48"/>
  <c r="G15" i="48"/>
  <c r="K15" i="48"/>
  <c r="E9" i="48"/>
  <c r="G14" i="48"/>
  <c r="E18" i="47"/>
  <c r="E20" i="47" s="1"/>
  <c r="L16" i="48"/>
  <c r="L11" i="48"/>
  <c r="H7" i="48"/>
  <c r="J7" i="48" s="1"/>
  <c r="I9" i="48"/>
  <c r="L7" i="48"/>
  <c r="M15" i="48"/>
  <c r="M13" i="48"/>
  <c r="N16" i="48"/>
  <c r="H10" i="48"/>
  <c r="Q10" i="48" s="1"/>
  <c r="R10" i="48" s="1"/>
  <c r="P16" i="48"/>
  <c r="P10" i="48"/>
  <c r="J16" i="48"/>
  <c r="M9" i="48"/>
  <c r="O9" i="48"/>
  <c r="D18" i="47"/>
  <c r="D20" i="47" s="1"/>
  <c r="L12" i="48"/>
  <c r="H16" i="48"/>
  <c r="Q16" i="48" s="1"/>
  <c r="R16" i="48" s="1"/>
  <c r="H8" i="48"/>
  <c r="Q8" i="48" s="1"/>
  <c r="R8" i="48" s="1"/>
  <c r="K14" i="48"/>
  <c r="N7" i="48"/>
  <c r="G13" i="48"/>
  <c r="M14" i="48"/>
  <c r="K9" i="48"/>
  <c r="P11" i="48"/>
  <c r="G9" i="48"/>
  <c r="E15" i="48"/>
  <c r="J15" i="48" s="1"/>
  <c r="J11" i="48"/>
  <c r="H11" i="48"/>
  <c r="Q11" i="48" s="1"/>
  <c r="R11" i="48" s="1"/>
  <c r="N12" i="48"/>
  <c r="O14" i="48"/>
  <c r="L8" i="48"/>
  <c r="E13" i="48"/>
  <c r="E14" i="48"/>
  <c r="J8" i="48"/>
  <c r="P8" i="48"/>
  <c r="N11" i="48"/>
  <c r="O91" i="48"/>
  <c r="M91" i="48"/>
  <c r="O129" i="48"/>
  <c r="I99" i="48"/>
  <c r="M130" i="48"/>
  <c r="O74" i="48"/>
  <c r="K99" i="48"/>
  <c r="O66" i="48"/>
  <c r="K65" i="48"/>
  <c r="M74" i="48"/>
  <c r="M129" i="48"/>
  <c r="M73" i="48"/>
  <c r="I129" i="48"/>
  <c r="I73" i="48"/>
  <c r="K66" i="48"/>
  <c r="I66" i="48"/>
  <c r="K129" i="48"/>
  <c r="K130" i="48"/>
  <c r="O130" i="48"/>
  <c r="M99" i="48"/>
  <c r="M65" i="48"/>
  <c r="I65" i="48"/>
  <c r="I91" i="48"/>
  <c r="O73" i="48"/>
  <c r="O65" i="48"/>
  <c r="I130" i="48"/>
  <c r="K74" i="48"/>
  <c r="K73" i="48"/>
  <c r="M66" i="48"/>
  <c r="K91" i="48"/>
  <c r="O99" i="48"/>
  <c r="I74" i="48"/>
  <c r="G70" i="48"/>
  <c r="K61" i="48"/>
  <c r="G61" i="48"/>
  <c r="M138" i="48"/>
  <c r="O62" i="48"/>
  <c r="O61" i="48"/>
  <c r="K137" i="48"/>
  <c r="G93" i="48"/>
  <c r="G69" i="48"/>
  <c r="I62" i="48"/>
  <c r="G126" i="48"/>
  <c r="M57" i="48"/>
  <c r="K57" i="48"/>
  <c r="G94" i="48"/>
  <c r="I58" i="48"/>
  <c r="I138" i="48"/>
  <c r="M62" i="48"/>
  <c r="I137" i="48"/>
  <c r="M137" i="48"/>
  <c r="K58" i="48"/>
  <c r="G62" i="48"/>
  <c r="G57" i="48"/>
  <c r="O137" i="48"/>
  <c r="I61" i="48"/>
  <c r="M58" i="48"/>
  <c r="G78" i="48"/>
  <c r="F138" i="48"/>
  <c r="K138" i="48"/>
  <c r="K62" i="48"/>
  <c r="O138" i="48"/>
  <c r="O57" i="48"/>
  <c r="I57" i="48"/>
  <c r="G58" i="48"/>
  <c r="O58" i="48"/>
  <c r="G77" i="48"/>
  <c r="G125" i="48"/>
  <c r="M61" i="48"/>
  <c r="F137" i="48"/>
  <c r="I47" i="48"/>
  <c r="O78" i="48"/>
  <c r="I44" i="48"/>
  <c r="O44" i="48"/>
  <c r="O69" i="48"/>
  <c r="M157" i="48"/>
  <c r="K167" i="48"/>
  <c r="I38" i="48"/>
  <c r="I81" i="48"/>
  <c r="O38" i="48"/>
  <c r="O162" i="48"/>
  <c r="M174" i="48"/>
  <c r="O42" i="48"/>
  <c r="D50" i="7"/>
  <c r="I33" i="48"/>
  <c r="M39" i="48"/>
  <c r="I165" i="48"/>
  <c r="O161" i="48"/>
  <c r="I162" i="48"/>
  <c r="O171" i="48"/>
  <c r="K38" i="48"/>
  <c r="M70" i="48"/>
  <c r="K77" i="48"/>
  <c r="I170" i="48"/>
  <c r="K125" i="48"/>
  <c r="I46" i="48"/>
  <c r="J50" i="7"/>
  <c r="I158" i="48"/>
  <c r="K165" i="48"/>
  <c r="K32" i="48"/>
  <c r="O179" i="48"/>
  <c r="I41" i="48"/>
  <c r="I32" i="48"/>
  <c r="M159" i="48"/>
  <c r="K126" i="48"/>
  <c r="K69" i="48"/>
  <c r="O29" i="48"/>
  <c r="I161" i="48"/>
  <c r="K36" i="48"/>
  <c r="K158" i="48"/>
  <c r="O46" i="48"/>
  <c r="E37" i="47"/>
  <c r="M126" i="48"/>
  <c r="I50" i="7"/>
  <c r="M32" i="48"/>
  <c r="K33" i="48"/>
  <c r="E50" i="7"/>
  <c r="K162" i="48"/>
  <c r="O157" i="48"/>
  <c r="M167" i="48"/>
  <c r="K29" i="48"/>
  <c r="O41" i="48"/>
  <c r="H50" i="7"/>
  <c r="I126" i="48"/>
  <c r="O159" i="48"/>
  <c r="M162" i="48"/>
  <c r="I35" i="48"/>
  <c r="M165" i="48"/>
  <c r="M81" i="48"/>
  <c r="M176" i="48"/>
  <c r="M173" i="48"/>
  <c r="I164" i="48"/>
  <c r="M33" i="48"/>
  <c r="K26" i="48"/>
  <c r="M168" i="48"/>
  <c r="I77" i="48"/>
  <c r="I78" i="48"/>
  <c r="O164" i="48"/>
  <c r="K35" i="48"/>
  <c r="K23" i="48"/>
  <c r="C50" i="7"/>
  <c r="O26" i="48"/>
  <c r="M41" i="48"/>
  <c r="I70" i="48"/>
  <c r="I24" i="48"/>
  <c r="K182" i="48"/>
  <c r="M29" i="48"/>
  <c r="K179" i="48"/>
  <c r="K164" i="48"/>
  <c r="I23" i="48"/>
  <c r="K82" i="48"/>
  <c r="O158" i="48"/>
  <c r="K47" i="48"/>
  <c r="I176" i="48"/>
  <c r="O182" i="48"/>
  <c r="M170" i="48"/>
  <c r="I174" i="48"/>
  <c r="M23" i="48"/>
  <c r="O125" i="48"/>
  <c r="K24" i="48"/>
  <c r="O23" i="48"/>
  <c r="O181" i="48"/>
  <c r="I30" i="48"/>
  <c r="I179" i="48"/>
  <c r="I168" i="48"/>
  <c r="K171" i="48"/>
  <c r="O36" i="48"/>
  <c r="O173" i="48"/>
  <c r="M22" i="48"/>
  <c r="O165" i="48"/>
  <c r="M46" i="48"/>
  <c r="O27" i="48"/>
  <c r="O30" i="48"/>
  <c r="M177" i="48"/>
  <c r="M35" i="48"/>
  <c r="M42" i="48"/>
  <c r="O177" i="48"/>
  <c r="I181" i="48"/>
  <c r="M36" i="48"/>
  <c r="I171" i="48"/>
  <c r="O82" i="48"/>
  <c r="I22" i="48"/>
  <c r="I173" i="48"/>
  <c r="M181" i="48"/>
  <c r="I26" i="48"/>
  <c r="K159" i="48"/>
  <c r="K173" i="48"/>
  <c r="M82" i="48"/>
  <c r="K70" i="48"/>
  <c r="K44" i="48"/>
  <c r="K22" i="48"/>
  <c r="I39" i="48"/>
  <c r="M179" i="48"/>
  <c r="E38" i="47"/>
  <c r="I82" i="48"/>
  <c r="I177" i="48"/>
  <c r="M182" i="48"/>
  <c r="O81" i="48"/>
  <c r="K157" i="48"/>
  <c r="O126" i="48"/>
  <c r="O22" i="48"/>
  <c r="O167" i="48"/>
  <c r="K81" i="48"/>
  <c r="E41" i="47"/>
  <c r="I27" i="48"/>
  <c r="M78" i="48"/>
  <c r="I42" i="48"/>
  <c r="M38" i="48"/>
  <c r="K39" i="48"/>
  <c r="O170" i="48"/>
  <c r="M161" i="48"/>
  <c r="K27" i="48"/>
  <c r="I69" i="48"/>
  <c r="O168" i="48"/>
  <c r="K168" i="48"/>
  <c r="I29" i="48"/>
  <c r="O33" i="48"/>
  <c r="I167" i="48"/>
  <c r="E36" i="47"/>
  <c r="O176" i="48"/>
  <c r="O70" i="48"/>
  <c r="O174" i="48"/>
  <c r="M125" i="48"/>
  <c r="I36" i="48"/>
  <c r="K161" i="48"/>
  <c r="K42" i="48"/>
  <c r="F50" i="7"/>
  <c r="I182" i="48"/>
  <c r="M24" i="48"/>
  <c r="I159" i="48"/>
  <c r="M171" i="48"/>
  <c r="K181" i="48"/>
  <c r="M30" i="48"/>
  <c r="K177" i="48"/>
  <c r="M47" i="48"/>
  <c r="K176" i="48"/>
  <c r="K30" i="48"/>
  <c r="M27" i="48"/>
  <c r="O24" i="48"/>
  <c r="K41" i="48"/>
  <c r="K174" i="48"/>
  <c r="K170" i="48"/>
  <c r="I125" i="48"/>
  <c r="E39" i="47"/>
  <c r="M26" i="48"/>
  <c r="M69" i="48"/>
  <c r="K46" i="48"/>
  <c r="O47" i="48"/>
  <c r="M44" i="48"/>
  <c r="K78" i="48"/>
  <c r="M77" i="48"/>
  <c r="E40" i="47"/>
  <c r="O35" i="48"/>
  <c r="M158" i="48"/>
  <c r="I157" i="48"/>
  <c r="O77" i="48"/>
  <c r="M164" i="48"/>
  <c r="O39" i="48"/>
  <c r="G50" i="7"/>
  <c r="O32" i="48"/>
  <c r="N176" i="48" l="1"/>
  <c r="M178" i="48"/>
  <c r="N178" i="48" s="1"/>
  <c r="I175" i="48"/>
  <c r="J173" i="48"/>
  <c r="Q173" i="48"/>
  <c r="R173" i="48" s="1"/>
  <c r="K175" i="48"/>
  <c r="L175" i="48" s="1"/>
  <c r="L173" i="48"/>
  <c r="N158" i="48"/>
  <c r="L158" i="48"/>
  <c r="N39" i="48"/>
  <c r="I72" i="48"/>
  <c r="K43" i="48"/>
  <c r="L43" i="48" s="1"/>
  <c r="L41" i="48"/>
  <c r="Q27" i="48"/>
  <c r="R27" i="48" s="1"/>
  <c r="J27" i="48"/>
  <c r="P177" i="48"/>
  <c r="L35" i="48"/>
  <c r="K37" i="48"/>
  <c r="L37" i="48" s="1"/>
  <c r="P181" i="48"/>
  <c r="O183" i="48"/>
  <c r="P183" i="48" s="1"/>
  <c r="M84" i="48"/>
  <c r="N84" i="48" s="1"/>
  <c r="N81" i="48"/>
  <c r="P32" i="48"/>
  <c r="O34" i="48"/>
  <c r="P34" i="48" s="1"/>
  <c r="J171" i="48"/>
  <c r="Q171" i="48"/>
  <c r="R171" i="48" s="1"/>
  <c r="N159" i="48"/>
  <c r="N44" i="48"/>
  <c r="M45" i="48"/>
  <c r="N45" i="48" s="1"/>
  <c r="J33" i="48"/>
  <c r="Q33" i="48"/>
  <c r="R33" i="48" s="1"/>
  <c r="K48" i="48"/>
  <c r="L48" i="48" s="1"/>
  <c r="L46" i="48"/>
  <c r="O186" i="48"/>
  <c r="P186" i="48" s="1"/>
  <c r="P24" i="48"/>
  <c r="O51" i="48"/>
  <c r="P51" i="48" s="1"/>
  <c r="F41" i="47"/>
  <c r="Q26" i="48"/>
  <c r="R26" i="48" s="1"/>
  <c r="I28" i="48"/>
  <c r="J26" i="48"/>
  <c r="O175" i="48"/>
  <c r="P175" i="48" s="1"/>
  <c r="P173" i="48"/>
  <c r="O50" i="48"/>
  <c r="P50" i="48" s="1"/>
  <c r="O185" i="48"/>
  <c r="P185" i="48" s="1"/>
  <c r="P23" i="48"/>
  <c r="N165" i="48"/>
  <c r="N29" i="48"/>
  <c r="M31" i="48"/>
  <c r="N31" i="48" s="1"/>
  <c r="P174" i="48"/>
  <c r="P35" i="48"/>
  <c r="O37" i="48"/>
  <c r="P37" i="48" s="1"/>
  <c r="P168" i="48"/>
  <c r="G52" i="7"/>
  <c r="P129" i="48"/>
  <c r="O132" i="48"/>
  <c r="P132" i="48" s="1"/>
  <c r="N27" i="48"/>
  <c r="K84" i="48"/>
  <c r="L84" i="48" s="1"/>
  <c r="L81" i="48"/>
  <c r="P164" i="48"/>
  <c r="O166" i="48"/>
  <c r="P166" i="48" s="1"/>
  <c r="K186" i="48"/>
  <c r="L186" i="48" s="1"/>
  <c r="L24" i="48"/>
  <c r="K51" i="48"/>
  <c r="L51" i="48" s="1"/>
  <c r="I37" i="48"/>
  <c r="Q35" i="48"/>
  <c r="R35" i="48" s="1"/>
  <c r="J35" i="48"/>
  <c r="R28" i="7"/>
  <c r="E54" i="7"/>
  <c r="D54" i="7" s="1"/>
  <c r="M166" i="48"/>
  <c r="N166" i="48" s="1"/>
  <c r="N164" i="48"/>
  <c r="F36" i="47"/>
  <c r="E35" i="47"/>
  <c r="J158" i="48"/>
  <c r="Q158" i="48"/>
  <c r="R158" i="48" s="1"/>
  <c r="P42" i="48"/>
  <c r="L27" i="48"/>
  <c r="L30" i="48"/>
  <c r="O169" i="48"/>
  <c r="P169" i="48" s="1"/>
  <c r="P167" i="48"/>
  <c r="N42" i="48"/>
  <c r="P36" i="48"/>
  <c r="O128" i="48"/>
  <c r="N162" i="48"/>
  <c r="L36" i="48"/>
  <c r="K72" i="48"/>
  <c r="M142" i="48"/>
  <c r="M147" i="48" s="1"/>
  <c r="O140" i="48"/>
  <c r="M140" i="48"/>
  <c r="M60" i="48"/>
  <c r="M141" i="48"/>
  <c r="M146" i="48" s="1"/>
  <c r="G96" i="48"/>
  <c r="H93" i="48"/>
  <c r="Q93" i="48" s="1"/>
  <c r="H137" i="48"/>
  <c r="L137" i="48" s="1"/>
  <c r="F140" i="48"/>
  <c r="F141" i="48"/>
  <c r="J74" i="48"/>
  <c r="Q74" i="48"/>
  <c r="R74" i="48" s="1"/>
  <c r="N74" i="48"/>
  <c r="P73" i="48"/>
  <c r="O76" i="48"/>
  <c r="P76" i="48" s="1"/>
  <c r="P66" i="48"/>
  <c r="L66" i="48"/>
  <c r="N66" i="48"/>
  <c r="Q73" i="48"/>
  <c r="J73" i="48"/>
  <c r="I76" i="48"/>
  <c r="J76" i="48" s="1"/>
  <c r="K178" i="48"/>
  <c r="L178" i="48" s="1"/>
  <c r="L176" i="48"/>
  <c r="P22" i="48"/>
  <c r="O184" i="48"/>
  <c r="P184" i="48" s="1"/>
  <c r="O49" i="48"/>
  <c r="P49" i="48" s="1"/>
  <c r="O25" i="48"/>
  <c r="N35" i="48"/>
  <c r="M37" i="48"/>
  <c r="N37" i="48" s="1"/>
  <c r="L171" i="48"/>
  <c r="M185" i="48"/>
  <c r="N185" i="48" s="1"/>
  <c r="M50" i="48"/>
  <c r="N50" i="48" s="1"/>
  <c r="N23" i="48"/>
  <c r="P159" i="48"/>
  <c r="Q36" i="48"/>
  <c r="R36" i="48" s="1"/>
  <c r="J36" i="48"/>
  <c r="N36" i="48"/>
  <c r="J32" i="48"/>
  <c r="I34" i="48"/>
  <c r="Q34" i="48" s="1"/>
  <c r="R34" i="48" s="1"/>
  <c r="Q32" i="48"/>
  <c r="R32" i="48" s="1"/>
  <c r="R29" i="7"/>
  <c r="E55" i="7"/>
  <c r="D55" i="7" s="1"/>
  <c r="N174" i="48"/>
  <c r="M163" i="48"/>
  <c r="N163" i="48" s="1"/>
  <c r="N161" i="48"/>
  <c r="N47" i="48"/>
  <c r="M43" i="48"/>
  <c r="N43" i="48" s="1"/>
  <c r="N41" i="48"/>
  <c r="Q174" i="48"/>
  <c r="R174" i="48" s="1"/>
  <c r="J174" i="48"/>
  <c r="R27" i="7"/>
  <c r="E53" i="7"/>
  <c r="I51" i="48"/>
  <c r="J51" i="48" s="1"/>
  <c r="Q24" i="48"/>
  <c r="J24" i="48"/>
  <c r="I186" i="48"/>
  <c r="J186" i="48" s="1"/>
  <c r="J167" i="48"/>
  <c r="I169" i="48"/>
  <c r="Q167" i="48"/>
  <c r="R167" i="48" s="1"/>
  <c r="P47" i="48"/>
  <c r="P162" i="48"/>
  <c r="M72" i="48"/>
  <c r="L177" i="48"/>
  <c r="L157" i="48"/>
  <c r="K160" i="48"/>
  <c r="L160" i="48" s="1"/>
  <c r="N177" i="48"/>
  <c r="Q168" i="48"/>
  <c r="R168" i="48" s="1"/>
  <c r="J168" i="48"/>
  <c r="N170" i="48"/>
  <c r="M172" i="48"/>
  <c r="N172" i="48" s="1"/>
  <c r="F37" i="47"/>
  <c r="J41" i="48"/>
  <c r="Q41" i="48"/>
  <c r="R41" i="48" s="1"/>
  <c r="I43" i="48"/>
  <c r="J46" i="48"/>
  <c r="I48" i="48"/>
  <c r="Q46" i="48"/>
  <c r="R46" i="48" s="1"/>
  <c r="O40" i="48"/>
  <c r="P40" i="48" s="1"/>
  <c r="P38" i="48"/>
  <c r="O172" i="48"/>
  <c r="P172" i="48" s="1"/>
  <c r="P170" i="48"/>
  <c r="N30" i="48"/>
  <c r="P81" i="48"/>
  <c r="O84" i="48"/>
  <c r="P84" i="48" s="1"/>
  <c r="P26" i="48"/>
  <c r="O28" i="48"/>
  <c r="P28" i="48" s="1"/>
  <c r="I80" i="48"/>
  <c r="P182" i="48"/>
  <c r="O43" i="48"/>
  <c r="P43" i="48" s="1"/>
  <c r="P41" i="48"/>
  <c r="L182" i="48"/>
  <c r="F40" i="47"/>
  <c r="K128" i="48"/>
  <c r="J81" i="48"/>
  <c r="I84" i="48"/>
  <c r="J84" i="48" s="1"/>
  <c r="Q81" i="48"/>
  <c r="M28" i="48"/>
  <c r="N28" i="48" s="1"/>
  <c r="N26" i="48"/>
  <c r="H126" i="48"/>
  <c r="Q126" i="48" s="1"/>
  <c r="R126" i="48" s="1"/>
  <c r="K140" i="48"/>
  <c r="G64" i="48"/>
  <c r="H61" i="48"/>
  <c r="N61" i="48" s="1"/>
  <c r="K60" i="48"/>
  <c r="K141" i="48"/>
  <c r="K146" i="48" s="1"/>
  <c r="M64" i="48"/>
  <c r="K142" i="48"/>
  <c r="K147" i="48" s="1"/>
  <c r="G142" i="48"/>
  <c r="H58" i="48"/>
  <c r="L58" i="48" s="1"/>
  <c r="O141" i="48"/>
  <c r="O146" i="48" s="1"/>
  <c r="O60" i="48"/>
  <c r="J129" i="48"/>
  <c r="I132" i="48"/>
  <c r="J132" i="48" s="1"/>
  <c r="Q129" i="48"/>
  <c r="R129" i="48" s="1"/>
  <c r="P130" i="48"/>
  <c r="M76" i="48"/>
  <c r="N76" i="48" s="1"/>
  <c r="N73" i="48"/>
  <c r="N130" i="48"/>
  <c r="N91" i="48"/>
  <c r="M143" i="48"/>
  <c r="M148" i="48" s="1"/>
  <c r="M92" i="48"/>
  <c r="N92" i="48" s="1"/>
  <c r="K132" i="48"/>
  <c r="L132" i="48" s="1"/>
  <c r="L129" i="48"/>
  <c r="P99" i="48"/>
  <c r="O100" i="48"/>
  <c r="P100" i="48" s="1"/>
  <c r="K68" i="48"/>
  <c r="L68" i="48" s="1"/>
  <c r="L65" i="48"/>
  <c r="K92" i="48"/>
  <c r="L92" i="48" s="1"/>
  <c r="K143" i="48"/>
  <c r="K148" i="48" s="1"/>
  <c r="L91" i="48"/>
  <c r="Q161" i="48"/>
  <c r="R161" i="48" s="1"/>
  <c r="J161" i="48"/>
  <c r="I163" i="48"/>
  <c r="L159" i="48"/>
  <c r="P33" i="48"/>
  <c r="Q170" i="48"/>
  <c r="R170" i="48" s="1"/>
  <c r="J170" i="48"/>
  <c r="I172" i="48"/>
  <c r="J38" i="48"/>
  <c r="Q38" i="48"/>
  <c r="R38" i="48" s="1"/>
  <c r="I40" i="48"/>
  <c r="J40" i="48" s="1"/>
  <c r="L39" i="48"/>
  <c r="K183" i="48"/>
  <c r="L183" i="48" s="1"/>
  <c r="L181" i="48"/>
  <c r="N182" i="48"/>
  <c r="P30" i="48"/>
  <c r="N168" i="48"/>
  <c r="Q176" i="48"/>
  <c r="R176" i="48" s="1"/>
  <c r="J176" i="48"/>
  <c r="I178" i="48"/>
  <c r="K31" i="48"/>
  <c r="L31" i="48" s="1"/>
  <c r="L29" i="48"/>
  <c r="I49" i="48"/>
  <c r="J49" i="48" s="1"/>
  <c r="Q22" i="48"/>
  <c r="J22" i="48"/>
  <c r="I25" i="48"/>
  <c r="I184" i="48"/>
  <c r="J184" i="48" s="1"/>
  <c r="O80" i="48"/>
  <c r="P179" i="48"/>
  <c r="O180" i="48"/>
  <c r="P180" i="48" s="1"/>
  <c r="K80" i="48"/>
  <c r="L167" i="48"/>
  <c r="K169" i="48"/>
  <c r="L169" i="48" s="1"/>
  <c r="F39" i="47"/>
  <c r="N171" i="48"/>
  <c r="J177" i="48"/>
  <c r="Q177" i="48"/>
  <c r="R177" i="48" s="1"/>
  <c r="P27" i="48"/>
  <c r="K28" i="48"/>
  <c r="L28" i="48" s="1"/>
  <c r="L26" i="48"/>
  <c r="L47" i="48"/>
  <c r="N167" i="48"/>
  <c r="M169" i="48"/>
  <c r="N169" i="48" s="1"/>
  <c r="M128" i="48"/>
  <c r="J181" i="48"/>
  <c r="I183" i="48"/>
  <c r="Q181" i="48"/>
  <c r="R181" i="48" s="1"/>
  <c r="J29" i="48"/>
  <c r="Q29" i="48"/>
  <c r="R29" i="48" s="1"/>
  <c r="I31" i="48"/>
  <c r="Q31" i="48" s="1"/>
  <c r="R31" i="48" s="1"/>
  <c r="N157" i="48"/>
  <c r="M160" i="48"/>
  <c r="N160" i="48" s="1"/>
  <c r="N38" i="48"/>
  <c r="M40" i="48"/>
  <c r="N40" i="48" s="1"/>
  <c r="J159" i="48"/>
  <c r="Q159" i="48"/>
  <c r="R159" i="48" s="1"/>
  <c r="Q82" i="48"/>
  <c r="R82" i="48" s="1"/>
  <c r="J82" i="48"/>
  <c r="K50" i="7"/>
  <c r="N33" i="48"/>
  <c r="P158" i="48"/>
  <c r="P157" i="48"/>
  <c r="O160" i="48"/>
  <c r="P160" i="48" s="1"/>
  <c r="P176" i="48"/>
  <c r="O178" i="48"/>
  <c r="P178" i="48" s="1"/>
  <c r="M80" i="48"/>
  <c r="K40" i="48"/>
  <c r="L40" i="48" s="1"/>
  <c r="L38" i="48"/>
  <c r="O72" i="48"/>
  <c r="Q42" i="48"/>
  <c r="R42" i="48" s="1"/>
  <c r="J42" i="48"/>
  <c r="N24" i="48"/>
  <c r="M186" i="48"/>
  <c r="N186" i="48" s="1"/>
  <c r="M51" i="48"/>
  <c r="N51" i="48" s="1"/>
  <c r="F38" i="47"/>
  <c r="N181" i="48"/>
  <c r="M183" i="48"/>
  <c r="N183" i="48" s="1"/>
  <c r="O142" i="48"/>
  <c r="O147" i="48" s="1"/>
  <c r="H78" i="48"/>
  <c r="Q78" i="48" s="1"/>
  <c r="R78" i="48" s="1"/>
  <c r="I64" i="48"/>
  <c r="H57" i="48"/>
  <c r="P57" i="48" s="1"/>
  <c r="G60" i="48"/>
  <c r="G141" i="48"/>
  <c r="G144" i="48" s="1"/>
  <c r="I140" i="48"/>
  <c r="O64" i="48"/>
  <c r="K64" i="48"/>
  <c r="H94" i="48"/>
  <c r="L99" i="48"/>
  <c r="K100" i="48"/>
  <c r="L100" i="48" s="1"/>
  <c r="N65" i="48"/>
  <c r="M68" i="48"/>
  <c r="N68" i="48" s="1"/>
  <c r="M100" i="48"/>
  <c r="N100" i="48" s="1"/>
  <c r="N99" i="48"/>
  <c r="L74" i="48"/>
  <c r="L130" i="48"/>
  <c r="M132" i="48"/>
  <c r="N132" i="48" s="1"/>
  <c r="N129" i="48"/>
  <c r="I100" i="48"/>
  <c r="J100" i="48" s="1"/>
  <c r="Q99" i="48"/>
  <c r="J99" i="48"/>
  <c r="K34" i="48"/>
  <c r="L34" i="48" s="1"/>
  <c r="L32" i="48"/>
  <c r="P171" i="48"/>
  <c r="O45" i="48"/>
  <c r="P45" i="48" s="1"/>
  <c r="P44" i="48"/>
  <c r="I128" i="48"/>
  <c r="J182" i="48"/>
  <c r="Q182" i="48"/>
  <c r="R182" i="48" s="1"/>
  <c r="N179" i="48"/>
  <c r="M180" i="48"/>
  <c r="N180" i="48" s="1"/>
  <c r="N46" i="48"/>
  <c r="M48" i="48"/>
  <c r="N48" i="48" s="1"/>
  <c r="Q164" i="48"/>
  <c r="R164" i="48" s="1"/>
  <c r="J164" i="48"/>
  <c r="I166" i="48"/>
  <c r="L82" i="48"/>
  <c r="L162" i="48"/>
  <c r="P39" i="48"/>
  <c r="P46" i="48"/>
  <c r="O48" i="48"/>
  <c r="P48" i="48" s="1"/>
  <c r="Q162" i="48"/>
  <c r="R162" i="48" s="1"/>
  <c r="J162" i="48"/>
  <c r="J44" i="48"/>
  <c r="Q44" i="48"/>
  <c r="R44" i="48" s="1"/>
  <c r="I45" i="48"/>
  <c r="L170" i="48"/>
  <c r="K172" i="48"/>
  <c r="L172" i="48" s="1"/>
  <c r="G54" i="7"/>
  <c r="J39" i="48"/>
  <c r="Q39" i="48"/>
  <c r="R39" i="48" s="1"/>
  <c r="P165" i="48"/>
  <c r="M175" i="48"/>
  <c r="N175" i="48" s="1"/>
  <c r="N173" i="48"/>
  <c r="I185" i="48"/>
  <c r="J185" i="48" s="1"/>
  <c r="I50" i="48"/>
  <c r="J50" i="48" s="1"/>
  <c r="Q23" i="48"/>
  <c r="Q50" i="48" s="1"/>
  <c r="R50" i="48" s="1"/>
  <c r="J23" i="48"/>
  <c r="R23" i="7"/>
  <c r="G53" i="7"/>
  <c r="E52" i="7"/>
  <c r="D52" i="7" s="1"/>
  <c r="R22" i="7"/>
  <c r="R21" i="7"/>
  <c r="P29" i="48"/>
  <c r="O31" i="48"/>
  <c r="P31" i="48" s="1"/>
  <c r="I160" i="48"/>
  <c r="J160" i="48" s="1"/>
  <c r="J157" i="48"/>
  <c r="Q157" i="48"/>
  <c r="R157" i="48" s="1"/>
  <c r="L168" i="48"/>
  <c r="O163" i="48"/>
  <c r="P163" i="48" s="1"/>
  <c r="P161" i="48"/>
  <c r="L42" i="48"/>
  <c r="L22" i="48"/>
  <c r="K25" i="48"/>
  <c r="K184" i="48"/>
  <c r="L184" i="48" s="1"/>
  <c r="K49" i="48"/>
  <c r="L49" i="48" s="1"/>
  <c r="L23" i="48"/>
  <c r="K185" i="48"/>
  <c r="L185" i="48" s="1"/>
  <c r="K50" i="48"/>
  <c r="L50" i="48" s="1"/>
  <c r="I180" i="48"/>
  <c r="J180" i="48" s="1"/>
  <c r="J179" i="48"/>
  <c r="Q179" i="48"/>
  <c r="R179" i="48" s="1"/>
  <c r="L164" i="48"/>
  <c r="K166" i="48"/>
  <c r="L166" i="48" s="1"/>
  <c r="L33" i="48"/>
  <c r="P82" i="48"/>
  <c r="L165" i="48"/>
  <c r="J165" i="48"/>
  <c r="Q165" i="48"/>
  <c r="R165" i="48" s="1"/>
  <c r="Q47" i="48"/>
  <c r="R47" i="48" s="1"/>
  <c r="J47" i="48"/>
  <c r="L174" i="48"/>
  <c r="L161" i="48"/>
  <c r="K163" i="48"/>
  <c r="L163" i="48" s="1"/>
  <c r="K45" i="48"/>
  <c r="L45" i="48" s="1"/>
  <c r="L44" i="48"/>
  <c r="M184" i="48"/>
  <c r="N184" i="48" s="1"/>
  <c r="N22" i="48"/>
  <c r="M25" i="48"/>
  <c r="M49" i="48"/>
  <c r="N49" i="48" s="1"/>
  <c r="Q30" i="48"/>
  <c r="R30" i="48" s="1"/>
  <c r="J30" i="48"/>
  <c r="K180" i="48"/>
  <c r="L180" i="48" s="1"/>
  <c r="L179" i="48"/>
  <c r="N32" i="48"/>
  <c r="M34" i="48"/>
  <c r="N34" i="48" s="1"/>
  <c r="N82" i="48"/>
  <c r="I142" i="48"/>
  <c r="I147" i="48" s="1"/>
  <c r="G72" i="48"/>
  <c r="H69" i="48"/>
  <c r="L69" i="48" s="1"/>
  <c r="H70" i="48"/>
  <c r="Q70" i="48" s="1"/>
  <c r="R70" i="48" s="1"/>
  <c r="G80" i="48"/>
  <c r="H77" i="48"/>
  <c r="J77" i="48" s="1"/>
  <c r="H62" i="48"/>
  <c r="Q62" i="48" s="1"/>
  <c r="R62" i="48" s="1"/>
  <c r="G128" i="48"/>
  <c r="H125" i="48"/>
  <c r="N125" i="48" s="1"/>
  <c r="F142" i="48"/>
  <c r="F144" i="48" s="1"/>
  <c r="H138" i="48"/>
  <c r="Q138" i="48" s="1"/>
  <c r="R138" i="48" s="1"/>
  <c r="I141" i="48"/>
  <c r="I146" i="48" s="1"/>
  <c r="I60" i="48"/>
  <c r="O92" i="48"/>
  <c r="P92" i="48" s="1"/>
  <c r="P91" i="48"/>
  <c r="O143" i="48"/>
  <c r="O148" i="48" s="1"/>
  <c r="Q130" i="48"/>
  <c r="R130" i="48" s="1"/>
  <c r="J130" i="48"/>
  <c r="O68" i="48"/>
  <c r="P68" i="48" s="1"/>
  <c r="P65" i="48"/>
  <c r="Q66" i="48"/>
  <c r="R66" i="48" s="1"/>
  <c r="J66" i="48"/>
  <c r="J91" i="48"/>
  <c r="Q91" i="48"/>
  <c r="R91" i="48" s="1"/>
  <c r="I143" i="48"/>
  <c r="I148" i="48" s="1"/>
  <c r="I92" i="48"/>
  <c r="J92" i="48" s="1"/>
  <c r="Q65" i="48"/>
  <c r="R65" i="48" s="1"/>
  <c r="I68" i="48"/>
  <c r="J68" i="48" s="1"/>
  <c r="J65" i="48"/>
  <c r="P74" i="48"/>
  <c r="L73" i="48"/>
  <c r="K76" i="48"/>
  <c r="L76" i="48" s="1"/>
  <c r="K18" i="48"/>
  <c r="L62" i="48"/>
  <c r="P62" i="48"/>
  <c r="N58" i="48"/>
  <c r="N62" i="48"/>
  <c r="J14" i="48"/>
  <c r="Q12" i="48"/>
  <c r="R12" i="48" s="1"/>
  <c r="C20" i="47"/>
  <c r="Q7" i="48"/>
  <c r="R7" i="48" s="1"/>
  <c r="N138" i="48"/>
  <c r="J57" i="48"/>
  <c r="N137" i="48"/>
  <c r="J137" i="48"/>
  <c r="P77" i="48"/>
  <c r="N77" i="48"/>
  <c r="L57" i="48"/>
  <c r="F20" i="47"/>
  <c r="H9" i="48"/>
  <c r="J9" i="48" s="1"/>
  <c r="J62" i="48"/>
  <c r="N78" i="48"/>
  <c r="J58" i="48"/>
  <c r="L78" i="48"/>
  <c r="L77" i="48"/>
  <c r="P78" i="48"/>
  <c r="J138" i="48"/>
  <c r="D22" i="47"/>
  <c r="N13" i="48"/>
  <c r="L9" i="48"/>
  <c r="E22" i="47"/>
  <c r="N9" i="48"/>
  <c r="P9" i="48"/>
  <c r="R81" i="48"/>
  <c r="Q84" i="48"/>
  <c r="R84" i="48" s="1"/>
  <c r="J48" i="48"/>
  <c r="Q48" i="48"/>
  <c r="R48" i="48" s="1"/>
  <c r="E57" i="47"/>
  <c r="F57" i="47" s="1"/>
  <c r="F35" i="47"/>
  <c r="Q37" i="48"/>
  <c r="R37" i="48" s="1"/>
  <c r="J37" i="48"/>
  <c r="Q40" i="48"/>
  <c r="R40" i="48" s="1"/>
  <c r="D53" i="7"/>
  <c r="C40" i="7"/>
  <c r="O187" i="48"/>
  <c r="P187" i="48" s="1"/>
  <c r="P25" i="48"/>
  <c r="Q183" i="48"/>
  <c r="R183" i="48" s="1"/>
  <c r="J183" i="48"/>
  <c r="J34" i="48"/>
  <c r="L25" i="48"/>
  <c r="Q180" i="48"/>
  <c r="R180" i="48" s="1"/>
  <c r="J43" i="48"/>
  <c r="Q43" i="48"/>
  <c r="R43" i="48" s="1"/>
  <c r="Q160" i="48"/>
  <c r="R160" i="48" s="1"/>
  <c r="R24" i="48"/>
  <c r="Q186" i="48"/>
  <c r="R186" i="48" s="1"/>
  <c r="Q51" i="48"/>
  <c r="R51" i="48" s="1"/>
  <c r="J169" i="48"/>
  <c r="Q169" i="48"/>
  <c r="R169" i="48" s="1"/>
  <c r="Q172" i="48"/>
  <c r="R172" i="48" s="1"/>
  <c r="J172" i="48"/>
  <c r="Q163" i="48"/>
  <c r="R163" i="48" s="1"/>
  <c r="J163" i="48"/>
  <c r="J178" i="48"/>
  <c r="Q178" i="48"/>
  <c r="R178" i="48" s="1"/>
  <c r="Q166" i="48"/>
  <c r="R166" i="48" s="1"/>
  <c r="J166" i="48"/>
  <c r="M187" i="48"/>
  <c r="N187" i="48" s="1"/>
  <c r="N25" i="48"/>
  <c r="Q49" i="48"/>
  <c r="R49" i="48" s="1"/>
  <c r="R22" i="48"/>
  <c r="Q175" i="48"/>
  <c r="R175" i="48" s="1"/>
  <c r="J175" i="48"/>
  <c r="J31" i="48"/>
  <c r="J45" i="48"/>
  <c r="Q45" i="48"/>
  <c r="R45" i="48" s="1"/>
  <c r="J28" i="48"/>
  <c r="Q28" i="48"/>
  <c r="R28" i="48" s="1"/>
  <c r="J25" i="48"/>
  <c r="Q25" i="48"/>
  <c r="I187" i="48"/>
  <c r="J187" i="48" s="1"/>
  <c r="K17" i="48"/>
  <c r="L14" i="48"/>
  <c r="L13" i="48"/>
  <c r="P14" i="48"/>
  <c r="O17" i="48"/>
  <c r="P15" i="48"/>
  <c r="H15" i="48"/>
  <c r="Q15" i="48" s="1"/>
  <c r="R15" i="48" s="1"/>
  <c r="J13" i="48"/>
  <c r="G17" i="48"/>
  <c r="P13" i="48"/>
  <c r="H13" i="48"/>
  <c r="Q13" i="48" s="1"/>
  <c r="R13" i="48" s="1"/>
  <c r="E17" i="48"/>
  <c r="H14" i="48"/>
  <c r="Q14" i="48" s="1"/>
  <c r="R14" i="48" s="1"/>
  <c r="N15" i="48"/>
  <c r="M17" i="48"/>
  <c r="N14" i="48"/>
  <c r="L15" i="48"/>
  <c r="R99" i="48"/>
  <c r="Q100" i="48"/>
  <c r="R100" i="48" s="1"/>
  <c r="Q76" i="48"/>
  <c r="R76" i="48" s="1"/>
  <c r="R73" i="48"/>
  <c r="Q143" i="48"/>
  <c r="L61" i="48"/>
  <c r="H96" i="48"/>
  <c r="L93" i="48"/>
  <c r="N93" i="48"/>
  <c r="P93" i="48"/>
  <c r="Q137" i="48"/>
  <c r="L70" i="48"/>
  <c r="N126" i="48"/>
  <c r="H60" i="48"/>
  <c r="Q57" i="48"/>
  <c r="H128" i="48"/>
  <c r="J128" i="48" s="1"/>
  <c r="Q125" i="48"/>
  <c r="P58" i="48"/>
  <c r="J125" i="48"/>
  <c r="L126" i="48"/>
  <c r="J78" i="48"/>
  <c r="P61" i="48"/>
  <c r="Q58" i="48"/>
  <c r="P126" i="48"/>
  <c r="Q61" i="48"/>
  <c r="H64" i="48"/>
  <c r="Q69" i="48"/>
  <c r="J94" i="48"/>
  <c r="N94" i="48"/>
  <c r="L94" i="48"/>
  <c r="Q94" i="48"/>
  <c r="R94" i="48" s="1"/>
  <c r="P94" i="48"/>
  <c r="J61" i="48"/>
  <c r="J126" i="48"/>
  <c r="P69" i="48"/>
  <c r="J70" i="48"/>
  <c r="Q77" i="48"/>
  <c r="H80" i="48"/>
  <c r="J80" i="48" s="1"/>
  <c r="P137" i="48"/>
  <c r="Q68" i="48" l="1"/>
  <c r="R68" i="48" s="1"/>
  <c r="Q132" i="48"/>
  <c r="R132" i="48" s="1"/>
  <c r="Q92" i="48"/>
  <c r="R92" i="48" s="1"/>
  <c r="J60" i="48"/>
  <c r="J69" i="48"/>
  <c r="H72" i="48"/>
  <c r="N72" i="48" s="1"/>
  <c r="H140" i="48"/>
  <c r="L140" i="48" s="1"/>
  <c r="P138" i="48"/>
  <c r="N69" i="48"/>
  <c r="P125" i="48"/>
  <c r="N57" i="48"/>
  <c r="J93" i="48"/>
  <c r="L138" i="48"/>
  <c r="P70" i="48"/>
  <c r="H142" i="48"/>
  <c r="H147" i="48" s="1"/>
  <c r="H141" i="48"/>
  <c r="J141" i="48" s="1"/>
  <c r="N143" i="48"/>
  <c r="J143" i="48"/>
  <c r="K144" i="48"/>
  <c r="K149" i="48" s="1"/>
  <c r="Q184" i="48"/>
  <c r="R184" i="48" s="1"/>
  <c r="Q185" i="48"/>
  <c r="R185" i="48" s="1"/>
  <c r="R23" i="48"/>
  <c r="K187" i="48"/>
  <c r="L187" i="48" s="1"/>
  <c r="K52" i="48"/>
  <c r="L52" i="48" s="1"/>
  <c r="L143" i="48"/>
  <c r="O52" i="48"/>
  <c r="P52" i="48" s="1"/>
  <c r="P64" i="48"/>
  <c r="N64" i="48"/>
  <c r="I144" i="48"/>
  <c r="I149" i="48" s="1"/>
  <c r="M52" i="48"/>
  <c r="N52" i="48" s="1"/>
  <c r="O144" i="48"/>
  <c r="O149" i="48" s="1"/>
  <c r="I52" i="48"/>
  <c r="J52" i="48" s="1"/>
  <c r="M144" i="48"/>
  <c r="M149" i="48" s="1"/>
  <c r="L125" i="48"/>
  <c r="P143" i="48"/>
  <c r="N70" i="48"/>
  <c r="L64" i="48"/>
  <c r="J64" i="48"/>
  <c r="N80" i="48"/>
  <c r="P80" i="48"/>
  <c r="Q9" i="48"/>
  <c r="R9" i="48" s="1"/>
  <c r="L80" i="48"/>
  <c r="J72" i="48"/>
  <c r="H17" i="48"/>
  <c r="Q17" i="48" s="1"/>
  <c r="R17" i="48" s="1"/>
  <c r="R25" i="48"/>
  <c r="Q187" i="48"/>
  <c r="R187" i="48" s="1"/>
  <c r="Q52" i="48"/>
  <c r="R52" i="48" s="1"/>
  <c r="J17" i="48"/>
  <c r="P17" i="48"/>
  <c r="N17" i="48"/>
  <c r="L17" i="48"/>
  <c r="Q148" i="48"/>
  <c r="R143" i="48"/>
  <c r="Q64" i="48"/>
  <c r="R64" i="48" s="1"/>
  <c r="R61" i="48"/>
  <c r="Q142" i="48"/>
  <c r="R58" i="48"/>
  <c r="N128" i="48"/>
  <c r="P128" i="48"/>
  <c r="P60" i="48"/>
  <c r="Q140" i="48"/>
  <c r="R140" i="48" s="1"/>
  <c r="R137" i="48"/>
  <c r="R69" i="48"/>
  <c r="Q72" i="48"/>
  <c r="N60" i="48"/>
  <c r="L72" i="48"/>
  <c r="H144" i="48"/>
  <c r="H149" i="48" s="1"/>
  <c r="L128" i="48"/>
  <c r="R125" i="48"/>
  <c r="Q128" i="48"/>
  <c r="R128" i="48" s="1"/>
  <c r="Q60" i="48"/>
  <c r="R60" i="48" s="1"/>
  <c r="R57" i="48"/>
  <c r="Q141" i="48"/>
  <c r="R77" i="48"/>
  <c r="Q80" i="48"/>
  <c r="R80" i="48" s="1"/>
  <c r="N141" i="48"/>
  <c r="P72" i="48"/>
  <c r="L142" i="48"/>
  <c r="L60" i="48"/>
  <c r="R93" i="48"/>
  <c r="Q96" i="48"/>
  <c r="R96" i="48" s="1"/>
  <c r="J142" i="48"/>
  <c r="L96" i="48"/>
  <c r="N96" i="48"/>
  <c r="P96" i="48"/>
  <c r="J96" i="48"/>
  <c r="L141" i="48" l="1"/>
  <c r="H146" i="48"/>
  <c r="P141" i="48"/>
  <c r="N142" i="48"/>
  <c r="R72" i="48"/>
  <c r="P140" i="48"/>
  <c r="P142" i="48"/>
  <c r="N140" i="48"/>
  <c r="J140" i="48"/>
  <c r="N144" i="48"/>
  <c r="L144" i="48"/>
  <c r="P144" i="48"/>
  <c r="J144" i="48"/>
  <c r="Q146" i="48"/>
  <c r="R141" i="48"/>
  <c r="Q144" i="48"/>
  <c r="R142" i="48"/>
  <c r="Q147" i="48"/>
  <c r="R144" i="48" l="1"/>
  <c r="Q149"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Ignacio Landazuri Rosas</author>
  </authors>
  <commentList>
    <comment ref="X164" authorId="0" shapeId="0" xr:uid="{42F4CB5A-EAD3-4E08-AC05-FFCD381DAC6F}">
      <text>
        <r>
          <rPr>
            <b/>
            <sz val="9"/>
            <color indexed="81"/>
            <rFont val="Tahoma"/>
            <family val="2"/>
          </rPr>
          <t>Julio Ignacio Landazuri Rosas:</t>
        </r>
        <r>
          <rPr>
            <sz val="9"/>
            <color indexed="81"/>
            <rFont val="Tahoma"/>
            <family val="2"/>
          </rPr>
          <t xml:space="preserve">
Faltan los datos del mes de marzo?</t>
        </r>
      </text>
    </comment>
  </commentList>
</comments>
</file>

<file path=xl/sharedStrings.xml><?xml version="1.0" encoding="utf-8"?>
<sst xmlns="http://schemas.openxmlformats.org/spreadsheetml/2006/main" count="51397" uniqueCount="10822">
  <si>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</si>
  <si>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</si>
  <si>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</si>
  <si>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</si>
  <si>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</si>
  <si>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</si>
  <si>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</si>
  <si>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</si>
  <si>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</si>
  <si>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</si>
  <si>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</si>
  <si>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</si>
  <si>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</si>
  <si>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</si>
  <si>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</si>
  <si>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</si>
  <si>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</si>
  <si>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</si>
  <si>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</si>
  <si>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</si>
  <si>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</si>
  <si>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</si>
  <si>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</si>
  <si>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Etiquetas de columna</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</si>
  <si>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</si>
  <si>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</si>
  <si>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</si>
  <si>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</si>
  <si>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</si>
  <si>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</si>
  <si>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</si>
  <si>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</si>
  <si>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11</t>
  </si>
  <si>
    <t>14</t>
  </si>
  <si>
    <t>20</t>
  </si>
  <si>
    <t>Total Suma de CDP</t>
  </si>
  <si>
    <t>Total Suma de COMPROMISO</t>
  </si>
  <si>
    <t>Total Suma de OBLIGACION</t>
  </si>
  <si>
    <t>Total Suma de PAGOS</t>
  </si>
  <si>
    <t>1 Gastos de Personal</t>
  </si>
  <si>
    <t>Predios actualizados catastralmente</t>
  </si>
  <si>
    <t>El avance cuantitativo se reportará en enero/21, cuando entre en vigencia la información del área intervenida en 2020.</t>
  </si>
  <si>
    <t>REC</t>
  </si>
  <si>
    <t>Valores</t>
  </si>
  <si>
    <t>Suma de CDP</t>
  </si>
  <si>
    <t>Suma de COMPROMISO</t>
  </si>
  <si>
    <t>Suma de OBLIGACION</t>
  </si>
  <si>
    <t>Suma de PAGOS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</si>
  <si>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</si>
  <si>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</si>
  <si>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</si>
  <si>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</si>
  <si>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</si>
  <si>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</si>
  <si>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</si>
  <si>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Total Suma de APR. VIGENTE</t>
  </si>
  <si>
    <t xml:space="preserve"> DOCUMENTOS DE ESTUDIOS TÉCNICOS DE DESLINDES Y DE TERRITORIOS INDÍGENAS </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</si>
  <si>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</si>
  <si>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</si>
  <si>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</si>
  <si>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</si>
  <si>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</si>
  <si>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</si>
  <si>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</si>
  <si>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</si>
  <si>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</si>
  <si>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</si>
  <si>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</si>
  <si>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</si>
  <si>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</si>
  <si>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</si>
  <si>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</si>
  <si>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PRODUCTO</t>
  </si>
  <si>
    <t xml:space="preserve"> DOCUMENTOS DE ESTUDIOS TÉCNICOS SOBRE GEOGRAFÍA </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</si>
  <si>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</si>
  <si>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</si>
  <si>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</si>
  <si>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</si>
  <si>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</si>
  <si>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</si>
  <si>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DOCUMENTOS DE LINEAMIENTOS TÉCNICOS </t>
  </si>
  <si>
    <t>Servicio de avalúos</t>
  </si>
  <si>
    <t>Avalúos realizados</t>
  </si>
  <si>
    <t>Meta aprobada PA 2020 es 7358 avalúos</t>
  </si>
  <si>
    <t>Avaluos comerciales realizados</t>
  </si>
  <si>
    <t>Documentos de Investigación</t>
  </si>
  <si>
    <t>Documentos de Investigación generados</t>
  </si>
  <si>
    <t xml:space="preserve"> SEDES ADECUADAS </t>
  </si>
  <si>
    <t xml:space="preserve"> DOCUMENTOS DE PLANEACIÓN </t>
  </si>
  <si>
    <t>SALARIO</t>
  </si>
  <si>
    <t>Contratos de obra física celebrados</t>
  </si>
  <si>
    <t>Documentos de lineamientos técnicos</t>
  </si>
  <si>
    <t>Documentos de lineamientos técnicos realizados</t>
  </si>
  <si>
    <t xml:space="preserve"> SEDES MANTENIDAS </t>
  </si>
  <si>
    <t xml:space="preserve"> DOCUMENTOS NORMATIVOS </t>
  </si>
  <si>
    <t>Sistemas de información actualizados</t>
  </si>
  <si>
    <t>Convenios nuevos o en implementación</t>
  </si>
  <si>
    <t>Documentos de planeación</t>
  </si>
  <si>
    <t>Documentos de planeación realizados</t>
  </si>
  <si>
    <t xml:space="preserve"> SERVICIO DE AVALÚOS </t>
  </si>
  <si>
    <t xml:space="preserve"> SEDE CONSTRUIDA Y DOTADA </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</si>
  <si>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</si>
  <si>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</si>
  <si>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</si>
  <si>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</si>
  <si>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</si>
  <si>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</si>
  <si>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</si>
  <si>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SERVICIO DE INFORMACIÓN CARTOGRÁFICA ACTUALIZADO </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</si>
  <si>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</si>
  <si>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</si>
  <si>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</si>
  <si>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</si>
  <si>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</si>
  <si>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</si>
  <si>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 xml:space="preserve"> SERVICIO DE INFORMACIÓN CATASTRAL </t>
  </si>
  <si>
    <t xml:space="preserve"> SEDES CON REFORZAMIENTO ESTRUCTURAL </t>
  </si>
  <si>
    <t>Documentos normativos</t>
  </si>
  <si>
    <t>Documentos normativos elaborados</t>
  </si>
  <si>
    <t>Ejercicios de participación</t>
  </si>
  <si>
    <t xml:space="preserve"> SERVICIOS DE INFORMACIÓN GEODÉSICA ACTUALIZADO </t>
  </si>
  <si>
    <t>Ingresos corrientes</t>
  </si>
  <si>
    <t>Eventos realizados para la promoción y avance de la geografía</t>
  </si>
  <si>
    <t>Sedes adecuadas</t>
  </si>
  <si>
    <t xml:space="preserve"> SERVICIOS TECNOLÓGICOS </t>
  </si>
  <si>
    <t xml:space="preserve"> SERVICIO DE ANÁLISIS QUÍMICOS, FÍSICOS, MINERALÓGICOS Y BIOLÓGICOS DE SUELOS </t>
  </si>
  <si>
    <t>Otros recursos del tesoro</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</si>
  <si>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</si>
  <si>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</si>
  <si>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</si>
  <si>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</si>
  <si>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</si>
  <si>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</si>
  <si>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 xml:space="preserve"> SERVICIO DE ASISTENCIA TÉCNICA PARA LA GESTIÓN DE LOS RECURSOS GEOGRÁFICOS </t>
  </si>
  <si>
    <t>3. Transferencias corrientes</t>
  </si>
  <si>
    <t xml:space="preserve">Oficina Asesora de Planeación </t>
  </si>
  <si>
    <t>Implementación del sistema de gestión</t>
  </si>
  <si>
    <t>Sedes mantenidas</t>
  </si>
  <si>
    <t>Total general</t>
  </si>
  <si>
    <t>CONCILIACIONES</t>
  </si>
  <si>
    <t>Obras vigiladas a través de interventoría</t>
  </si>
  <si>
    <t>Servicio de análisis químicos, físicos, mineralógicos y biológicos de suelos</t>
  </si>
  <si>
    <t>Pruebas químicas, físicas, mineralógicas y biológicas de suelos realizadas</t>
  </si>
  <si>
    <t xml:space="preserve"> SERVICIO DE EDUCACIÓN INFORMAL PARA LA GESTIÓN ADMINISTRATIVA </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</si>
  <si>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</si>
  <si>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</si>
  <si>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</si>
  <si>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</si>
  <si>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</si>
  <si>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 xml:space="preserve"> SERVICIO DE GESTIÓN DEL CONOCIMIENTO E INNOVACIÓN GEOGRÁFICA </t>
  </si>
  <si>
    <t>INCAPACIDADES Y LICENCIAS DE MATERNIDAD Y PATERNIDAD (NO DE PENSIONES)</t>
  </si>
  <si>
    <t>Servicio de Educación informal para la gestión Administrativa</t>
  </si>
  <si>
    <t>Personas capacitadas</t>
  </si>
  <si>
    <t>Secretaria General-GIT Talento humano</t>
  </si>
  <si>
    <t xml:space="preserve">Porcentaje de avance en la implementación de sistemas de calidad de la gestión
</t>
  </si>
  <si>
    <t xml:space="preserve"> SERVICIO DE GESTIÓN DOCUMENTAL </t>
  </si>
  <si>
    <t xml:space="preserve">Secretaria General-GIT Servicio al ciudadano </t>
  </si>
  <si>
    <t xml:space="preserve">Porcentaje de avance en la realización e implementación del sistema de información geográfica para la consulta de magna-sirgas
</t>
  </si>
  <si>
    <t xml:space="preserve"> SERVICIO DE IMPLEMENTACIÓN SISTEMAS DE GESTIÓN </t>
  </si>
  <si>
    <t>SENTENCIAS</t>
  </si>
  <si>
    <t>Porcentaje de encuestas con calificación satisfactoria</t>
  </si>
  <si>
    <t xml:space="preserve"> SERVICIO DE INFORMACIÓN AGROLÓGICA </t>
  </si>
  <si>
    <t>Oficina de Difusión y Mercadeo</t>
  </si>
  <si>
    <t xml:space="preserve">Porcentaje de solicitudes atendidas para el apoyo de los procesos de ordenamiento territorial planificación integral del desarrollo
</t>
  </si>
  <si>
    <t>OTRAS TRANSFERENCIAS - DISTRIBUCIÓN PREVIO CONCEPTO DGPPN</t>
  </si>
  <si>
    <t>Rendiciones de cuentas realizadas</t>
  </si>
  <si>
    <t>Servicio de Gestión Documental</t>
  </si>
  <si>
    <t>Sistema de gestión documental implementado</t>
  </si>
  <si>
    <t>Talleres o actividades de capacitación realizados</t>
  </si>
  <si>
    <t>Secretaria General -GIT Talento humano</t>
  </si>
  <si>
    <t xml:space="preserve"> SERVICIO DE INFORMACIÓN GEOGRÁFICA, GEODÉSICA Y CARTOGRÁFICA </t>
  </si>
  <si>
    <t>Servicio de Información agrológica</t>
  </si>
  <si>
    <t>Sistema de información agrologica actualizado</t>
  </si>
  <si>
    <t>8. Gastos por Tributos, Multas, Sanciones e Intereses de Mora</t>
  </si>
  <si>
    <t>Visitas de evaluación y seguimiento realizadas</t>
  </si>
  <si>
    <t>Servicio de información Cartográfica actualizado</t>
  </si>
  <si>
    <t>Cartografía escalas grandes generada (1:1.000, 1:2,000, 1:5,000)</t>
  </si>
  <si>
    <t xml:space="preserve"> SERVICIOS DE INFORMACIÓN IMPLEMENTADOS </t>
  </si>
  <si>
    <t>CUOTA DE FISCALIZACIÓN Y AUDITAJE</t>
  </si>
  <si>
    <t>Cartografía escalas medianas generada (1:10,000, 1:25,000)</t>
  </si>
  <si>
    <t>Oficina de Control Interno</t>
  </si>
  <si>
    <t>Imágenes incorporadas al Banco Nacional de imágenes</t>
  </si>
  <si>
    <t>Fortalecimiento de la infraestructura física del IGAC a nivel Nacional</t>
  </si>
  <si>
    <t xml:space="preserve">Secretaria General-GIT servicios administrativos </t>
  </si>
  <si>
    <t>IMPUESTOS</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</si>
  <si>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</si>
  <si>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</si>
  <si>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</si>
  <si>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</si>
  <si>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</si>
  <si>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</si>
  <si>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</si>
  <si>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Servicios de Información Geodésica actualizado</t>
  </si>
  <si>
    <t>Datos altimétricos generados</t>
  </si>
  <si>
    <t>Datos Rinex de las estaciones permanentes generados</t>
  </si>
  <si>
    <t>Prestamos destinación específica</t>
  </si>
  <si>
    <t>Puntos geodésicos materializados</t>
  </si>
  <si>
    <t>FORTALECIMIENTO DE LA GESTIÓN DEL CONOCIMIENTO Y LA INNOVACIÓN EN EL ÁMBITO GEOGRÁFICO DEL  TERRITORIO   NACIONAL</t>
  </si>
  <si>
    <t>Generación de estudios de suelos, tierras y aplicaciones agrológicas como insumo para el ordenamiento integral y el manejo sostenible del territorio a nivel Nacional</t>
  </si>
  <si>
    <t xml:space="preserve">Subdirección de Agrología </t>
  </si>
  <si>
    <t>Valores geomagnéticos generados</t>
  </si>
  <si>
    <t>Valores gravimétricos generados</t>
  </si>
  <si>
    <t>FORTALECIMIENTO DE LA GESTIÓN INSTITUCIONAL DEL IGAC A NIVEL   NACIONAL</t>
  </si>
  <si>
    <t xml:space="preserve">
</t>
  </si>
  <si>
    <t xml:space="preserve">Servicios de Información Geográfica, geodésica y cartográfica </t>
  </si>
  <si>
    <t>Generación de estudios geográficos e investigaciones para la caracterización, análisis y delimitación geográfica del territorio Nacional</t>
  </si>
  <si>
    <t xml:space="preserve">Subdirección de Geografía y Cartografía </t>
  </si>
  <si>
    <t>FORTALECIMIENTO DE LA INFRAESTRUCTURA FÍSICA DEL IGAC A NIVEL  NACIONAL</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</si>
  <si>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</si>
  <si>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</si>
  <si>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</si>
  <si>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</si>
  <si>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</si>
  <si>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</si>
  <si>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</si>
  <si>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</si>
  <si>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</si>
  <si>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</si>
  <si>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</si>
  <si>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</si>
  <si>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</si>
  <si>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</si>
  <si>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</si>
  <si>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</si>
  <si>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</si>
  <si>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</si>
  <si>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</si>
  <si>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</si>
  <si>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</si>
  <si>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</si>
  <si>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</si>
  <si>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</si>
  <si>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</si>
  <si>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</si>
  <si>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</si>
  <si>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</si>
  <si>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</si>
  <si>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</si>
  <si>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</si>
  <si>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</si>
  <si>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</si>
  <si>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</si>
  <si>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</si>
  <si>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</si>
  <si>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</si>
  <si>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</si>
  <si>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</si>
  <si>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</si>
  <si>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</si>
  <si>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</si>
  <si>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</si>
  <si>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</si>
  <si>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</si>
  <si>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</si>
  <si>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</si>
  <si>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</si>
  <si>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</si>
  <si>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</si>
  <si>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</si>
  <si>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</si>
  <si>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</si>
  <si>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</si>
  <si>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</si>
  <si>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</si>
  <si>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</si>
  <si>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</si>
  <si>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</si>
  <si>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</si>
  <si>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A-01-01-02</t>
  </si>
  <si>
    <t>02</t>
  </si>
  <si>
    <t>A-01-01-03</t>
  </si>
  <si>
    <t>03</t>
  </si>
  <si>
    <t>A-02-02</t>
  </si>
  <si>
    <t>Propios</t>
  </si>
  <si>
    <t>A-03-03-01-999</t>
  </si>
  <si>
    <t>999</t>
  </si>
  <si>
    <t>A-03-04-02-012</t>
  </si>
  <si>
    <t>04</t>
  </si>
  <si>
    <t>012</t>
  </si>
  <si>
    <t>A-03-10-01-001</t>
  </si>
  <si>
    <t>10</t>
  </si>
  <si>
    <t>001</t>
  </si>
  <si>
    <t>A-03-10-01-002</t>
  </si>
  <si>
    <t>002</t>
  </si>
  <si>
    <t>A-08-01</t>
  </si>
  <si>
    <t>08</t>
  </si>
  <si>
    <t>A-08-04-01</t>
  </si>
  <si>
    <t>SSF</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</si>
  <si>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</si>
  <si>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</si>
  <si>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</si>
  <si>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</si>
  <si>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</si>
  <si>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</si>
  <si>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</si>
  <si>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</si>
  <si>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</si>
  <si>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</si>
  <si>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</si>
  <si>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</si>
  <si>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</si>
  <si>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</si>
  <si>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</si>
  <si>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</si>
  <si>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</si>
  <si>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</si>
  <si>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</si>
  <si>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</si>
  <si>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</si>
  <si>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</si>
  <si>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PROYECTO</t>
  </si>
  <si>
    <t>04-03-00-002</t>
  </si>
  <si>
    <t>IGAC - TERRITORIAL ATLANTICO</t>
  </si>
  <si>
    <t>A-01-01-01-001-001</t>
  </si>
  <si>
    <t>SUELDO BÁSICO</t>
  </si>
  <si>
    <t>A-01-01-01-001-003</t>
  </si>
  <si>
    <t>003</t>
  </si>
  <si>
    <t>PRIMA TÉCNICA SALARIAL</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</si>
  <si>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</si>
  <si>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</si>
  <si>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</si>
  <si>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</si>
  <si>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</si>
  <si>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</si>
  <si>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</si>
  <si>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</si>
  <si>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</si>
  <si>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</si>
  <si>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</si>
  <si>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</si>
  <si>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</si>
  <si>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</si>
  <si>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</si>
  <si>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</si>
  <si>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</si>
  <si>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</si>
  <si>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</si>
  <si>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</si>
  <si>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</si>
  <si>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</si>
  <si>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</si>
  <si>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</si>
  <si>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</si>
  <si>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</si>
  <si>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</si>
  <si>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</si>
  <si>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</si>
  <si>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</si>
  <si>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</si>
  <si>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</si>
  <si>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</si>
  <si>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</si>
  <si>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</si>
  <si>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</si>
  <si>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</si>
  <si>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</si>
  <si>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</si>
  <si>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A-01-01-03-001-002</t>
  </si>
  <si>
    <t>INDEMNIZACIÓN POR VACACIONES</t>
  </si>
  <si>
    <t>A-01-01-03-001-003</t>
  </si>
  <si>
    <t>BONIFICACIÓN ESPECIAL DE RECREACIÓN</t>
  </si>
  <si>
    <t>A-01-01-03-002</t>
  </si>
  <si>
    <t>PRIMA TÉCNICA NO SALARIAL</t>
  </si>
  <si>
    <t>A-02-02-02-006-004</t>
  </si>
  <si>
    <t>SERVICIOS DE TRANSPORTE DE PASAJEROS</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</si>
  <si>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</si>
  <si>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</si>
  <si>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</si>
  <si>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</si>
  <si>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</si>
  <si>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</si>
  <si>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A-02-02-02-010</t>
  </si>
  <si>
    <t>VIÁTICOS DE LOS FUNCIONARIOS EN COMISIÓN</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</si>
  <si>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</si>
  <si>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</si>
  <si>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</si>
  <si>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</si>
  <si>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</si>
  <si>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</si>
  <si>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</si>
  <si>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</si>
  <si>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</si>
  <si>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</si>
  <si>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A-02-02-02-007-002</t>
  </si>
  <si>
    <t>SERVICIOS INMOBILIARIOS</t>
  </si>
  <si>
    <t>04-03-00-004</t>
  </si>
  <si>
    <t>IGAC - TERRITORIAL BOYACA</t>
  </si>
  <si>
    <t>A-03-04-02-012-002</t>
  </si>
  <si>
    <t>LICENCIAS DE MATERNIDAD Y PATERNIDAD (NO DE PENSIONES)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</si>
  <si>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</si>
  <si>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</si>
  <si>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</si>
  <si>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</si>
  <si>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</si>
  <si>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</si>
  <si>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</si>
  <si>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</si>
  <si>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</si>
  <si>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</si>
  <si>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</si>
  <si>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</si>
  <si>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</si>
  <si>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</si>
  <si>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</si>
  <si>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</si>
  <si>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</si>
  <si>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</si>
  <si>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A-01-01-01-001-008</t>
  </si>
  <si>
    <t>HORAS EXTRAS, DOMINICALES, FESTIVOS Y RECARGOS</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</si>
  <si>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</si>
  <si>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</si>
  <si>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</si>
  <si>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</si>
  <si>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</si>
  <si>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</si>
  <si>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</si>
  <si>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</si>
  <si>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</si>
  <si>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</si>
  <si>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</si>
  <si>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</si>
  <si>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</si>
  <si>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</si>
  <si>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</si>
  <si>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</si>
  <si>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</si>
  <si>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</si>
  <si>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</si>
  <si>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</si>
  <si>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</si>
  <si>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</si>
  <si>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</si>
  <si>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</si>
  <si>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</si>
  <si>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A-02-02-02-008-005</t>
  </si>
  <si>
    <t>SERVICIOS DE SOPORTE</t>
  </si>
  <si>
    <t>A-02-02-02-008-007</t>
  </si>
  <si>
    <t>SERVICIOS DE MANTENIMIENTO, REPARACIÓN E INSTALACIÓN (EXCEPTO SERVICIOS DE CONSTRUCCIÓN)</t>
  </si>
  <si>
    <t>04-03-00-021</t>
  </si>
  <si>
    <t>IGAC - TERRITORIAL TOLIMA</t>
  </si>
  <si>
    <t>04-03-00-024</t>
  </si>
  <si>
    <t>DIRECCION TERRITORIAL CASANARE</t>
  </si>
  <si>
    <t>A-02-02-02-008-003</t>
  </si>
  <si>
    <t>OTROS SERVICIOS PROFESIONALES, CIENTÍFICOS Y TÉCNICOS</t>
  </si>
  <si>
    <t>C-0402-1003-7-0-0402011-02</t>
  </si>
  <si>
    <t>0</t>
  </si>
  <si>
    <t>0402011</t>
  </si>
  <si>
    <t xml:space="preserve"> GENERACIÓN DE ESTUDIOS GEOGRÁFICOS E INVESTIGACIONES PARA LA CARACTERIZACIÓN, ANÁLISIS Y DELIMITACIÓN GEOGRÁFICA DEL TERRITORIO  NACIONAL</t>
  </si>
  <si>
    <t>C-0499-1003-6-0-0499011-02</t>
  </si>
  <si>
    <t>0499011</t>
  </si>
  <si>
    <t xml:space="preserve"> FORTALECIMIENTO DE LA INFRAESTRUCTURA FÍSICA DEL IGAC A NIVEL  NACIONAL</t>
  </si>
  <si>
    <t>C-0499-1003-6-0-0499014-02</t>
  </si>
  <si>
    <t>0499014</t>
  </si>
  <si>
    <t>C-0499-1003-6-0-0499016-02</t>
  </si>
  <si>
    <t>0499016</t>
  </si>
  <si>
    <t>C-0404-1003-2-0-0404007-02</t>
  </si>
  <si>
    <t>0404007</t>
  </si>
  <si>
    <t xml:space="preserve"> ACTUALIZACIÓN  Y GESTIÓN CATASTRAL  NACIONAL</t>
  </si>
  <si>
    <t>C-0402-1003-8-0-0402014-02</t>
  </si>
  <si>
    <t>0402014</t>
  </si>
  <si>
    <t xml:space="preserve"> LEVANTAMIENTO , GENERACIÓN Y ACTUALIZACIÓN DE LA RED GEODÉSICA Y LA CARTOGRAFÍA BÁSICA A NIVEL   NACIONAL</t>
  </si>
  <si>
    <t>C-0404-1003-2-0-0404004-02</t>
  </si>
  <si>
    <t>0404004</t>
  </si>
  <si>
    <t>C-0402-1003-8-0-0402016-02</t>
  </si>
  <si>
    <t>0402016</t>
  </si>
  <si>
    <t>C-0499-1003-5-0-0499065-02</t>
  </si>
  <si>
    <t>0499065</t>
  </si>
  <si>
    <t xml:space="preserve"> FORTALECIMIENTO DE LA GESTIÓN INSTITUCIONAL DEL IGAC A NIVEL   NACIONAL</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</si>
  <si>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</si>
  <si>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</si>
  <si>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</si>
  <si>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</si>
  <si>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</si>
  <si>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</si>
  <si>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</si>
  <si>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</si>
  <si>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</si>
  <si>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</si>
  <si>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</si>
  <si>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</si>
  <si>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</si>
  <si>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</si>
  <si>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</si>
  <si>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</si>
  <si>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</si>
  <si>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</si>
  <si>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</si>
  <si>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</si>
  <si>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</si>
  <si>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</si>
  <si>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</si>
  <si>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</si>
  <si>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</si>
  <si>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</si>
  <si>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</si>
  <si>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</si>
  <si>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</si>
  <si>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</si>
  <si>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</si>
  <si>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</si>
  <si>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</si>
  <si>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</si>
  <si>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</si>
  <si>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</si>
  <si>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</si>
  <si>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</si>
  <si>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</si>
  <si>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</si>
  <si>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</si>
  <si>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</si>
  <si>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</si>
  <si>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</si>
  <si>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</si>
  <si>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</si>
  <si>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</si>
  <si>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</si>
  <si>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</si>
  <si>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</si>
  <si>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</si>
  <si>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</si>
  <si>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</si>
  <si>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</si>
  <si>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</si>
  <si>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</si>
  <si>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</si>
  <si>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</si>
  <si>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C-0499-1003-8-0-0499053-02</t>
  </si>
  <si>
    <t>0499053</t>
  </si>
  <si>
    <t xml:space="preserve"> FORTALECIMIENTO DE LOS PROCESOS DE DIFUSIÓN Y ACCESO A LA INFORMACIÓN GEOGRÁFICA A NIVEL   NACIONAL</t>
  </si>
  <si>
    <t>C-0499-1003-5-0-0499054-02</t>
  </si>
  <si>
    <t>0499054</t>
  </si>
  <si>
    <t>C-0405-1003-4-0-0405007-02</t>
  </si>
  <si>
    <t>0405007</t>
  </si>
  <si>
    <t xml:space="preserve"> FORTALECIMIENTO DE LA GESTIÓN DEL CONOCIMIENTO Y LA INNOVACIÓN EN EL ÁMBITO GEOGRÁFICO DEL  TERRITORIO   NACIONAL</t>
  </si>
  <si>
    <t>C-0499-1003-6-0-0499061-02</t>
  </si>
  <si>
    <t>0499061</t>
  </si>
  <si>
    <t>C-0403-1003-2-0-0403002-02</t>
  </si>
  <si>
    <t>0403002</t>
  </si>
  <si>
    <t xml:space="preserve"> GENERACIÓN DE ESTUDIOS DE SUELOS, TIERRAS Y APLICACIONES AGROLÓGICAS COMO INSUMO PARA EL ORDENAMIENTO INTEGRAL Y EL MANEJO SOSTENIBLE D</t>
  </si>
  <si>
    <t>C-0405-1003-4-0-0405006-02</t>
  </si>
  <si>
    <t>0405006</t>
  </si>
  <si>
    <t>C-0499-1003-5-0-0499058-02</t>
  </si>
  <si>
    <t>0499058</t>
  </si>
  <si>
    <t>C-0405-1003-4-0-0405005-02</t>
  </si>
  <si>
    <t>0405005</t>
  </si>
  <si>
    <t>C-0499-1003-7-0-0499052-02</t>
  </si>
  <si>
    <t>0499052</t>
  </si>
  <si>
    <t xml:space="preserve"> IMPLEMENTACIÓN DE UN SISTEMA DE GESTIÓN DOCUMENTAL EN EL IGAC A NIVEL   NACIONAL</t>
  </si>
  <si>
    <t>C-0499-1003-5-0-0499060-02</t>
  </si>
  <si>
    <t>0499060</t>
  </si>
  <si>
    <t>C-0403-1003-2-0-0403005-02</t>
  </si>
  <si>
    <t>0403005</t>
  </si>
  <si>
    <t xml:space="preserve"> GENERACIÓN DE ESTUDIOS DE SUELOS, TIERRAS Y APLICACIONES AGROLÓGICAS COMO INSUMO PARA EL ORDENAMIENTO INTEGRAL Y EL MANEJO SOSTENIBLE DEL TERRITORIO A NIVEL  NACIONAL</t>
  </si>
  <si>
    <t>C-0402-1003-7-0-0402003-02</t>
  </si>
  <si>
    <t>0402003</t>
  </si>
  <si>
    <t>C-0402-1003-8-0-0402003-02</t>
  </si>
  <si>
    <t>C-0499-1003-8-0-0499063-02</t>
  </si>
  <si>
    <t>0499063</t>
  </si>
  <si>
    <t>C-0499-1003-7-0-0499063-02</t>
  </si>
  <si>
    <t>C-0404-1003-2-0-0404004-02041</t>
  </si>
  <si>
    <t>02041</t>
  </si>
  <si>
    <t xml:space="preserve"> BID</t>
  </si>
  <si>
    <t>C-0404-1003-2-0-0404004-02042</t>
  </si>
  <si>
    <t>02042</t>
  </si>
  <si>
    <t xml:space="preserve"> BM</t>
  </si>
  <si>
    <t>C-0404-1003-2-0-0404004-01022</t>
  </si>
  <si>
    <t>01022</t>
  </si>
  <si>
    <t>C-0404-1003-2-0-0404004-02011</t>
  </si>
  <si>
    <t>02011</t>
  </si>
  <si>
    <t>C-0404-1003-2-0-0404004-02012</t>
  </si>
  <si>
    <t>02012</t>
  </si>
  <si>
    <t>C-0404-1003-2-0-0404004-04022</t>
  </si>
  <si>
    <t>04022</t>
  </si>
  <si>
    <t>C-0404-1003-2-0-0404004-03021</t>
  </si>
  <si>
    <t>03021</t>
  </si>
  <si>
    <t>C-0404-1003-2-0-0404004-03022</t>
  </si>
  <si>
    <t>03022</t>
  </si>
  <si>
    <t>Unión cuenta</t>
  </si>
  <si>
    <t xml:space="preserve">AUXILIO DE TRANSPORTE </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</si>
  <si>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</si>
  <si>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</si>
  <si>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</si>
  <si>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</si>
  <si>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</si>
  <si>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</si>
  <si>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</si>
  <si>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</si>
  <si>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</si>
  <si>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</si>
  <si>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</si>
  <si>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</si>
  <si>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</si>
  <si>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</si>
  <si>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</si>
  <si>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</si>
  <si>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</si>
  <si>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</si>
  <si>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</si>
  <si>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</si>
  <si>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</si>
  <si>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</si>
  <si>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</si>
  <si>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</si>
  <si>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</si>
  <si>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</si>
  <si>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</si>
  <si>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</si>
  <si>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</si>
  <si>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</si>
  <si>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</si>
  <si>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</si>
  <si>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</si>
  <si>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</si>
  <si>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</si>
  <si>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</si>
  <si>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</si>
  <si>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</si>
  <si>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</si>
  <si>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</si>
  <si>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</si>
  <si>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</si>
  <si>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</si>
  <si>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</si>
  <si>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</si>
  <si>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</si>
  <si>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</si>
  <si>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</si>
  <si>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</si>
  <si>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</si>
  <si>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</si>
  <si>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</si>
  <si>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</si>
  <si>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</si>
  <si>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</si>
  <si>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</si>
  <si>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</si>
  <si>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</si>
  <si>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</si>
  <si>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</si>
  <si>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</si>
  <si>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</si>
  <si>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</si>
  <si>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</si>
  <si>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</si>
  <si>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</si>
  <si>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</si>
  <si>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</si>
  <si>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</si>
  <si>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</si>
  <si>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</si>
  <si>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</si>
  <si>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</si>
  <si>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</si>
  <si>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</si>
  <si>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</si>
  <si>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</si>
  <si>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</si>
  <si>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</si>
  <si>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</si>
  <si>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</si>
  <si>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</si>
  <si>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</si>
  <si>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</si>
  <si>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</si>
  <si>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</si>
  <si>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</si>
  <si>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</si>
  <si>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</si>
  <si>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</si>
  <si>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</si>
  <si>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</si>
  <si>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</si>
  <si>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</si>
  <si>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</si>
  <si>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</si>
  <si>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</si>
  <si>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</si>
  <si>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</si>
  <si>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</si>
  <si>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</si>
  <si>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</si>
  <si>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</si>
  <si>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</si>
  <si>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</si>
  <si>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</si>
  <si>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</si>
  <si>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</si>
  <si>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</si>
  <si>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</si>
  <si>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</si>
  <si>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</si>
  <si>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</si>
  <si>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</si>
  <si>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</si>
  <si>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</si>
  <si>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</si>
  <si>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</si>
  <si>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</si>
  <si>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</si>
  <si>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</si>
  <si>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</si>
  <si>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</si>
  <si>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</si>
  <si>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</si>
  <si>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</si>
  <si>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</si>
  <si>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</si>
  <si>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</si>
  <si>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</si>
  <si>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</si>
  <si>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</si>
  <si>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</si>
  <si>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</si>
  <si>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</si>
  <si>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</si>
  <si>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</si>
  <si>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</si>
  <si>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</si>
  <si>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</si>
  <si>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</si>
  <si>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</si>
  <si>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</si>
  <si>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</si>
  <si>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</si>
  <si>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</si>
  <si>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</si>
  <si>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</si>
  <si>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</si>
  <si>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</si>
  <si>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</si>
  <si>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</si>
  <si>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</si>
  <si>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</si>
  <si>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</si>
  <si>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</si>
  <si>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</si>
  <si>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</si>
  <si>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En el segundo trimeste del año se realizaron los siguientes tramites abril: 472, mayo 422 y junio 210</t>
  </si>
  <si>
    <t>En el tercer trimestre del año se realizaron los siguientes tramites. Julio: 7465 , Agosto:315 , Septiembre:143</t>
  </si>
  <si>
    <t>Concepto Favorable</t>
  </si>
  <si>
    <t>Reporte Aprobado</t>
  </si>
  <si>
    <t>Se observa la relación de los tramites realizados en los meses de seguimiento</t>
  </si>
  <si>
    <t>Realizaron los trámites reportados</t>
  </si>
  <si>
    <t>Aunque para el periodo no se proyecta meta, la Territorial ejecutó 2.790 trámites de oficina.</t>
  </si>
  <si>
    <t xml:space="preserve">Aunque no se proyecta meta para el trimestre, se evidencia la realización de1104 trámites, soportados en libro radicador, estadística de trámites, seguimiento y detalle de rectificaciones. </t>
  </si>
  <si>
    <t>De acuerdo a los soportes, relación trámites, se evidencia el avance reportado.</t>
  </si>
  <si>
    <t>Realizar trámites de terreno de vigencias anteriores y de la actual vigencia</t>
  </si>
  <si>
    <t>Tramites de conservación Catastral realizados (Terreno)</t>
  </si>
  <si>
    <t>SE REPORTA LOS TRAMITES DE TERRENO DEL PRIMER TRIMESTRE DEL 2021</t>
  </si>
  <si>
    <t>En el segundo trimestre del año se realizaron los siguientes tramites de terreno. Abril 424, Mayo 131 y junio 209</t>
  </si>
  <si>
    <t>En el tercer trimestre del año se realizaron los siguientes tramites de terreno. Julio: 86, Agosto: 51 y Septiembre: 143</t>
  </si>
  <si>
    <t>Registro de terreno aprobado</t>
  </si>
  <si>
    <t>En la relación adjunta se ven los tramites de terreno realizados en el trimestre</t>
  </si>
  <si>
    <t>Realizaron 280 tramites de terreno</t>
  </si>
  <si>
    <t>Aunque para el periodo no se asigna meta, se evidencia la realización 238 trámites de terreno en los meses de enero, febrero y marzo de 2021.</t>
  </si>
  <si>
    <t>Si meta para el periodo, sin embargo, se evidencia la realización  de los tramites de terreno para los mesdes de abril=424, mayo=131 y junio=209, para un total de 764 trámites, evidencidos en el seguimiento a trámites con corte a 2021-06-30.</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</si>
  <si>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</si>
  <si>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</si>
  <si>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</si>
  <si>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</si>
  <si>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</si>
  <si>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En el segundo trimestre del año se recibieron 3 solicitudes, las cuales todas se respondieron, se aclara que en este dato no se incluye las que remiten por competencia a los gestores catastrales de AMB y Barranquilla</t>
  </si>
  <si>
    <t>En el tercer trimestre del año se recibieron 3 solicitudes, las cuales todas se responden, se aclara que en este dato no se incluye las que se remiten por competencia a los gestores catastrales de AMB y Barranquilla</t>
  </si>
  <si>
    <t>La Dt atendió tres solicitudes</t>
  </si>
  <si>
    <t>La DT atendio las tres solicitudes relacionadas con la regularizacion de la propiedad</t>
  </si>
  <si>
    <t>Se observa respuesta y atención  a las solicitudes realizadas por los juzgados de su jurisdicción, dando cumplimiento a la meta proyectada.</t>
  </si>
  <si>
    <t>Se evidencia porcentaje de avance en el trimestre mediante oficios de respuesta con Radicados Nos. 3608, 4049 y 4053, entre mayo y junio de 2021.</t>
  </si>
  <si>
    <t>De acuerdo a los soportes, memorandos, cuadro consolidado Avalúos Territorial Caldas, se evidencia el avance reportado.</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</si>
  <si>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</si>
  <si>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</si>
  <si>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</si>
  <si>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No se recibieron solicitudes</t>
  </si>
  <si>
    <t>Aprobado</t>
  </si>
  <si>
    <t>La DT reporta que no se presentaron solicitudes de RT</t>
  </si>
  <si>
    <t>De aucerdo al autoseguimiento, se informa que no se recibieron solicitudes por esta actividad.</t>
  </si>
  <si>
    <t>En autoseguimiento de la Dirección Territorial, se informa que no se recibieron solicitudes.</t>
  </si>
  <si>
    <t>No se presentaron solicitudes en la DT Caldas</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</si>
  <si>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</si>
  <si>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</si>
  <si>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</si>
  <si>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</si>
  <si>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</si>
  <si>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</si>
  <si>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</si>
  <si>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En el segundo trimestre del año se recibieron 263 peticiones y se contestaron a termino 250</t>
  </si>
  <si>
    <t>En el trimestre del año se recibieron 152 peticiones y se contestaron a termino 413, las cuales incluye las 152 presentadas y peticiones de meses anteriores.</t>
  </si>
  <si>
    <t>Realizan reporte y seguimiento a las peticiones recibidas</t>
  </si>
  <si>
    <t>De acuerdo a lo aportado por la territorial se evidencia un 85% aproximadamente, en la atención y respuesta de solicitudes en el trimestre.</t>
  </si>
  <si>
    <t>La Dirección Territorial en autoseguimiento informa sobre el se recibido de 263 peticiones, de las cuales se dión respuesta a término de 250.</t>
  </si>
  <si>
    <t>De acuerdo a los soportes, herramienta de monitoreo 2021 Caldas, se evidencia el avance reportado.</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</si>
  <si>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</si>
  <si>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</si>
  <si>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</si>
  <si>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</si>
  <si>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</si>
  <si>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</si>
  <si>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</si>
  <si>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</si>
  <si>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Todas las actas se entregaron dentro de las fechas establecidas</t>
  </si>
  <si>
    <t>Todas las actas se entregaron dentro de las fechas establecidas, copaast julio, agosto, septiembre y convivencia de septiembre.</t>
  </si>
  <si>
    <t>Cumplimiento con la realizacion de las actas y envio a talento humano</t>
  </si>
  <si>
    <t>Realizaron las actividades de copasst y comite de convivencia</t>
  </si>
  <si>
    <t>Se da cumplimiento con la realización de los comités de Copasst realizados el 12-01-2021, 12-02-2021 y 12-03-2021; así como el comité de Convivencia el 11-03-2021.</t>
  </si>
  <si>
    <t>Se evidencia el cumplimiento con las actas aportadas de comités de Copasst y Convivencia de los meses de abril, mayo y junio de 2021.</t>
  </si>
  <si>
    <t>De acuerdo a los soportes, actas copasst y comite de convivencia, se evidencia el avance reportado.</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</si>
  <si>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</si>
  <si>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</si>
  <si>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</si>
  <si>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a dado cumplimiento a las responsabilidades en el SG y SST</t>
  </si>
  <si>
    <t>De acuerdo a la evidencia se observa que han realizado inspeccion a los extintores, botiquines e infraestructura</t>
  </si>
  <si>
    <t>Reportan actividades de SG y SST</t>
  </si>
  <si>
    <t>Se evidencia actividad con la realización de: Inspección a la infraestructura de fecha 31-03-2021, Botiquín de Primeros auxilios el 31-03-2021 y la Verificación del estado de extintores el 30-03-2021.</t>
  </si>
  <si>
    <t>Se evidencia actividad realizada, mediante formatos de Inspección botiquines y extintores, e infraestructura en el mes de junio.</t>
  </si>
  <si>
    <t>Se reporta actividades SST y SG</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</si>
  <si>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</si>
  <si>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</si>
  <si>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</si>
  <si>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</si>
  <si>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</si>
  <si>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venta de bienes y servicios</t>
  </si>
  <si>
    <t>Recursos obtenidos por ventas de contado</t>
  </si>
  <si>
    <t>Eficiencia</t>
  </si>
  <si>
    <t>EN EL PRIMER TRIMESTRE INGRESO POR VENTAS 13.638.680</t>
  </si>
  <si>
    <t>En el segundo trimestre ingreso por ventas 12.607.715, es de aclarar a las oficinas de planeación y control interno, que hasta la fecha NO nos han notificado meta de ventas para el año 2021.</t>
  </si>
  <si>
    <t>En el tercer trimestre ingreso por ventas 23.484.684.</t>
  </si>
  <si>
    <t>aprobado</t>
  </si>
  <si>
    <t>Anexan resumen de ventas de las DT</t>
  </si>
  <si>
    <t>Se evidencia las ventas por 23.484.684.</t>
  </si>
  <si>
    <t>Concepto No Favorable</t>
  </si>
  <si>
    <t>Teniendo en cuenta que para el trimestres no se asigna meta, se reporta y evidencian ingresos por ventas por un valor de 13.638.680</t>
  </si>
  <si>
    <t>Se evidencia actividad, con resumen de ventas y autoseguimiento donde se preportan ingresos por ventas de 12.607.715.</t>
  </si>
  <si>
    <t>De acuerdo a los soportes, reportes mensuales, se evidencia el avance reportado de $ 23.484.684, que se encuentra por debajo de lo programado.</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</si>
  <si>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</si>
  <si>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</si>
  <si>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</si>
  <si>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</si>
  <si>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En el segundo trimestre no se reporta actualizacion y formacion de zonas urbanas en la territorial bolivar</t>
  </si>
  <si>
    <t>En el tercer trimestre se reporta contrato de titulacion de predios ministerio de vivienda-IGAC en municipios del departamento de bolivar,el cual se encuenta en ejecucion de campo.</t>
  </si>
  <si>
    <t>Sin meta asignada en el periodo</t>
  </si>
  <si>
    <t>Sin meta asignada para el período</t>
  </si>
  <si>
    <t>se revisa evidencia de contrato, cumple con el producto esperado</t>
  </si>
  <si>
    <t>Sin meta asignada en el periodo.</t>
  </si>
  <si>
    <t>Sin meta asignada para el periodo</t>
  </si>
  <si>
    <t xml:space="preserve">Se observa que actualmente la territorial tiene activo el contrato de titulación de predios con el Ministerio de Vivienda – IGAC, el cual se encuentra en ejecución.  Sin embargo, para este trimestre del año no se programó ninguna meta.  </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</si>
  <si>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</si>
  <si>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</si>
  <si>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</si>
  <si>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En el segundo trimestre no se reporta actualizacion y formacion de zonas rurales en la territorial bolivar</t>
  </si>
  <si>
    <t>En el tercer trimestre no se reporta actualizacion y formacion de zonas rurales en la territorial bolivar.</t>
  </si>
  <si>
    <t>sin meta para el periodo</t>
  </si>
  <si>
    <t>Sin meta asignada para el periodo.</t>
  </si>
  <si>
    <t xml:space="preserve">Para el tercer trimestre del año no se programó ninguna meta.  </t>
  </si>
  <si>
    <t>Se realizo seguimiento a los tramites de oficina durante el primer trimestre de 2021.</t>
  </si>
  <si>
    <t>Se realizo seguimiento a los tramites de oficina durante el segundo trimestre del 2021, en la territorial bolivar</t>
  </si>
  <si>
    <t>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t>
  </si>
  <si>
    <t>En el archivo adjunto se indica la cantidad de trámites ejecutados en oficina (1349)</t>
  </si>
  <si>
    <t>En los reportes generados por elsistema de información catastral se observa realización de trámites de oficina asI abril:889, mayo: 775 y junio:444, para un total de 2108</t>
  </si>
  <si>
    <t xml:space="preserve">se revisa evidencia cumple con lo esperado </t>
  </si>
  <si>
    <t xml:space="preserve">Se evidencian 1349 trámites ejecutados en oficina, para el primer trimestre. </t>
  </si>
  <si>
    <t>Aunque no se asigna meta, se evidencian los reportes generados de información catastral en la realización de trámites de oficina con  un total de 2108</t>
  </si>
  <si>
    <t xml:space="preserve">Para el tercer trimestre del año 2021, no se programó ninguna meta, sin embargo, se observa que se ha avanzado en el proceso de seguimiento de trámites de oficina.  </t>
  </si>
  <si>
    <t>Se realizo seguimiento a los tramites de terreno durante el primer trimestre de 2021.</t>
  </si>
  <si>
    <t>Se realizo seguimiento a los tramites de terreno durante el segundo trimestre del 2021, en la territorial bolivar</t>
  </si>
  <si>
    <t>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t>
  </si>
  <si>
    <t>En el archivo adjunto (en la carpeta de la actividad 3) se indica la cantidad de trámites ejecutados de terreno (890).</t>
  </si>
  <si>
    <t>En los reportes generados por elsistema de información catastral se observa realización de trámites de oficina asI abril:658, mayo: 645 y junio:240, para un total de 2108, para un total de 1543</t>
  </si>
  <si>
    <t>se revisa la evidencia cargada cumple con el producto esperado</t>
  </si>
  <si>
    <t>Se verifican de acuerdo a información adjunta, la ejecución de 890 trámites de terreno durante el periodo.</t>
  </si>
  <si>
    <t>Aunque no se proyecta meta para el periodo, se evidencia la realización de trámites de oficina con un total de 1543</t>
  </si>
  <si>
    <t xml:space="preserve">Se ha venido avanzando en la actividad de trámites de terreno.  Sin embargo, se evidencia que para este periodo evaluado no se programó meta.  </t>
  </si>
  <si>
    <t>Se realizoel 100% y seguimiento a las solicitudes realizadas de regulacion de propiedad en el primer trimestre2021.</t>
  </si>
  <si>
    <t xml:space="preserve">Se  realizo seguimiento a las solicitudes, realizadas en el segundo trimestre de 2021,dando cumplimiento a la meta del periodo. </t>
  </si>
  <si>
    <t>Se realizo seguimiento a las solicitudes realizadas,en el tercer trimestre de 2021 dando cumplimiento a la meta del periodo.</t>
  </si>
  <si>
    <t>En el archivo en excel denominado "informe primer trimestre restitución de tierras 2021" se observan la cantidad de solicitudes en materia de regularizacion para el primer trimestre (8, 4 y 7), pero no se puede comprobar si se atendieron en el término legal</t>
  </si>
  <si>
    <t>En el memorando remitido por Lina Castellar, asegura que se tramitaron dentro del término legal todas las solicitudes de regularización de la propiedad</t>
  </si>
  <si>
    <t>se revisa la evidencia cargada cumple con el producto esperado Regularización de la propiedad (Ley 1561 y Ley 1564 de 2012)</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</si>
  <si>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</si>
  <si>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evidencia el cumplimiento de seguimiento a las solicitudes, de acuerdo a memorando de Restitución de Tierras enviado a la Dirección Territorial.</t>
  </si>
  <si>
    <t xml:space="preserve">Se observa el informe correspondiente al tercer trimestre del año (julio, agosto y septiembre), donde se evidencia que se ha realizado seguimiento a las solicitudes allegadas en tema de regularización de la Propiedad, avanzado en un 25 %.  </t>
  </si>
  <si>
    <t>Se realizo el 100% de las solicitudes recibidas para el cumplimiento de politica de restitucion de tierras y ley de victimas durante el primer trimestre 2021.</t>
  </si>
  <si>
    <t>Se realizo seguimiento a las solicitudes recibidas durante el segundo trimestre del año2021,dando cumplimiento de la politica de restitucion de tierras y ley de victimas.</t>
  </si>
  <si>
    <t>Se realizo seguimiento a las solicitudes recibidas durante el tercer trimestre del año 2021,dando cumplimiento al periodo.</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</si>
  <si>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</si>
  <si>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Se observa cumplimiento del control con la evidencia aportada</t>
  </si>
  <si>
    <t xml:space="preserve">se evidencia el cumplimiento con los soportes cargados </t>
  </si>
  <si>
    <t>En cuadro excel "Informe de Restitución de Tierras 2021",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t>
  </si>
  <si>
    <t>Se da cumplimiento a la actividad de política de restitución de tierras y Ley de Victimas, evidenciado enl informe aportado.</t>
  </si>
  <si>
    <t>Se realizo seguimiento a la atencion de las PQRSD,logrando el 68% durante el primer trimestre de 2021.</t>
  </si>
  <si>
    <t>Se realizo seguimiento a la atencion de las PQRSD en el segundo trimestre del año2021, en la territorial bolivar,logrando un 68% de gestion..</t>
  </si>
  <si>
    <t>Se realizo seguimiento a la atencion de las PQRSD en el tercer trimestredel año 2021,de la territorial bolivar,logrando un 67% de gestion.cabe notar el cambio del sistema cobol al sistema nacional catastral durante este periodo.</t>
  </si>
  <si>
    <t>En el informe presentado se indica que hubo 403 PQRS que no fueron respondidas dentro de los términos, lo que representa un 26% sobre la totalidad, lo que concuerda con el porcentaje reportado.</t>
  </si>
  <si>
    <t>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t>
  </si>
  <si>
    <t>se revisa la evidencia PQRS cumple con producto esperado</t>
  </si>
  <si>
    <t>Se verifica el seguimiento constatado con el informe de la territorial.</t>
  </si>
  <si>
    <t>Aunque se evidencia gestión en las PQRDS por parte de la Dirección Territorial, el % no respuesta no se cumple.</t>
  </si>
  <si>
    <t xml:space="preserve">Se observa que se ha realizado el seguimiento a la atención de las PQRSD para este trimestre del año evaluado.  Sin embargo, se evidencia que no se cumplió con la meta programada. </t>
  </si>
  <si>
    <t>Se realizo reporte de actas de comites durante el primer trimestre de 2021 en la territorial bolivar.</t>
  </si>
  <si>
    <t>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t>
  </si>
  <si>
    <t>Se reportan actas de comties de copasst durante el periodo y se muestra convocatoria a funcionarios para el nuevo comite de convivencia en la territorial bolivar.</t>
  </si>
  <si>
    <t>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</si>
  <si>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"reporte de condiciones de seguridad"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t>
  </si>
  <si>
    <t>se revisa evidencia cumple con producto esperado</t>
  </si>
  <si>
    <t>Se evidencia reporte de Actas de Comités Copasst y Convivencia Laboral, durante el trimestre.</t>
  </si>
  <si>
    <t>Se evidencian actas de reunión del COPASST del periodo, sin embargo, es importante tener en cuenta las recomendaciones dadas por la OAP.</t>
  </si>
  <si>
    <t xml:space="preserve">Se presentan los documentos donde se encuentran las actas realizadas sobre Comité paritario de Seguridad y Salud en el Trabajo – Copasst correspondientes a los meses de julio, agosto y septiembre del presente año.  Así mismo, se observa documento de convocatoria a funcionarios para el nuevo comité de convivencia en la territorial.  </t>
  </si>
  <si>
    <t>Se realizaro los reportes de las actividades asiganadas durante el primer trimestre de 2021 en la territorial boliuvar.</t>
  </si>
  <si>
    <t>Se realizo seguimiento y reporte en el segundo trimestre de 2021, de responsabilidades asignadas  en el periodo en la territorial bolivar</t>
  </si>
  <si>
    <t>Se reoprta seguimiento a las responsabilidades de rendicion de cuentas y acyividades durante el periodo en la territorial bolivar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</si>
  <si>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</si>
  <si>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Se observa cumplimiento del control con las evidencias aportadas</t>
  </si>
  <si>
    <t>se revisa evidencia cumple con lo esperado</t>
  </si>
  <si>
    <t>Verificado lo aportado por la territorial, se evidencia que no se da cumplimiento a todas las responsabilidades establecidas en el Acta 06-01-2021.</t>
  </si>
  <si>
    <t>De acuerdo a lo soportado por la Dirección Territorial, se da cumplimiento en la Atención en los tiempos establecidos las responsabilidades y rendición de cuentas en el SG - SST.</t>
  </si>
  <si>
    <t xml:space="preserve">Para esta actividad la territorial soporta los documentos correspondientes al seguimiento a las responsabilidades de Rendición de Cuentas. </t>
  </si>
  <si>
    <t xml:space="preserve">Se realizo seguimiento a  las ventas de bienes y servicios durante el primer trimestre.les remito como es de su conocimiento no tenemos asignado  aun  metas de ingresos a la fecha. </t>
  </si>
  <si>
    <t>Se realizo seguimiento a las ventas de bienes y servicios durante el segundo trimestre de 2021, en la territorial bolivar</t>
  </si>
  <si>
    <t>Se realizo seguimiento a las ventas de bienes y servicios por valor de  $52623975 durante el periodo en la territorial bolivar</t>
  </si>
  <si>
    <t>En las evidencias reportadas se observa el mismo valor reportado de ingresos durante el primer trimestre</t>
  </si>
  <si>
    <t>En las evidencias reportadas se observa el mismo valor reportado de ingresos durante el segundo trimestre</t>
  </si>
  <si>
    <t>se revisa evidencias formato de ingresos.</t>
  </si>
  <si>
    <t>Aunque para el periodo no se asigna meta, se evidencia reporte  de ingresos de  45801069, durante el primer trimestre</t>
  </si>
  <si>
    <t>De acuerdo a los soportes entregados por la Dirección Territorial, se evidencia el valor reportado de la meta de ingresos por la venta de bienes y servicios durante el periodo.</t>
  </si>
  <si>
    <t xml:space="preserve">Se evidencian como soportes la relación de ingresos de la Dirección Territorial correspondiente al tercer trimestre del año.  Sin embargo, se observa que no se dio cumplimiento a la meta programada para el periodo evaluado.  </t>
  </si>
  <si>
    <t xml:space="preserve">Llevar a cabo el proceso de recuperación del 100% de la cartera pendiente por convenios y contratos de la territorial </t>
  </si>
  <si>
    <t>Recursos obtenidos por recuperación de cartera</t>
  </si>
  <si>
    <t>en el primer trimestre no se programo ingresos por recuperacion de cartera en la territorial bolivar 2021.</t>
  </si>
  <si>
    <t>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t>
  </si>
  <si>
    <t>Se reporta resolucion de castigo cartera por parte de sede central y realizo seguimiento a todos los procesos de la territorai bolivar durante el periodo.</t>
  </si>
  <si>
    <t>Para esta actividad aparece planteada una meta del 25%, es ncesario que la Dirección Territorial aclare si existe cartera para ser recuperada</t>
  </si>
  <si>
    <t>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t>
  </si>
  <si>
    <t>se revisa las evidencias cumlen con el producto esperado</t>
  </si>
  <si>
    <t>Se asigna una meta para el periodo, sin embargo en el autoseguimiento se informa "que no se programo ingresos por recuperacion de cartera en la territorial bolivar 2021".</t>
  </si>
  <si>
    <t xml:space="preserve">Se evidencia proceso de seguimiento a la recuperacion de cartera durante el periodo. </t>
  </si>
  <si>
    <t xml:space="preserve">Para el cumplimiento de esta actividad la territorial soporta las conciliaciones bancarias correspondientes a los meses de julio, agosto y septiembre del año en curso.  </t>
  </si>
  <si>
    <t>Se firma acta de inicio entre el IGAC y la empresa ejecutora, se publica resolucion de inicio, la subdireccion de catastro comunica que el reporte de avance lo hace esa dependencia.</t>
  </si>
  <si>
    <t>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t>
  </si>
  <si>
    <t>En el TERCER trimestre se da inicio a la etapa de Reconocimiento Predial, este proceso esta en cabeza de la Subdireccion de Catastro y Proyectos, quienes en el mes de septiembre comunican un avance de entrega por el operador del 25%, se adjunto pantallazo cita reunion virtual</t>
  </si>
  <si>
    <t>No se puede evaluar con la información disponible.</t>
  </si>
  <si>
    <t>En actas de reunión de comités operativos se observa inicio de actividades para siguiente periodo.</t>
  </si>
  <si>
    <t>Se evidencia cumplimiento</t>
  </si>
  <si>
    <t>Sin meta signada para el periodo.</t>
  </si>
  <si>
    <t>De acuerdo a los soportes, reunión por team, se evidencia el avance reportado</t>
  </si>
  <si>
    <t>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t>
  </si>
  <si>
    <t>En el TERCER trimestre se da inicio a la etapa de Reconocimiento Predial RURAL, este proceso esta en cabeza de la Subdireccion de Catastro y Proyectos, quienes en el mes de septiembre comunican un avance de entrega por el operador del 25%, se adjunto pantallazo cita reunion virtual</t>
  </si>
  <si>
    <t>En actas de reunión de comités operativos se observa inicio de actividades para el siguiente periodo.</t>
  </si>
  <si>
    <t>La evidencia es concordante con la actividad</t>
  </si>
  <si>
    <t>De la vigencia anterior se ejecuto 220, de la presnete 1653 tramites, se anulo 288</t>
  </si>
  <si>
    <t>Durante el segundo trimestre se ejecutaron 4332 trámites de Oficina, como se evidencia en reporte del  sistema Cobol, el cual se adjunta demostrando el cumplimiento de la actividad.</t>
  </si>
  <si>
    <t>Con el informe del sistema Cobol se evidencian 4309 trámites de oficina durante el TERCER trimestre</t>
  </si>
  <si>
    <t>Se evidencia en reporte avance  a marzo donde se puede observarun informe de tramitadas por unidad ooperativa Tunja, Sogamoso, Chiquinquira de enero, febrero y marzo.</t>
  </si>
  <si>
    <t>En informe tramitado de abril a junio se evidencia registro de 4332 tráomites de oficina.</t>
  </si>
  <si>
    <t xml:space="preserve">Se da cumplimiento con la evidencia </t>
  </si>
  <si>
    <t>Aunque para el periodo no se asigna meta, se evidencia reporte ejecutado de 1873 tramites de las Unidades Operativas de Tunja, Sogamoso y Chiquinquirá.</t>
  </si>
  <si>
    <t>Aunque la Dirección Territorial no asigna meta par el periodo, se evidencia en cuadro de trámites la ejecución de 4332 trámites de oficina.</t>
  </si>
  <si>
    <t>De acuerdo a los soportes, informe de tramitadas por unidad operativa desde 20210701 hasta 20210930, se evidencia la realización de 4309 tramites.</t>
  </si>
  <si>
    <t>De la vigencia anterior se efectuo 592 y de la presente 238 tramites, se anulo luego de estudio y algunos cosos despues de la visita 434</t>
  </si>
  <si>
    <t>Durante el segundo trimestre se ejecutaron 1661 trámites de Terreno, como se evidencia en reporte del  sistema Cobol, el cual se adjunta demostrando el cumplimiento de la actividad.</t>
  </si>
  <si>
    <t xml:space="preserve">Con el informe del sistema Cobol se evidencian 1339 trámites de terreno durante el TERCER trimestre. Se presenta falta de personal a contrato, el rediseño institucional afecto negativamente </t>
  </si>
  <si>
    <t xml:space="preserve">Se evidencia en informe “avance conservación a marzo” donde se puede observar descripción de tramitadas, por unidad operativa en Tunja, Sogamoso, Chiquinquira </t>
  </si>
  <si>
    <t>En informe tramitado de abril a junio se evidencia registro de 1661 trámites en terreno.</t>
  </si>
  <si>
    <t>Se cumple con la evidencia propuesta</t>
  </si>
  <si>
    <t>Aunque no se asigna meta para el periodo la territorial presenta un avance de 830 trámites de la Unidades Operativas  de Tunja, Sogamoso, Chiquinquira.</t>
  </si>
  <si>
    <t>No se asigna meta para el periodo, no obstante, en lo soportado por la Dirección Territorial se evidencia el registro de 1661 trámites en terreno.</t>
  </si>
  <si>
    <t>De acuerdo a los soportes, informe de tramitadas por unidad operativa desde 20210701 hasta 20210930, se evidencia la realización de 1339 tramites.</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</si>
  <si>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</si>
  <si>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</si>
  <si>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</si>
  <si>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</si>
  <si>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</si>
  <si>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realizaron 33 cotizaciones para juzgados, particulares y municipio de Tunja. Durante el segundo trimestre no se firmaron avalúos comerciales con otras entidades. Se adjunta como evidencia relación de la gestión con las cotizaciones realizadas.</t>
  </si>
  <si>
    <t>Se finalizaron 4 avalúos. Se tiene en proceso 8. Como evidencia se adjunta relación de los avalúos del Tercer Trimestre.</t>
  </si>
  <si>
    <t>Se evidencia el registro de solicitudes de cotizaciones en el formato solicitud de cotizacion de avaluos FO-GCT-PC09-11, pero no avaluos comerciales realizados.</t>
  </si>
  <si>
    <t>Se verifica registro de información de predios rurales y urbanos en formato de solicitud de avalúos.</t>
  </si>
  <si>
    <t>Se cumple con la evidencia a la actividad propuesta</t>
  </si>
  <si>
    <t>De acuerdo a los soportes, relación avalúos comerciales tercer trimestre 2021, se evidencia el avance reportado.</t>
  </si>
  <si>
    <t xml:space="preserve">Durante el trimestre se atendio las certificaciones y solicitudes de los usuarios y entes como juzgados que fueron solicitadas </t>
  </si>
  <si>
    <t>Se atendieron todas las solicitudes de certificados especiales para regularización de la propiedad según ley 1561. Como evidencia se adjunta relación de certificados hechos.</t>
  </si>
  <si>
    <t>Durante el TERCER trimestre se atendieron todas las solicitudes en materia de regularización de la propiedad. Se evidencia mediante informe generado en SIGAC</t>
  </si>
  <si>
    <t>Se evidencia  registro una relacion de tramites de prodctos en area de sistemas de los meses enero, febrero y marzo</t>
  </si>
  <si>
    <t xml:space="preserve">En formato de trazabilidad de certificados planos catastrales se aprecian registros de los meses de abril a junio. </t>
  </si>
  <si>
    <t>La evidencia es concordante con la actividad propuesta</t>
  </si>
  <si>
    <t xml:space="preserve">Se valida que durante el trimestre se dió atención a las certificaciones y solicitudes realizadas. </t>
  </si>
  <si>
    <t xml:space="preserve">Se constata soporte de evidencias de certificados planos catastrales registros de abril a junio. </t>
  </si>
  <si>
    <t>De acuerdo a los soportes, relación mensual, se evidencia el avance reportado.</t>
  </si>
  <si>
    <t>Se atendio lo solicitado por los jueces de tierras con forme norma y herramienta monitoreo</t>
  </si>
  <si>
    <t>Se atendio las diferentes solicitudes de los jueces de tierras, se elabora acta comite y diligencia herramienta de monitoreo se adjunta.</t>
  </si>
  <si>
    <t>Durante el TERCER trimestre se atendieron todas las solicitudes de los jueces. Como evidencia se adjunta el formato de Herramienta de Monitoreo con los casos que se han solicitado o concepto de Politica de restitución de Tierras y Ley de Victimas.</t>
  </si>
  <si>
    <t>En herramienta de monitoreo donde se describe  tramites administrativos  y portafolio tambien se identifican los tramits Judiciales</t>
  </si>
  <si>
    <t>En herramienta de monitoreo y acta de comité se relacionan las solicitudes de trámites judiciales.</t>
  </si>
  <si>
    <t>Se evidencia herramienta de monitoreo de tramites administrativos, portafolio, así como los judiciales.</t>
  </si>
  <si>
    <t>Se evidencia la atención de las diferentes solicitudes de los jueces de tierras, acta comite y diligencia herramienta de monitoreo.</t>
  </si>
  <si>
    <t>De acuerdo a los soportes, Tierras herramienta de monitoreo Boyacá 2021, se evidencia el avance reportado.</t>
  </si>
  <si>
    <t>Se propendio por atender oportunamente, los funcioanrios estuvieron en conocimiento del nuevo sistema de correspondencia SIGAC, recibido 2478, tramitado 550, pendiente 1685</t>
  </si>
  <si>
    <t>Segun reporte SIGAC correspondencia externa recibida fue de 1267 solicitudes, segun reporte control interno no se respondio 588, se respondio un 65%. Determinando que la territorial requiere de una acción correctiva para disminuir el rezago en las respuestas oportunas.</t>
  </si>
  <si>
    <t>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t>
  </si>
  <si>
    <t>Se evidencia en reporte consolidado nacional de PQRDS un resago de 1685 por atender, el valor ejecutado no corresponde a la evidencia</t>
  </si>
  <si>
    <t>En relación de archivo SIGAC se aprecian las 1267 solicitudes radicadas, con 35% que faltan por dar resuesta.</t>
  </si>
  <si>
    <t>Las evidencias cumplen con la actividad porpuesta</t>
  </si>
  <si>
    <t>De acuerdo al consolidado de lo recibido, tramitado y pendiente, no se da cumplimiento a la actividad.</t>
  </si>
  <si>
    <t xml:space="preserve">Se constata el recibo de 1267 solicitudes radicadas, de las cuales se dión respuesta a un 65% de ellas, quedando un rezago del 35%. </t>
  </si>
  <si>
    <t>De acuerdo a los soportes, reporte SIGAC tercer trimestre, se evidencia el avance reportado, pero esta por debajo de lo programado.</t>
  </si>
  <si>
    <t>Se efectuo las actas mensuales de copasst y la de comite convivencia</t>
  </si>
  <si>
    <t>Se cumplio con las reuniones y actas correspondientes a copass y comite de convivencia. Se adjunta copia de las respectivas actas.</t>
  </si>
  <si>
    <t>Se cumplió con las reuniones y actas correspondientes a copass y comite de convivencia. Se adjunta copia de las respectivas actas.</t>
  </si>
  <si>
    <t>Se evidencia el cumplimiento de la actividas con la actas de los comites COPASST de enero, febrero y marzo y el acta  del comite de convivencia del 23 de marzo.</t>
  </si>
  <si>
    <t>Se verifica cumplimiento de actividades referntes al Talento Humano con las actas de Copasst y Comisión de Personal de los meses de abril, mayo y junio así como el acta del comité de convivencia laboral del mes de junio.</t>
  </si>
  <si>
    <t>Las evidencias cumplen</t>
  </si>
  <si>
    <t>Se evidencia el cumplimiento con lo observado en las actas de los comites COPASST de enero, febrero y marzo y el acta  del comite de convivencia de marzo de 2021.</t>
  </si>
  <si>
    <t>Se evidencia el cumplimiento de actividades con las actas de Copasst y Comisión de Personal durante el periodo (abril-junio), y acta comité de convivencia laboral en junio.</t>
  </si>
  <si>
    <t>De acuerdo a los soportes, actas comités de convivencia y copasst, se evidencia el avance reportado.</t>
  </si>
  <si>
    <t xml:space="preserve">No se socializo el acta del 06-01-2021 </t>
  </si>
  <si>
    <t>Se socializo el acta para dar cumplimiento.Se creo link de comite de convicencia laboral, comision de personal,se envía el  reporte de ausentismo diseñado por TH Se lleva reporte sintomatologia covid.</t>
  </si>
  <si>
    <t>Las responsabilidades ante el SG - SST se vienen atendiendo mediante el registro de la sintomatología del Covid-19 y el envío de las pruebas que se han hecho los funcionarios con posibles casos positivos, entre otros.</t>
  </si>
  <si>
    <t>No se cumplio las actividades establecidas en acta del 06-01-2021, por desconocimiento</t>
  </si>
  <si>
    <t>Se cumprueba cumplimiento con el diligenciamiento del reporte de asusentismo del periodo, el correo electrónico de participación de plataforma de registro de sintomatología Covid y comunicación de link carpeta compartida.</t>
  </si>
  <si>
    <t>Las evidencias son concordantes con la actividad propuesta</t>
  </si>
  <si>
    <t>No se evidencia soporte de la actividad; igualmente en el autoseguimiento se manifiesta la no realización de socialización del acta del 06-01-2021.</t>
  </si>
  <si>
    <t>Se evidencia reporte de asusentismo, correo electrónico de participación plataforma de registro de sintomatología Covid y comunicación de link carpeta compartida.</t>
  </si>
  <si>
    <t>De acuerdo a los soportes, registro sintomatología y pruebas covid, se evidencia el avance reportado.</t>
  </si>
  <si>
    <t xml:space="preserve">A la fecha no se ha asignado meta, el recaudo fue de 72.061.73 millones </t>
  </si>
  <si>
    <t>De la meta asignada se cumplió en un 61%, esto debido a que no se cuenta con comercializador de apoyo, se han disminuido las ventas por los Datos Abiertos. Igualmente nunca se había asignado una meta tan alta. Como evidencia se adjuntan los informes de ventas.</t>
  </si>
  <si>
    <t>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t>
  </si>
  <si>
    <t>Se recaudo 72.061.73 millones, se evidencia en tres archivos.</t>
  </si>
  <si>
    <t>En evidencia se indica ingresos por $94.970.665, valor que pese a su incremento con respecto al periodo anterior y análisis respectivo, no cumple asignada.</t>
  </si>
  <si>
    <t>Aunque para el periodo no se asigna meta, se evidencia según lo aportado por la territorial un recaudo de 72.061.730 millones.</t>
  </si>
  <si>
    <t>Se constatan ingresos por $94.970.665, con cumplimiento del 615 de la meta asignada.</t>
  </si>
  <si>
    <t>Aunquea los soportes, ingresos mensuales, se evidencian el avance reportado, este se encuentra por debajo de lo programado.</t>
  </si>
  <si>
    <t>Cartera pendiente por 54.870.410,  se recaudo 4.870.410</t>
  </si>
  <si>
    <t>Debido a la gestion hecha en el segundo trimestre con el municipio de Sogamoso para el cobro de $ 50 millones, se logró el recaudo el 2 de julio. Se adjunta informe.</t>
  </si>
  <si>
    <t>Se recuperó la cartera correspondiente al municipio de Sogamoso por 50 millones el cual se refleja en los ingresos reportados por pagaduria en julio, no se tiene mas cartera para recuperar</t>
  </si>
  <si>
    <t xml:space="preserve">Se comprueba en evidencia ingreso mes de marzo 2021 Boyacá, el recaudó de Cartera $ 4.870.410 </t>
  </si>
  <si>
    <t>En orden de pago y transferencia se aprecia el recaudo de 50 millones.</t>
  </si>
  <si>
    <t xml:space="preserve">Cumple con la evidencia </t>
  </si>
  <si>
    <t>Se evidencia recaudo de cartera por valor $4.870.410.</t>
  </si>
  <si>
    <t xml:space="preserve">De acuerdo a informe presentado, se evidencia la gestión con el municipio de Sogamoso y recaudo de $50 millones de pesos. </t>
  </si>
  <si>
    <t>De acuerdo a los soportes, recuperación cartera Sogamoso, se evidencia el avance reportado.</t>
  </si>
  <si>
    <t xml:space="preserve">La dirección territorial Caldas a realializado 4683 tramites de oficina estableciendo un 58.69% de la meta anual. tal como se evidencia en los reportes anexos </t>
  </si>
  <si>
    <t xml:space="preserve">A conrte del segundo trimestre la territorial Caldas a cumplido con el 87.3% de la meta de oficina </t>
  </si>
  <si>
    <t>Se cumplio y sobrepaso la meta establecida para mutaciones de oficina por lo que la meta se encuentra en 141%</t>
  </si>
  <si>
    <t xml:space="preserve">Se cuenta con las evidencias </t>
  </si>
  <si>
    <t>La actividad cuenta con evidencias</t>
  </si>
  <si>
    <t>se revisa evidencias cumple con el producto esperado</t>
  </si>
  <si>
    <t xml:space="preserve">No se asigna meta para el periodo, pero se verifica la realización de  4683 tramites de oficina , según observado en los anexos </t>
  </si>
  <si>
    <t xml:space="preserve">Sin meta asignada para este periodo, sin embargo se evidencia cronograma y seguimiento de tramites catastrales de la direccion. </t>
  </si>
  <si>
    <t>De acuerdo a los soportes, reporte mensual, se evidencia el avance reportado.</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</si>
  <si>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</si>
  <si>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 xml:space="preserve">Durante el  tercer trimestre quedaron en firme quinientas mutaciones de terreno como se logra evidenciar en los respectivos reportes </t>
  </si>
  <si>
    <t xml:space="preserve">Se realiza un gran esfuerzo para ejecutar y sacar de los diferentes roles las mutaciones de terreno sinb embargo se evidencia  en el sistema que suspendien   mutaciones por los cambios y roles del sistema con el proceso de restructuración. </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</si>
  <si>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</si>
  <si>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</si>
  <si>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</si>
  <si>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t>
  </si>
  <si>
    <t xml:space="preserve">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t>
  </si>
  <si>
    <t xml:space="preserve">La actividad no cuenta con las evidencias </t>
  </si>
  <si>
    <t>Sin asignación de meta para el periodo.</t>
  </si>
  <si>
    <t>Sin meta asignada para este periodo, sin embargo se  realizó la contratación de perito, y se practicaron avaluos que se encuentran en proceso.</t>
  </si>
  <si>
    <t>De acuerdo a los soportes, memorandos y consolidado Avalúos territorial Caldas, se evidencia el avance reportado.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</si>
  <si>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</si>
  <si>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Territorial Caldas atiende un alto flujo de procesos conforme a la Ley 1561 y Ley 1564 de 2012 relaizando estos procesos de manera oportuna </t>
  </si>
  <si>
    <t xml:space="preserve">La Territorial Caldas atiende un alto flujo de procesos conforme a la Ley 1561 y Ley 1564 de 2012 relaizando estos procesos de manera oportuna expidiendo la información necesaria para este tipo de procesos </t>
  </si>
  <si>
    <t xml:space="preserve">La actividad cuenta con las evidencias </t>
  </si>
  <si>
    <t xml:space="preserve">Se evidencia consolidado de los oficios de respuesta a las solicitudes presentadas en el periodo y consolidado de los certificados expedidos. </t>
  </si>
  <si>
    <t>Se evidencia que la Territorial Caldas atiende las solicitudes realizadas en materia de regulacion de propiedad , se valida el seguimiento.</t>
  </si>
  <si>
    <t>De acuerdo a los soportes, reporte ley 1561 Caldas 30-09-2021 y procesos de pertenencia tercer trimestre 30-09-2021, se evidencia el avance reportado.</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</si>
  <si>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</si>
  <si>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 xml:space="preserve">En la territorial Caldas se presenta un alto flujo d esolicitudes de proceso de restitución de tierras que implica tramites en etapa administrativa judicial y posfallo.  Los Jueces de estos procesos todos los días demandan una mayor actividad del IGAC. </t>
  </si>
  <si>
    <t xml:space="preserve">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t>
  </si>
  <si>
    <t>Se verifica la atención de los requerimientos realizados dentro de los procesos de restitución de tierras y ley de Victimas de manera oportuna.</t>
  </si>
  <si>
    <t xml:space="preserve">Se evidencia la atencion de solicitudes recibidas para el cumplimiento de la Política de Restitución de Tierras y Ley de Víctimas, se valida el seguimiento </t>
  </si>
  <si>
    <t>De acuerdo a los soportes, herramienta de monitoreo 2021 Caldas mensual, se evidencia el avance reportado, pero no cumple con lo programado.</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</si>
  <si>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</si>
  <si>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t>
  </si>
  <si>
    <t xml:space="preserve">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t>
  </si>
  <si>
    <t>Aunque lo ejecutado no alcanza la meta programada se avala la actividad, teniendo en cuenta el avance en el cumplimiento y los soportes que anexa la territorial.</t>
  </si>
  <si>
    <t xml:space="preserve">Se evidencia la atencion de solicitudes de PQRs , se valida el seguimiento </t>
  </si>
  <si>
    <t>De acuerdo a los soportes, reporte mensual, se evidencia el avance reportado, no cumple con lo programado.</t>
  </si>
  <si>
    <t>Se dió cumplimeinto a la realización de los comites de convivencia laboral,  Copasst, de manera mensual tal como lo establece la norma</t>
  </si>
  <si>
    <t>Se da cumplimiento al 100% de las actividades relacionadas con COPASST,CONVIVENCIA LABORAL Y PERSONAL</t>
  </si>
  <si>
    <t>Se carga en el drive la información y actas de copsst y y comite de convivencia se anexa evidencia de los documentos</t>
  </si>
  <si>
    <t>Se evidencia el cumplimiento en la actividad con la realización de los comites de convivencia laboral,  Copasst, en el trimestre.</t>
  </si>
  <si>
    <t>De acuerdo a los soportes, acta copasst y comité de convivencia, se evidencia el avance reportado.</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</si>
  <si>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</si>
  <si>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Se han gestionado las actividades SGSST cerificación botiquines, conformación brigada, informes ausentismo, analisis de condiciones de funcionarios, reuniones de comites, condiciones e instalaciones fisiscas de la territorial</t>
  </si>
  <si>
    <t>De acuerdo a los soportes y lo evidenciado se da cumplimiento a la actividad, durante el trimestre.</t>
  </si>
  <si>
    <t>De acuerdo a los soportes y lo evidenciado se da cumplimiento a la actividad, durante el trimestre</t>
  </si>
  <si>
    <t>De acuerdo a los soportes, reportes, actas, se evidencia el avance reportado.</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</si>
  <si>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</si>
  <si>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SE realizaron ventan por el valor aqui establecido, sin embargo se suscribió contrato de ingresos para proceso catastral con el municipio d eVillamaría por valor de 209.239.479</t>
  </si>
  <si>
    <t>Se reporta valor por ventas e ingresos del centro de información pendientes de ingresar recursos por concepto de contratos de ingreso con el municipio de Villamaría y Supía Caldas</t>
  </si>
  <si>
    <t>De acuerdo a lo reportado por la territorial se obsreva se han obtención de  ingresos en la territorial Caldas por  un valor de $32.520.643.</t>
  </si>
  <si>
    <t>De acuerdo a lo reportado por la territorial se obsreva quese  suscribió contrato de ingresos para proceso catastral con el municipio de Villamaría por valor de 209.239.479</t>
  </si>
  <si>
    <t>Aunque con los soportes, relación ingresos de contado mensual, se evidencia el avance reportado, se encuentra por debajo de lo programado.</t>
  </si>
  <si>
    <t>Se han adelantado todos los procesos de cobro y tramites necesarios para gestionarl  a recuperación de la cartera. Se esta en proceso de pago por parte del municipio de Supía, tal como se evidencia con los anexos mediante los cuales se les realiza los cobros</t>
  </si>
  <si>
    <t xml:space="preserve">Se realiza el recaudo de cartera del 96.8% de una cartera total de 27.038.305 pesos se recuperaron 26.172.462 pesos </t>
  </si>
  <si>
    <t xml:space="preserve">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t>
  </si>
  <si>
    <t>Se evidencian los soportes para la recuperación de cartera, sin embargo no se da cumplimiento a la meta establecida.</t>
  </si>
  <si>
    <t xml:space="preserve">Se evidencian los soportes para la recuperación de cartera,se valida la evidencia aportada </t>
  </si>
  <si>
    <t>De acuerdo a los soportes, informe de cartera por edades mensual, se evidencia el avance reportado.</t>
  </si>
  <si>
    <t xml:space="preserve">En el primer trimestre de 2021 la territorial Caquetá realizó 1165 trámites de oficina, como lo evidencia el pantallazo del aplicativo de REPORTES SNC que se encuentra en el DRIVE </t>
  </si>
  <si>
    <t>En el segundo  trimestre de 2021 la territorial Caquetá realizó 689 trámites de oficina, como lo evidencia el pantallazo del aplicativo de REPORTES SNC que se encuentra en el DRIVE, dando cumpliento al 100% de la actividad</t>
  </si>
  <si>
    <t xml:space="preserve">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t>
  </si>
  <si>
    <t xml:space="preserve">Se evidencia cumplimientocon el pantallazo del aplicativo REPORTES SNC </t>
  </si>
  <si>
    <t>Con pantallazo del aplicativo de REPORTES SNC para los meses de abril, mayo y junio se evidencia la - Realización de los trámites en el periodo.</t>
  </si>
  <si>
    <t>La evidencia corresponde</t>
  </si>
  <si>
    <t xml:space="preserve">Se evidencia con  pantallazo del aplicativo REPORTES SNC </t>
  </si>
  <si>
    <t>Se evidencia en pantallazo del reporte de  SNC de abril, mayo y junio</t>
  </si>
  <si>
    <t>Se verifica cumplimiento de la actividad con pantallazo de Reportes SNC del tercer trimestre 2021.</t>
  </si>
  <si>
    <t xml:space="preserve">Durante  el primer trimestre de 2021 la territorial Caquetá ha finalizado con resolución 293 trámites de terreno. como se evidencia en el pantallazo tomado del aplicativo de REPORTES SNC que se encuentra en el DRIVE </t>
  </si>
  <si>
    <t xml:space="preserve">Durante  el segundo  trimestre de 2021 la territorial Caquetá ha finalizado con resolución 868 trámites de terreno. como se evidencia en el pantallazo tomado del aplicativo de REPORTES SNC que se encuentra en el DRIVE; dando cumplimiento al 100% de la actividad. </t>
  </si>
  <si>
    <t xml:space="preserve">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t>
  </si>
  <si>
    <t>Se evidencia la resolución de 868 trámites en el pantallazo tomado del aplicativo de REPORTES SNC, dando cumplimiento a la actividad</t>
  </si>
  <si>
    <t>Se evidencian 293 trámites de de terreno finalizados con resolución.según pantallazo tomado del aplicativo de REPORTES SNC.</t>
  </si>
  <si>
    <t>Se evidencia  en el pantallazo tomado del aplicativo de SNC resolución de 868 trámites.</t>
  </si>
  <si>
    <t>Se observa ejecuciòn mediante el pantallazo del aplicativo de Reportes SNC del tercer trimestre 2021.</t>
  </si>
  <si>
    <t xml:space="preserve">No se han presentado solicitudes de realización de avalúos comerciales en la territorial Caquetá, por estar sujetos a la demanda no se cuenta con un ejecutable </t>
  </si>
  <si>
    <t xml:space="preserve">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t>
  </si>
  <si>
    <t xml:space="preserve">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t>
  </si>
  <si>
    <t>Al que No se presentaran solicitudes de realización de avalúos no existe meta, no aplica indicador</t>
  </si>
  <si>
    <t>Cumpliendo los lineamientos de la Sede Central, se remitió a gestión de avalúos la solicitud de avalúo Comercial de Leticia - Amazonas, se evidencia en el correo electrónico y memorando.</t>
  </si>
  <si>
    <t xml:space="preserve">No se observa meta programada. </t>
  </si>
  <si>
    <t>Se evidencia con la gestión de avalúos, de avalúo Comercial de Leticia - Amazonas con caso 63870.</t>
  </si>
  <si>
    <t>Se verifica cumplimiento de la actividad mediante correo electrònico 30/09/2021 sobre entrega avaluo realizado tercer trimestre 2021 y copia contrato 851 de 2021.</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</si>
  <si>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</si>
  <si>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t>
  </si>
  <si>
    <t>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t>
  </si>
  <si>
    <t xml:space="preserve">Se evidencia en la trazabilidad al requerimientos y respuestas a: ciudadano Nicasio Ahue Coello, Jaime Rodriguez Martinez, Juzgado Florencia Caqueta. </t>
  </si>
  <si>
    <t>Con las respuestas externas enviadas,  la consolidación de las órdenes de consignación y las facturas generadas, se evidencia el cumplimiento de la actividad</t>
  </si>
  <si>
    <t>Se adjunta evidencia en drive</t>
  </si>
  <si>
    <t xml:space="preserve">Se observa trazabilidad al requerimientos y respuestas a: ciudadano Nicasio Ahue Coello, Jaime Rodriguez Martinez, Juzgado Florencia Caqueta. </t>
  </si>
  <si>
    <t>Se evidencia con EE5498 del 18 de mayo de 2021, EE5499 del 18 de mayo de 2021, facturas de venta 39, 40, 41, 42 y 43.</t>
  </si>
  <si>
    <t>Se verifica ejecuciòn de la actividad con Facturas de solicitud de certificados, memorandos casos 149762 del 02/09/2021 y 133190 del 03/08/2021, formato excel solicitudes tercer trimestre 2021 de  Ley 1561/2012, entre otros soportes.</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</si>
  <si>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</si>
  <si>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t>
  </si>
  <si>
    <t>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t>
  </si>
  <si>
    <t xml:space="preserve"> Se evidencia con el registro en el formato de HERRAMIENTA DE MONITOREO  en el cual se describen las acciones realizadas en el proceso, igualmente se observan los reportes del sistema de gestion documental SIGAC  pantallazos de los meses de enero, febrero y marzo </t>
  </si>
  <si>
    <t>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t>
  </si>
  <si>
    <t>Es evidenciado con registro en el formato de HERRAMIENTA DE MONITOREO con corte 28-09-2021.</t>
  </si>
  <si>
    <t>Durante el primer trimestre se evidencia los reportes del sistema de gestion documental SIGAC.</t>
  </si>
  <si>
    <t>Se evidencia con  registro en formato de HERRAMIENTA DE MONITOREO a 28-06-2021, en el cual se registra el seguimiento al requerimiento de la Unidad de Restitución de tierras y del juzgado de la ciudad de Florencia.</t>
  </si>
  <si>
    <t xml:space="preserve">No se pudo verificar la ejecuciòn  de la atenciòn de las solicitudes relacionadas con Polìtica de Restituciòn de Tierras porque la evidencia registrada es un excel que contiene cronograma de trabajo de julio a septiembre, la cual no permite evidenciar la atenciòn de las solicitudes por restituciòn de tierras, y no tiene relaciòn con la actividad. </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</si>
  <si>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</si>
  <si>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t>
  </si>
  <si>
    <t xml:space="preserve">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t>
  </si>
  <si>
    <t xml:space="preserve">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t>
  </si>
  <si>
    <t>Se evidencia en archivo excel con reporte de solicitudes atendidas,  tiempos de respuesta y seguimiento a  las PQRs para el trimestre, de acuerdo al reporte generado por el GIT del servicio al ciudadano y analisis de seguimiento.</t>
  </si>
  <si>
    <t>Se evidencia con reporte SIGAC</t>
  </si>
  <si>
    <t xml:space="preserve"> Se observa en el formato de HERRAMIENTA DE MONITOREO  las acciones realizadas en el proceso, para el primer timestre del corriente año. </t>
  </si>
  <si>
    <t>Se avala en archivo excel reporte de solicitudes atendidas,  tiempos de respuesta y seguimiento a  las PQRs para el trimestre.</t>
  </si>
  <si>
    <t>Se observa ejecuciòn de actividad con soporte SIGAC.</t>
  </si>
  <si>
    <t xml:space="preserve">Se han realizado los comités en los tiempos establecidos y se han enviado por correo electrónico , en el DRIVE se reportan copias de las actas </t>
  </si>
  <si>
    <t>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t>
  </si>
  <si>
    <t>Para el tercer trimestre se han realizado los comités  (Copasst y Comité de convivencia) en los tiempos establecidos y se han remitido las actas y el envio del  correo electrónico a la dependencia encargada, como se evidencia copia del correo y  de las actas respectivas en el  DRIVE.</t>
  </si>
  <si>
    <t>Se evidencia que se realizaron los comites con las actas y pantallazos de los correos electronicos enviados</t>
  </si>
  <si>
    <t>Se evidencia el cumplimiento de  la entrega de las actas de los comités (Copasst y Comité de convivencia) al GIT Gestión del Talento Humano en imágenes de correos electrónicos remisorios.</t>
  </si>
  <si>
    <t xml:space="preserve">Se valida mesdiante actas y correo electrónico. </t>
  </si>
  <si>
    <t xml:space="preserve">Se evidencia la realización de los comités en los tiempos establecidos y se han enviado por correo electrónico , en el DRIVE se reportan copias de las actas </t>
  </si>
  <si>
    <t>Se evidencia con actas de los comités (Copasst y Comité de convivencia) remitidas al GIT Gestión del Talento Humano.</t>
  </si>
  <si>
    <t xml:space="preserve">Se observa ejecuciòn de la actividad mediante acta Comite Convivencia septiembre 2021, correo 06/10/2021 de envìo acta, acta reuniòn COPASST 31/08/2021 y acta COPASST del 30/07/2021. </t>
  </si>
  <si>
    <t>A paesar de que no se conoce de forma oficial el acta 06-01-2021, la territorial Caquetá ha cumplido con las actividades ahi propuestas según las acciones de COPASST y CONVIVENCIA que se adelanta de manera  frecuente y se evidencian el el DRIVE</t>
  </si>
  <si>
    <t>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t>
  </si>
  <si>
    <t>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t>
  </si>
  <si>
    <t>Se verifico la realizacion de actividades como: comites de COPASST y CONVIVENCIA, igualmente se hace seguimiento a los reportes de  Ausentismo de enero, febrero y mmarzo.</t>
  </si>
  <si>
    <t>Cumple con las evidencias</t>
  </si>
  <si>
    <t>Se verifico la realizacion de actividades de comites de COPASST y CONVIVENCIA, igualmente se hace seguimiento a los reportes de  Ausentismo de enero, febrero y mmarzo.</t>
  </si>
  <si>
    <t xml:space="preserve">Se evidencia con las actas de abaril mayo y junio de los comites de Copasst, así como del cumplimientode envío mediante correos electrónicos del ausentismo. </t>
  </si>
  <si>
    <t>Se observa ejecuciòn de la actividad a travès de documento del 27/07/2021 sobre simulacro de evacuaciòn terremoto, correo sobre revisiòn y observaciones matriz de peligro de la Territorial, actas Comite COPASST julio, agosto y septiembre 2021.</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</si>
  <si>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</si>
  <si>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Para el segundo trimestre de 2021 la Territorial Caquetá ha realizado ventas de bienes y servicios por valor de $23.023.789 (sin IVA) ; en el DRIVE se encuentra el reporte por mes y consolidado de ventas generado por el aplicativo de facturación. </t>
  </si>
  <si>
    <t xml:space="preserve">Para el tercer trimestre de 2021 la Territorial Caquetá realizó la venta de bienes y servicios por valor de $27.211.925 (sin IVA) ; en el DRIVE se encuentra el reporte por mes y consolidado de ventas generado por el aplicativo de facturación. </t>
  </si>
  <si>
    <t xml:space="preserve">Se verifica reporte consolidado de ventas (Relacion de ingresos de contado  ventas del enero, febrero y marzo, generado por el aplicativo de facturación. </t>
  </si>
  <si>
    <t xml:space="preserve">Con reporte de los  meses abril, mayo, junio  y consolidado del trimestre de ventas generado por el aplicativo de facturación, se evidencia el cumplimiento de la meta </t>
  </si>
  <si>
    <t>Se valida la evidencia.</t>
  </si>
  <si>
    <t>Se verifica reporte consolidado de ventas (Relacion de ingresos de contado  ventas del enero, febrero y marzo.</t>
  </si>
  <si>
    <t>Se evidencia con informe consolidado de ventas de contado a junio de 20211.</t>
  </si>
  <si>
    <t xml:space="preserve">Se valida ejecuciòn con la Relaciòn Ingresos de Contado-Ventas del tercer trimestre 2021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</si>
  <si>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</si>
  <si>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 xml:space="preserve">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t>
  </si>
  <si>
    <t xml:space="preserve">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t>
  </si>
  <si>
    <t>Se evidencia gestion con 7 archivos de soportes y propuestas economicas,</t>
  </si>
  <si>
    <t>Se evidencia Gestión,  pero aún no se han ejecutado procesos de formación o actualización</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</si>
  <si>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</si>
  <si>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 xml:space="preserve">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t>
  </si>
  <si>
    <t xml:space="preserve">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t>
  </si>
  <si>
    <t>Se demuestra gestion con 7 archivos de propuestas economicas,  retomar las propuestos,</t>
  </si>
  <si>
    <t>Se evidencia Gestión,  pero aún no se han ejecutado procesos de formación o actualización.</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</si>
  <si>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</si>
  <si>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 xml:space="preserve">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t>
  </si>
  <si>
    <t xml:space="preserve">Para el Tercer trimestre 2021 se reportan 12397 tramites de oficina, como se evidencia con el reporte del SNC cumpiendo la actividad programada. </t>
  </si>
  <si>
    <t>Se comprueba cumplimiento del control con reporte SISGES de enero, febrero y marzo</t>
  </si>
  <si>
    <t xml:space="preserve">Se evidencia la resolución de 40 trámites en el pantallazo tomado del aplicativo de REPORTES SNC, dando cumpiendo la actividad programada.  </t>
  </si>
  <si>
    <t xml:space="preserve">Se evidencia cumplimiento </t>
  </si>
  <si>
    <t>Se valida con reporte SISGES de enero, febrero y marzo</t>
  </si>
  <si>
    <t>Se evidencian 40 trámites en el pantallazo tomado del aplicativo de REPORTES SNC</t>
  </si>
  <si>
    <t>Se evidencia ejecuciòn de la actividad mediante excel aportado sobre Reporte tràmites de Oficina y Terreno.</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</si>
  <si>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</si>
  <si>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t>
  </si>
  <si>
    <t>Para el tercer trimestre se reportan 391 tramites de terreno, gracias a la integración del nuevo personal para dicha labor. Se aporta informe en excel descargado del SNC como evidencia del seguimiento a la actividad 5 y se da por cumplida</t>
  </si>
  <si>
    <t xml:space="preserve">No se puede evidenciar la realización de Tramites de conservación Catastral realizados </t>
  </si>
  <si>
    <t>Al no poder hacerse trámites de terreno debido al justifiicación presentada no se pudo determinar meta</t>
  </si>
  <si>
    <t>Es la misma evidencia de la actividad 3.  cumple</t>
  </si>
  <si>
    <t>No se observa evidencia</t>
  </si>
  <si>
    <t>Se verifica ejecuciòn de 391 tràmites de terreno mediante excel sobre Reporte Tràmites de Oficina y Terreno aportado como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</si>
  <si>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</si>
  <si>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 xml:space="preserve">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t>
  </si>
  <si>
    <t>Para el tercer trimestre por medio del correo electrónico recibido por parte del DT, no se recibieron solicitudes en materia de regularización de la propiedad. Se adjunta correo para dar cumplimiento al seguimiento.</t>
  </si>
  <si>
    <t>Como entre enero a marzo, no se a recibido requerimientos. por lo que no se tiene que reportar.</t>
  </si>
  <si>
    <t>Con los soportes de comunicaciones y respuestas emitidas a las 10 solicitudes recibidas, se evidencia  el cumplimiento de la actividad.</t>
  </si>
  <si>
    <t>Se adjunta correo para dar cumplimiento</t>
  </si>
  <si>
    <t>Se evidencia con soportes de comunicaciones y respuestas emitidas a las 10 solicitudes recibidas</t>
  </si>
  <si>
    <t>Mediante correo del 14/10/2021 el Director de la Territorial informa que en el tercer trilmestre de 2021 no se presentaron solicitudes sobre el tema.</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</si>
  <si>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</si>
  <si>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t>
  </si>
  <si>
    <t>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t>
  </si>
  <si>
    <t>coforme a la evidencia reporte en laHERRAMIENTA DE MONITOREO 2021 CASANARE, se observa la implementacion de la actividad.</t>
  </si>
  <si>
    <t>Se evidencia reporte  de los meses abril, mayo y junio en la HERRAMIENTA DE MONITOREO 2021 el seguimiento de tramites administrativos y Judiciales en materia de política de restitución de tierras y ley de víctimas. dando cumplimiento a la actividad</t>
  </si>
  <si>
    <t>Se reporta en herramienta de monitore.</t>
  </si>
  <si>
    <t>Se evidencia reporte en la HERRAMIENTA DE MONITOREO 2021.</t>
  </si>
  <si>
    <t>Se valida reporte  de los meses abril, mayo y junio en la HERRAMIENTA DE MONITOREO 2021.</t>
  </si>
  <si>
    <t>Se observa seguimiento de los tràmites relacionados con Polìtica de Tierras mediante Herramienta de Monitoreo suministrada.</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</si>
  <si>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</si>
  <si>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 xml:space="preserve">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t>
  </si>
  <si>
    <t>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t>
  </si>
  <si>
    <t>Se evidencia el cumplimiento del 0,17% de la meta en reporte consolidado de de PQRs con corte a 31 de marzo. se sugiere implementar accion de mejora</t>
  </si>
  <si>
    <t>En el REPORTE PQRSD DE CONTROL INTERNO se observa que para este periodose res pondieron 69 solicitudes, dando cumplimiento a la actividad</t>
  </si>
  <si>
    <t>De 440 PQRDS én trámite, quedan 407 pendientes de dar respuesta, eso significa que solo el 7.5% se ha tramitado</t>
  </si>
  <si>
    <t xml:space="preserve">Se evidencia en reporte consolidado de de PQRs con corte a 31 de marzo. </t>
  </si>
  <si>
    <t xml:space="preserve">Se evidencia resporte de 69 solicitudes atendidas en SIGAC. igulamente se identifican varias acciones  cerradas con el debido radicado de respuesta, pero pendientes. </t>
  </si>
  <si>
    <t xml:space="preserve">La Territorial no ha cumplido con la atenciòn del 100% de las PQRs recibidas durante el tercer trimestre 2021, de las 440 que estan en tràmite se han respondido 33 pero no se han cerrado y quedan por responder y cerrar 407.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</si>
  <si>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</si>
  <si>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t>
  </si>
  <si>
    <t>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t>
  </si>
  <si>
    <t>Se evidencia cumplimiento de la realizacion de comites con las actas. convivencia laboral el 29- 03/2021, actas de COPASST, 26-02/2021 ( DONDE SE HACE NOTA ACLARATORIA EN RELACION AL COMITE QUE SE DEBIA REALIZAR EN EL  MES  DE ENEO)y  Acta del 29-03 2021</t>
  </si>
  <si>
    <t>Teniendo en cuenta que no se ha podido conformar el comité en la territorial debido a la reducida cantidad de funcionarios  y que se esta en espera de los lineamientos del Procesos Gestio del Talento Humano, no se cuenta con la posibilidad de dar cumplimiento a la meta.</t>
  </si>
  <si>
    <t>Se evidencia la gestión</t>
  </si>
  <si>
    <t>Se evidencia con comites con las actas. convivencia laboral el 29 de marzo de 2021,  actas de COPASST, 26 de febrero de 2021.</t>
  </si>
  <si>
    <t>Se verifica gestiòn mediante correo del Director Territorial del 14/10/2021 sobre estructuraciòn COPASST Casanare y conformaciòn del Comitè de Convivencia Laboral de la Territorial.</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</si>
  <si>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</si>
  <si>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</si>
  <si>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t>
  </si>
  <si>
    <t>Se cumple actividad demostrando reporte consolidado enviado en correo electronico enviado el 14- 04 2021</t>
  </si>
  <si>
    <t>Se evidencia en acta 06-01-2021, SEGUIMIENTO DE RESPONSABILIDADES entre otros el cumplimiento de la actividad</t>
  </si>
  <si>
    <t xml:space="preserve">La evidencia corresponde </t>
  </si>
  <si>
    <t>Se aprubea con reporte consolidado enviado en correo electronico enviado el 14 de abril del presente año.</t>
  </si>
  <si>
    <t>Se evidencia en acta 06-01-2021.</t>
  </si>
  <si>
    <t xml:space="preserve">Se valida gestiòn mediante correo del 14/10/2021 sobre solicitud del reporte Plan de Emergencia Casanare, Informe Simulacro de Evacuaciòn del 27/07/2021 y excel seguimiento de responsabilidades. </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</si>
  <si>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</si>
  <si>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t>
  </si>
  <si>
    <t>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t>
  </si>
  <si>
    <t>Se evidencia cumplimiento con reportes de ingresos incluyendo los meses de enero, febrero y marzo reportado a en eeste mes.</t>
  </si>
  <si>
    <t xml:space="preserve">Con tres documentos que soportan los ingresos económicos se evidencia el cumplimiento de la actividad para el periodo </t>
  </si>
  <si>
    <t>Se valida la evidencia</t>
  </si>
  <si>
    <t>Se evidencia con reportes de ingresos de enero, febrero y marzo reportado a en eeste mes.</t>
  </si>
  <si>
    <t>Se valida con facturación detallada del 1 al 9 de junio del presente año al igual que con ingresos de la Dirección Territorial de abril y mayo del corriente año.</t>
  </si>
  <si>
    <t xml:space="preserve">Se verifica gestiòn de la actividad mediante excel sobre ingresos Bogota y Direcciones Territoriales de julio y agosto 2021 y reporte de ventas detallado septiembre de 2021. </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</si>
  <si>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</si>
  <si>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t>
  </si>
  <si>
    <t>En este trimestre se presentó dificultad para el ingreso de personal a los asentamientos urbanos a lo largo de las quebradas en zonas de proteccción y en el sector 5. Igualmente se presentaron problemas con el cargue de areas en el Server, caida, colapso y con la aplicación CICA.</t>
  </si>
  <si>
    <t>se revisa las evidencias, se encuentra acordes con el producto esperado</t>
  </si>
  <si>
    <t>se revisa evidencia, cumple con producto esperado</t>
  </si>
  <si>
    <t>De acuerdo con las evidencias, se observa que durante el tercer trimestre se reconocieron 1322 has urbanas</t>
  </si>
  <si>
    <t>Se evidencia cronograma y plan de trabajo</t>
  </si>
  <si>
    <t>Se evidencia con avance imágnes e informe en excel de los procesos de formación y actualización urbana en el municipio</t>
  </si>
  <si>
    <t>Se verifica ejecución de la actividad con el mapa del área reconocida de 1322 has con corte a septiembre 2021, correo del 12/10/2021 sobre area reconocida rural y urbana así como pantallazo de sumatoria de área sector urbano.</t>
  </si>
  <si>
    <t>De acuerdo al cronograma inicial de actividades la zona rural del municipio de Popayán se intervendrá a partir del mes de julio</t>
  </si>
  <si>
    <t>En este trimestre se incia la intervención de la zona rural del municipio de Popayán</t>
  </si>
  <si>
    <t>De acuerdo con las evidencias, se observa que durante el tercer trimestre se reconocieron 1138 has rurales</t>
  </si>
  <si>
    <t xml:space="preserve">Se evidencia cronograma y plan de trabajo </t>
  </si>
  <si>
    <t xml:space="preserve">Se verifica cumplimiento de la actividad mediante mapa de reconocimiento de 1138 has del sector rural con corte a septiembre 2021, correo del 12/10/2021 sobre el área total rural con corte a 30/09/2021 y con pantallazo de sumatoria de área del sector rural.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</si>
  <si>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</si>
  <si>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Se realizaron trámites de Oficina en Cobol 1309 y en el SNC 442</t>
  </si>
  <si>
    <t xml:space="preserve">Se realizaron Trámites de Oficina en Cobol 1627 y en SNC 10572 </t>
  </si>
  <si>
    <t xml:space="preserve">De acuerdo con las evidencias, se observa que durante el tercer trimestre se realizaron en Cobol 1627 y en SNC 10572 Trámites de Oficina </t>
  </si>
  <si>
    <t xml:space="preserve">Se valida en la herramienta cobol 1017 trámites realizados en el trimestre. </t>
  </si>
  <si>
    <t>Se evidencia con informe trámites en cobol: de Oficina en Cobol 1309 y en el SNC 442</t>
  </si>
  <si>
    <t>Se observa ejecución de la actividad mediante reportes COBOL oficina correspondiente a los meses de julio, agosto y septiembre de 2021 y reportes SNC de julio-septiembre 2021.</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</si>
  <si>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</si>
  <si>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El avance en la meta de terreno es baja porque todavía se cuenta con poco personal para reconocimiento predial para los 41 municipios del departamento del Cauca.  </t>
  </si>
  <si>
    <t>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t>
  </si>
  <si>
    <t>De acuerdo con las evidencias, se observa que durante el tercer trimestre se realizaron en Cobol 447 trámites y en SNC 10, Saldos de vigencias anteriores Cobol 420</t>
  </si>
  <si>
    <t xml:space="preserve">Se valida la realización de 121 trámites de terrenos realizados en el trimestre. </t>
  </si>
  <si>
    <t xml:space="preserve">Se evidencia en Cobol los 402 trámites en terreno </t>
  </si>
  <si>
    <t xml:space="preserve">Se verifica con reportes SNC julio-septiembre 2021 y reportes COBOL del tercer trimestre 2021, la realización de 447 trámites, en SNC 10 y saldos de vigencias anteriores COBOL 420, para un total ejecutado de 877. </t>
  </si>
  <si>
    <t>No se han realizado avalúos comerciales en este trimestre, se encuentran en proceso de contratación los peritos avaluadores.</t>
  </si>
  <si>
    <t xml:space="preserve">Durante este trimestre se realizó la contratación de los peritos pero debido a los problemas de orden público generados por el paro nacional durante los meses de mayo y junio no se pudo realizar la práctica valuatoria en municipios del departamento del Cauca </t>
  </si>
  <si>
    <t>En este trimestre se realizaron 13 avalúos en etapa final en los diferentes municipios del departamento del Cauca.  Se presentó dificultad con uno de los peritos referente a la entrega. Se han realizado 15 visitas pendiente del informe y el control de calidad.</t>
  </si>
  <si>
    <t>no se desarrolla en el periodo</t>
  </si>
  <si>
    <t>De acuerdo con las evidencias, se observa que durante el tercer ttrimestre se realizaron 13 avalúos en etapa final en los diferentes municipios del departamento del Cauca</t>
  </si>
  <si>
    <t xml:space="preserve">Se evidencia con correo del 25 de junio de 2021, carta del 3 de mayo de 2021, relación de visitas asignadas para avalúos. </t>
  </si>
  <si>
    <t xml:space="preserve">Se observa ejecución de la actividad mediante los 5 correos de envío para control de calidad y revisión de avaluos realizados de julio a septiembre de 2021, los 8 memorandos de entrega de avalúos realizados en el tercer trimestre 2021 y el Informe presentado por la Territorial a 30/09/2021 sobre los avalúos realizados en este trimestre. </t>
  </si>
  <si>
    <t xml:space="preserve"> Se respondieron el 99% de las solicitudes de regularización de la propiedad</t>
  </si>
  <si>
    <t>Se respondieron el 100% de las solicitudes de regularizacion de la propiedad</t>
  </si>
  <si>
    <t>Se respondieron el 100% de las solicitudes de regularización de la propiedad rural.</t>
  </si>
  <si>
    <t>De acuerdo con la evidencia, se observa que durante el tercer trimestre se respondieron el 100% de las solicitudes de regularización de la propiedad rural.</t>
  </si>
  <si>
    <t>Se evidencia control en excel del primer trimestre 2021.</t>
  </si>
  <si>
    <t xml:space="preserve">Se evidencia con Seguimiento correspondencia de los oficios y comunicaciones dirigidas a la Dirección Territorial relacionadas con Política Integral de Reparación a víctimas.  </t>
  </si>
  <si>
    <t>Se verifica cumplimiento del 100% de la actividad con el excel Informe de Solicitudes en el que se observa la atención de las solicitudes recibidas en el trimestre.</t>
  </si>
  <si>
    <t>Se da respuesta a todas las solicitudes de Juzgados y Procuradurias en temas de Restitución de Tierras y Ley de Víctimas</t>
  </si>
  <si>
    <t>Se da respuesta a todas las solicitudes de Juzgados y Procuraduría en temas de Restitución de Tierras</t>
  </si>
  <si>
    <t>Se da respuesta a todas las solicitudes del Juzgado y Procuraduría en temas de Restitución.  Igualmente se atienden las mesas técnicas conjuntas solicitadas por la URT y una visita técnica.</t>
  </si>
  <si>
    <t>De acuerdo con las evidencias, se observa que durante el tercer trimestre se dio respuesta a todas las solicitudes del Juzgado y Procuraduría en temas de Restitución.  Igualmente se atendieron las mesas técnicas conjuntas solicitadas por la URT y una visita técnica</t>
  </si>
  <si>
    <t>Se valida control en excel de los procesos cursados en el primer trimestre de 2021.</t>
  </si>
  <si>
    <t>Se evidencia con Seguimiento correspondencia de los oficios y comunicaciones dirigidas a la Dirección Territorial relacionadas con Política Integral de Reparación a víctimas</t>
  </si>
  <si>
    <t>Se observa ejecución de la actividad a través de las Actas de mesa técnica URT-IGAC de agosto y septiembre de 2021, Acta visita técnica URT-IGAC de julio 2021 y excel solicitudes del tercer trimestre 2021.</t>
  </si>
  <si>
    <t>Se han atendido el 60% de las solicitudes, teniendo en cuenta las dificultades presentadas con la nueva pltaforma SIGAC, que no entrega respuestas en tiempo real por lo que hay que reenviarlas nuevamente por correo electrónico.</t>
  </si>
  <si>
    <t>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t>
  </si>
  <si>
    <t>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t>
  </si>
  <si>
    <t>De acuerdo con las evidencias y con el autoseguimiento, se observa que se avanzó en la atención de las PQR a pesar de que no se alcanzó con la meta propuesta.</t>
  </si>
  <si>
    <t>Se evidencia con correo del 18 de enero de 2021.</t>
  </si>
  <si>
    <t>Se evidencia con registro de asistencia del 9 de junio de 2021 "Seguimiento Sigac y Cordis"</t>
  </si>
  <si>
    <t>Se verifica realización de la actividad a través de correo del 21/09/2021 sobre reporte de paz y salvo por usuario Sistema Sigac, correo sobre seguimiento Sigac del 06/08/2021 y correo del 11/10/2021 sobre reporte de fallas en Sigac.</t>
  </si>
  <si>
    <t xml:space="preserve">Se realizaron las Actas de Copasst mensuales y el Acta  Trimestral Convivencia Laboral </t>
  </si>
  <si>
    <t>Se realizaron las actas de Copasst y de Convivencia Laboral. Igualmente se dieron dos capacitaciones al personal que labora en la Dirección Territorial de Clima Laboral y Comunicación Asertiva</t>
  </si>
  <si>
    <t>Se realizaron las Actas de Copasst mensuales y el Acta de Convivencia Laboral trimestral, se conforma nuevo comite de COPASST.</t>
  </si>
  <si>
    <t>De acuerdo con las evidencias, se observa que durante el tercer trimestre se realizaron las Actas de Copasst mensuales y el Acta de Convivencia Laboral trimestral, se conforma nuevo comite de COPASST.</t>
  </si>
  <si>
    <t xml:space="preserve">SE evidencias de copasst, y convivencia del primer trimestre de 2021. </t>
  </si>
  <si>
    <t xml:space="preserve">Se evidencia con Acta Copasst del 27 de abril, del 28 de junio, del 31 de mayo, registrode asistencia del 20 de mayo de 2021 "Capacitación clima laboral". </t>
  </si>
  <si>
    <t>Se verifica ejecución de la actividad mediante evidencias aportadas sobre conformación de COPASST en la Territorial (acta de escrutinio, acta de conformación,aviso de convocatoria, designación de jurado, registro de sufragio), acta COPASST septiembre 2021 y acta CCL de julio 2021.</t>
  </si>
  <si>
    <t xml:space="preserve">Se atienden las responsabilidades y rendición de cuentas en el SG-SST  </t>
  </si>
  <si>
    <t>Se atienden las responsabilidades del SG-SST</t>
  </si>
  <si>
    <t>De acuerdo con las evidencias, se observa que durante el tercer trimestre se atendieron responsabilidades derivaas del SG-SST</t>
  </si>
  <si>
    <t>Se evidencia con correo electrónico del 23 de febrero de 2021.</t>
  </si>
  <si>
    <t xml:space="preserve">Se videncia con correo del 9 de abril de 2021, ficha autodiagnóstico entorno ainmediato y senderos a la edificación e informe de riesgos. </t>
  </si>
  <si>
    <t xml:space="preserve">Se observa atención por parte de la Territorial de las responsabilidades del SG-SST mediante correo del 14/07/2021 sobre fumigación de las instalaciones y el registro sobre entrega de elementos de bioseguridad de fecha 23/07/2021. </t>
  </si>
  <si>
    <t>Se realizaron el 100% de ventas de certificados catastrales especiales, cartas catastrales y certificados planos catastrales que ingresaron en el trimestre</t>
  </si>
  <si>
    <t>Se realizaron ventas de certificados sencillos y especiales, cartas catastrales y certificados planos $ 32.575.749</t>
  </si>
  <si>
    <t>Se realizaron ventas de certificados catastrales sencilos y especiales, cartas catastrales y certificados planos por valor de $47.432.783</t>
  </si>
  <si>
    <t>De acuerdo con la relación de ventas de contado, se observa que durante el tercer trimestre se hicieron ventas por bienes y servicios.</t>
  </si>
  <si>
    <t>Se evidencia con relación de ingresos por la suma de 30.828.410.00. a marzo de 2021.</t>
  </si>
  <si>
    <t>Se evidencia con relación de ingresos por la suma de 32.575.749.00   del 1 de abril al 30 de junio del corriente año.</t>
  </si>
  <si>
    <t>Se observa ejecución de la actividad mediante la Relación de Ingresos de Contado- Ventas correspondiente al periodo de julio-septiembre de 2021.</t>
  </si>
  <si>
    <t>En este periodo se ejecutaron 573 tramites de oficina, por la falta de organizaciòn, espacio fisico de los archivos de la extintas unidades operativas de catastro y por falta de personal contratado la cantidad de tramite no fue mayor.</t>
  </si>
  <si>
    <t>En este periodo se ejecutaron 1.883 trámites de oficina, provenientes de registro y las solicitudes recibidas por ventanilla, para un avance del 44. 41% de la meta en lo corrido de la vigencia.</t>
  </si>
  <si>
    <t>En este periodo se ejecutaron 1.806 trámites de oficina, provenientes de registro y las solicitudes recibidas por ventanilla, para un avance del 77.07% de la meta en lo corrido de la vigencia.</t>
  </si>
  <si>
    <t>Reporte aprobado</t>
  </si>
  <si>
    <t>L a DT relaciona los tramites durante el trimestre</t>
  </si>
  <si>
    <t>De acuerdo a las evidencias se verifica que realizaron 1806 tramites de oficina</t>
  </si>
  <si>
    <t>Se evidencia en pantallazo de SNC la sumade 1.148 trámite de oficina y terreno a 31 de marzo de 2021.</t>
  </si>
  <si>
    <t xml:space="preserve">Se reporta la ejecución de 1883 tramites de oficina en el segundo trimestre, lo cual se observa con las evidencias aportadas (Excel tramitadas SNC segundo trimestre 2021, Informes tramitadas Cesar abril, mayo y junio 2021, entre otros). </t>
  </si>
  <si>
    <t>Se evidencia reporte de tramites de oficina para el tercer trimestre de 1806 realizados.</t>
  </si>
  <si>
    <t>En este periodo se ejecutaron 724 trámites de terreno, por la falta de organización, espacio físico de los archivos de las extintas unidades operativas de catastro y por falta de personal contratado la cantidad de trámite ejecutado no fue mayor.</t>
  </si>
  <si>
    <t>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t>
  </si>
  <si>
    <t>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t>
  </si>
  <si>
    <t>Muy buena ejecucion en terreno</t>
  </si>
  <si>
    <t>Se anexan evidencias de los tramites de terreno elaborados</t>
  </si>
  <si>
    <t>La DT realizó tramites de terreno por 2946 en cobol y por el SNC según los reportes</t>
  </si>
  <si>
    <t xml:space="preserve">Nota:  No  pude observar la evidencia, pués viene vacío el archivo.  </t>
  </si>
  <si>
    <t>Se observa ejecución de la actividad en excel tramitadas SNC segundo trimestre 2021.</t>
  </si>
  <si>
    <t>Se evidencia reporte de tramites de terreno para el tercer trimestre de 2946 realizados.</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</si>
  <si>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</si>
  <si>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t>
  </si>
  <si>
    <t>Durante este periodo se realizaron 52 avalúos, la mayoría del proceso de restitución de tierras, para un avance del 80% de la meta en lo corrido del año.</t>
  </si>
  <si>
    <t>En la evidencia no aparece la relacion de los 18 avaluos realizados en el trimestre</t>
  </si>
  <si>
    <t>Se registra la realizacion de los 52 avalúos</t>
  </si>
  <si>
    <t>De 35 avalúos recibidos se observa que dos han realizado en el primer trimestre de 2021.</t>
  </si>
  <si>
    <t xml:space="preserve">Se observa ejecución de la actividad con soporte excel segundo trimestre-Junio Relación avaluos realizados 2021 en el que se reporta avance del 22.22% por 18 avaluos realizados. </t>
  </si>
  <si>
    <t>Se evidencia reporte de avalúos donde se han realizado 52 para el tercer trimestre.</t>
  </si>
  <si>
    <t>Durante este periodo se respondieron 14 solicitudes de regularización de la ley 1561 y 1564 de 2012 de las 17 recibidas, esto debido al cambio de sistema de correspondencia, a la implementación, parametrización y fallas presentadas.</t>
  </si>
  <si>
    <t>Durante este periodo se respondieron 42 solicitudes de regularización de la ley 1561 y 1564 de 2012, y además 4 del periodo anterior para un total de 46 finalizadas, todavía se presentan fallas en el SIGAC, que nos hacen más dispendiosa esta labor.</t>
  </si>
  <si>
    <t>Durante este periodo se respondieron 53 solicitudes de regularización de la ley 1561 y 1564 de 2012, de las 57 recibidas, todavía se presentan fallas en el SIGAC, que nos hacen más dispendiosa esta labor.</t>
  </si>
  <si>
    <t>Realizaron relacion de las solicitudes atendidas</t>
  </si>
  <si>
    <t>Realizan un buen informe sobre la atencion a las solicitudes de regularizacion de la propiedad</t>
  </si>
  <si>
    <t xml:space="preserve">De esta actividad no se pudo observar evidencia en el archivo adjunto no hay nada. </t>
  </si>
  <si>
    <t xml:space="preserve">Se observa ejecución de la actividad con los soportes aportados (6 reportes excel de regularización de la propiedad y 3 correos de respuesta sobre pertenencia, otorgados en abril, mayo y junio 2021). </t>
  </si>
  <si>
    <t>Se evidencia informe de solicitudes de regularización donde se han recibido 57 y quedan 4 por atender.</t>
  </si>
  <si>
    <t>Durante este periodo se respondieron 83 solicitudes de las 96 recibidas, esto debido a que no había personal de apoyo contratado, para realizar las visitas conjuntas, los distintos posicionamientos de coordenadas y el cumplimiento de sentencia.</t>
  </si>
  <si>
    <t>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t>
  </si>
  <si>
    <t>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t>
  </si>
  <si>
    <t>aprobado el reporte</t>
  </si>
  <si>
    <t>Cumple con la actividad</t>
  </si>
  <si>
    <t>La DT ha atendido las solicitudes dentro de la politica de restitucion de tierras</t>
  </si>
  <si>
    <t>SE evidencia con relación avalúos a marzo 31 de 2021.</t>
  </si>
  <si>
    <t>Se observa ejecución de la actividad con la evidencia aportada (Informe corte 30 junio 2021 sobre solicitudes respondidas).</t>
  </si>
  <si>
    <t>Durante este periodo se respondieron 238 solicitudes de las 394 recibidas, esto debido al cambio de sistema de correspondencia, a la implementación, parametrización, fallas presentadas y falta de personal de apoyo.</t>
  </si>
  <si>
    <t>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t>
  </si>
  <si>
    <t xml:space="preserve">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t>
  </si>
  <si>
    <t>Se recomienda ponerse al dia</t>
  </si>
  <si>
    <t>Se observa relacion de las PQRS atendidos en el trimestre</t>
  </si>
  <si>
    <t>La DT ha venido atendiendo las solicitudes recibidas sobre informacion a los ususarios</t>
  </si>
  <si>
    <t xml:space="preserve">Se evidencia que de 394 recibidas se respondieron  238 solicitudes en este periodo se </t>
  </si>
  <si>
    <t>Se observa ejecución de la actividad mediante Informe PQRD emitido por la Territorial al corte 30/06/2021 y excel reportes solicitudes PQRSD abril, mayo, junio 2021. Se recomienda evacuar la totalidad de peticiones represadas para el próximo trimestre.</t>
  </si>
  <si>
    <t>Se evidencia reportes de atención de PQRs donde se observa que se atendieron en los términos legales el 72.63% de las PQRs recibidas.</t>
  </si>
  <si>
    <t>Durante este periodo se realizaron y se firmaron las actas de los comités Coppast y convivencia y se reportaron al GIT de talento humano el día  07/04/2021 a las 22:40 y el día 17/02/2021 a las 15:02, respectivamente.</t>
  </si>
  <si>
    <t>Durante este periodo se realizaron las respectivas reuniones y se firmaron las actas de los comités Coppast y convivencia, y se cargaron al DRIVE dispuesto para ello.</t>
  </si>
  <si>
    <t xml:space="preserve">Durante este periodo se realizaron las respectivas reuniones y se firmaron las actas de los comités Coppast y convivencia, y se cargaron al DRIVE dispuesto para ello. </t>
  </si>
  <si>
    <t>La Dt realizó las reuniones y actas de los comites de Coppast y convivencia</t>
  </si>
  <si>
    <t>realizaron reuniones de coppast y de convivencia</t>
  </si>
  <si>
    <t>Se evidencias actas de comites de reunión de los meses de enero, febrero y marzo del corriente año (FM20100-01/17.V1)</t>
  </si>
  <si>
    <t xml:space="preserve">Se evidencia acta Comite Convivencia del 25/05/2021 y registro de asistencia, actas Comité Copasst de abril, mayo y junio 2021 y sus respectivos registros de asistencia.  </t>
  </si>
  <si>
    <t>Se evidencia actas de COPASST de los meses de Julio, agosto y septiembre y acta de comité de convivencia laboral.</t>
  </si>
  <si>
    <t xml:space="preserve">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t>
  </si>
  <si>
    <t>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t>
  </si>
  <si>
    <t>No hubo reporte</t>
  </si>
  <si>
    <t>se oberva en la evidencia que se desarrollaron las actividades de esta actividad 10</t>
  </si>
  <si>
    <t>Lo reportado en el avance se evidencia en los registros cargados para la actividad</t>
  </si>
  <si>
    <t>No se evidencia reporte</t>
  </si>
  <si>
    <t>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t>
  </si>
  <si>
    <t>Se evidencia listado de asistencia y registros fotográficos de participación ciudadana, también se observa video de simulacro de autoprotección.</t>
  </si>
  <si>
    <t>Durante este periodo  se realizaron ventas por valor de $ 34.191.991,00, esta se realizaron en su gran mayoría de manera presencial, el porcentaje de venta de manera virtual fue muy bajo.</t>
  </si>
  <si>
    <t>Durante este periodo  se realizaron ventas por valor de $ 27.404.109, hubo un cierre de las oficinas por un brote de COVID, estas ventas se realizaron en su gran mayoría de manera presencial, el porcentaje de venta de manera virtual fue muy bajo.</t>
  </si>
  <si>
    <t>Durante este periodo  se realizaron ventas por valor de $ 42.809.582, estas ventas se realizaron en su gran mayoría de manera presencial, el porcentaje de venta de manera virtual fue muy bajo.</t>
  </si>
  <si>
    <t>la DT realizo ventas por 27.404.109</t>
  </si>
  <si>
    <t>Muy bueno el incremento en las ventas respecto a los periodos anteriores</t>
  </si>
  <si>
    <t>Se validan reportes de relación de  ingresos del trimestre del presente año, por la suma de $34.191.991</t>
  </si>
  <si>
    <t>Se observa ejecución de la actividad con la relación de ingresos de contado Ventas de abril, mayo y junio 2021.</t>
  </si>
  <si>
    <t>Se evidencia reportes de relación de ingresos del tercer trimestre del presente año, por la suma $ 42.809.582</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</si>
  <si>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</si>
  <si>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t>
  </si>
  <si>
    <t>Durante este periodo se solicitó nuevamente el pago de los $ 26.000.000 al municipio de Manaure y se procedió por parte del Secretario de Hacienda a realizar nuevamente el pago.</t>
  </si>
  <si>
    <t>Buena recuperacion de la cartera</t>
  </si>
  <si>
    <t>La dt recupero cartera por $189.100.000 de la Jagua de Ibirico</t>
  </si>
  <si>
    <t>se evidencia el pago de Manaure</t>
  </si>
  <si>
    <t xml:space="preserve">Se validan $171.000.000 millones de pesos relcuperados de cartera </t>
  </si>
  <si>
    <t xml:space="preserve">Se observa ejecución de la actividad con orden de pago 4695 municipio la Jagua de Ibirico y comprobante Banco de Bogotá. </t>
  </si>
  <si>
    <t>Se evidencia pago realizado por el municipio de Manaure.</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</si>
  <si>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</si>
  <si>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t>
  </si>
  <si>
    <t>no se presentan contratos en el periodo</t>
  </si>
  <si>
    <t>Sin meta para el periodo</t>
  </si>
  <si>
    <t xml:space="preserve">Sin meta asignada para el periodo </t>
  </si>
  <si>
    <t xml:space="preserve">En el primer trimestre de 2021 la Territorial finalizó 1592 trámites de Oficina correspondientes a la vigengia 2021 y años anteriores. </t>
  </si>
  <si>
    <t xml:space="preserve">En el segundo trimestre de 2021 la Territorial finalizó 1.884 trámites de Oficina correspondientes a la vigengia 2021 y años anteriores. </t>
  </si>
  <si>
    <t xml:space="preserve">En el tercer trimestre de 2021 la Territorial finalizó 1.056 trámites de Oficina correspondientes a 1.042 la vigengia 2021 y  14 de las vigencias anteriores. </t>
  </si>
  <si>
    <t xml:space="preserve">El ejecutado (1592) corresponde a lo indicado en la evidencia soportada. </t>
  </si>
  <si>
    <t>Las evidencias están acordes a lo reportado en el autoseguimiento de la territorial</t>
  </si>
  <si>
    <t>se revisa la evidencia cumple con el producto esperado</t>
  </si>
  <si>
    <t>Se evidencia informe firmado de Trámites Finalizados de Oficina y Terreno, Vigencia y Años Anteriores - Primer Trimestre 2021, donde se observa que que la Territorial finalizó 1592 trámites de Oficina</t>
  </si>
  <si>
    <t>Se evidencia informe firmado de Trámites Finalizados de Oficina y Terreno, Vigencia y Años Anteriores - Segundo Trimestre 2021, donde se observa que que la Territorial finalizó 1.884  trámites de Oficina</t>
  </si>
  <si>
    <t>Se evidencia reporte de trámites de oficina donde se realizaron 1056 para el tercer trimestre</t>
  </si>
  <si>
    <t xml:space="preserve">En el primer trimestre de 2021 la Territorial finalizó 904 trámites de Terreno correspondientes a la vigengia 2021 y años anteriores. </t>
  </si>
  <si>
    <t xml:space="preserve">En el segundo trimestre de 2021 la Territorial finalizó 1.716 trámites de Terreno correspondientes a la vigengia 2021 y años anteriores. </t>
  </si>
  <si>
    <t xml:space="preserve">En el tercer trimestre de 2021 la Territorial finalizó 1.066 trámites de Terreno correspondientes a 954 de la vigengia 2021 y 112 de vigencias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</si>
  <si>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</si>
  <si>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</si>
  <si>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Se evidencia informe firmado de Trámites Finalizados de Oficina y Terreno, Vigencia  - Segundo Trimestre 2021, donde se observa que que la Territorial finalizó 1.716 trámites.</t>
  </si>
  <si>
    <t>Se evidencia reporte de trámites de terreno donde se realizaron 1066 para el tercer trimestre.</t>
  </si>
  <si>
    <t>En el primer trimestre se practicaron 6 avalúos comerciales, entregados oportunamente de acuerdo a los requerimientos del caso.</t>
  </si>
  <si>
    <t>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t>
  </si>
  <si>
    <t>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t>
  </si>
  <si>
    <t>En el archivo adjunto se observan las seis solicitudes de avalúos comerciales en estado entregado</t>
  </si>
  <si>
    <t>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t>
  </si>
  <si>
    <t>Se evidencia reporte de avalúos realizados con 17 para el tercer trimestre.</t>
  </si>
  <si>
    <t>En el primer trimestre de 2021 se recibieron y trámitaron 22 solicitudes en materia de regularización de la propiedad (Ley 1561 y Ley 1564 de 2012). Se anexa PDF.</t>
  </si>
  <si>
    <t xml:space="preserve">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t>
  </si>
  <si>
    <t xml:space="preserve">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</si>
  <si>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</si>
  <si>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</si>
  <si>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 xml:space="preserve">Las evidencias están acordes a lo reportado en el autoseguimiento de la territorial </t>
  </si>
  <si>
    <t>Las evidencias reportadas no coinciden con el periodo evaluado.</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</si>
  <si>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</si>
  <si>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t>
  </si>
  <si>
    <t>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</si>
  <si>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</si>
  <si>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revisa evidencia cumple con el producto esperado</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</si>
  <si>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</si>
  <si>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Se evidencia reporte de solicitudes recibidas y atendidas.</t>
  </si>
  <si>
    <t>En el primer semestre de 2021 se recibieron 336 Pqrs, se trámitaron 323. De las trece (13) peticiones pendientes, (3) están fuera del plazo legal y_x000D_
(10) estan dentro del término legal.</t>
  </si>
  <si>
    <t>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t>
  </si>
  <si>
    <t>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</si>
  <si>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</si>
  <si>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</si>
  <si>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evidencia reporte de PQRs donde se recibieron 354 donde se tramitaron en tiempo Legal establecido:324, Tramitadas fuera de tiempo 18. Pendientes por tramitar 12 (4 dentro de los términos y 8 fuera de términos).</t>
  </si>
  <si>
    <t>Se realizó la reunión trimestral de comité de convivencia laboral y tres reuniones del Copasst, dando cumplimiento al 100% de las actividades programadas para el primer trimestre de 2021. Se Anexan evidencias.</t>
  </si>
  <si>
    <t>Se realizó la reunión trimestral de comité de convivencia laboral y tres reuniones del Copasst, dando cumplimiento al 100% de las actividades programadas para el Segundo trimestre de 2021. Se Anexan evidencias.</t>
  </si>
  <si>
    <t>Se realizó la reunión trimestral de comité de convivencia laboral y tres reuniones del Copasst, dando cumplimiento al 100% de las actividades programadas para el Tercer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</si>
  <si>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</si>
  <si>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</si>
  <si>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Se evidencian actas mensuales firmadas de reuniones del Copasst y un acta correspondiente al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</si>
  <si>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</si>
  <si>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En el Segundo trimestre de 2021 la territorial se dio cumplimiento a lo acordado en el acta del 06-01-2021 en lo atinente a las responsabilidades y rendición de cuentas en el SG-SST. Se anexan soportes en PDF con la información pertinente.</t>
  </si>
  <si>
    <t>En el tercer trimestre de 2021 la territorial se dio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</si>
  <si>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</si>
  <si>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</si>
  <si>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Las evidencias están acordes a lo reportado en el autoseguimiento de la territorial, tales como la responsabilidades y rendición de cuentas en el SG-SST.</t>
  </si>
  <si>
    <t>Se evidencia informe SG - SST del tercer trimestre.</t>
  </si>
  <si>
    <t>En el primer trimestre de 2021 las ventas de la Territorial incluyendo la OUC de San Andres Isla, ascendieron a: 65.263.147 pesos m/cte, discriminadas así: Enero: 20.136.689, Febrero: 25.086.948, Marzo: 20.039.510. Se anexan los soportes en formato PDF.</t>
  </si>
  <si>
    <t>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t>
  </si>
  <si>
    <t>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t>
  </si>
  <si>
    <t>En los archivos adjuntos se observa la discriminación de las ventas de la sede territorial y de la UOC San Andrés por cada mes</t>
  </si>
  <si>
    <t>Se evidencian archivos mensuales con las ventas de la Territorial incluyendo la UOC de San Andres Isla. No es posible establecer cual es la meta programada para cada trimestre.</t>
  </si>
  <si>
    <t>Se evidencian reportes mensuales con las ventas de la Territorial donde el monto por esto fue de $ 51.922.819.</t>
  </si>
  <si>
    <t xml:space="preserve">(Si aplica) Llevar a cabo el proceso de recuperación del 100% de la cartera pendiente por convenios y contratos de la territorial </t>
  </si>
  <si>
    <t>Para el primer trimestre de 2021 en la Territorial no hay procesos en curso de recuperación de Cartera.</t>
  </si>
  <si>
    <t>Para el  Segundo de 2021 en la Territorial no hay procesos en curso de recuperación de Cartera. Se anexa soporte de cartera por edades.</t>
  </si>
  <si>
    <t>Para el  tercer trimestre de 2021 en la Territorial no hay procesos en curso de recuperación de Cartera. Se anexa soporte de cartera por edades.</t>
  </si>
  <si>
    <t>Sin meta asignada</t>
  </si>
  <si>
    <t>No hay meta programada para el periodo</t>
  </si>
  <si>
    <t xml:space="preserve">Sin meta asignada </t>
  </si>
  <si>
    <t>No hay procesos en curso de recuperación de Cartera.</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</si>
  <si>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</si>
  <si>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t>
  </si>
  <si>
    <t>Para el tercer trimestre del 2021 se tramitaron en la Dirección Territorial  Cundinamarca se adelantaron 8756 mutaciones de oficina, con el resultado anterior a la fecha la Territorial cundinamarca Cumple con la meta propuesta para el año 2021</t>
  </si>
  <si>
    <t>Se observa que durante el primer trimestre de 2021  la DT avanzó en los Tramites de conservación Catastral realizados (mutaciones de Oficina)</t>
  </si>
  <si>
    <t>Se observa que durante el segundo trimestre de 2021  la DT avanzó en los Tramites de conservación Catastral realizados (mutaciones de Oficina)</t>
  </si>
  <si>
    <t>De acuerdo con las evidencias, se observa que durante el tercer trimestre se adelantaron 8756 mutaciones de oficina</t>
  </si>
  <si>
    <t>Se evidencian informes del SIC con las mutaciones tramitadas por la D.T Cundinamarca en los meses de enero, febrero y marzo. Tambien se presenta archivo Excel con mutaciones tramitadas en 2021 por la D.T. Se reportan 2477 mutaciones de oficina tramitadas por la D.T Cundinamarca</t>
  </si>
  <si>
    <t>Se evidencian informes del SIC con las mutaciones tramitadas por la D.T Cundinamarca en los meses de ABRIL, MAYO Y JUNIO . Tambien se presenta archivo Excel con mutaciones tramitadas en 2021 por la D.T. Se reportan 5726 mutaciones de oficina tramitadas por la D.T Cundinamarca</t>
  </si>
  <si>
    <t>En Archivo "CONSOLIDADO DE AVANCE EN LAS METAS DE MUTACIONES PARA LA DIRECCION TERRITORIAL CUNDINAMARCA 2021" se evidencia que a la fecha la Territorial cundinamarca Cumple Con la meta determinada para el año 2021 de 15284 y una ejecucion consolidada al cuarto trimestre de 16959 trámites de Conservación Catastral cumpliendo la meta para el periodo vigente.</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</si>
  <si>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</si>
  <si>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t>
  </si>
  <si>
    <t>Para el tercer trimestre la territorial adelantó 3060 mutaciones de terreno, es importante notar que para este período de tiempo se han tenido suspensiones de terminos por la entrada en vigencia del sistema Nacional Catastrañ</t>
  </si>
  <si>
    <t>Se observa que la DT avanzó en los Tramites de terreno (mutaciones de terreno) durante el primer trimestre de 2021</t>
  </si>
  <si>
    <t>Se observa que la DT avanzó en los Tramites de terreno (mutaciones de terreno) durante el segundo trimestre de 2021</t>
  </si>
  <si>
    <t>De acuerdo con las evidencias, se observa que durante el tercer trimestre se adelantaron 3060 mutaciones de terreno</t>
  </si>
  <si>
    <t>Se evidencian informes del SIC con las mutaciones tramitadas por la D.T Cundinamarca en los meses de enero, febrero y marzo. Tambien se presenta archivo Excel con mutaciones tramitadas en 2021 por la D.T. Se reportan 5590 mutaciones de terreno tramitadas por la D.T Cundinamarca</t>
  </si>
  <si>
    <t xml:space="preserve">Se evidencian informes del SIC con las mutaciones tramitadas por la D.T Cundinamarca en los meses de abril, mayo y junio . Tambien se presenta archivo Excel con mutaciones tramitadas en 2021.                                </t>
  </si>
  <si>
    <t xml:space="preserve">En archivo "CONSOLIDADO DE AVANCE EN LAS METAS DE MUTACIONES PARA LA DIRECCION TERRITORIAL CUNDINAMARCA 2021"  Se identifica que durante el tercer trimestre se realizaronc tramitaron 3060 mutaciones de terreno de Conservación Catastral. </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</si>
  <si>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</si>
  <si>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t>
  </si>
  <si>
    <t>Se adelantan 17 visitas efectivas a los inmuebles objeto de restitución de tierras se anexa cuadro oficial de seguimiento y citaciones a reunion con el grupo de peritos avaluadores adscritos a la territorial</t>
  </si>
  <si>
    <t>se verifican evidencias presentadas por la territorial</t>
  </si>
  <si>
    <t xml:space="preserve">De acuerdo con las evidencias, se observa que durante el tercer trimestre se realizaron 17 visitas efectivas a los inmuebles objeto de restitución de tierras </t>
  </si>
  <si>
    <t>Se presenta como evidencia documento firmado por el responsable de Gestión Catastral en la D.T Cundinamarca, en el que se informa que no se  recibieron solicitudes de elaboración de avalúos comerciales</t>
  </si>
  <si>
    <t xml:space="preserve">Se evidencia seguimiento a los tramites de avaluo, sin embargo no hay meta registrada para este periodo </t>
  </si>
  <si>
    <t xml:space="preserve">Con archivo excel "CUADRO AVALUOS OFICIAL 2021"  Se identifica en la columna Observaciones -Aclaraciones, se evidencia que se han realizado 17 visitas a inmuebles objeto de restitución de tierras, igualmente se carga como evidencia 7 imagenes de convocatorias a reuniones de seguiiento pero no las actas correspondientes y no se puede validar su realización                                                                                                                                                                                                                                                                                                                                                                                                                                                      </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</si>
  <si>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</si>
  <si>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</si>
  <si>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terecr trimestre se atendieron 4 solicitudes en el marco de la Ley 1561 y 1564 de 2012. se anexan las facturas de los tramites</t>
  </si>
  <si>
    <t>Se observa que no han recibido solicitudes en materia de regularización de la propiedad (Ley 1561 y Ley 1564 de 2012)</t>
  </si>
  <si>
    <t>De acuerdo con la evidencia, se observa que durante el tercer trimestre se atendieron 4 solicitudes en el marco de la Ley 1561 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</si>
  <si>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</si>
  <si>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Conforme a lo manifestado por la Dirrecion Territorial no se han recibido solicitudes de trámites en el marco de la Ley 1561 y 1564 de 2012.</t>
  </si>
  <si>
    <t>Para el tercer trimestre Se cumple con la actividad en la que se evidencia la  atención de 4 solicitudes:  FACTURA 10-002-129674 NUMERO DE ORDEN 75483 de 29-09-2021- producto 31, FACTURA 10-002 129513 NUMERO DE ORDEN 75308 del 17-09-2021- producto 31, FACTURA 10-002 128633 NUMERO DE ORDEN 74246 del 21-07-2021- producto 31, FACTURA 10-002-129674 NUMERO DE ORDEN 75483 del 29-09-2021- producto 31 (marco de la Ley 1561 y 1564 de 2012)</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</si>
  <si>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</si>
  <si>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A la fecha se han adelantado las dos reuniones trimestrales obligatorias, se anexan como evidencia los cuadros de seguimeinto a los tramites; 142 de los municipios cuyo gestor catastral es la Gobernacion de Cundinamarca, 108 tramites de los municipios a cargo de la territorial.</t>
  </si>
  <si>
    <t>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t>
  </si>
  <si>
    <t>Se observa que la DT realizó seguimiento para el cumplimiento de la Política de Restitución de Tierras y Ley de Víctimas durante el primer trimestre de 2021</t>
  </si>
  <si>
    <t>Se observa que la DT realizó seguimiento para el cumplimiento de la Política de Restitución de Tierras y Ley de Víctimas durante el segundo trimestre de 2021</t>
  </si>
  <si>
    <t>De acuerdo con las evidencias, se observa que durante el tercer trimestre se realizó seguimiento a los procesos de avalúos que estan a cargo de la Dirección territorial en el marco de los procesos de restitución de tierras</t>
  </si>
  <si>
    <t>Se evidencian archivos Excel donde se reporta la atención de 125 solicitudes recibidas para el cumplimiento de la Política de Restitución de Tierras y Ley de Víctimas. No es posible verificar la atención de estas solicitudes en los términos de ley.</t>
  </si>
  <si>
    <t>Se evidencia el seguimiento realizado por la DT para el cumplimiento de la Política de Restitución de Tierras y Ley de Víctimas durante el segundo trimestre de 2021.</t>
  </si>
  <si>
    <t>Con Acta de reunión de comité restitución de tierras 2021-09-30 y con archivo Excel  – “Cuadro avalúos oficial 2021” Se evidencia cumplimiento de la actividad</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</si>
  <si>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</si>
  <si>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t>
  </si>
  <si>
    <t>Se cargan como evidencias los cuadros de seguimiento ER para toda la territorial, así mismo el consolidado de solicitudes radicadas al correo dtcundi@igac.gov.co; se anexan memorandos de felicitación y quejas a funcionarios</t>
  </si>
  <si>
    <t>Se observa que la DT realizó seguimiento durante el primer trimestre para atender oportunamente las PQRS</t>
  </si>
  <si>
    <t>Se observa que la DT realizó seguimiento durante el segundo trimestre para atender oportunamente las PQRS</t>
  </si>
  <si>
    <t>De acuerdo con las evidencias se observa  seguimiento de peticiones recibidas, felicitaciones y quejas</t>
  </si>
  <si>
    <t>Se observa que se presentan informes de SIGAC de PQRDS asignadas por funcionario y el estado en el que se encuentran, pero no se está realizando el seguimiento establecido en el control, con el fin de garantizar la atención de las PQRs en los términos de ley.</t>
  </si>
  <si>
    <t xml:space="preserve">Se evidencia  seguimiento durante el segundo trimestre con el reporte de los trámites relacionados con PQRDS que han sido asignados por funcionario y el estado en el que se encuentran.  </t>
  </si>
  <si>
    <t>Tenniendo en cuenta las evidencias: Archivo Excel de los cuadros de seguimiento ER para toda la territorial en el que se observa el seguimiento para los meses julio, agosto, septiembre, así mismo el consolidado de la RELACION de las radicadas al correo dtcundi@igac.gov.co; igualmente anexan memorandos con el asunto “quejas por la atención prestada a los usuarios en la ventanilla de atención de la territorial Cundinamarca” del 15/09 del 2021 y el memorando con asunto Reconocimiento a su Labor  del  29/09/2021. Se observa el cumplimiento de la actividad</t>
  </si>
  <si>
    <t>Se cargan como evidencias las 3 actas del las reuniones del COPASST correspondientes a los meses de enero, febrero y marzo del 2021. Igualmente el acta del Comité de Convivencia Laboral realizado en marzo. Responsable: Luis Carlos Ramírez</t>
  </si>
  <si>
    <t xml:space="preserve">Se cargan como evidencias las 3 convocatorias y 3 actas del las reuniones del COPASST correspondientes a los meses de enero, Abril y Junio del 2021. Igualmente el acta del Comité de Convivencia Laboral realizado en Junio. </t>
  </si>
  <si>
    <t>Se cargan como evidencias las 3 actas del las reuniones del COPASST correspondientes a los meses de Julio, Agosto  y Septiembre del 2021. Igualmente el acta del Comité de Convivencia Laboral realizado en marzo. Responsable: Luis Carlos Ramírez</t>
  </si>
  <si>
    <t>Se observa que durante el primer trimestre la DT cumplió con la entrega de las actas de los comités (Copasst y Comité de convivencia) al GIT Gestión del Talento Humano</t>
  </si>
  <si>
    <t>Se observa que durante el segundo trimestre la DT cumplió con la entrega de las actas de los comités (Copasst y Comité de convivencia) al GIT Gestión del Talento Humano</t>
  </si>
  <si>
    <t>De acuerdo con las evidencias, se observa que durante el tercer trimestre se realizaron las Actas de Copasst mensuales y el Acta de Convivencia Laboral realizado en septiembre 30</t>
  </si>
  <si>
    <t>Se evidencian 3  actas  firmadas de reuniones del Copasst y un acta correspondiente del  segundo trimestre de 2021 del comité de convivencia laboral.</t>
  </si>
  <si>
    <t>Con actas de reunión de comité- COPASTT de 2021 - 08 – 27, 2021 - 09 – 30 y COMITÉS: Territorial de apoyo a la gestión institucional de la política de atención y reparación integral de víctimas y tierras. de 2021 - 09- 30, 2021 - 09- 30, se cumple actividad, sin embargo se sugiere para proximas ocasiones verificar los archivos que se cargan como evidencia ya que no son los que describen en la Observación autoseguimiento Territorial.</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</si>
  <si>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</si>
  <si>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Como cumplimiento a las obligaciones ,se reportan los casos postivos para Covid -19 total 8 contagios de los cuales 2 hospitalizaciones, En la carpeta de actividad 9 se cargan las actas correspondientes.</t>
  </si>
  <si>
    <t>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t>
  </si>
  <si>
    <t xml:space="preserve">Se observa que se atendieron las responsabilidades y rendición de cuentas en el SG - SST por parte de la DT durante el primer trimestre. </t>
  </si>
  <si>
    <t xml:space="preserve">Se observa que se atendieron las responsabilidades y rendición de cuentas en el SG - SST por parte de la DT durante el segundo trimestre. </t>
  </si>
  <si>
    <t>De acuerdo con las evidencias, se observa que durante el tercer trimestre se atendieron actividades relacionadas con el SGSST</t>
  </si>
  <si>
    <t xml:space="preserve">Se observa el cumplimiento de la  rendición de cuentas del SG-SST . Se evidencian reportes hechos a Talento Humano. </t>
  </si>
  <si>
    <t xml:space="preserve">Se evidencia el cumplimiento de la  rendición de cuentas del SG-SST . Se evidencian reportes de casos  de covid a Talento Humano. </t>
  </si>
  <si>
    <t>Con registro de asistencia del 27/07-2021 (donde no se registra el tema a desarrollar y en la cual no se encuentra acta, por lo que se sugiere para el próximo periodo mejorar el diligenciamiento del formato ya que tiene campos vacíos)  y con el registro de incapacidad  por enfermedad general de Isaías Fonseca Mendoza del 21/09 y 22/09 del 2021</t>
  </si>
  <si>
    <t>Para el primer trimestre del 2021, la Dirección Territorial de Cundinamarca obtuvo ingresos totales por la venta de productos y servicios de $ 33.109.583. Se cargan como evidencias los informes de ventas de contado de enero a marzo. Responsable: Amanda Bernal</t>
  </si>
  <si>
    <t>Para el segundo trimestre se reporta un total en ventas por valor de 32'805.866. Se cargan como evidencias, los informes para los meses de Abril, Mayo y Junio</t>
  </si>
  <si>
    <t>Para el tercer trimestre se reporta un total en ventas por valor de 46'301.901. Se cargan como evidencias, los informes para los meses de Julio. Agosto y Septiembre</t>
  </si>
  <si>
    <t>Se observa que la DT recibió ingresos por la venta de bienes y servicios durante el primer trimestre</t>
  </si>
  <si>
    <t>Se observa que la DT recibió ingresos por la venta de bienes y servicios durante el segundo trimestre</t>
  </si>
  <si>
    <t>De acuerdo con los informes de ventas para los meses de Julio. Agosto y Septiembre, la DT reporta los ingresos por ventas de bienes y servicios</t>
  </si>
  <si>
    <t>Se evidencian relaciones de ingresos de contado de los meses de enero, febrero y marzo de 2021 en la D.T Cundinamarca</t>
  </si>
  <si>
    <t>Se evidencian relaciones de ingresos de contado de los meses de abril , mayo y junio  de 2021 en la D.T Cundinamarca</t>
  </si>
  <si>
    <t>Relación de Ingresos de contado Del: 01-JUL a 31-JUL con reporte ($12,931,136); del 01-AUG- al 31-AUG ($18,369,370), del 01-SEP-a 30-SEP-2021(Total $ 17,934,397)_x000D_
Con archivo Excel reporte Ingreso Julio y agosto para el mes de septiembre fue imposible abrir archivo._x000D_
Facturación detallada 01-Julio a 31-Julio; 01-agosto- al 31- agosto, No se cuenta con este registro, pues en la carpeta se encuentra nuevamente el archivo del mes de agosto._x000D_
Se sugiere para el proximo periodo la verificación de las evidencias.</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</si>
  <si>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</si>
  <si>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Para el segundo trimestre la DT no reporta saldos de cartera</t>
  </si>
  <si>
    <t>Para el tercer trimestre del año No se reportan saldos de cartera para la territorial</t>
  </si>
  <si>
    <t xml:space="preserve">Se observa que durante el primer trimestre la DT recuperó cartera pendiente por convenios y contratos de la territorial </t>
  </si>
  <si>
    <t>Se observa que durante el segundo trimestre la DT no reporta saldos de cartera</t>
  </si>
  <si>
    <t>De acuerdo con el avance cualitaativo la DT no  reporta saldos de cartera</t>
  </si>
  <si>
    <t>Se presentan informes mensuales de cartera por edades, evidenciando la recuperación de cartera de enero a marzo de 2021</t>
  </si>
  <si>
    <t xml:space="preserve">Durante el trimestre no se reorta saldos de cartera </t>
  </si>
  <si>
    <t>No tiene meta definida</t>
  </si>
  <si>
    <t xml:space="preserve">NO SE HA PRESENTADO  O REALIZADO NINGUN PROCESO DE ACTUALIZACION RURAL EN EL AREA  RURAL CORRESPONDIENTE AL DEPARTAMENTO  DE LA GUAJIRA </t>
  </si>
  <si>
    <t>NO APLICA</t>
  </si>
  <si>
    <t xml:space="preserve"> No hay procesos de actualizacion en la territorial</t>
  </si>
  <si>
    <t>no aplica</t>
  </si>
  <si>
    <t>La territorial no tiene procesos de actualización en este segundo trimestre.</t>
  </si>
  <si>
    <t>La territorial no tiene procesos de actualización en este tercer trimestre.</t>
  </si>
  <si>
    <t>SE REALIZARON LOS TRAMITES SOLICITADOS DE OFICINA, DE ACUERDO A LOS REQUERIMIENTOS Y LA DOCUMENTACION PRESENTADA POR CADA SOLICITANTE</t>
  </si>
  <si>
    <t xml:space="preserve">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t>
  </si>
  <si>
    <t>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t>
  </si>
  <si>
    <t>Se aprueba el reporte</t>
  </si>
  <si>
    <t>La DT anexa listado de tramites de terreno y Oficina en el periodo</t>
  </si>
  <si>
    <t>La Dt realizo las 1461 tramites de oficina</t>
  </si>
  <si>
    <t>Se evidencian informes del SIC con las mutaciones tramitadas por la D.T Guajira en los meses de enero, febrero y marzo. Tambien se presenta archivo Excel con mutaciones tramitadas en 2021 por la D.T. Se reportan 634 mutaciones de oficina tramitadas por la D.T Guajira</t>
  </si>
  <si>
    <t xml:space="preserve">Se observa ejecución con archivo excel Tramitadas DT Guajira SNC y con los informes de las tramitadas por la Territorial en abril, mayo y junio 2021. </t>
  </si>
  <si>
    <t>Se evidencia reporte de tramites de oficina para el tercer trimestre de 1461 realizados.</t>
  </si>
  <si>
    <t>SE REALIZARON LOS TRAMITES SOLICITADOS DE TERRENO, DE ACUERDO A LOS REQUERIMIENTOS Y LA DOCUMENTACION PRESENTADA POR CADA SOLICITANTE</t>
  </si>
  <si>
    <t>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t>
  </si>
  <si>
    <t xml:space="preserve">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t>
  </si>
  <si>
    <t>Aunque con dificultades realizaron 211 tramites de terreno</t>
  </si>
  <si>
    <t>Se evidencian informes del SIC con las mutaciones tramitadas por la D.T Guajira en los meses de enero, febrero y marzo. Tambien se presenta archivo Excel con mutaciones tramitadas en 2021 por la D.T. Se reportan 88 mutaciones de terreno tramitadas por la D.T Guajira</t>
  </si>
  <si>
    <t xml:space="preserve">Se observa ejecución de la actividad mediante excel tramitadas por la DT en el SNC y los informes de tramitadas por la Territorial Guajira en los meses de abril, mayo y junio 2021. </t>
  </si>
  <si>
    <t>Se evidencia reporte de tramites de terreno para el tercer trimestre de 211 realizados.</t>
  </si>
  <si>
    <t xml:space="preserve">NO SE PRESENTARON EN  EL PRIMER TRIMESTRE  PETICIONES  POR PARTE DE LAS OFICINAS  DE REGULARIZACION DE LA PROPIEDAD. </t>
  </si>
  <si>
    <t>EN  EL SEGUNDO TRIMESTRE SE PRESENTARON  7 PETICIONES  POR PARTE DE LAS OFICINAS  DE REGULARIZACION DE LA PROPIEDAD, CABE ACLARAR QUE PARA EL SEGUNDO TRIMESTRE SE COLOCÓ COMO PORCENTAJE EJECUTADO 0,50, ESTO DEBIDO A QUE PARA EL PRIMER TRIMESTRE SE COLOCÓ 0</t>
  </si>
  <si>
    <t>EN  EL TERCER TRIMESTRE SE PRESENTARON  7 PETICIONES  POR PARTE DE LAS OFICINAS  DE REGULARIZACION DE LA PROPIEDAD</t>
  </si>
  <si>
    <t>Se aprueba el reporte. Ajustar lo ejecutado para el segundo trimestre ya que el no haber recibido peticiones no implica que no hayan cumplido con la meta</t>
  </si>
  <si>
    <t>Recibieron y atendieron 7 peticiones. El trimestre anterior no se recibieron, se acepta el avance de 0,5 de avance</t>
  </si>
  <si>
    <t>La DT atendió las peticiones de regularización de la propiedad</t>
  </si>
  <si>
    <t xml:space="preserve">Se informa que no se  recibieron solicitudes en materia de regularización de la propiedad en la D.T Guajira. No se presenta evidencia que permita verificar esta información. </t>
  </si>
  <si>
    <t>Se valida ejecución con el informe trimestral de solicitudes Ley 1561 y 1564 de 2012 sobre regularización de la propiedad y se acepta el avance reportado.</t>
  </si>
  <si>
    <t xml:space="preserve">DURANTE EL PRIMER TRIMESTRE TODAS LAS PETICIONES RECIBIDAS POR PARTE DE LAS OFICINA DE UNIDAD DE TIERRAS  SE CONTESTAN DENTRO DEL TERMINO LEGAL. </t>
  </si>
  <si>
    <t xml:space="preserve">DURANTE EL SEGUNDO TRIMESTRE SE ATENDIERON TODAS LAS PETICIONES RECIBIDAS POR PARTE DE LAS OFICINA DE UNIDAD DE TIERRAS (10)  Y  SE CONTESTAN DENTRO DEL TERMINO LEGAL. </t>
  </si>
  <si>
    <t>DURANTE EL TERCER TRIMESTRE SE ATENDIERON TODAS LAS PETICIONES RECIBIDAS POR PARTE DE LAS OFICINA DE UNIDAD DE TIERRAS (20)  Y  SE CONTESTARON  DENTRO DEL TERMINO LEGAL</t>
  </si>
  <si>
    <t>De acuerdo a la evidencia se ve atendieron las solicitudes en cumplimiento de restitucion de tierras. la atencion es con la entrega de la información que registrará la subcatastro</t>
  </si>
  <si>
    <t>La Dt atendió 20 solicitudes de la URT</t>
  </si>
  <si>
    <t>Se evidencia archivo Excel donde se reporta la atención de las solicitudes recibidas para el cumplimiento de la Política de Restitución de Tierras y Ley de Víctimas. No es posible verificar la atención de estas solicitudes en los términos de ley.</t>
  </si>
  <si>
    <t xml:space="preserve">Se evidencia archivo en excel Herramienta Monitoreo DT Guajira segundo trimestre 2021, en el que se reportan las solicitudes recibidas para el cumplimiento de la Política de Restitución de Tierras. </t>
  </si>
  <si>
    <t>Se atendieron oportunamente todas las solicitudes recibidas en el trimestre Enero-Marzo de 2021</t>
  </si>
  <si>
    <t>Se atendieron oportunamente todas las solicitudes recibidas (206) en el trimestre Abril-Junio de 2021</t>
  </si>
  <si>
    <t>Se atendieron oportunamente todas las solicitudes recibidas (178) en el trimestre Julio-Septiembre de 2021</t>
  </si>
  <si>
    <t>Anexan evidencias que se aclaran con cuadro anexo</t>
  </si>
  <si>
    <t>Atendieron 178 solicitudes dentro de las PQRS</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</si>
  <si>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</si>
  <si>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 xml:space="preserve">Se observa ejecución de la actividad mediante evidencias SIGAC Guajira solicitudes recibidas y tramitadas por dependencia y excel informe PQRDS segundo trimestre 2021 Guajira.  </t>
  </si>
  <si>
    <t>Se evidencia reporte de atención de PQRs donde se observa que se atendieron en los términos legales las recibidas.</t>
  </si>
  <si>
    <t>Durante el primer trimestre (Enero, Febrero y maro) se cumplió con la entrega de las actas de los comites de Copasst y Convivencia Laboral al GIT Gestion del Talento Humano.</t>
  </si>
  <si>
    <t>Durante el segundo trimestre (Abril, mayo y junio) se cumplió con la entrega de las actas de los comites de Copasst y Convivencia Laboral al GIT Gestion del Talento Humano.</t>
  </si>
  <si>
    <t>Durante el tercer trimestre (Julio-Septiembre) se cumplió con la entrega de las actas de los comites de Copasst y Convivencia Laboral al GIT Gestion del Talento Humano.</t>
  </si>
  <si>
    <t>La DT realizó las actas de comité y colgadas en una carpeta drive de talento humano</t>
  </si>
  <si>
    <t>Realizaron reuniones y las actas de Copasst y Convivencia Laboral</t>
  </si>
  <si>
    <t>Se evidencia correos en los que se remiten las actas mensuales de reuniones del Copasst y acta correspondiente a reunión del de comité de convivencia laboral del primer trimestre de 2021.</t>
  </si>
  <si>
    <t>Se observa ejecución de la actividad mediante actas COPASST de abril, mayo y junio 2021 y acta Convivencia Laboral del segundo trimestre 2021.</t>
  </si>
  <si>
    <t>Durante el primer trimestre (Enero, Febrero y maro) se dio cumplimiento a lo establecido en el acta del 06-01-2021</t>
  </si>
  <si>
    <t>Durante el segundor trimestre (Abril, Mayo, Junio) se dio cumplimiento a lo establecido en el acta del 06-01-2021</t>
  </si>
  <si>
    <t>Durante el tercer trimestre (Julio-Septiembre) se dio cumplimiento a lo establecido en el acta del 06-01-2021</t>
  </si>
  <si>
    <t>La DT realizó el cumplimiento de la rendicion de cuentas del SG-SST</t>
  </si>
  <si>
    <t>La DT cumplio con el desarrollo de ésta actividad para el tercer trimestre</t>
  </si>
  <si>
    <t>No es posible evidenciar el cumplimiento de la  rendición de cuentas del SG-SST . No se evidencian reportes hechos a Talento Humano.</t>
  </si>
  <si>
    <t xml:space="preserve">Se realizó cumplimiento de esta actividad por la DT para el segundo trimestre (se adjuntan 3 actas comite Copasst y 1 acta de convivencia laboral del segundo trimestre 2021).  </t>
  </si>
  <si>
    <t xml:space="preserve">Se realizó cumplimiento de esta actividad por la DT para el segundo trimestre (se adjuntan 3 actas comite Copasst y 1 acta de convivencia laboral del tercer trimestre 2021).  </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</si>
  <si>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</si>
  <si>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t>
  </si>
  <si>
    <t>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t>
  </si>
  <si>
    <t>Se observa la relacion de ingresos duerante el trimestre con un buen reporte</t>
  </si>
  <si>
    <t>La DT realizo ventas por 21.905.762 en el trimestre</t>
  </si>
  <si>
    <t>Se evidencian relaciones de ingresos de contado de los meses de enero, febrero y marzo de 2021 en la D.T Guajira.</t>
  </si>
  <si>
    <t xml:space="preserve">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t>
  </si>
  <si>
    <t>Se evidencia reportes de relación de ingresos del tercer trimestre del presente año, por la suma $21.905.762.</t>
  </si>
  <si>
    <t>Durante el primer trimestre de este año 2021 no se ha obtenido ingresos por concepto de recupueracion de la cartera en la Territorial Guajira, aunque se han realizado las gestiones de cobro a los entes territoriales que tienen deuda.</t>
  </si>
  <si>
    <t>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t>
  </si>
  <si>
    <t>Durante el tercer trimestre de este año 2021 en la Territorial Guajira no hay cartera pendiente de recuperar.</t>
  </si>
  <si>
    <t>Se observa la recuperacion de cartera en la DT y el reporte de las cuentas de dificil cobro</t>
  </si>
  <si>
    <t>para el proximo reporte aclarar si no hay cartera pendiente en la DT di fue que la sede central clasifico el saldo como de dificil cobro</t>
  </si>
  <si>
    <t>Se presentan corresos de cobro de cartera. Se evidencia que no hubo recuperación de cartera en el primer trimestre de 2021</t>
  </si>
  <si>
    <t>Se observa ejecución de la actividad mediante comprobante de pago 035-00234 del 13/05/2021 del municipio de San Juan correspondiente al contrato 162 de 2020 y el Informe de Cartera a 30/06/2021.</t>
  </si>
  <si>
    <t>No hay cartera pendiente de recuperar</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</si>
  <si>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</si>
  <si>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Durante el segundo trimestre del año 2021 en T. Huila se realizaron 6318 trámites de oficina.</t>
  </si>
  <si>
    <t xml:space="preserve"> Para el tercer trimestre del año La DT Huila acumuló un total de 13.646 trámites de oficina, con esto superando la meta proyectada para el año.</t>
  </si>
  <si>
    <t>se revisa evidencias, se encuentran acordes al producto esperado</t>
  </si>
  <si>
    <t>Se evidencia reporte de tramites de oficina para el primer trimestre de 2412 realizados.</t>
  </si>
  <si>
    <t>Se evidencia reporte de tramites de oficina del segundo trimestre 3909 realizados.Nota: se debe corregir el numero reportado deben ser los realizados en el trimestre.</t>
  </si>
  <si>
    <t>Se evidencia reporte de tramites de oficina del tercer trimestre con acumulado de 13.646 realizados.</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</si>
  <si>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</si>
  <si>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t>
  </si>
  <si>
    <t xml:space="preserve"> Para el tercer trimestre del año se acumuló un total de 1.012 trámites de terreno, los rendimientos no son los deseados en parte por el pobre rendimiento del SNC, y como evidencia de lo anterior se tienen 450 requerimientos abiertos hasta el mes de agosto.</t>
  </si>
  <si>
    <t xml:space="preserve"> Se evidencia reporte de tramites de terreno para el primer trimestre de 436 realizados.</t>
  </si>
  <si>
    <t xml:space="preserve"> Se evidencia reporte de tramites de terreno para el primer trimestre de 357 realizados.Nota: se debe corregir el numero reportado deben ser los realizados en el trimestre.</t>
  </si>
  <si>
    <t>Se evidencia reporte de tramites de terreno para el primer trimestre, no se evidencia meta para este tercer trimestre</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</si>
  <si>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</si>
  <si>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t>
  </si>
  <si>
    <t>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t>
  </si>
  <si>
    <t>Se evidencia reporte solicitudes de regularización de la propiedad, se recibieron 37 solicitudes y  36 fueron atendidas, está pendiente una pero se encuentra entre los tiempos de ley para responder.</t>
  </si>
  <si>
    <t>Se evidencia reporte solicitudes de regularización de la propiedad, se recibieron 56 solicitudes y  49 fueron atendidas, está pendiente 7 pero se encuentra entre los tiempos de ley para responder.</t>
  </si>
  <si>
    <t>Se evidencia reporte solicitudes de regularización de la propiedad, se recibieron 101 solicitudes y  66 fueron atendidas, está pendiente 25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</si>
  <si>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</si>
  <si>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Durante el segundo trimestre del año 2021 en la T. Huila se atendió oportunamente las solicitudes emitidas por la Agencia Nacional de Tierras. Se adjunta evidencia.</t>
  </si>
  <si>
    <t xml:space="preserve">Durante el tercer trimestre se allegaron las sentencias 079 y 093 provenientes de los Juzgados de Restitución de Tierras de Ibagué y se encuentran en trámite de rectificación._x000D_
Adjunto Herramienta de monitoreo, donde se consolida el informe que se entrega cada 15 días sobre las solicitudes realizadas por la Unidad de Restitución de Tierras_x000D_
</t>
  </si>
  <si>
    <t>Se evidencia reporte de procesos de restitución, pero falta información sobre la actividad. Nota: este consolidado de solicitudes debe concordar con el que reporta el Git de tierras de la subdirección de catastro.</t>
  </si>
  <si>
    <t>Se evidencia informe donde se reportan el número de solicitudes atendidas para el segundo trimestre.</t>
  </si>
  <si>
    <t xml:space="preserve">Se evidencia informe donde se reportan el número de solicitudes atendidas para el tercer trimestre, sin embargo no se evidencia meta asignada para este trimestre </t>
  </si>
  <si>
    <t>Total peticiones del trimestre 1004. Finalizadas 355. Atendidas en termino legal 264 y pendientes de contestar 245</t>
  </si>
  <si>
    <t>Total peticiones del trimestre 1052. Finalizadas 563. Atendidas en termino legal 417 y pendientes de contestar 489</t>
  </si>
  <si>
    <t>Durante el tercer trimestre se recibieron un total 1076 peticiones. Finalizadas 570. Atendidas en termino legal 385 y pendientes de contestar 506 peticiones</t>
  </si>
  <si>
    <t>Se evidencia reporte de atención de PQRs, el índice de oportunidad de atención en términos legales es de 26.29%.</t>
  </si>
  <si>
    <t>Se evidencia reporte de atención de PQRs y se han dejado de atender en los términos de ley un 31.55% de la las PQRs recibidas.</t>
  </si>
  <si>
    <t>Se evidencia reporte de atención de PQRs y se han dejado de atender en los términos de ley un 35.78% de la las PQRs recibidas.</t>
  </si>
  <si>
    <t>Durante el trimestre cumplio con la realización de las actas</t>
  </si>
  <si>
    <t>Durante el segundo trimestre del año 2021 se cumplio con la realización de las actas e informes de Copasst y Comité de Convivencia.</t>
  </si>
  <si>
    <t>Durante el tercer trimestre del año 2021 se cumplio con la realización de las actas e informes de Copasst y Comité de Convivencia.</t>
  </si>
  <si>
    <t>Se evidencia actas de COPASST de los tres primeros meses y acta de comité de convivencia laboral.</t>
  </si>
  <si>
    <t>Se evidencia actas de COPASST de los meses abril, mayo, junio y acta de comité de convivencia laboral.</t>
  </si>
  <si>
    <t>Se evidencia actas de COPASST de los meses julio.agosto y septiembre  y acta de comité de convivencia laboral.</t>
  </si>
  <si>
    <t>Durante el trimestre la territorial realizó el reporte mensual de ausentismo y actividades , por lo cuanto se cumplio el plan de Seguridad y Salud en el trabajo</t>
  </si>
  <si>
    <t>Durante el segundo trimestre la territorial realizó el reporte mensual de ausentismo y actividades , por lo cuanto se cumplio el plan de Seguridad y Salud en el trabajo</t>
  </si>
  <si>
    <t>Durante el tercer trimestre la territorial realizó oportunamente todas las responsabilidades en temas de SG y SST , por cuanto se cumplio con el plan de Seguridad y Salud en el trabajo. Se adjuntan las evidencias correspondientes. Nueve carpetas.</t>
  </si>
  <si>
    <t>Se evidencia actas y reportes que soportan las responsabilidades y rendición cuentas en el SG - SST, establecida mediante acta del 06-01-2021</t>
  </si>
  <si>
    <t>Se evidencia reportes de ausentismo de los meses de abril, mayo y junio y se observa reporte de ejecución del plan de bienestar.</t>
  </si>
  <si>
    <t xml:space="preserve">Se evidencia reportes de ausentismo de los meses de julio agosto y septiembre y se observa reporte de ejecución del plan de bienestar y capacitaciones </t>
  </si>
  <si>
    <t>Se adjunta como evidencia el informe de ingresos del primer trimestre</t>
  </si>
  <si>
    <t>Se adjunta como evidencia el informe de ingresos de los meses de abril, mayo y junio de 2021</t>
  </si>
  <si>
    <t>Se adjunta como evidencia el informe de ingresos de los meses de julio, agosto y septiembre de 2021</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</si>
  <si>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</si>
  <si>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</si>
  <si>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 Se evidencia el informe de ingresos de los meses de abril, mayo y junio, para un total de ingresos $25.196.080 .</t>
  </si>
  <si>
    <t xml:space="preserve"> Se evidencia el informe de ingresos de los meses de Julio, agosto y septiembre.para un total de ingresos de 25.000.873</t>
  </si>
  <si>
    <t xml:space="preserve">La territorial tienela suma de 22.600.000 por recuperar, que esta en proceso de pago por parte de la álcaldia de Neiva </t>
  </si>
  <si>
    <t>Para el segundo trimestre del año 2021 la Territorial Huila continua con la misma suma de $22.600.000 por recuperación de cartera pendiente.  Se encuentra en Proceso Conciliatorio por parte de la Alcaldía de la ciudad de Neiva. Se adjunta pantallazo del Estado de Cartera.</t>
  </si>
  <si>
    <t>Para el tercer trimestre del año 2021 la Territorial Huila continua con la misma suma de $22.600.000 por recuperación de cartera pendiente.  Se encuentra en Proceso Conciliatorio por parte de la Alcaldía de la ciudad de Neiva. Se adjunta pantallazo del Estado de Cartera.</t>
  </si>
  <si>
    <t>no se encuentra evidenciada la gestion de cobro de la territorial, por lo cual no se puede dar concepto favorable</t>
  </si>
  <si>
    <t>Se evidencia reporte de cartera pero no se ha hecho efectiva el pago de esta por parte de la alcaldía.</t>
  </si>
  <si>
    <t>Se evidencia pantallazo del estado de cartera, no se ha hecho efectiva el pago por parte de alcaldia.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</si>
  <si>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</si>
  <si>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Hasta la fecha no se ha ejecutado ningun proceso de actualizacion catastral en la Territorial</t>
  </si>
  <si>
    <t>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t>
  </si>
  <si>
    <t>No aplica</t>
  </si>
  <si>
    <t>No hay ningun proceso de actualizacion en tramite</t>
  </si>
  <si>
    <t>Para este periodo no existe meta asignada.</t>
  </si>
  <si>
    <t xml:space="preserve">A pesar de que adjunta: Oficio de la alcaldía de Aracataca, agosto 27 de 2021 solicitamos una propuesta Técnico Financiera para la contratación con el IGAC de un proyecto de actualización catastral rural del Municipio de Aracataca._x000D_
Oficio de la alcaldía de Sitio Nuevo, de agosto 24 de 2021 Solicitud de Información - /Proceso/trámite para la actualización formación Catastral._x000D_
Correos electrónicos: Del 01/09/2021Por medio de la presente remito oficio número 2613-DTM2021-0000106-ER-000 con el fin que se le genere una propuesta tecno económica de actualización catastral rural. 06/09/2021 Por medio de la presente remito solicitud municipio ROTULO_2613DTM-2021-0000220-ER-000.pdf; 2613DTM-2021-0000220-ER-000.pdf; para adelantar proceso de actualización. No aplican ya que no se cuenta con meta._x000D_
</t>
  </si>
  <si>
    <t>Durante el I trimestre se han realizado 690 mutaciones de oficina</t>
  </si>
  <si>
    <t>Durante el II trimestre se realizaron 1818 tramites de oficina</t>
  </si>
  <si>
    <t>Durante el III trimestre se realizaron 1275 tramites de oficina</t>
  </si>
  <si>
    <t>Se aprueba el reporte presentado</t>
  </si>
  <si>
    <t>La DT realizó 1818 tramites de oficina de acuerdo a la relacion adjunta en evidencias</t>
  </si>
  <si>
    <t>Registran 1275 trámites de oficina en la DT</t>
  </si>
  <si>
    <t>Se evidencia reporte de tramites de oficina para el primer trimestre de 690 realizados.</t>
  </si>
  <si>
    <t>Se evidencia reporte de tramites de oficina para el segundo trimestre de 1818 realizados.</t>
  </si>
  <si>
    <t>A pesar de no tener definida meta para el periodo se verifica la realzación de 1275 tramites de oficina a septiembre, en archivo excel " PROGRAMACIÓN Y EJECUCIÓN DE METAS FISICAS SEDE TERRITORIAL-2021. (Formto facilitativo)</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</si>
  <si>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</si>
  <si>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</si>
  <si>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III trimestre se realizaron 823 mutaciones de terreno de las cuales 415 fueron urbanas y 408 rurales.</t>
  </si>
  <si>
    <t>Registran 814 mutaciones de terreno en el periodo</t>
  </si>
  <si>
    <t>La DT realizó 823 mutaciones de terreno</t>
  </si>
  <si>
    <t>Se evidencia reporte de tramites de terreno para el primer trimestre de 69 realizados.</t>
  </si>
  <si>
    <t>Se evidencia reporte de tramites de terreno para el segundo trimestre de 814 realizados.</t>
  </si>
  <si>
    <t>A pesar de no tener definida meta para el periodo se verifica  la realzación de tramites de conservación asi:  823 mutaciones (de terreno de las cuales 415 fueron urbanas y 408 rurales) con corte a septiembre, se evidencia en archivo excel " PROGRAMACIÓN Y EJECUCIÓN DE METAS FISICAS SEDE TERRITORIAL-2021. (Formto facilitativo).    Igualmente con informe Avance Conservación III Trimestre 2021</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</si>
  <si>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</si>
  <si>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Para el II trimestre se realizaron 16 avaluos comerciales. asi mismo se realizaron reuniones de seguimiento con el fin de establecer estrategias para dar cumplimiento a la meta</t>
  </si>
  <si>
    <t>Para el III trimestre se realizaron 47 avaluos comerciales. Asi mismo se realizaron reuniones de seguimiento con el fin de establecer estrategias para dar cumplimiento a la meta</t>
  </si>
  <si>
    <t>NO aplica</t>
  </si>
  <si>
    <t>La DT hace un reporte muy bueno de los avalúos y las actas de revisión</t>
  </si>
  <si>
    <t>La DT realizó 47 avalúos comerciales</t>
  </si>
  <si>
    <t>Se evidencia informe donde se reportan los 16 avalúos realizados para el segundo trimestre.</t>
  </si>
  <si>
    <t>Con actas de reunión de seguimiento avalúos con fechas; 12de Julio 2021, 9 de agosto 2021, 26 de agosto, 10 de septiembre, 24 de septiembre del 2021. Y con memorando del asunto “acuerdo de Gestión a septiembre 30” en el que se presenta el Plan de Acción de Avalúos a fecha 30 de septiembre donde se identifica avalúos realizados en el mes de julio 13 y en el mes de agosto 34. Evidenciando el cumplimiento de la actividad con  47 avalúos ( a pesar de que no se habia determinado meta)</t>
  </si>
  <si>
    <t>Durante el I trimestre se recibieron 18 solicituds en materia de regularizacion de la propiedad todas fueron resueltas en el tiempo legal alcanzando un porcentae del  25%</t>
  </si>
  <si>
    <t>Durante el II trimestre se recibieron 18 solicituds en materia de regularizacion de la propiedad todas fueron resueltas en el tiempo legal alcanzando un porcentae del  25%</t>
  </si>
  <si>
    <t>Durante el III trimestre se recibieron 28 solicitudes en materia de regularizacion de la propiedad todas fueron resueltas en el tiempo legal alcanzando un porcentae del  25%</t>
  </si>
  <si>
    <t>Revisado el registro se aprueba el reporte</t>
  </si>
  <si>
    <t>Se observa la atención a las solicitudes en materia de regularización</t>
  </si>
  <si>
    <t>La DT atendió las solicitudes  en materia de regularización</t>
  </si>
  <si>
    <t xml:space="preserve">Se evidencia reporte solicitudes de regularización de la propiedad, se recibieron 18 solicitudes y estas fueron atendidas. </t>
  </si>
  <si>
    <t>Con memorando del 09 de octubre del 2021 en asunto: “Informe Avance tercer trimestre del Proceso de Restitución de Tierras de2021. En el que se identifica N° de solicitudes para el trimestre 28 y atendidas oportunamente al 100%. Igualmente evidencian reportes para el mes de Julio, agosto y septiembre. Cumpliendo con la meta</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</si>
  <si>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</si>
  <si>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Durante el segundo trimestre se recibieron ochenta y siete 87 solicitudes de las cuales fueron respondidas en tiempo oportuno.</t>
  </si>
  <si>
    <t>Durante el segundo trimestre se recibieron setenta y cinco 75 solicitudes de las cuales fueron respondidas en tiempo oportuno.</t>
  </si>
  <si>
    <t>La Dt atendió las solicitudes en cumplimiento de la politica de restitución de tieras</t>
  </si>
  <si>
    <t>Atendieron 75 solicitudes de Restitución de Tierras</t>
  </si>
  <si>
    <t>Se evidencia reporte de procesos y solicitudes de restitución. Nota: este consolidado de solicitudes debe concordar con el que reporta el Git de tierras de la subdirección de catastro.</t>
  </si>
  <si>
    <t>Se evidencia reporte de procesos y solicitudes de restitución</t>
  </si>
  <si>
    <t>Con memorando del 09 de octubre del 2021 en asunto: “Informe Avance tercer trimestre del Proceso Con memorando del 09 de octubre del 2021 en asunto: “Informe Avance tercer trimestre del Proceso de Restitución de Tierras de2021. En el que se identifica N° de solicitudes para el trimestre 28 (5 en julio, 9 agosto.14 seprtirmbre) y atendidas oportunamente al 100%. Igualmente evidencian reportes para el mes de Julio, agosto y septiembre</t>
  </si>
  <si>
    <t>Durante el I trimestre se recibieron 94 solicitudes de las cualesfueron atendidas en tiempo oportuno 78 quedando 18 por fuera del termino legal</t>
  </si>
  <si>
    <t>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t>
  </si>
  <si>
    <t>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t>
  </si>
  <si>
    <t>Registro de avance aprobado</t>
  </si>
  <si>
    <t>La DT atendió las solicitudes de PQRS de acuerdo a relacion adjunta en las evidencias</t>
  </si>
  <si>
    <t>La DT atendió las PQRS</t>
  </si>
  <si>
    <t>Se evidencia reporte de atención de PQRs, se recibieron 94 y se atendieron 76 en los términos legales, para una atención del 80.85% dentro de los términos.</t>
  </si>
  <si>
    <t>Se evidencia reportes de atención de PQRs donde se observa que se atendieron en los términos legales las PQRs recibidas.</t>
  </si>
  <si>
    <t>En archivo Excel - reportes: RPT- RGC-012 Reporte General de Peticiones y Consultas Peticiones, RPT- RGC -012 Reporte General de Peticiones y Consultas Tramites y Servicios, RPT-RGC-012 Reporte General de Peticiones y Consultas Ventanilla virtual, RPT- RSQR-009 Reporte Control Interno Canal Presencial Mensajería; RPT-RSQR-009 Reporte Control Interno Canal Presencial Punto de Atención, RPT-RSQ-_009 Reporte control interno Canal Virtual correo electrónico, RPT-RSQR-009 Reporte Control interno Canal virtual notificación web. Se evidencia que cumple en 0,18% de la actividad, para lo que se sugiere planear acción para el manejo de resago.</t>
  </si>
  <si>
    <t>Durante el primer trimestre se dio cumplimiento a la entrega de las actas COpasst y comite de convivencia laboral</t>
  </si>
  <si>
    <t>Durante el II trimestre se dio cumplimiento a la entrega de las actas COpasst y comite de convivencia laboral. estas fueron reportadas en el DRIVE dispuest por el GIT de talento Humano</t>
  </si>
  <si>
    <t>Durante el III trimestre se dio cumplimiento a la entrega de las actas Copasst y comite de convivencia laboral. estas fueron reportadas en el DRIVE dispuest0 por el GIT de talento Humano</t>
  </si>
  <si>
    <t>Se evidencia actas de COPASST y acta de comité de convivencia laboral, es de conocimiento que ahora no envian correo a talento humano sino que cuelgan las actas en un drive que dispone TH</t>
  </si>
  <si>
    <t>Realizaron actividades de Copasst y comite de convivencia</t>
  </si>
  <si>
    <t>Se evidencia actas de COPASST de los tres primeros meses y acta de comité de convivencia laboral y correo electrónico donde son enviadas a Talento Humano.</t>
  </si>
  <si>
    <t>Se evidencia actas de COPASST de los meses de abril, mayo junio y acta de comité de convivencia laboral y correo electrónico donde son enviadas a Talento Humano.</t>
  </si>
  <si>
    <t>Se evidencia cumplimento de la actividad con actas de: 07/30, 08/30, 09/30 y con imágenes cargadas al Drive determinado para tal fin por Gestión del Talento Humano</t>
  </si>
  <si>
    <t>durante el I trimestre se realizaron las actividades en cuanto a los roles de el acta 06-01-2021</t>
  </si>
  <si>
    <t>durante el II trimestre se realizaron las actividades en cuanto a los roles de el acta 06-01-2021</t>
  </si>
  <si>
    <t>durante el III trimestre se realizaron las actividades en cuanto a los roles de el acta 06-01-2021. se anexa informe del proceso de Talento Humano</t>
  </si>
  <si>
    <t>La DT realizó las actividades en cuanto a los roles del acta de 06-01-2021</t>
  </si>
  <si>
    <t>Reportaron a talento humano actividades de rendicion de cuentas en el SG, SST</t>
  </si>
  <si>
    <t>Se evidencia correos electrónicos donde se observa la realización de las actividades en cuanto a los roles del acta 06-01-2021.</t>
  </si>
  <si>
    <t>Se evidencia informe de actividades en cuanto a los roles del acta 06-01-2021.</t>
  </si>
  <si>
    <t>Con memorando de Asunto: Informe Actividades al III trimestrePlan de acción anual 2021 se evidencia la realización de la actividad.</t>
  </si>
  <si>
    <t>Durante el primer trimestre se han recaudado por concepto de venta de bienes y servicios un valor de $8700523. A la fecha la territorial no ha recibido la meta de ingresos de bienes y servicios</t>
  </si>
  <si>
    <t>Durante el Segundo trimestre se han recaudado por concepto de venta de bienes y servicios un valor de $8.301.006. es importante manifestar que la territorial ya no cuenta con el catastro del distrito de santa marta, el cual era el que representaba el 90% de sus ingresos</t>
  </si>
  <si>
    <t>Durante el III trimestre se han recaudado por concepto de venta de bienes y servicios un valor de $25.969.242. es importante manifestar que la territorial ya no cuenta con el catastro del distrito de santa marta, el cual era el que representaba el 90% de sus ingresos</t>
  </si>
  <si>
    <t>Las ventas han sido reportadas según realción</t>
  </si>
  <si>
    <t xml:space="preserve">Realizaron ventas por un valor de $25.969.242. </t>
  </si>
  <si>
    <t>Se evidencia reporte de ingresos recibidos en el primer trimestre, no se tiene definida meta de ingresos.</t>
  </si>
  <si>
    <t>Se evidencia reporte de ingresos para el segundo trimestre el cual llego a $ 8.301.006.</t>
  </si>
  <si>
    <t>Con el reporte “relación de ingresos de contado” de julio 01 al 30 de septiembre del 2021 se observa un total: $30,842,348 y en “ventas totalizadas por producto” del 01 de julio al 30 de septiembre con total tipo $21,135,461. informaición que idica que la ejecución no corresponde a la meta.</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</si>
  <si>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</si>
  <si>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 xml:space="preserve">La meta  se cumplio en el primer tirmestre,  como se soporto con el informe de ejecucion anterior, sin tener mas area para cubrir, se evidencia con actas de seguimiento, el proceso de cierre está proyectado para el mes de octubre. </t>
  </si>
  <si>
    <t>La meta  se cumplio en el primer tirmestre, sin tener mas area para cubrir, se encuentran en etapa de digitalizacion final, se anexa cronograma de cumplimiento.</t>
  </si>
  <si>
    <t>Se evidencia cumplimiento de meta con el Informe de ejecución  del PRIMER TRIMESTRE 2021 ACTUALIZACIÓN CATASTRAL ZONA URBANA Y RURAL ETAPA 1 AÑO 2020 y ETAPA 2 AÑO 2021VILLAVICENCIO, META</t>
  </si>
  <si>
    <t>Sin tener mas area para cubrir y el aviendo cumplido la meta en el mes anterior, no se cuets meta por cumplir.</t>
  </si>
  <si>
    <t>sin meta asignada</t>
  </si>
  <si>
    <t>Se evidencia informe de avance de la actualización del municipio de Villavicencio, no se valida lo reportado hasta que no se culmine el proceso.</t>
  </si>
  <si>
    <t>Se evidencia informe de avance de la actualización Fase II con el area a cubrir.</t>
  </si>
  <si>
    <t xml:space="preserve">sin meta asignada, se aporta excel con actualizacion predios. </t>
  </si>
  <si>
    <t>En cumplimiento al seguimiento se registra tramites de oficina 379 al corte de 31 de marzo. se evidenci con los reporte mensuales de tramitadas.</t>
  </si>
  <si>
    <t>En cumplimiento al seguimiento se registra tramites de oficina 668 al corte de 30 de junio. se evidencai con los reporte mensuales (abril, mayo y junio) de tramitadas.</t>
  </si>
  <si>
    <t>En cumplimiento al seguimiento se registra tramites de oficina 1824 al corte de 30 de septiembre. se evidencai con los reporte mensuales (Julio, agosto septiembe) de tramitadas.</t>
  </si>
  <si>
    <t>Se observa en reporte consolidado del trimestre e informes de Tramitadas ppor departamento de  los meses enero, febrero y marzo. El cumplimiento de la meta.</t>
  </si>
  <si>
    <t>Se evidencia reporte de 668 tramites de oficina para los meses de abril, maro y junio. con informe por mes</t>
  </si>
  <si>
    <t>Se valida cumplimiento</t>
  </si>
  <si>
    <t>Se evidencia reporte de tramites de oficina para el primer trimestre de 379 realizados.</t>
  </si>
  <si>
    <t>Se evidencia reporte de tramites de oficina para el segundo trimestre, contrastado con el informe de la subdirección de catastro el numero reportado no coincide, el numero de tramites es de 1.047.</t>
  </si>
  <si>
    <t>Se evidencia reporte de tramites de oficina para el tercer trimestre, meses julio, agosto y septiembre.</t>
  </si>
  <si>
    <t>En cumplimiento al seguimiento se registra tramites de terreno  438 al corte de 31 de marzo.. se evidencia con los reporte mensuales.</t>
  </si>
  <si>
    <t>En cumplimiento al seguimiento se registra tramites de terreno  1737 al corte de 30 de junio. se evidencia con los reporte mensuales de abril , mayo y junio.</t>
  </si>
  <si>
    <t>En cumplimiento al seguimiento se registra tramites de terreno  1048 al corte de 30 de septiembre. se evidencia con los reporte mensuales de julio, agosto y septiembre.</t>
  </si>
  <si>
    <t>se evidencia la realizacion de la actividad y se puede identificar en el reporte triemestral</t>
  </si>
  <si>
    <t>Se evidencia con los reporte mensuales de abril, mayo y junio para 1737 tramites de terreno</t>
  </si>
  <si>
    <t>Se evidencia reporte de tramites de terreno para el primer trimestre de 438 realizados.</t>
  </si>
  <si>
    <t>Se evidencia reporte de tramites de terreno para el segundo trimestre, contrastado con el informe de la subdirección de catastro el número reportado no coincide, el número de tramites es de 1.373.</t>
  </si>
  <si>
    <t>Se evidencia reporte de tramites de terreno para el tercer trimestre de 1048 realizados,reporte mensuales de los meses de julio, agosto y septiembre</t>
  </si>
  <si>
    <t>Se realizaron 11 visitas de avaluos al corte del 31 de marzo. se evidencia con reporte trimestral de visitas.</t>
  </si>
  <si>
    <t>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t>
  </si>
  <si>
    <t xml:space="preserve">_x000D_
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
</t>
  </si>
  <si>
    <t>Con correo electronico en el que se reporta las visitas  ejecutadas en el trimestre. se observa el cumplimiento de la actividad</t>
  </si>
  <si>
    <t>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t>
  </si>
  <si>
    <t>Actividad cumplida mediante evidencia</t>
  </si>
  <si>
    <t>Se evidencia reporte de avalúos realizados por la territorial, este no concuerda por el consolidado suministrado por el GIT de avalúos de la Subdirección de Catastro, en el cual la territorial ha realizado 3 avalúos.</t>
  </si>
  <si>
    <t>Se evidencia correo donde se reportan los 2 avalúos realizados para el segundo trimestre.</t>
  </si>
  <si>
    <t>Se evidencia correo donde se reportan los 3 avalúos realizados para el tercer trimestre.</t>
  </si>
  <si>
    <t>Se atendieron 56 solicitudes en materia de regularización en el primer trimestre, con corte al 31 de marzo. se evidencia con reporte en herramienta de monitorea</t>
  </si>
  <si>
    <t>Se atendieron 102  solicitudes en materia de regularización en el segundor trimestre, con corte al 28 de Junio. se evidencia con reporte en herramienta de monitoreo y correo enviado. Dando cumplimiento a esta actividad.</t>
  </si>
  <si>
    <t>Se atendieron 159  solicitudes en materia de regularización en el tercerr trimestre, con corte al 30 de septiembre. se evidencia con reporte en herramienta de monitoreo y correo enviado. Dando cumplimiento a esta actividad.</t>
  </si>
  <si>
    <t>Con reporte en herramienta de monitoreo con corte a 28 de marzo y con cuadro de descripcion  de estrategia se observa la realizacion de la actividad</t>
  </si>
  <si>
    <t>Se evidencia a ver  atendido 102  solicitudes en materia de regularizacióncon reporte en herramienta de monitoreo y correo remisorio.</t>
  </si>
  <si>
    <t>Se evidencia reporte de solitudes atendidas en materia de regularización, se recibieron 65 y se han atendido 56 solicitudes.</t>
  </si>
  <si>
    <t>Se evidencia reporte de solitudes atendidas en materia de regularización, se atendieron 102 solicitudes.</t>
  </si>
  <si>
    <t>Se evidencia reporte en la herramienta de monitoreo, y correo enviado, se atendieron 159 solicitudes</t>
  </si>
  <si>
    <t>Se atendieron 37 solicitudes de politicas de restitución de tierras al corte del 31 de marzo.</t>
  </si>
  <si>
    <t>Se atendieron 138 solicitudes de politicas de restitución de tierras al corte del 28 de Junio, Evidenciando con el archivo excel Herramienta de corte.</t>
  </si>
  <si>
    <t>Se atendieron 133 solicitudes de politicas de restitución de tierras al corte del 3o de septiembre, Evidenciando con el archivo excel Herramienta de corte.</t>
  </si>
  <si>
    <t>Con reporte en herramienta de monitoreo y con cuadro de descripcion  de estrategia se observa la realizacion de la actividad</t>
  </si>
  <si>
    <t>Con reporte en herramienta de monitoreo y con imagen de correo electronico (cuadro de descripcion) se observa la realizacion de la actividad</t>
  </si>
  <si>
    <t>Se valida evidencia</t>
  </si>
  <si>
    <t>Se recibieron 51 solicitudes de información y se atendieron 37 solicitudes para un porcentaje de atención del 72.54%.</t>
  </si>
  <si>
    <t>Se evidencia reporte de tierras donde se recibieron 145 solicitudes y se atendieron 138 solicitudes.</t>
  </si>
  <si>
    <t>Se evidencia reporte de restitucion de  tierras  se atendieron 133 solicitudes.</t>
  </si>
  <si>
    <t>Se presenta  grandes retrazos en las respuestas a solicitudes y por ende en los terminos legales, en razon de problemas tecnicos de las plataformas de servicio ajenas a la territorial. se tramitaron 41 solicitudes.</t>
  </si>
  <si>
    <t>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t>
  </si>
  <si>
    <t>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t>
  </si>
  <si>
    <t>Con reporte trimetral de PQRs se evidencian resagos en el tratamiento de solicitudes se sugiere implemtar accion de mejora</t>
  </si>
  <si>
    <t>Se evidencia reporte de atención de 55 PQRs atendidas, Se planea realizar accion correctiva para el manejo de rezagos</t>
  </si>
  <si>
    <t>Se evidencia reporte de atención de PQRs, el índice de oportunidad de atención en términos legales es de 5.98%.</t>
  </si>
  <si>
    <t>Se evidencia reporte de PQRs el nivel de atención en términos legales es baja.</t>
  </si>
  <si>
    <t>En cumplimiento se anexa actas de reunion de copasst de los meses de enero, febrero y marzo al igual que el acta de comie de convivencia del primer trimestre.</t>
  </si>
  <si>
    <t xml:space="preserve"> Se evidencia la realizacion de las actividades conlas  actas de reunion de copasst de los meses de abril, mayo y junio al igual que el acta de comite de convivencia del segundo trimestre trimestre. Cumpliendo con lo programado.</t>
  </si>
  <si>
    <t>En cumplimiento se anexa actas de reunion de copasst de los meses de julio, agosto y septiembre al igual que el acta de comie de convivencia del tercer trimestre.</t>
  </si>
  <si>
    <t xml:space="preserve">Se evidencian las actas de  copasst de los meses de enero, febrero y marzo y el acta de comie de convivencia, cumpliendo con la actividad. </t>
  </si>
  <si>
    <t>Se evidencia el cumplimiento en  actas de los comités (Copasst y Comité de convivencia), correo electronico remisorio</t>
  </si>
  <si>
    <t>Se evidencia con actas</t>
  </si>
  <si>
    <t>Se evidencia actas de COPASST de los meses de abril, mayo, junio y acta de comité de convivencia laboral.</t>
  </si>
  <si>
    <t>Se evidencia actas de COPASST de los meses de julio, agosto y septiembre y acta de comité de convivencia laboral.</t>
  </si>
  <si>
    <t>Se presenta acta N°1 de Informe de rendicion de cuentas del SG-SST de la territorial del primer trimestre.</t>
  </si>
  <si>
    <t>Se presenta acta N°2 de Informe de rendicion de cuentas del SG-SST de la territorial del Segundo trimestre, cumplirndo con la actividad.</t>
  </si>
  <si>
    <t>Se presenta acta N°3 de Informe de rendicion de cuentas del SG-SST de la territorial del tercer trimestre.</t>
  </si>
  <si>
    <t>Se evidencia la realizacion de la actividad con Acta  N°1  " RENDICION DE CUENTAS I TRIMESTRE DE 2021 TERRITORIAL METAcon corte a  31_03 /2021</t>
  </si>
  <si>
    <t>Se evidencia cumplimiento de actividad con el informe N° 2 que soportan las responsabilidades y rendición cuentas en el SG - SST, establecida mediante acta del 06-01-2021.</t>
  </si>
  <si>
    <t>Se evidencia con acta SG-SST</t>
  </si>
  <si>
    <t>Se evidencia informe que soportan las responsabilidades y rendición cuentas en el SG - SST, establecida mediante acta del 06-01-2021.</t>
  </si>
  <si>
    <t>Se evidencia informe que soportan las responsabilidades y rendición cuentas en el SG – SST.</t>
  </si>
  <si>
    <t>Se evidencia Informe de rendicion de cuentas del SG-SST de la territorial del tercer trimestre</t>
  </si>
  <si>
    <t>Se reporte el ingreso por ventas de bienes y servicios del mes de enereo y febrero, el mes de marzo no alcanza a reportarse en razon que el informe por parte del area de gestion financiera son enviados hasta los dias 15 del siguiente mes.</t>
  </si>
  <si>
    <t>Se reporta el ingreso por ventas de bienes y servicios del mes de abril,  mayo y  julio con certificados de ingresos.</t>
  </si>
  <si>
    <t>Se reporta el ingreso por ventas de bienes y servicios del mes de julio y agosto  con certificados de ingreso, .el mes de septiembre queda pendiente en razon que los informes son enviados por el area central despues del dia 15 de cada mes.</t>
  </si>
  <si>
    <t>Se realiza actividad se evidente con archivos facilitados por Financiera</t>
  </si>
  <si>
    <t>Con certificados de ingresos se reporta ventas de bienes y servicios del mes de abril,  mayo y  junio, cumpliendo la meta.</t>
  </si>
  <si>
    <t>Se valida información</t>
  </si>
  <si>
    <t>Se evidencia comprobante de ingresos de los meses de abril, mayo y junio, la cifra reportada difiere de la de los comprobantes. Nota: corregir la cifra.</t>
  </si>
  <si>
    <t>Se evidencia reporte de  ingreso por ventas de bienes y servicios del mes de julio y agosto  con certificados de ingresos</t>
  </si>
  <si>
    <t>En el repoter enviado por el area de finciera recursos obtenidos por recuperación de cartera.</t>
  </si>
  <si>
    <t>El area finaciera  de la territorial, manifiesta no tener cobros por cartera en razon que no tiene convenios con ningun municipio. ( Dentro las metas de la territorial no se encentra valor de referencia para recuperar).</t>
  </si>
  <si>
    <t>No se reporta recuperacion de cartera ya que en evidencia no se tiene monto a recuperar</t>
  </si>
  <si>
    <t>Al no tener  cartera por recuperar, no aplica indicador</t>
  </si>
  <si>
    <t>Se evidencia reporte de financiera donde no se observa cartera.</t>
  </si>
  <si>
    <t>No se tiene cartera.</t>
  </si>
  <si>
    <t>Conforme con lo manifetado por la territorial  no se  tiene cobros por cartera en razon que no tiene convenios con ningun municipio</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</si>
  <si>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</si>
  <si>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t>
  </si>
  <si>
    <t>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t>
  </si>
  <si>
    <t>se revisa evidecia, cumple con producto esperado</t>
  </si>
  <si>
    <t>La Dt realizó 3198 tramites de oficina y reporta su ejecución</t>
  </si>
  <si>
    <t>Se presenta archivo donde se evidencian los trámites de oficina correspondientes a los meses de enero, febrero y marzo, para un total de 4.962 trámites.</t>
  </si>
  <si>
    <t>Se presenta archivo donde se evidencian los trámites de oficina correspondientes a los meses de abril, mayo y junio, para un total de 5.872 trámites.</t>
  </si>
  <si>
    <t xml:space="preserve">Se presenta archivo donde se evidencian los trámites de oficina correspondientes a los meses de julio, agosto y septiembre, para un total de 3.198 mutaciones </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</si>
  <si>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</si>
  <si>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t>
  </si>
  <si>
    <t>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t>
  </si>
  <si>
    <t>En el tercer trimeste la DT realizó 1195 tramites de terreno</t>
  </si>
  <si>
    <t xml:space="preserve">Se evidencia archivo donde se describe que para este primer trimestre la Dirección Territorial lleva un avance de 1.156 trámites de terreno.  </t>
  </si>
  <si>
    <t xml:space="preserve">Se evidencia archivo donde se describe que para este segundo trimestre la Dirección Territorial lleva un avance de 2.253 trámites de terreno.  </t>
  </si>
  <si>
    <t xml:space="preserve">Se evidencia archivo donde se describe que para este segundo trimestre la Dirección Territorial lleva un avance de 1195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</si>
  <si>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</si>
  <si>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t>
  </si>
  <si>
    <t>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t>
  </si>
  <si>
    <t>La DT de acuerdo a evidencias realizó 20 avalúos comerciales</t>
  </si>
  <si>
    <t>Se presentan documentos de contratación a personas encargadas de realizar los avalúos comerciales a nivel nacional de los bienes urbanos y rurales. Sin embargo no se programó meta para este periodo.</t>
  </si>
  <si>
    <t>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t>
  </si>
  <si>
    <t>Se observan que, para el tercer trimestre del año 2021, la D.T realizó veinte (20) avalúos comerciales, con su respectiva aprobacion del comite.</t>
  </si>
  <si>
    <t>La oficina jurìdica dio respuesta a 34 las solicitudes asignadas mediante oficio recibido en SIGAC de los peticionarios y juzgados referente a regularizacion de la propiedad Ley 1561 y Ley 1564 de 2012</t>
  </si>
  <si>
    <t>La oficina jurídica ha dado respuesta en el segundo trimestre del año 2021 a 69 solicitudes de peticionarios y juzgados referentes a regularización de la propiedad Ley 1561 y Ley 1564 de 2012, para un acumulado en el semestre de 103 peticiones respondidas.</t>
  </si>
  <si>
    <t>La oficina jurídica ha dado respuesta en el tercer trimestre del año 2021 a 58 solicitudes de peticionarios y juzgados referentes a regularización de la propiedad Ley 1561 y Ley 1564 de 2012, para un acumulado en el año de 161 peticiones respondidas.</t>
  </si>
  <si>
    <t>Realizaron atención a 58 solicitudes en materia de regularizacion de la propiedad</t>
  </si>
  <si>
    <t>Se evidencian dos documentos sobre solicitudes uno de pertenencia y el otro donde se informa el aplazamiento de la visita ocular por parte de funcionarios del IGAC, por problemas personales.</t>
  </si>
  <si>
    <t>Se evidencian diferentes memorandos de fechas 29/04/2021, 20/05/2021 22/06/2021 y 28/06/2021, dando respuesta a solicitudes de peticionarios y juzgados referentes a regularización de la propiedad Ley 1561 y Ley 1564 de 2012, se da cumplimiento al producto esperado.</t>
  </si>
  <si>
    <t>Se evidencian diferentes memorandos, dando respuesta a solicitudes de peticionarios y juzgados referentes a regularización de la propiedad Ley 1561 y Ley 1564 de 2012, se da cumplimiento al producto esperado.</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</si>
  <si>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</si>
  <si>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t>
  </si>
  <si>
    <t>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t>
  </si>
  <si>
    <t>La DT realiza el reporte de las solicitudes atendidas en la Politica de Restitución de Tierras</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</si>
  <si>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</si>
  <si>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 xml:space="preserve">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t>
  </si>
  <si>
    <t xml:space="preserve">Se evidencia herramienta de monitoreo de las solicitudes recibidas para el cumplimiento de la Política de Restitución de Tierras y Ley de Víctimas, en los términos de ley   </t>
  </si>
  <si>
    <t>De acuerdo a informe del GIT de Servicio al ciudadano y reporte del aplicativo SIGAC se han recepcionado PQRSD 575 Peticiones</t>
  </si>
  <si>
    <t>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t>
  </si>
  <si>
    <t xml:space="preserve">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
</t>
  </si>
  <si>
    <t>Registran el avance de acuerdo al reporte del SIGAC con el fin de hacer seguimiento y atender las solicitudes</t>
  </si>
  <si>
    <t xml:space="preserve">Se presenta informe consolidado de PQRSD, donde se evidencia que, para el primer trimestre de 2021, de han recibido 575 solicitudes, de las cuales se encuentran finalizadas 144, por lo cual están pendientes por resolver 431 solicitudes. </t>
  </si>
  <si>
    <t xml:space="preserve">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t>
  </si>
  <si>
    <t xml:space="preserve">Se presenta informe consolidado de PQRSD, donde se evidencia que, para el tercer trimestre de 2021, de han recibido un total de 3.278. De las cuales corresponde a PQRSD 486 radicados, se atendieron 198, del reporte generado en SIGAC las PQRSD pendientes son 292, es decir que se atendió 40% durante el trimestre, se recomienda implementar plan de choque para dar respuesta a las PQRSD pendientes </t>
  </si>
  <si>
    <t>Se efectuan y envian evidencias al Grupo Interno de Trabajo de Talento Humano en lo referente a las actas de Comite de COPASST, así como Comité de convivencia, reuniones efectuadas via virtual a traves de teams.</t>
  </si>
  <si>
    <t>En los meses de abril, mayo y junio se remiten las actas No. 4, 5 y 6 de COPASST a la oficina de Talento Humano, de desarrollo el segundo comité de convivencia y se envió el acta No. 2 respectiva.</t>
  </si>
  <si>
    <t>En los meses de julio, agosto y septiembre se remiten las actas No. 7, 8 y9 de COPASST a la oficina de Talento Humano, de desarrollo el tercer comité de convivencia y se envió el acta No. 3 respectiva.</t>
  </si>
  <si>
    <t>La DT remitio a Talento humano las actas de COPASST y comité de convivencia</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</si>
  <si>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</si>
  <si>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t>
  </si>
  <si>
    <t>Se presentan los documentos donde se encuentran las actas realizadas sobre Comité paritario de Seguridad y Salud en el Trabajo – Copasst correspondientes a los meses de julio, agosto y septiembre del presente año.  Así mismo, se presenta el acta No. 3 sobre el Comité de Convivencia Laboral.  Por lo anterior se valida el avance de esta actividad por parte de la OCI.</t>
  </si>
  <si>
    <t>Se realiza reporte de asuentismo, el cual esta reportado en el Drive dispuesto por la oficina de Talento Humano, se informa ademas la celebración de cumpleaños, dia de la mujer, dia del hombre</t>
  </si>
  <si>
    <t>Se realiza reporte de ausentismo mensual en el drive dispuesto por la Oficina de Talento Humano, se realiza celebración de cumpleaños. Evento despedida de funcionarios.</t>
  </si>
  <si>
    <t>Se realiza reporte de ausentismo mensual en el drive dispuesto por la Oficina de Talento Humano, se realiza celebración de cumpleaños.</t>
  </si>
  <si>
    <t>Realizan reporte de ausentismo y celebraciones de cumpleaños</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</si>
  <si>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</si>
  <si>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t>
  </si>
  <si>
    <t xml:space="preserve">Se observan los siguientes documentos referente a reporte de ausentismo mensual y celebracion de cumpleaños de contratistas y funcionarios </t>
  </si>
  <si>
    <t xml:space="preserve">En el primer trimestre de 2021 se obtuvo ventas acumuladas por valor de $ 111.614.482, debidamente soportado por informes y reportes de cada uno de los meses (enero, febrero, marzo)_x000D_
</t>
  </si>
  <si>
    <t>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t>
  </si>
  <si>
    <t>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t>
  </si>
  <si>
    <t>La DT reporta ventas por valor de $113.013.147 en el trimestre</t>
  </si>
  <si>
    <t>Se valida esta actividad con los documentos suministrados como soporte donde se evidencian las ventas totalizadas por productos y la relación de ingresos de contado de ventas correspondiente al primer trimestre del año 2021.</t>
  </si>
  <si>
    <t>Se valida esta actividad con los documentos suministrados como soporte donde se evidencian las ventas totalizadas por productos y la relación de ingresos de contado de ventas correspondiente al segundo trimestre del año 2021.</t>
  </si>
  <si>
    <t>Se valida esta actividad con los documentos suministrados como soporte donde se evidencian las ventas totalizadas por productos y la relación de ingresos de contado de ventas correspondiente al tercer  trimestre del año 2021.</t>
  </si>
  <si>
    <t>Se realiza seguimiento a cartera obteniendo recaudo por valor de $15.625.194 del Municipio de Mocoa</t>
  </si>
  <si>
    <t>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t>
  </si>
  <si>
    <t>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t>
  </si>
  <si>
    <t>La DT registra la recuperación de cartera por valor de $3.149.930</t>
  </si>
  <si>
    <t>Para este trimestre se soporta el documento comprobante de egresos.</t>
  </si>
  <si>
    <t xml:space="preserve">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t>
  </si>
  <si>
    <t xml:space="preserve">Para este trimestre se 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</si>
  <si>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</si>
  <si>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</si>
  <si>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t>
  </si>
  <si>
    <t>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t>
  </si>
  <si>
    <t>Se observa que la DT avanzó en los Tramites de conservación Catastral realizados (mutaciones de Oficina) durante el primer trimestre de 2021</t>
  </si>
  <si>
    <t>Durante el II Trimestre se pudo verificar con las evidencias que realizaron 3077 mutaciones, superando ya el 50% de la meta del año</t>
  </si>
  <si>
    <t>De acuerdo con las evidencias, se observa que durante el tercer trimestre se ejecutaron 3262 trámites de oficina</t>
  </si>
  <si>
    <t>Se evidencia soporte donde se han realizado 1.801 trámites de oficina para este primer trimestre.</t>
  </si>
  <si>
    <t>Se evidencia soporte donde se han realizado 3.077 trámites de oficina para el segundo trimestre del año 2021.</t>
  </si>
  <si>
    <t>De acuerdo con las evidencias suministradas, "Tramites de Conservacion catastral proyectados y realizados DT Norte de Santander vigencia 2021" se observa que durante el tercer trimestre se realizaron 3262 tramites de oficina</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</si>
  <si>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</si>
  <si>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t>
  </si>
  <si>
    <t>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t>
  </si>
  <si>
    <t>Se pudo verificar que la DT ha venido realizando mutaciones de oficina y que las realizadas en el II trimestre son 1506</t>
  </si>
  <si>
    <t>De acuerdo con las evidencias, se observa que durante el tercer Trimestre se ejecutaron 1.436 trámites de terreno</t>
  </si>
  <si>
    <t>En el documento soporte se valida un avance en los trámites de terreno en 899 para los meses de enero a marzo de 2021.</t>
  </si>
  <si>
    <t>En el documento soporte se valida un avance en los trámites de terreno en 1.506 para los meses de abril, mayo y junio de 2021.</t>
  </si>
  <si>
    <t>De acuerdo con las evidencias suministradas, "Tramites de Conservacion catastral proyectados y realizados DT Norte de Santander vigencia 2021" se observa que durante el tercer trimestre se realizaron 1036 trámites de terreno</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</si>
  <si>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</si>
  <si>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t>
  </si>
  <si>
    <t>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t>
  </si>
  <si>
    <t xml:space="preserve">Se observa que la DT no recibió solicitudes de elaboración de avalúos comerciales pero atendió solicitudes por restitución de Tierras </t>
  </si>
  <si>
    <t>Aunque no hay meta asignada en el periodo, hay un total de 30 al año, en este trimestre atendieron 2 avalúos de la unidad de restitucion de tierras</t>
  </si>
  <si>
    <t xml:space="preserve">De acuerdo con las evidencias, se observa que durante el tercer trimestre se realizaron 3 avalúos </t>
  </si>
  <si>
    <t>Se evidencia documento soporte donde se da respuesta a dos solicitudes recibidas en los meses de febrero y marzo.  Sin embargo se observa que no se programó meta para este trimestre.</t>
  </si>
  <si>
    <t>No se tiene meta programada para el segundo trimestre del año 2021, sin embargo, se realizaron dos (2) avalúos para el juzgado Primero Especializado en Tierras de Cúcuta (cuadro de control soporte).</t>
  </si>
  <si>
    <t>De acuerdo con las evidencias suministradas, correos electrónicos del 15 de agosto, 22 de agosto y 15 de septiembre en donde se remiten los avalúos realizados a los predios se observa que se la Dirección Territorial Norte de Santander  atiende las solicitudes realizadas por los juzgados.</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</si>
  <si>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</si>
  <si>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t>
  </si>
  <si>
    <t>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t>
  </si>
  <si>
    <t>Se observa que durante el primer trimestre la DT atendió solicitudes concernientes a Regularización de la Propiedad</t>
  </si>
  <si>
    <t>De acuerdo a la relacion aportada se puede verificar que han atendido solicitudes de información de restitucion de tierras en el segundo trimestre, aunque informan que no se recibieron requerimientos enmarcados dentro de la ley 1561 y 1564 de 2012</t>
  </si>
  <si>
    <t xml:space="preserve">De acuerdo con la evidencia, se observa que durante el tercer trimestre recibieron dos solicitudes concernientes a Regularización de la Propiedad </t>
  </si>
  <si>
    <t>Se evidencia documento soporte donde se da respuesta a dos solicitudes recibidas en los meses de febrero y marzo.</t>
  </si>
  <si>
    <t>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t>
  </si>
  <si>
    <t>De acuerdo con las evidencias suministradas, "Solicitudes de restitución de tierras DT NDS 2021" se observa que durante el trimestre se atendieron 26 solicitudes de los procesos de restitución distribuidas de la siguiente manera: 10 en julio, 6 en agosto, 10 en septiembre.</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</si>
  <si>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</si>
  <si>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t>
  </si>
  <si>
    <t>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t>
  </si>
  <si>
    <t>En evidencias se encuentra el listado de las solicitudes atendidas de restitución de tierras</t>
  </si>
  <si>
    <t>De acuerdo con las evidencias, se observa que durante el tercer trimestre recibieron26 referentes a Política de Restitución y Ley de Víctimas</t>
  </si>
  <si>
    <t xml:space="preserve">Se evidencia que para el primer trimestre del año 2021 se recibieron 26 solicitudes las cuales fueron respondidas dentro de los tiempos establecidos. </t>
  </si>
  <si>
    <t xml:space="preserve">Se evidencia el informe sobre las Solicitudes de Restitución de Tierras, donde se observa que se ha dado respuesta en los tiempos establecidos por la ley.  </t>
  </si>
  <si>
    <t>De acuerdo con las evidencias suministradas, "Solicitudes de restitución de tierras DT NDS 2021" se observa que durante el trimestre se atendieron 2 solicitudes del  proceso UAEGRTD distribuidas de la siguiente manera: 1 en julio, 1 en Septiembre.</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</si>
  <si>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</si>
  <si>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t>
  </si>
  <si>
    <t>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t>
  </si>
  <si>
    <t>dentro de su capacidad atendió las PQRD oportunamente y realizó el seguimiento</t>
  </si>
  <si>
    <t xml:space="preserve">De acuerdo con las evidencias y con el autoseguimiento, se observa que se avanzó en 99,75%  la atención de las PQR </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</si>
  <si>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</si>
  <si>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 xml:space="preserve">Se evidencia el informe sobre el segundo trimestre del año, donde se describe que se recibieron 371 solicitudes y 6 se encuentran pendientes por dar respuesta. </t>
  </si>
  <si>
    <t>De acuerdo con las evidencias suministradas, "Informe de Peticiones;Quejas, Reclamos, Denuncias, Sugerencias y Peticiones Ventanilla Virtual -PQRDS-de la Dirección Territorial Norte de Santander. III Trimestre de 2021" se observa que durante el tercer trimestre se recibieron 411 solicitudes, de las cuales se encuentra pendiente solo 1.</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</si>
  <si>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</si>
  <si>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t>
  </si>
  <si>
    <t>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t>
  </si>
  <si>
    <t>La DT cumplió con la entrega de las actas de los comites al GIT de talento humano</t>
  </si>
  <si>
    <t>De acuerdo con las evidencias, se observa que durante el tercer trimestre se realizaron las Actas de Copasst mensuales y el Acta de Convivencia Laboral trimestral</t>
  </si>
  <si>
    <t>Para el apoyo a esta actividad se presentan las actas de comités COPASST, de Convivencia Laboral y reuniones de la Comisión de Personal realizadas en el transcurso del primer trimestre del año 2021.</t>
  </si>
  <si>
    <t>Para el apoyo a esta actividad se presentan las actas de comités COPASST, de Convivencia Laboral y reuniones de la Comisión de Personal realizadas en el transcurso del segundo trimestre del año 2021.</t>
  </si>
  <si>
    <t>De acuerdo con las evidencias suministradas, Actas de reunión del Comité de convicencia laboral, COPASST y comisión de personal y sus respectivos correos electrónicos remisorios se observa el desarrollo de la actividad.</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</si>
  <si>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</si>
  <si>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t>
  </si>
  <si>
    <t>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t>
  </si>
  <si>
    <t>Se observa que se atendieron las responsabilidades y rendición de cuentas en el SG - SST por parte de la DT durante el primer trimestre.</t>
  </si>
  <si>
    <t>Atendieron en el II trimestre las responsabilidades y rendicion de cuentas en el SG-SST en la DT</t>
  </si>
  <si>
    <t>De acuerdo con las evidencias, se observa que durante el tercer trimestre se realizaron las Actas de Copasst mensuales y el Acta de Convivencia Laboral trimestral y se atendieron las actividades del SGSST</t>
  </si>
  <si>
    <t>Se soportan formatos de Inspección de Infraestructura General, así como las actas de comité de Copasst para los meses de enero, febrero y marzo de 2021.</t>
  </si>
  <si>
    <t>Se soportan formatos de Inspección de Infraestructura General, así como las actas de comité de Copasst para los meses de abril, mayo y junio de 2021.</t>
  </si>
  <si>
    <t>De acuerdo con las evidencias suministradas, actass de reunión, inspección de seguridad DT NTDS, informe de gestión trimestral se observa que la dirección territorial de Norte de Santander ha estado presta a atender las actividades del SG-SST.</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</si>
  <si>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</si>
  <si>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</si>
  <si>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</si>
  <si>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Se observa que durante el primer trimestre la DT recaudó ingresos por venta de bienes y servicios</t>
  </si>
  <si>
    <t>La oficina de Difusion y mercadeo asigna las metas de ingresos por bienes y servicios, la DT realizo ventas por 29496563 según reporte financiero</t>
  </si>
  <si>
    <t>Se presenta reporte con los ingresos recibidos por la D.T durante el primer trimestre del año 2021.</t>
  </si>
  <si>
    <t>Se presenta reporte con los ingresos recibidos por la D.T durante el segundo trimestre del año 2021.  De igual manera se observa que para este periodo la D.T realizó ventas por $29’496.563 pesos m/cte.</t>
  </si>
  <si>
    <t>De acuerdo con las evidencias suministradas, " Relación de ingresos contado ventas" se presenta que para el mes de julio se vendieron $12.183.517, en agosto $13.167.548 y en septiembre $15.752.317 para un total de $41.103.382</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</si>
  <si>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</si>
  <si>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En este trimestre se ejecutaron 2371 tramites de oficinA, incluidas vigencias anteriores.</t>
  </si>
  <si>
    <t>EN ESTE TRIMESTRE SE EJECUTARON 1560 TRAMITES EN TOTAL, 1393 TRAMITES DE OFICINA, DE VIGENCIAS ANTERIORES Y LA ACTUAL,  CUMPLIENDO ASI UN PORCENTAJE DE EJECUCION DE LA META DE  66%. SE HAN ATENDIDO UN TOTAL DE 46 TRAMITES DE VIGENCIAS ANTERIORES  Y 1514 DE VIGENCIA 2021.</t>
  </si>
  <si>
    <t xml:space="preserve">La actividad cuenta con evidencias </t>
  </si>
  <si>
    <t>De acuerdo con las evidencias, se observa que durante el tercer trimestre se reconocieron 1393 trámites de oficina</t>
  </si>
  <si>
    <t>Se observa el archivo detallado de Catastro donde se informa que la D.T a ejecutado 1.138 trámites de oficina, para un avance del 17% para este primer trimestre del año 2021.</t>
  </si>
  <si>
    <t>Se observa el archivo detallado de Catastro donde se informa que la D.T a ejecutado 1.900, trámites de oficina, correspondiente segundo trimestre del año 2021.</t>
  </si>
  <si>
    <t>De acuerdo con los soportes suministrados, "cronograma 2021 Julio Septiembre" se relizarón 1393 trámistes de oficina distribuidos de la siguiente manera: 501 en Julio, 183 en Agosto, 709 en septiembre</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</si>
  <si>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</si>
  <si>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Durante este periodo se realizaron 2321 tramites asi: 1900 de oficina y 421 vigencias anteriores y actual, se incorporaron 1378 nuevos predios en la base catastral, 14 resoluciones individuales con fines registrales que no registran en la plataforma.</t>
  </si>
  <si>
    <t>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t>
  </si>
  <si>
    <t>La actividad cuenta con la evidecncia</t>
  </si>
  <si>
    <t>De acuerdo con las evidencias, se observa que durante el tercer trimestre se ejecutaron 167 trámites de terreno y 6 con fines registrales</t>
  </si>
  <si>
    <t>En el reporte detallado de Catastro se observa que la Dirección Territorial ha ejecutado 621 trámites correspondientes a campo, para un avance del 12% para el primer trimestre del año 2021.</t>
  </si>
  <si>
    <t>En el reporte detallado de Catastro se observa que la Dirección Territorial ha ejecutado 421 trámites correspondientes a terreno, para segundo trimestre del año 2021.</t>
  </si>
  <si>
    <t>De acuerdo con los soportes suministrados,"cronograma 2021 julio septiembre" se observa que se realizarón 167 trámites en terreno distribuidos de la siguiente manera: 45 en Julio, 49 en Agosto y 73 en Septiembre.</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</si>
  <si>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</si>
  <si>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t>
  </si>
  <si>
    <t>Se aprobaron tres avaluos  del municipio de Cordoba el GIT de avalùos. Se continuo con el apoyo para elaborar el contrato de avaluos con el municipio de Calarca y cotizacion de avaluo en el municipio de Circasia.</t>
  </si>
  <si>
    <t xml:space="preserve">Se tienen evidencias de la gestion, pero no se han materizalizado los avaluos </t>
  </si>
  <si>
    <t>Se evidencia la realizacion de 1 avaluo que se envio para revision a sede central</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</si>
  <si>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</si>
  <si>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Se soporta la evidencia con el cumplimiento de esta actividad.</t>
  </si>
  <si>
    <t>De acuerdo con las evidencias suministradas, "PAA avaluos quindio 01 10 2021" Se observa que durante el trimestre se realizarón 3 avalúos comerciales, dos de ellos en el mes de agosto y uno en el mes de septiembre.</t>
  </si>
  <si>
    <t>EN LA DIRECCION TERITORIAL NO CONTAMOS CON PROGRAMA DE TITULACION, NI CONVENIOS POR EJECUTAR REFERENTES A LA FORMALIZACION DE TIERRAS, DE IGUAL MANERA SE ATIENDEN LAS SOLICITUDES DE LOS JUZGADOS DE CERTIFICADOS DE LEY 1561 DE 2012.</t>
  </si>
  <si>
    <t xml:space="preserve">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t>
  </si>
  <si>
    <t>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t>
  </si>
  <si>
    <t xml:space="preserve">Se tiene la evidenacia de lo realizado en esta actividad </t>
  </si>
  <si>
    <t>De acuerdo con el avance cualitativo para este trimestre no se cuenta con programas de titulación pero se atienden las solicitudes de juzgados dentro de los términos legales</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</si>
  <si>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</si>
  <si>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Para esta actividad se soporta documento el cual da cumplimiento a la actividad donde se evidencia que se atendieron solicitudes de los juzgados y verificados de medidas y linderos para el segundo trimestre del año.</t>
  </si>
  <si>
    <t>De acuerdo con los soportes suministrados, "Ley 1561 tercer trimestre" se observa que la Dirección Territorial Quindio atendió las solicitudes recibidas en el marco de las ley 1561 y 1564 de 2012.</t>
  </si>
  <si>
    <t>SE HAN ATENDIDO TODOS LOS REQUERIMIENTOS SOLICITADOS EN LA PARTE ADMINISTRATIVA Y JUDICIAL REFERENTES AL TEMA DE RESTITUCION DE TIERRAS, UNA AVALUOS CATASTRALES</t>
  </si>
  <si>
    <t>DURANTE ESTE RIMESTRE NO SE TIENE SOLICITUDES EN EL TEMA DE RESTITUCION DE TIERRAS, SE REALIZO EL COMIE Y EL ACTA RESPECTIVO, ADEMAS SE ENVIA MES A MES LA HERRAMIENTA DE LA INFORMACION SOLICITADA POR LA SEDE CENTRAL FRENTE AL TEMA.</t>
  </si>
  <si>
    <t>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t>
  </si>
  <si>
    <t>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t>
  </si>
  <si>
    <t>Se evidencia una (1) sentencia allegada a la D.T la cual se encuentra pendiente de responder.</t>
  </si>
  <si>
    <t>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t>
  </si>
  <si>
    <t>De acuerdo con las evidencias suministradas, "Restitución de Tierras III trimestre" se observa que se atendieron 3 avalúos solicitados por la Agencia Nacional de Tierras.</t>
  </si>
  <si>
    <t>Todas las solicitudes recibidas son atendidas dentro de los terminos establecidos legalmente, la nueva plataforma SIGAC no genera ningun tipo de reporte al respecto, estamos a la espera de que el proveedor del aplicativo de solucion.</t>
  </si>
  <si>
    <t xml:space="preserve">Todas las solicitudes recibidas son atendidas dentro de los terminos establecidos legalmente, la nueva plataforma SIGAC no genera ningun tipo de reporte al respecto, estamos a la espera de que el proveedor del aplicativo de solucion. </t>
  </si>
  <si>
    <t>LA PLATAFORMA DE CORRESPONDENCIA SIGAC , AUN NO GENERA REPORTES CONFIABLES, PERO DE MANERA MANUAL SE REALIZA SEGUIMIENTO MES A MES PARA DAR CUMPLIMIENTO A TODOS LOS REQUERIMIENTOS DENTRO DE LOS TERMINOS ESTABLECIDOS LEGALMENTE.</t>
  </si>
  <si>
    <t>La actividad cuenta con evidencias de su realización</t>
  </si>
  <si>
    <t xml:space="preserve">De acuerdo con las evidencias y con el autoseguimiento, se observa que se avanzó en la atención de las PQR </t>
  </si>
  <si>
    <t>Se observa que para el mes de enero no se recibieron PQRDS en la D.T, para el mes de febrero y marzo se atendieron 72 solicitudes, así como 524 llamadas telefónicas.</t>
  </si>
  <si>
    <t>Se observa que, para el segundo trimestre del año 2021, se revivieron 30.161 solicitudes en atención presencial, atendidas dentro de los tiempos establecidos por la ley.  Se recomienda generar el reporte en la plataforma de SIGAC.</t>
  </si>
  <si>
    <t>De acuerdo con las evidencias suministradas, correo eectrónico de fecha 09 de agosto se mencionan que solo existen 14 solicitudes que se encuentran pendientes por responder, se sugiere revisar las cifras que arroja el aplicativo CORDIS.</t>
  </si>
  <si>
    <t>Se han realizado los comites oportunamente y se ha realizado el envio a sede central de las actas respectivas, 3 de Copasst y 1 de Convivencia Laboral.</t>
  </si>
  <si>
    <t>Se han realizado los comites correspondientes al trimestre y se han enviado a sede central</t>
  </si>
  <si>
    <t>EN ESTE TRIMESTRE SE CARGARON LAS ACTAS DE COPASST Y CONVIVENCIA LABORAL EN EL DRIVE, DE ACUERDO A LAS NUEVAS DIRECTRICES DE LA SEDE CENTRAL.</t>
  </si>
  <si>
    <t>De acuerdo con las evidencias, se observa que durante el tercer trimestre se realizaron las Actas de Copasst mensuales y el Acta de Convivencia Laboral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</si>
  <si>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</si>
  <si>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evidencia pantallazos sobre las actas de Comités de Convivencia y Copasst correspondiente al segundo trimestre del año.  No se observa el envió de los soportes a sede central ya que los correos suministrados corresponden al primer semestre.</t>
  </si>
  <si>
    <t>De acuerdo con las evidencias suministradas, "Informe Tercer trimestre COPASST, Informe Tercer trimestre CCL" se onserva que se han venido llevando a cabos estos comites en la Dirección Territorial Quindio.</t>
  </si>
  <si>
    <t>SE DA CUMPLIMIENTO A TODAS LAS ACTIVIDADES LAS CUALES QUEDAN REPORTADAS UNA EN EL INF. DE CAPACITACIONES., OTRAS EL EN DE BIENESTAR Y LAS OTRAS EN LAS REUNIONES MENSUALES DEL COPASST</t>
  </si>
  <si>
    <t>Se da cumplimiento a todas las responsabilidades establecidas, Copasst, capacitaciones y bienestar .</t>
  </si>
  <si>
    <t>SE DIO CUMPLIMIENTO DURANTE EL TRIMESTRE CON TODAS LAS ACTIVIDADES Y SE DILIGENCIO EL FORMATO INFORME DE GESTION TRIMESTRAL CON CADA UNA DE LAS EVIDENCIAS.</t>
  </si>
  <si>
    <t>De acuerdo con las evidencias, se observa que durante el tercer trmiestre se realizó el informe de gestión relacionando las actividades del SGSST</t>
  </si>
  <si>
    <t>Se presenta reporte Copasst con las actividades correspondientes al primer trimestre del año 2021.</t>
  </si>
  <si>
    <t xml:space="preserve">Se presentan correos electrónicos con asunto de informe de las capacitaciones correspondiente al segundo trimestre del año. </t>
  </si>
  <si>
    <t>DE acuerdo con las evidencias suministradas, "Plantilla Informe Gestión Trimestral" Se onbserva que se han venido realizando diferentes actividades de Talento Humano, como reporte de ausentismo laboral, Entrega de elementos de protección personal, brigada de emergencias, entre otros.</t>
  </si>
  <si>
    <t>Durante el trimestre se evidencia que el producto mas representativo en ventas son los certificados catastrales</t>
  </si>
  <si>
    <t>Se presento una reduccion con respecto al trimestre anterior, sin embargo se logro un cumplimiento del 63.06% de la meta del trimestre.</t>
  </si>
  <si>
    <t>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t>
  </si>
  <si>
    <t>De acuerdo con las relaciones de ventas de contado, se observa que durante el tercer trimestre se hicieron ventas por bienes y servicios</t>
  </si>
  <si>
    <t>Se observa archivo sobre la relación de ingresos correspondiente al primer trimestre del año 2021, por un valor de $ 27’612.414 pesos m/cte.</t>
  </si>
  <si>
    <t>Se observa que la meta para el segundo semestre es de $40’483.922 de pesos m/cte, y se ejecutó 25’528.026, es decir que NO se cumplió con la meta programada. Es necesario dar cumplimiento para el siguiente trimestre.</t>
  </si>
  <si>
    <t>De acuerdo con las evidencias suministras, "relación de ingresos de contado venta" de los meses de juio, agosto y septiembre se observa que durante el trimestre ppor este concepto se percibieron $22.696.161</t>
  </si>
  <si>
    <t>A la fecha la cartera que se refleja ya es incobrable, por fallo judicial, estamos en espera para dar de baja contablemente.</t>
  </si>
  <si>
    <t>En la Territorial no se tiene cartera por convenios o contratos, la cartera que se presenta es por avaluos, la cual es inconbrable y ya fue autorizado su saneamiento por el comite contable,estamos en espera de las indicaciones de este proceso.</t>
  </si>
  <si>
    <t>En la Territorial no se tiene cartera por convenios o contratos, la cartera que se presentaba era por avaluos, era cartera inconbrable y fue autorizado su saneamiento por el comite contable y la derecion general por medio de la Resolucion No.1435/2021</t>
  </si>
  <si>
    <t>Aducen no tener cartera pendiente, adjunta evidencia</t>
  </si>
  <si>
    <t xml:space="preserve">Se da concepto favorable por que la Territorial no cuenta con cartera pendiente a la fecha </t>
  </si>
  <si>
    <t>De acuerdo con el avance cualitativo, se observa que la cartera que tenía la DT era inconbrable y fue autorizado su saneamiento por el comite contable y la dirección general por medio de la Resolución No.1435/2021</t>
  </si>
  <si>
    <t>Existe foto de un juzgado, sin embargo no se valida como soporte.</t>
  </si>
  <si>
    <t>Se observa que la D.T no cuenta con cartera por lo tanto se aprueba el avance.</t>
  </si>
  <si>
    <t>De acuerdo con los soportes suministrados, "RESOLUCION 1435 DE 2021" de fecha 17 de septiembre se autoriza la depuración de la cartera por valor de $1.518.845.</t>
  </si>
  <si>
    <t>A fecha 31 de marzo de 2021, se han elaborado 2677 tramites de Oficina, consistentes en tramites de mutacion de primera, rectificaciones y complentaciones.</t>
  </si>
  <si>
    <t>A fecha 30 de junio de 2021, se han elaborado 7.195 tramites de Oficina, consistentes en tramites de mutacion de primera, rectificaciones y complentaciones.</t>
  </si>
  <si>
    <t>A fecha 30 de septiembre se realizaron 3669 tramites de oficina en ambos sistemas SNC, y, COBOL. en los departamentos de Risaralda y Choco.</t>
  </si>
  <si>
    <t>La actividad cuenta con la evidencia</t>
  </si>
  <si>
    <t>Se observa en el archivo consolidado de Catastro que la D.T ejecutó 2.567 trámites de oficina para este primer trimestre del año 2021.</t>
  </si>
  <si>
    <t xml:space="preserve">Se observa la ejecución de la actividad mediante excel Estadísticas Seguimiento de Trámites Risaralda-Chocó 2021, el Seguimiento a Trámites SNC segundo trimestre 2021 y cuadro sobre Trámites de Oficina y Terreno vigencias anteriores y actual. </t>
  </si>
  <si>
    <t>De acuerdo a los soportes, reportes mensuales, se evidencia el avance reportado.</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</si>
  <si>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</si>
  <si>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 xml:space="preserve">A fecha 30 de junio de 2021 se han realizado 845 tramites de terreno y se le dio prioridad a los tramites de terreno de vigencias anteriores, se debe tener en cuenta las restricciones de personal para realizar visitas de campo por la emergencia samitaria. </t>
  </si>
  <si>
    <t>A 30 de septiembre se realizaron 301  tramites catastrales de terreno en ambos sistemas Sistema Nacional Catastral y COBOL, dando prioridad a tramites de vigencias anteriores.</t>
  </si>
  <si>
    <t>En archivo consolidado de Catastro se observa que la D.T ejecutó 1.044 trámites de terreno para los meses de enero, febrero y marzo de 2021.</t>
  </si>
  <si>
    <t xml:space="preserve">Se evidencia ejecución de la actividad mediante documento word Trámites de Oficina y Terreno vigencia anterior y actual, Excel de seguimiento a Trámites SNC segundo trilestre 2021 y excel sobre Trámites segundo trimestre 2021 Chocó. </t>
  </si>
  <si>
    <t>Se han elaborado cuatro avaluos comerciales en el primer trimestre que se encuentran para entrega de control de calidad en el GIT de Valoracion Economica.</t>
  </si>
  <si>
    <t>Se han elaborado tres avaluos comerciales en el primer trimestre que se encuentran para entrega de control de calidad en el GIT de Valoracion Economica y se hizo entrega de un avaluo comercial.</t>
  </si>
  <si>
    <t>Se estan elaborando varios avaluos comerciales dentro del contrato interadministrativo 564-2021 con la goberncion de Risaralda.</t>
  </si>
  <si>
    <t>No se cuenta con la evidencia (Avaluos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</si>
  <si>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</si>
  <si>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 xml:space="preserve">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t>
  </si>
  <si>
    <t>De acuerdo a los soportes, informe de avaluos, se evidencia el avance reportado.</t>
  </si>
  <si>
    <t>Se ha dado respuesta a 18 oficios de ley 1561 a los juzgados de competencia en jurisdiccion de la Territorial Risaralda, los demas se remiten se remiten por competencia al AMCO.</t>
  </si>
  <si>
    <t>Se ha dado respuesta a 28 oficios de ley 1561 a los juzgados de competencia en jurisdiccion de la Territorial Risaralda, los demas se remiten se remiten por competencia al AMCO.</t>
  </si>
  <si>
    <t>Durante los meses de julio, agosto y septiembre se respondieron 19 oficios de ley 1561 a los juzgados de competenciaa de la Territorial Risaralda.</t>
  </si>
  <si>
    <t>Se observa avance para el primer trimestre del año 2021, donde se evidencia el recibido de solicitudes las cuales se encuentran en proceso de respuesta a cada entidad solicitante.</t>
  </si>
  <si>
    <t>Se observa ejecución de la actividad con la Relación de Respuestas a Oficios Ley 1561 de 2012 DT Risaralda y con los 27 oficios relacionados con regularización de la propiedad Ley 1561 de 2012.</t>
  </si>
  <si>
    <t>De acuerdo a los soportes, relación de respuestas a oficios ley 1561 de 2012 - DT Risaralda 2021, se evidencia el avance reportado.</t>
  </si>
  <si>
    <t>Se ha dado respuesta a todos los tramites solicitados por los juzgados de Restitucion de Tierras de Risaralda y Choco, ademas lo solicitado por la Unidad de Restitucion de Victimas de estos Departamentos.</t>
  </si>
  <si>
    <t>Se ha dado respuesta a 60 peticiones solicitadas por los Juzgados de Restitucion de Tierras de Risaralda y Choco, ademas lo solicitado por la Unidad de Restitucion de Victimas de estos Departamentos.</t>
  </si>
  <si>
    <t>Durante los meses de julio, agosto y septiembre se dieron respuesta a 15 peticiones solicitadas por los juzgados de Restitucion de Tierras de Risaralda y Choco, ademas los solicitado por la Unidad de Restitucion de Victimas de estos departamentos.</t>
  </si>
  <si>
    <t>Se evidencia documentos sobre solicitudes recibidas para el cumplimiento de la Política de Restitución de Tierras y Ley de Víctimas y en estado de respuesta.</t>
  </si>
  <si>
    <t xml:space="preserve">Se observa ejeucón de la actividad mediante los 60 oficios aportados por la Territorial que guardan relación con la Política de Restitución de Tierras. </t>
  </si>
  <si>
    <t>De acuerdo a los soportes, relación oficios contestados procesos restitución de tierras, se evidencia el avance reportado.</t>
  </si>
  <si>
    <t>Se ha dado respuesta oportuna a las PQRD radicas en el SIGAC, pero se debe tener en cuenta que dicha plataforma presenta problemas para remitir la respuesta al usuario inicial.</t>
  </si>
  <si>
    <t>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t>
  </si>
  <si>
    <t>Durante el tercer semestre se dio respuesta a las PQRD radicadas en el SIGAC.</t>
  </si>
  <si>
    <t>Para esta actividad se soportan los reportes correspondientes a los meses de enero, febrero y marzo sobre las solicitudes allegadas a la D.T, de igual manera se evidencia las respuestas a estas.</t>
  </si>
  <si>
    <t>Se observa ejecución de la actividad con los soportes suministrados por la Territorial.</t>
  </si>
  <si>
    <t>De acuerdo a los soportes, PQRS III trimestre julio agosto septiembre t Rda, se evidencia el avance reportado.</t>
  </si>
  <si>
    <t>Se realizaron las actas correspondientes de copasst de enero, febrero y marzo, al igual que el acta de c convivencia del primer trimestre 2021</t>
  </si>
  <si>
    <t>Se realizaron las actas correspondientes de copasst de abril, mayo y junio, al igual que el acta de c convivencia del segundo trimestre 2021</t>
  </si>
  <si>
    <t>Se realizaron las actas correspondientes de copasst de julio, agosto y septiembre, al igual que el acta de c convivencia del  tercer trimestre 2021</t>
  </si>
  <si>
    <t>Esta actividad se soporta con las actas de Comités Copasst correspondiente a los meses de enero, febrero y marzo.  Así mismo se soporta el acta de comité de Convivencia Laboral realizada el día 05/03/2021.</t>
  </si>
  <si>
    <t>Se soporta ejecución de la actividad con actas de Copasst de abril, mayo y junio 2021 y acta Comité Convivencia del 25/06/2021.</t>
  </si>
  <si>
    <t>De acuerdo a los soportes, acta de convivencia y copass, se evidencia el avance reportado.</t>
  </si>
  <si>
    <t xml:space="preserve"> A pesar de que no se conoce de forma oficial el acta 06-01-2021, la territorial Risaralda ha cumplido con las actividades ahi propuestas.</t>
  </si>
  <si>
    <t xml:space="preserve">No aporta evidencias </t>
  </si>
  <si>
    <t>No cargaron avance ni evidencias</t>
  </si>
  <si>
    <t>no se revisa evidencia no cumple con el producto esperado</t>
  </si>
  <si>
    <t>No se soportan evidencias para validar esta actividad.</t>
  </si>
  <si>
    <t>No se aportaron evidencias ni se reporto avance.</t>
  </si>
  <si>
    <t>No se aporta evidencia</t>
  </si>
  <si>
    <t>En el primer trimestre, se efectuaron ventas por el valor de $32.000.000.</t>
  </si>
  <si>
    <t>En el primer trimestre, se efectuaron ventas por el valor de $ 21.071.546.</t>
  </si>
  <si>
    <t>En el tercer trimestre se efectuaron ventas por valor de $23.036.178.</t>
  </si>
  <si>
    <t>Se evidencian reportes de relación de ingresos de contado ventas correspondientes a los meses de enero, febrero y marzo por valores de (5’987.369, 12’868.558 y 8’896.938 pesos m/cte, respectivamente).</t>
  </si>
  <si>
    <t>Se observa ejecuión de la actividad con las evidencias aportadas de Facturación detallada meses de abril, mayo y junio 2021 y Relación de Ingresos Ventas de Contado del segundo trimestre 2021.</t>
  </si>
  <si>
    <t>De acuerdo a los soportes, relación de ingresos mensuales, se evidencia el avance reportado, aunque no se cumple con lo programado.</t>
  </si>
  <si>
    <t>La territorial Risaralda tiene pendiente el cobro de una cartera por valor de $ 352.000.000 con la Gobernacion de Risaralda, quedando pendiente la liquidacion del contrato por revision del contratante de los productos entregados</t>
  </si>
  <si>
    <t>La Gobernacion de Risaralda realizo el pago del saldo pendiente por el proceso de actualizacion catastral realizado en ocho municipios del departamento dentro del contrato interadministrativo 5150/2019, por valor de $ 332.842.115.</t>
  </si>
  <si>
    <t>No se tiene pendiente ningun cobro.</t>
  </si>
  <si>
    <t>La actividad no cuenta con la evidencia del ingreso por  la gestion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</si>
  <si>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</si>
  <si>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 xml:space="preserve">Se observó recaudo mediante comprobante de pago 88224321 del 26/05/2021 por $332.842.115 de la Gobernación de Risaralda. </t>
  </si>
  <si>
    <t>De acuerdo a los soportes, se evidencia el avance reportado, no se cumple con lo programado</t>
  </si>
  <si>
    <t>Se realizaron los trámites de oficina de conformidad con lo que ha llegado de Registro en el presente año.</t>
  </si>
  <si>
    <t>Se realizaron 5101 mutaciones de tramites de oficina en el segundo trimestre, de acuerdo con lo allegado por la oficina de registro y solicitudes de los usuarios.</t>
  </si>
  <si>
    <t>Se realizaron 1678 tramites de oficina en el tercer trimestre, de acuerdo con lo allegado por la oficina de registro y solicitudes de los usuarios  de vigencias anteriores</t>
  </si>
  <si>
    <t>La territorial evidencia la ejecución de 5101 mutaciones para el segundo trimestre de 2021</t>
  </si>
  <si>
    <t xml:space="preserve">De acuerdo con las evidencias, se observa que durante el tercer trimestre se realizaron 1678 tramites de oficina </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</si>
  <si>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</si>
  <si>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De acuerdo con las evidencias suministradas se observa que la Dirección Territorial Santander para los meses de abril, mayo y junio finalizo 5101 trámites de oficina.</t>
  </si>
  <si>
    <t xml:space="preserve">A pesar de  no tener meta fijada para el periodo se observan avances con archivo Excel: Reporte MAESTRO RADICADOR SEP 30, TRAMITADAS TERCER TRIMESTRE 2021 e “INFORME DE AVANCE - METAS FISICAS 2021” en el que se observan avances % así: julio 3,24, agosto 13,84 ;  septiembre1,53; </t>
  </si>
  <si>
    <t xml:space="preserve">Son trámites de terreno realizados desde oficina.  </t>
  </si>
  <si>
    <t>Se realizaron 414 mutaciones de tramites de terreno en el segundo trimestre, de acuerdo con lo solicitudes presentadas por los usuarios y al presupuesto asignado para comisiones.</t>
  </si>
  <si>
    <t xml:space="preserve">Se realizaron 4790 tramites de terreno en el tercer trimestre, de acuerdo con lo solicitudes presentadas por los usuarios y al presupuesto asignado para comisiones; asi como la depuracion de saldos de vigencias anteriores. </t>
  </si>
  <si>
    <t>Se evidencia la realización de 404  trámites de terreno, se recomienda avanzar en mayores cantidades en la ejecución de la meta, ya que se encuentra en un avance del 3,52%</t>
  </si>
  <si>
    <t xml:space="preserve">De acuerdo con las evidencias, se observa que durante el tercer trimestre se realizaron 4790 tramites de terreno </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</si>
  <si>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</si>
  <si>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De acuerdo con las evidencias suministradas se observa que la Dirección Territorial Santander para los meses de abril, mayo y junio finalizo 414 trámites de terreno.</t>
  </si>
  <si>
    <t xml:space="preserve">A pesar de que para el tercer trimestre no tiene meta fijada, se observan avances asi:Con archivo Excel: TRAMITADAS TERCER TRIMESTRE 2021 e INFORME DE AVANCE - METAS FISICAS 2021.avances en los meses julio 3,24, agosto 13,84;  septiembre1,53; _x000D_
_x000D_
</t>
  </si>
  <si>
    <t>Durante el primer trimestre del 2021 se elaboró el avalúo del predio la Cabaña del municipio de Puerto Parra.</t>
  </si>
  <si>
    <t>Se realizó la elaboarción de el avaluo del predio la  plamita del municpio de Sabana de Torres  y eleboracion de 3 avaluos para la Contraloria del Municpio de San Jose de Miranda, para un total de 4 avalúos, de acuerdo a las solicitudes presentadas.</t>
  </si>
  <si>
    <t xml:space="preserve">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t>
  </si>
  <si>
    <t xml:space="preserve">Se observa que la DT  recibió atendió 1  solicitud de elaboración de avalúos comerciales </t>
  </si>
  <si>
    <t>Se observa en las evidencias que la territorial atendió cuatro solicitudes de elaboración de avalúos comerciales</t>
  </si>
  <si>
    <t>De acuerdo con las evidencias, se observa que durante el tercer trimestre se realizaron 100 avalúos IVP</t>
  </si>
  <si>
    <t>De acuerdo con las evidencias suministradas por la Dirección Territorial Santander y el radicado 6019-2021-0004055 EE-001 del 06 de abril se hace entrega del informe de avalúo comercial rural del predio ubicado en municipio de Puerto Parra.</t>
  </si>
  <si>
    <t>De acuerdo con las evidencias suministradas la Dirección Territorial Sanatander recibe 2 solicitudes para avalúos en el marco de la política de restitución de tierras y 1 solicitud para un avalúo comercial de 2 predios.</t>
  </si>
  <si>
    <t>Con correos: Del 08-07-2021 de Asignación Investigación Índice de Valoración Predial 2020-2021; del 12-07-2021 ASUNTO: respuesta a oficio con radicado IGAC 6019-2021-0022-0708957-ER-000; del 22-07-2021 con asunto: Su oficio con radicado IGAC 6019-2021-0008957-ER-000;  del 18-08-2021 Asunto: Traslado por No Competencia del 20-08-2021 asunto: incorporar al área urbana 50 predios municipio de Betulia  caso 139713; del 20-08-202 1asunto: traslado predios suita –Oiba  caso 112504; del 15-09-2021 asunto: avaluó predios radicado no: 2619 DTS-2021-0001415-ER-000 _x000D_
Correo del 06/10/2021 Myriam Leal Castillo, reenvío Inicio orden Desacato DOCUMENTACION PROC. 2019-00126-00 ID 75582 Y75601 Orden de practica de Avaluo- fecha 09/08/2021A pesarde que no se tenia meta para este periodo, se evidencia avance</t>
  </si>
  <si>
    <t>en el primer Trimestre se respondierón 1100 solicitudes, cumpliendo con las solicitudes en materia de regularizacion de la propiedad</t>
  </si>
  <si>
    <t>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t>
  </si>
  <si>
    <t>Se realizaron a cabalidad los trámites y/o solicitudes referentes a la regularización de la Ley 1561 y 1564 de 2012 de conformidad con lo que ha llegado en el presente año.</t>
  </si>
  <si>
    <t>Se observa que en el segundo trimestre la territorial atendió las  solicitudes concernientes a Regularización de la Propiedad, para un total de 225 solicitudes</t>
  </si>
  <si>
    <t xml:space="preserve">Se observa que durante el tercer trimestre se realizaron los trámites y/o solicitudes referentes a la regularización de la Ley 1561 y 1564 de 2012 </t>
  </si>
  <si>
    <t>Las evidencias suministradas por la Dirección Territorial Santander no corresponden  a la actividad dado que se presenta reporte de SIGAC, por lo que no es posible validar si las respuestas entregads hacen parte del tramite de Regularización de la propiedad.</t>
  </si>
  <si>
    <t>De acuerdo con las evidencias suministradas se observa que la Dirección Territorial Santander genero los certificados prediales necesarios para la regularización de la propiedad. Muestra de ello se presentan dos certificados.</t>
  </si>
  <si>
    <t>Con VENTAS TOTALIZADAS POR PRODUCTO del 01-07-2021 al 30-09-2021 con total  de reporte  $5,219,676 se evidencia que la Dirección Territorial Santander genero los certificados prediales necesarios para la regularización de la propiedad</t>
  </si>
  <si>
    <t>Se respondieron 100 solicitudes para el cumplimiento de de la Política de Restitución de Tierras y Ley de Víctimas</t>
  </si>
  <si>
    <t>Se respondieron en total 84 solicitudes para el cumplimiento de la Política de Tierras, distribuidas así: de 56 procedentes de los Juzgados, Tribunal, y ORIP. _x000D_
28 solicitudes de la Unidad de Restitución de Tierras de Barrancabermeja y Bucaramanga. Cumpliendo a cabalidad con los requerimientos solicitados.</t>
  </si>
  <si>
    <t xml:space="preserve">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t>
  </si>
  <si>
    <t>La evidencia da cumplimiento a la actividad para el segundo trimestre</t>
  </si>
  <si>
    <t>De acuerdo con la evidencia, se observa que durante el tercer trimestre se respondieron las solicitudes para el cumplimiento de la Política de Tierras</t>
  </si>
  <si>
    <t>De acuerdo con las evidencias suministradas por la Dirección Territorial Santader se observa la respuesta a solicitudes relacionadas con la Política de Restitución de Tierras y Ley de Víctimas</t>
  </si>
  <si>
    <t>De acuerdo con las evidencias suministradas se observa que la Dirección Territorial Santander atiende 22 solicitudes referentes a procesos de restitución de tierras.</t>
  </si>
  <si>
    <t xml:space="preserve">  Su   comunicación   con   radicado   IGAC   6019-2021-0007697-ER-000,   referente   al   proceso   de Restitución de Tierras con radicado 68081-3121-001-2017-00177-01 la evidencia, se observa que durante el tercer trimestre se respondieron las solicitudes para el cumplimiento de la Política de Tierras</t>
  </si>
  <si>
    <t>Se atendieron 35 peticiones de PQRS en el primer Trimestre</t>
  </si>
  <si>
    <t>Se recibieron 7 PQRSD en el segundo trimestre del 2021, de las cuales se tramitaron 4 del trimestre mas el acumulado que se tenía pendiente del primer trimestre, quedando solo un saldo de 10 PQRSD  en el semestre.</t>
  </si>
  <si>
    <t xml:space="preserve">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t>
  </si>
  <si>
    <t>Se verifica el seguimiento a las PQRS del segundo trimestre con base a la evidencia reportada por la territorial</t>
  </si>
  <si>
    <t xml:space="preserve">De acuerdo con el seguimiento de la DT Se han atendido en términos de ley las peticiones, quejas, reclamos, sugerencias, y demas tramites y/o solicitudes presentadas por los usuarios durante el tercer trimestre del 2021. </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</si>
  <si>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</si>
  <si>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De acuerdo con información proporcionada por el GIT de Servicio al Ciudadano y participación la Dirección Territorial Santander recibió 8 peticiones, de las cuales atendió oportunamente 4 con un porcentaje del 50% .Se recomienda revisar el proceso de atención de las PQRS.</t>
  </si>
  <si>
    <t xml:space="preserve">Con INFORMES 2021-JULIO-AGOSTO-SEPTIEMBRE se evidencia que han atendido en términos de ley las peticiones, quejas, reclamos, sugerencias, y demas tramites y/o solicitudes </t>
  </si>
  <si>
    <t>En el primer trimestre, se realizaron la reunion de comite pertinente, en el cual se deja evidencia en las  acta, y se manifiesta las actividades que se deben llevar acabo. cumpliendo a cabalidad con la entrega de las actas  de comite copasst y comite de convivencia</t>
  </si>
  <si>
    <t>Se realizó envio de las actas correspondientes al Git de Talento Humano del II trimestre de acuerdo con las metas asignadas; tal como se evidencia en las actas y los informes enviados a sede central.</t>
  </si>
  <si>
    <t>Se realizó envio de las actas correspondientes al Git de Talento Humano correspondiente a lo ejecutado en el tercer trimestre tal como se muestra en los soportes de evidenia</t>
  </si>
  <si>
    <t>La territorial cumple con la actividad para el segundo trimestre</t>
  </si>
  <si>
    <t xml:space="preserve">De acuerdo con las evidencias, se observa que durante el tercer trimestre se realizaron las Actas de Copasst  y el Acta de Convivencia Laboral </t>
  </si>
  <si>
    <t>De acuerdo con las evidencias suministradas por la Direección Territorial Santander se observa acta de COPASST del 30 de enero de 2021</t>
  </si>
  <si>
    <t>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t>
  </si>
  <si>
    <t>Se evidencia  acta de reunión Comité Copasst del 30/09/2021 se sugiere para el proximo periodo la inclusión de las  Actas de Copasst  y el Acta de Convivencia Laboral completas del periodo.</t>
  </si>
  <si>
    <t xml:space="preserve">En el primer trimestres, se realizaron los controles mensuales de asistencia, los cuales se envian mensualmente a la sede central, Git Talento Humano. </t>
  </si>
  <si>
    <t>Se realizó envio de los informes correspondientes a las actvidades de seguridad y salud en el trabajo de acuerdo al cronograma de trabajo para el II trimestre del 2021.</t>
  </si>
  <si>
    <t>Se realizó envio de los informes correspondientes a las actvidades de seguridad y salud en el trabajo de las activades ejecutadas durante tercer trimestre del 2021 como se evidencia en los soportes adjuntos.</t>
  </si>
  <si>
    <t>La territorial realiza el seguimiento a las responsabilidades  en el SG - SST para el segundo trimestre</t>
  </si>
  <si>
    <t xml:space="preserve">De acuerdo con las evidencias, se observa que durante el tercer trimestre se realizaron los informes correspondientes a las actvidades de seguridad y salud en el trabajo </t>
  </si>
  <si>
    <t xml:space="preserve">De acuerdo con las eviencias suministradas por la Dirección Territorial Sanatander radicado número 2010-2021-0003913- IE-001 del 17 de febrero de 2021 se realiza reporte de ausentismo para el mes de enero, no se presentan evidencias de ejecución en los meses de febrero y marzo. </t>
  </si>
  <si>
    <t>De acuerdo con las evidencias suministradas la Dirección Territorial Santander Presenta acata del 23-06-2021 en la que se mencionan temas relacionados con el SG-SST como el ausentismo laboral.</t>
  </si>
  <si>
    <t>Con reporte de informe de ausentismo de julio, agosto y septiembre, Sistema de Gestión de Seguridad y Salud en el trabajo Direcciones Territoriales-Informe de gestión trimestral elaborado el 02/10/2021. se evidencia l cumplimiento de la meta.</t>
  </si>
  <si>
    <t>Las ventas están representadas en certificados catastrales, información catastral y publicaciones por un valor total de $ 28.605.649.  Se realizó la validación del 100% de las ventas reportadas por el CIG con el movimiento bancario.</t>
  </si>
  <si>
    <t>Las ventas están representadas en certificados catastrales, información catastral y publicaciones por un valor total de $ 38.155.744.  Se realizó la validación del 100% de las ventas reportadas por el CIG con el movimiento bancario.</t>
  </si>
  <si>
    <t>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t>
  </si>
  <si>
    <t xml:space="preserve"> Se observa que durante el primer trimestre la DT recaudó ingresos por venta de bienes y servicios</t>
  </si>
  <si>
    <t>la territorial realizó ventas por un valor total de $ 38.155.744, actualmente se tiene un avance del 19,52%</t>
  </si>
  <si>
    <t xml:space="preserve">De acuerdo con la relación de ventas de contado, se observa que durante el tercer trimestre se hicieron ventas por bienes y servicios._x000D_
_x000D_
</t>
  </si>
  <si>
    <t>De acuerdo con los soportes suministrados por la Dirección Territorial Santander los ingresos percibidos son por concepto de certificados catastrales e información catastral.</t>
  </si>
  <si>
    <t>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t>
  </si>
  <si>
    <t xml:space="preserve">Se evidencia un  reporte de RELACION DE INGRESOS DE CONTADO, se sugierepara el proximo periodo incluir  otro tipo de evidencia que permita verificar el dato. </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</si>
  <si>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</si>
  <si>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</si>
  <si>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DURANTE EL SEGUIMIENTO DEL SEGUNTO TRIMESTRE 2021, EN  TERRITORIAL  NO SE REALIZARON NI FIRMARON CONTRATOS PARA LA REALIZACION DE PROCESOS DE FORMACION O ACTUALIZACION CATASTRAL RURAL, POR LO ANTERIOR NO SE SUBEN EVIDENCIAS.</t>
  </si>
  <si>
    <t>DURANTE EL SEGUIMIENTO DEL TERCER TRIMESTRE DE 2021, EN  TERRITORIAL  NO SE REALIZARON NI FIRMARON CONTRATOS PARA LA REALIZACION DE PROCESOS DE FORMACION O ACTUALIZACION CATASTRAL RURAL, POR LO ANTERIOR NO SE SUBEN EVIDENCIAS.</t>
  </si>
  <si>
    <t>no se adelanto procesos de formación</t>
  </si>
  <si>
    <t>Sin meta asignada para el periodo, sin evidencias de ejecución de las actividades</t>
  </si>
  <si>
    <t>SE ATENDIERON LOS TRAMITES DE OFICINA RECIBIDOS EN EL TRIMESTRE EN SU TOTALIDAD.</t>
  </si>
  <si>
    <t>EN EL SEGUNDO TRIMESTRE SE ATENDIERON LOS TRAMITES DE OFICINA RADICADOS EN LA TERRITORIAL</t>
  </si>
  <si>
    <t>EN EL TERCER TRIMESTRE SE ATENDIERON LOS TRAMITES DE OFICINA RADICADOS EN LA TERRITORIAL.</t>
  </si>
  <si>
    <t>Con la evidencia aportada se observa cumplimiento a la actividad establecida. Faltó seguimiento cuantitativo</t>
  </si>
  <si>
    <t>Con las evidencias adjuntas se constata la realización de 1507 trámites de oficina</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</si>
  <si>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</si>
  <si>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De acuerdo con las evidencias suministradas se observa que la Dirección Territorial Sucre para los meses de abril, mayo y junio finalizo 1507 trámites de oficina.</t>
  </si>
  <si>
    <t>De acuerdo con las evidencias suministradas se observa que la Dirección Territorial Sucre para los meses de julio , agosto y  septiembre finalizo 2639 trámites de oficina.</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</si>
  <si>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</si>
  <si>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UNA VEZ CONTRATADO EL PERSONAL, LA TERRITORIAL DURANTE EL SEGUNDO TRIMESTRE EMPEZO A REALIZAR LAS VISITAS PARA DAR TRAMITE A LAS MUTACIONES DE TERRENO RADICADAS.</t>
  </si>
  <si>
    <t>EN EL TERCER TRIMESTRE DE 2021 SE ATENDIERON LOS TRAMITES DE TERRENO APLICANDO LOS PROTOCOLOS SIN PONER EN RIESGO LA SALUD DE LOS FUNCIONARIOS Y CONTRATISTAS</t>
  </si>
  <si>
    <t>Con las evidencias adjuntas se constata la realización de 514 trámites de terreno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</si>
  <si>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</si>
  <si>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De acuerdo con las evidencias suministradas se observa que la Dirección Territorial Sucre para los meses de abril, mayo y junio finalizo 489 trámites de terreno.</t>
  </si>
  <si>
    <t>De acuerdo con las evidencias suministradas se observa que la Dirección Territorial Sucre para los meses de julio, agosto y septiembre finalizo 560  trámites de oficina.</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</si>
  <si>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</si>
  <si>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EN EL SEGUNDO TRIMESTRE SE EMPIEZAN A ATENDER LAS SOLICITUDES RADICADAS EN LA TERRITORIAL, LAS CUALES CORRESPNDEN A PROCESOS DE RESTITUCION  DE TIERRAS Y UN SOLO AVALUO ADMINISTRATIVO DEL CUAL SE RECIBE EL ANTICIPO PARA INICIAR EL PROCESO.</t>
  </si>
  <si>
    <t>EN EL TERCER TRIMESTRE SE ATENDIERON LAS SOLICITUDES RADICADAS EN LA TERRITORIAL, LAS CUALES CORRESPONDEN A PROCESOS DE RESTITUCION  DE TIERRAS Y UN SOLO AVALUO ADMINISTRATIVO UNA VEZ RECIBIDOS LA DOCUMENTACION COMPLETA REQUERIDA PARA EJECUCION.</t>
  </si>
  <si>
    <t>Con las evidencias adjuntas se constata la realización de 7 avalúos</t>
  </si>
  <si>
    <t>Sin meta asignada para el periodo y sin evidencias de ejecución de la actividad.</t>
  </si>
  <si>
    <t>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t>
  </si>
  <si>
    <t>De acuerdo con las evidencias suministradas se observa que la Dirección Territorial Sucre, realizo 11 avalúos comerciales de los predios. Por lo que se presenta ejecución de la actividad.</t>
  </si>
  <si>
    <t>SE ATENDIERON LA TOTALIDAD DE LAS SOLICITUDES DE INFORMACION PREDIAL, TENDIENTES A LA FORMALIZACION DE PREDIOS VIA LEY 1561 Y PROCESOS DE PERTENENCIA.</t>
  </si>
  <si>
    <t>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t>
  </si>
  <si>
    <t>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</si>
  <si>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</si>
  <si>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Con las evidencias adjuntas se constata el avance de esta actividad conforme lo indicó la dirección territorial</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</si>
  <si>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</si>
  <si>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De acuerdo con información proporcionada por el GIT de Servicio al Ciudadano y participación la Dirección Territorial Súcre recibió 152 peticiones, de las cuales atendió oportunamente 145 con un porcentaje del 95%.</t>
  </si>
  <si>
    <t>De acuerdo con las evidencias suministradas por la Dirección Territorial Sucre "trámites ley 1561 2021" se listan las solicitudes relacionadas con regularización para el tercer trimestre se recibieron  9 solicitudes resueltas dentro del termino legal.</t>
  </si>
  <si>
    <t>SE RECIBIERON 7 SOLICITUDES, ATENDIDAS EN SU TOTALIDAD INCLUYENDO UNA DE BLOQUEO DE PREDIOS, CON RESPECTO A LAS SOLCITUDES DE AVALUOS SE RECIBIERON 8 QUE SE VIENEN EJECUTANDO EN EL SEGUNDO TRIMESTRE.</t>
  </si>
  <si>
    <t>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t>
  </si>
  <si>
    <t>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t>
  </si>
  <si>
    <t>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t>
  </si>
  <si>
    <t>De acuerdo con las evidencias suministradas la Dirección Territorial Sucre, recibió 24 solicitudes para la restitución de tierras que implican procesos judiciales de las cuales se han atendido oportunamente 23 y se encuentra en trámite 1.</t>
  </si>
  <si>
    <t>De acuerdo con las evidencias suministradas la Dirección Territorial Sucre, se resolvieron dentro de los tiempos 14 trámites con una ejecución del 100%</t>
  </si>
  <si>
    <t xml:space="preserve">DURANTE EL PRIMER TRIMESTRE EN LA TERRITORIAL SE RECIBIERON 230 SOLICITUDES DE LAS CUALES FUERON ATENDIDAS 166 CORRESPONDIENTE AL 72, 17% </t>
  </si>
  <si>
    <t>EN EL SEGUNDO TRIMESTRE DE 2021 LA TERRITORIAL RECIBIO 159 PETICIONES, DE LAS CUALES SE ATENDIERON DENTRO DE LOS TERMINOS LEGALMENTE ESTABLECIDOS 64 PARA UN PORCENTAJE DE EJECUCION DEL 40.25%</t>
  </si>
  <si>
    <t>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t>
  </si>
  <si>
    <t>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</si>
  <si>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</si>
  <si>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De acuerdo con información proporcionada por el GIT de Servicio al Ciudadano y participación la Dirección Territorial Sucre recibió 152 peticiones, de las cuales atendió oportunamente 145 con un porcentaje del 95%.</t>
  </si>
  <si>
    <t>De acuerdo con las evidencias suministradas por la Dirección Territorial Sucre se observa que durante el tercer trimestre se recibieron 84 peticiones  de las cuales se atendieron dentro del termino legal 31. Se recomienda revisar los tiempos de respuesta de estas solicitudes.</t>
  </si>
  <si>
    <t>LA TERRITORIAL REALIZO LOS COMITES E HIZO EL CARGUE Y ENVIO L GIT DE TALENTO HUMANO</t>
  </si>
  <si>
    <t>DURANTE EL PERIODO OBJETO DE SEGUIMIENTO LA TERRITORIAL REALIZO LOS COMITES DE COPASST Y CONVIVENCIA RESPECTIVAMENTE Y SE REMITIERON VIA DRIVE A SEDE CENTRAL</t>
  </si>
  <si>
    <t>No se realizó seguimiento cuantitativo. Con las tres actas del comité de COPASST se observa un cumplimiento parcial a la actividad, ya que faltó emviar evidencia de la realización de la reunión del Comité de Convivencia Laboral.</t>
  </si>
  <si>
    <t>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t>
  </si>
  <si>
    <t>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t>
  </si>
  <si>
    <t xml:space="preserve">De acuerdo con las evidencias suministradas por la Dirección Territorial Sucre se obseva que se han desarrollado los comités COPASTT y  comité de convivencia. </t>
  </si>
  <si>
    <t>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t>
  </si>
  <si>
    <t>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t>
  </si>
  <si>
    <t>No realizó seguimiento cualitativo ni cuantitativo</t>
  </si>
  <si>
    <t>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t>
  </si>
  <si>
    <t>Se presentan evidencias de actividades relacionadas con bienestar, siendo esta una de las áreas del Plan estratégico de Talento Humano sin embargo, no se presentan evidencias de cpacitación, seguridad y Salud en el Trabajo, plan anual de provisiones entre otros.</t>
  </si>
  <si>
    <t>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t>
  </si>
  <si>
    <t>De acuerdo con las evidencias suminnistradas por la Dirección Territorial Sucre, se observa ejecución de actividades relacionadas con el SD-SST tales como capacitaciones, participacion de simulacro nacional y comites copasst.</t>
  </si>
  <si>
    <t>DURANTE EL PRIMER TRIMESTRE DE 2021, SE GENERARON INGRESOS CORRESPONDIENTE A LA VENTA DE PRODUCTOS Y SERVICIOS CATASTRALES GENERADOS EN EL CIG, A PESAR DE LA PANDEMIALA TERRITORIAL CON SU EQUIPO DE TRABAJO HA LOGRADO MANTENER UN ALTO PORCENTAJE DE INGRESOS.</t>
  </si>
  <si>
    <t xml:space="preserve">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t>
  </si>
  <si>
    <t>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</si>
  <si>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</si>
  <si>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</si>
  <si>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t>
  </si>
  <si>
    <t>De acuerdo con las evidencias suministradas por la Dirección Territorial Sucre Sucre Ventas totalizadas por producto con corte 30 de septiembre 2021 se observa que se han generado ingresos por un total de $10.091.516</t>
  </si>
  <si>
    <t>La meta asignada a la direccion territorial corresponde al muncipio de Rioblanco, el cual esta siendo intervenido por la agencia nacional de tierras y no se tiene asignado presupuesto para atender el componente urbano.</t>
  </si>
  <si>
    <t>Para el proceso de actualizacion de la zona urbana del municipio de Rio Blanco la territorial no tiene conocimento de avance ni ha participado en seguimientos o cumplimientos.  ACorde a comunicacion de la subdireccion de catastro esta actividad esta a cargo de ellos.</t>
  </si>
  <si>
    <t>Se sigue teniendo cargada esta meta y se ha informado reiteradamente que la territorial no tiene acceso a las actvidades de este proceso ya que esta dirigido desde el nivel central.</t>
  </si>
  <si>
    <t>Se requiere revision de la meta para la Territorial</t>
  </si>
  <si>
    <t xml:space="preserve">El seguimiento al proceso de actualizacion del municipio de rio blanco le esta haciendo la sede central  </t>
  </si>
  <si>
    <t xml:space="preserve">N/A </t>
  </si>
  <si>
    <t>No se presentan evidencias de ejecución de la actividad.</t>
  </si>
  <si>
    <t>Sin meta asignada para el periodo, sin evidencias de ejecución de las actividades dado que los procesos de actualización de acuerdo con correos electrónicos del 10 de junio se estan llevando a cabo desde Sede Central.</t>
  </si>
  <si>
    <t>Sin meta asignada en tercer trimestre</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</si>
  <si>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</si>
  <si>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Para el proceso de actualizacion de la zona rural del municipio de Rio Blanco la territorial no tiene conocimento de avance ni ha participado en seguimientos o cumplimientos.  ACorde a comunicacion de la subdireccion de catastro esta actividad esta a cargo de ellos.</t>
  </si>
  <si>
    <t>NA</t>
  </si>
  <si>
    <t>No se prsentan evidencias de ejecución de la actividad</t>
  </si>
  <si>
    <t>Sin meta asignada en tercer trimestre.</t>
  </si>
  <si>
    <t xml:space="preserve">En el primer trimestre se alcanza el 31,42% de la meta asignada en tramites de oficina. Se cumple con los tiempos establecidos en el modulo de correspondencia  implementado en el IGAC (SIGAC) y se esta depurando los tramites de años anteriores. </t>
  </si>
  <si>
    <t>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</si>
  <si>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Con las dificultades del ingreso al SNC se disminuyo el rendimiento de tramites de oficina y esta complicado llegar a cumplir la meta asignada. </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</si>
  <si>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</si>
  <si>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De acuerdo con las evidencias suministradas se observa que la Dirección Territorial Tolima para los meses de abril, mayo y junio finalizo 7,346 trámites de oficina.</t>
  </si>
  <si>
    <t>Se evidencian 1068 tràmites de oficina reportados para el tercer trimestre de 2021 por la Territorial a travès del excel Reporte de Proyecciòn de Meta 2020-2021.</t>
  </si>
  <si>
    <t xml:space="preserve">Se alcanza el 11,22% de la meta asignada. A finales del mes de febrero se realiza la contrataciion de 5 reconocedores y 9 auxiliares de apoyo. </t>
  </si>
  <si>
    <t>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</si>
  <si>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Los problemas generados y reportados a traves de incidencias del SNC han frenado el cumplimiento de tranites de terreno debido a la problematica evidenciada con el editor grafico del sistema. </t>
  </si>
  <si>
    <t xml:space="preserve">Se la valida la evidencia </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</si>
  <si>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</si>
  <si>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De acuerdo con las evidencias suministradas se observa que la Dirección Territorial Tolima para los meses de abril, mayo y junio finalizo 8910 trámites de terreno.</t>
  </si>
  <si>
    <t>No se aportó evidencia que permita verificar trámites reportados en tercer trimestre.</t>
  </si>
  <si>
    <t>En el trimestre no se han realizado avaluos comerciales. Se tiene en negociacion 8 solicitudes.</t>
  </si>
  <si>
    <t xml:space="preserve">Se ha realizado avaluos para los juzgados de restitucion de tierrras y estan en proceso avaluos contratados con externos. </t>
  </si>
  <si>
    <t xml:space="preserve">Se ha realizadao la gestion con el IMDRI, pero desafortunadamente desde sede central no se ha podido finiquitar la negociacion por falta de aporte de documentos soporte requeridos. </t>
  </si>
  <si>
    <t>No hay evidencia de avaluos elaborados para el periodo</t>
  </si>
  <si>
    <t xml:space="preserve">La actividad no cuenta con evidencias de avaluos comerciales </t>
  </si>
  <si>
    <t>No hay meta asiganada</t>
  </si>
  <si>
    <t>No hay evidencias de ejecución de la actividad</t>
  </si>
  <si>
    <t>De acuerdo con las evidencias suministradas por la Dirección Territorial Tolima se observa que se han realizado avalúos, sin embargo no es claro si estos son en el marco de la política de restitución de tierras o son comerciales.</t>
  </si>
  <si>
    <t>No se asignó meta.</t>
  </si>
  <si>
    <t>Se han recibido 117 solicitudes, de las cuales se han atendido 81. 19 faltantes corresponden a certficados especiales y 17 a inspecciones judiciales en terreno.</t>
  </si>
  <si>
    <t>En el trimestre se recepcionaron 140 solicitudes del las cuales se atendieron 125.</t>
  </si>
  <si>
    <t xml:space="preserve">Gracias a las reuniones sostenidas con los juzgados y jueces se ha logrado aclarar los alcances de las solicitudes envidas y en el trimestre se recibieron 86, las cuales fueron atendidas en su totalidad. </t>
  </si>
  <si>
    <t>Se validan los trámites</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</si>
  <si>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</si>
  <si>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De acuerdo con las evidencias suministradas por la Dirección Territorial Tolima y el documento "segundo trimestre 2021_tierras" se han recibido 140 solicitudes de las cuales se han atendido 125 y 15 están en trámite con un 89,28% de oportunidad en la atención</t>
  </si>
  <si>
    <t>Se observa ejecución a través de Herramienta de Monitoreo 2021 y excel URT Herramienta de Monitoreo tercer trimestre 2021.</t>
  </si>
  <si>
    <t xml:space="preserve">Se ha recibido 8 sentencias de los juzgados, de las cuales se han tramitado 5 y las 3 restantes esta pendiente el envio por parte de la ORIP la anotacion en el certificado de tradicion. </t>
  </si>
  <si>
    <t xml:space="preserve">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t>
  </si>
  <si>
    <t>En el trimestre se recibieron 44 posfallos de los cuales 28 estan sin resolucion (Las ORIP no han realizadao la anotacion en el folio de matricula inmobiliara o la ANT no ha realizado la entrega del predio) y 16 estan por atender.</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</si>
  <si>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</si>
  <si>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De acuerdo con las evidencias suministradas por la Dirección Territorial Tolima  y el documento "Herramienta de monitoreo 2020 Tolima"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t>
  </si>
  <si>
    <t xml:space="preserve">La meta se fijó en 0.25 y se reporta ejecución de 0 en el trimestre, se recibieron 44 posfallos de los cuales 28 estan sin resolución y 16 no han sido atendidos.  </t>
  </si>
  <si>
    <t>El sistema de correspondencia externa recibida reporta la radicaciion de 2847 solicitudes, de las cuales se atendieros 2216 y aparecen vencidas</t>
  </si>
  <si>
    <t xml:space="preserve">El reporte generado informa 2136 radicvados en el trimestre de los cuales se atendieron 1379, quedando vencidas 757. El SIGAC sigue presentando dificultades para el cierre de los radicados y envio de respuestas que no permite ser abiertas por los destinatarios. </t>
  </si>
  <si>
    <t xml:space="preserve">En el trimestre se recibieron 11.031 solicitudes de los usuarios por los diferentes medios establecidos para su atencion de los cuales 8841 estan en tramite y 706 vencidos. </t>
  </si>
  <si>
    <t>De acuerdo con las evidencias suministradas por la Dirección Territorial Tolima "Informe Tolima" de los meses de enero, febrero y marzo se observa que existen solicitudes radicadas vencidas por 86, 427 y 108 de los meses mencionados.</t>
  </si>
  <si>
    <t>De acuerdo con información proporcionada por el GIT de Servicio al Ciudadano y participación la Dirección Territorial Tolima recibió 357 peticiones, de las cuales atendió oportunamente 314 con un porcentaje del 88%.</t>
  </si>
  <si>
    <t>No se cumplió con la meta, no se atendieron la totalidad de solicitudes recibidas en el trimestre, de las 11.031 recibidas hay 8841 en trámite y 706 vencidas. Deben atenderse todas las solicitudes recibidas dentro de los términos de ley.</t>
  </si>
  <si>
    <t xml:space="preserve">Se han realizado tres comit4es de copasst y 1 de CCL en el trimestre. </t>
  </si>
  <si>
    <t xml:space="preserve">Se realizaron los comites de SST y conviviencia en segundo trimestre del año. Se esta en proceso de eleccion de comites, pero no se ha podido realizar debido a la no inscripcion de cadidatos. </t>
  </si>
  <si>
    <t>Se cumple con la realizacion de los comie de SST y convivencia en el tercer rimestre del año.</t>
  </si>
  <si>
    <t>se evidencia con actas de comite de SST.</t>
  </si>
  <si>
    <t>De acuerdo con las evidencias suministradas por la Dirección Territorial Tolima "Acta COPASST" del 29-01-2021, 26-02-2021, 05-04-2021 y el acta de comité de convivencia laboral con fecha 26-02-2021 se observa el desarrollo de la actividad.</t>
  </si>
  <si>
    <t>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t>
  </si>
  <si>
    <t xml:space="preserve">Se verifica cumplimiento de la actividad con las actas COPASST de julio, agosto y septiembre 2021 y acta del CCL del 13/09/2021.  </t>
  </si>
  <si>
    <t xml:space="preserve">Se ha realizado los comites acorde a lo convenido, se ha hecho seguimiento en la plataforma de la ARL del autodiagnodtivo de covid 19, se siguen multiplicando las campañas de autocuidado y demas actividades convenidas. </t>
  </si>
  <si>
    <t xml:space="preserve">Se realizaron  los comites acorde a lo convenido, se ha hecho seguimiento en la plataforma de la ARL del autodiagnodtivo de covid 19, se siguen multiplicando las campañas de autocuidado y demas actividades convenidas. </t>
  </si>
  <si>
    <t xml:space="preserve">Se realiza el comite de SST acorde a lo establecido, se sigue realizando el autodiagnostico en la plataforma de la ARL y se continua con las campañas de autocuidado. </t>
  </si>
  <si>
    <t>De acuerdo con los soportes suministrados por la Dirección Territorial Tolima se observa que se ha venido realizando seguimiento a las actividades del SG-SST</t>
  </si>
  <si>
    <t>De acuerdo con las evidencias suministradas por la Dirección Territorial Tolima no es posible evidenciar el desarrollo de actividades en el marco del SG-SST, ni tampoco lo mencionado en el autoseguimiento.</t>
  </si>
  <si>
    <t>Se verifica ejecución de la actividad mediante actas COPASST de julio, agosto y septiembre 2021, acta CCL del 13/09/2021 y correo del 06/07/2021 sobre autocuidado.</t>
  </si>
  <si>
    <t xml:space="preserve">En el primer  trimestre se obtuvo ingresos por valor de $.22.434.459, donde prevalece la expedicion de certificados catastrales. </t>
  </si>
  <si>
    <t xml:space="preserve">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t>
  </si>
  <si>
    <t xml:space="preserve">Se obtiene un ingreso promedio de $.10.600.000, pero sigue siendo dificil el cumplimiento de la meta asignada. En el mes de octubre se hace entrega del catastro del municipio de Ibague, el cual genera la mayor parte de los ingresos propios a la territorial. </t>
  </si>
  <si>
    <t>Se validan las evidencias</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</si>
  <si>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</si>
  <si>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De acuerdo con las evidencias suministradas por la Dirección Territorial Tolima Ventas totalizadas por producto con corte 30 de junio 2021 se observa que se han generado ingresos por venta por valor de $27.104.781</t>
  </si>
  <si>
    <t>Según las evidencias aportadas por la Territorial las ventas por productos han generado ingresos de 31964399 para el tercer trimestre.</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</si>
  <si>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</si>
  <si>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se tiene contablemente cartera en la territorial.</t>
  </si>
  <si>
    <t>No cuentan con cartera venciada</t>
  </si>
  <si>
    <t xml:space="preserve">La territorial no tiene cartera por cobrar </t>
  </si>
  <si>
    <t>Sin meta asignada para el trimestre y sin evidencias de ejecución de la actividad.</t>
  </si>
  <si>
    <t>Según manifiesta la Territorial Tolima, no se tiene contablemente cartera.</t>
  </si>
  <si>
    <t>Valle del Cauca</t>
  </si>
  <si>
    <t>Durante el mes de enero se tramitan 12 mutaciones, en febrero 1402 y en marzo 4290.</t>
  </si>
  <si>
    <t>Durante el mes de Abril se tramitan 6868 mutaciones, en mayo 8895y en junio 11018.</t>
  </si>
  <si>
    <t>Durante el mes de Julio se tramitan 2164 mutaciones, en Agosto 907 y en Septiembre 1117.</t>
  </si>
  <si>
    <t>Realizaron los tramites de oficina de acuerdo a los reportes</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</si>
  <si>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</si>
  <si>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evidencia Informe del área de Conservación Territorial a junio 30 del 2021,donde se tramitan en abril 6868 mutaciones, en mayo 8895y en junio 11018</t>
  </si>
  <si>
    <t>Se evidencia reporte de trámites de oficina donde se realizaron 3132 para el tercer trimestre.</t>
  </si>
  <si>
    <t>Se tramita mutaciones de terreno asi: en enero 70, febrero 434 y en marzo 691</t>
  </si>
  <si>
    <t xml:space="preserve">Se tramitan mutaciones de terreno asi:En abril 842, en mayo 1002, en junio 1605. </t>
  </si>
  <si>
    <t xml:space="preserve">Se tramitan mutaciones de terreno asi:En Julio 67, en agosto 89, en septiembre 241. </t>
  </si>
  <si>
    <t>Según reporte realizaron 397  tramites de terreno</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</si>
  <si>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</si>
  <si>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 xml:space="preserve">Se evidencia Informe área de Conservación Territorial a junio 30 del 2021 ,  tramitan mutaciones de terreno asi:En abril 842, en mayo 1002, en junio 1605. </t>
  </si>
  <si>
    <t>Se evidencia reporte de trámites de terreno donde se realizaron 397 para el tercer trimestre.</t>
  </si>
  <si>
    <t>Durante el trilmestre enero a marzo 2021 se han recibido 7 solicitudes de avalúos, los cuales se encuentran en fase de elaboración y/o en control de calidad.</t>
  </si>
  <si>
    <t>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t>
  </si>
  <si>
    <t>Para el trimestre Julio a Septiembre se realiza el avaluo de la sede Territorial Valle, el cual se encuentra en proceso de control de calidad en sede central. En el momento, la territorial no cuenta con funcionario que apoye la labor de elaboración de avalúos.</t>
  </si>
  <si>
    <t xml:space="preserve">Realizaron sólo un avalúo en el trimestre. </t>
  </si>
  <si>
    <t>Conforme las evidencias suminitradas por la Dirección Territorial Valle del Cauca " Avalúos -Evidencias de Avance GIT AVALUOS - MARZO" se han recibido 7 solicitudes para realizar avalúos comerciales los cuales se encuentran en trámite.</t>
  </si>
  <si>
    <t xml:space="preserve">Conforme las evidencias suminitradas por la Dirección Territorial Valle del Cauca para el segundo trimestre Abril a Junio se finalizan y entregan 3 avaluos, de los 7 avaluos solicitados </t>
  </si>
  <si>
    <t>Se evidencia reporte de avalúos realizados con 1 para el tercer trimestre.</t>
  </si>
  <si>
    <t>Durante el trimestre de enero a marzo del 2021 se han recibido 83 solicitudes en materia de regulación de la propiedad (Ley 1561 y 1564 del 2012), las cuales han sido analizadas y atendidas.</t>
  </si>
  <si>
    <t>Durante el segundo trimestre de Abril a junio se han recibido 108 solicitudes en materia de regulacion de la propiedad (ley 1561 y 1564 de 2012), las cuales han sido analizadas y atendidas</t>
  </si>
  <si>
    <t>Durante el trimestre de Julio a Septiembre se han recibido 190 solicitudes en materia de regulacion de la propiedad (ley 1561 y 1564 de 2012).</t>
  </si>
  <si>
    <t>se verifica en el reporte la atención a las solicitudes en materia de regulación</t>
  </si>
  <si>
    <t>De acuerdo con las evidencias suministradas por la Dirección Territorial Valle del Cauca "INFORME PRIMER TRIMESTRE 2021 REGULARIZACIÓN DE LA PROPIEDAD (LEY 1561 Y LEY 1564 DE 2012)" se han recibido 83 solicitudes, de las cuales se ha proyectado rspuesta de 54, esta pendiente por responder 6  y pendiente por revisar 3.</t>
  </si>
  <si>
    <t>De acuerdo con las evidencias suministradas por la Dirección Territorial Valle del Cauca  se atendieron solicitudes en materia de regulacion de la propiedad (ley 1561 y 1564 de 2012.</t>
  </si>
  <si>
    <t>De acuerdo con las evidencias suministradas por la Dirección Territorial Valle del Cauca se atendieron solicitudes en materia de regulación de la propiedad (ley 1561 y 1564 de 2012.</t>
  </si>
  <si>
    <t>Durante el trimestre enero a marzo 2021 se reciben 79 solicitudes de URT Administrativas y de Juzgados, de las cuales hay 5 en proceso de finalización de trámite.</t>
  </si>
  <si>
    <t>Durante el segundo trimestre abril a junio, se reciben 87 solicitudes de URT administrativas y de juzgados, de las cuales hay en proceso de finalizacion de tramite 1</t>
  </si>
  <si>
    <t>Durante el trimestre Julio a Septiembre, se reciben 84 solicitudes de URT administrativas y de juzgados, de las cuales hay en proceso de finalizacion de tramite 2</t>
  </si>
  <si>
    <t>Recibieron 84 solicitudes y tienen pendientes de atender 2 solicitudes</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</si>
  <si>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t>
  </si>
  <si>
    <t>De acuerdo con las evidencias suministradas por la Dirección Territorial Valle del Cauca se observa informe II trimestre de restitucion de Tierras.</t>
  </si>
  <si>
    <t>De acuerdo con las evidencias suministradas por la Dirección Territorial Valle del Cauca se observa informe III trimestre de restitucion de Tierras.</t>
  </si>
  <si>
    <t>Durante el trimestre enero a marzo del 2021, se recibieron 521 peticiones, se finalizan 225 y hay pendientes por finalizar 296, alcanzando una gestión del 43.18%</t>
  </si>
  <si>
    <t>Durante el segundo trimestre Abril a Junio del 2021, se recibieron 1367 peticiones, se finalizan 795 y hay pendientes por finalizar572, alcanzando una gestión del 58.31%</t>
  </si>
  <si>
    <t>Durante el trimestre Julio a Septiembre del 2021, se recibieron 1081 peticiones, se finalizan 1326.  El aplicativo aun no permite reportes automáticos, es necesario acudir a reportes manuales.</t>
  </si>
  <si>
    <t>para el proximo reporte incluir los saldos que traen de meses anteriores ya que registran saldos negativos pero es por los saldos que sacan de meses anteriores</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</si>
  <si>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</si>
  <si>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De acuerdo con las evidencias suministradas por la Dirección Territorial Valle del Cauca se observa informe de PQRS de segundo informe.</t>
  </si>
  <si>
    <t>De acuerdo con las evidencias suministradas por la Dirección Territorial Valle del Cauca se observa informe de PQRS del tercer trimestre.</t>
  </si>
  <si>
    <t>Durante el trimestre de enero a marzo del 2021, se cumplio con la entrega de un acta deL Comité de Convivencia y tres actas del COPASST.</t>
  </si>
  <si>
    <t>Durante el segundo trimestre de Abril a Junio del 2021, se cumplio con la entrega de un acta deL Comité de Convivencia y tres actas del COPASST.</t>
  </si>
  <si>
    <t>Durante el trimestre de Julio a Septiembre del 2021, se cumplio con la entrega de un acta deL Comité de Convivencia y tres actas del COPASST.</t>
  </si>
  <si>
    <t>De acuerdo a registro se realizaron los comités de convivencia y COPASST</t>
  </si>
  <si>
    <t>De acuerdo con las evidencias suministradas por la Dirección Territorial Valle del Cauca se han realizado tres comites de COPASST los días 04-02-2021, 01-03-2021 y 31-03-2021 y un comite de convicencia laboral el 23-03-2021.</t>
  </si>
  <si>
    <t>De acuerdo con las evidencias suministradas por la Dirección Territorial Valle del Cauca acta de comite de convivencia y actas del COPASST.</t>
  </si>
  <si>
    <t>De acuerdo con las evidencias suministradas por la Dirección Territorial Valle del Cauca acta de conformación de comité de convivencia y actas del COPASST.</t>
  </si>
  <si>
    <t>Durante el trimestre enero a marzo del 2021, según lo establecido en el acta del 06-01-2021 la profesional especializada rindió informe en el cual no se presentaron novedades y/o situaciones de riesgo asociadas al personal de la DT Valle.</t>
  </si>
  <si>
    <t>Durante el segundo trimestre Abril a Junio del 2021, la profesional especializada rindió informe en el cual no se presentaron novedades y/o situaciones de riesgo asociadas al personal de la DT Valle.</t>
  </si>
  <si>
    <t>Durante el Julio a Septiembre del 2021, la profesional especializada rindió informe en el cual no se presentaron novedades y/o situaciones de riesgo asociadas al personal de la DT Valle.</t>
  </si>
  <si>
    <t>Realizaron varias actividades como encuestas de satisfacion al usuario, simulacro</t>
  </si>
  <si>
    <t xml:space="preserve">De acuerdo con las evidencias suministradas por la Dirección Territorial Valle del Cauca mediante correo electrónico del 13 de abril de 2021 se informa a Sede Central que no han habido accidentes laborales ni casos positivos de COVID </t>
  </si>
  <si>
    <t>De acuerdo con las evidencias suministradas por la Dirección Territorial Valle del Cauca se rindió informe en el cual no se presentaron novedades y/o situaciones de riesgo asociadas al personal.</t>
  </si>
  <si>
    <t>Se evidencia encuesta de satisfacción y percepción, informe de emergencias ambientales e informe de evaluación de simulacro.</t>
  </si>
  <si>
    <t>Durante el trimeste enero a marzo de 2021 se recaudaron: en Enero $5.682.813, en Febrero $8.245.949 y en Marzo $11.303.053 para un total de $25.231.815</t>
  </si>
  <si>
    <t>Durante el segundo trimestre abril a junio de 2021, se recaudaron: Abril $7.514.741, en Mayo $973.074 y en Junio $6.843.201, para un total de $15.331.016</t>
  </si>
  <si>
    <t>Durante el trimestre julio a septiembre de 2021, se recaudaron: Julio $9.877.347, en Agosto $7.614.098 y en Septiembre $10.208.258, para un total de $27699703</t>
  </si>
  <si>
    <t>se registra unas ventas por 27.699.703 en el trimestre</t>
  </si>
  <si>
    <t>De acuerdo con las evidencias suministradas por la Dirección Territorial Valle " Relación Ingresos de Contado" durante el primer semestre se han recibido $25.231.815 por concepto de certificados catastrales e información catastral</t>
  </si>
  <si>
    <t>De acuerdo con las evidencias suministradas por la Dirección Territorial Valle Relación Ingresos de Contado</t>
  </si>
  <si>
    <t>Se evidencian reportes mensuales con las ventas de la Territorial donde el monto por esto fue de $ 27.699.703</t>
  </si>
  <si>
    <t>Proceso</t>
  </si>
  <si>
    <t>Sub Proceso</t>
  </si>
  <si>
    <t>EJECUTADO TOTAL POR ACTIVIDAD</t>
  </si>
  <si>
    <t>Direccionamiento Estratégico y Planeación</t>
  </si>
  <si>
    <t>Gestión Estratégica</t>
  </si>
  <si>
    <t>Reportes de seguimiento a las metas institucionales y sectoriales</t>
  </si>
  <si>
    <t>Planeación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</si>
  <si>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</si>
  <si>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</si>
  <si>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</si>
  <si>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</si>
  <si>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realizó Comité Institucional de Gestión y Desempeño donde se generaron alertas de seguimiento a las metas institucionales y sectoriales</t>
  </si>
  <si>
    <t xml:space="preserve"> </t>
  </si>
  <si>
    <t>Se observa que se presentaron reportes de seguimiento mejorados en los Comités de Gestión y Desempeño</t>
  </si>
  <si>
    <t>Se observa que el proceso genero alertas de seguimiento a las metas institucionales y sectoriales durante el segundo trimestre.</t>
  </si>
  <si>
    <t>De acuerdo con las evidencias, se observa que durante el tercer trimestre se generaron 3 Comité Institucional de Gestión y Desempeño donde se generaron alertas de seguimiento a las metas institucionales y sectoriales</t>
  </si>
  <si>
    <t xml:space="preserve">Se evidencia la presentación de los  reportes de seguimiento mejorados en los Comités de Gestión y Desempeño Actas del 28 y 29 de enero y 19 de marzo; así como correos con información para comités y reporte de ejecución. </t>
  </si>
  <si>
    <t>Mediante Actas 4, 5 y 7, se evidencia la realización de Comité de Gestión y Desempeño, con la generación de alertas de seguimiento a las metas institucionales y sectoriales durante el periodo.</t>
  </si>
  <si>
    <t>De acuerdo a los soportes entregados, ACTAS Comité Institucional de Gestión y Desempeño, se evidencia el avance reportado.</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</si>
  <si>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</si>
  <si>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</si>
  <si>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</si>
  <si>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realizó publicación en el link: https://www.igac.gov.co/es/contenido/metas-objetivos-e-indicadores-de-gestion-yo-desempeno el seguimiento a las metas Plan Nacional de Desarrollo y de SPI con el el cierre del primer trimestre del 2021</t>
  </si>
  <si>
    <t>Se realizó publicación en el link: https://www.igac.gov.co/es/contenido/metas-objetivos-e-indicadores-de-gestion-yo-desempeno el seguimiento a las metas Plan Nacional de Desarrollo y de SPI con el el cierre del segundo trimestre del 2021</t>
  </si>
  <si>
    <t>Se observa que se elaboraron, presentaron y publicaron los reportes de seguimiento de las metas institucionales en  las herramientas definidas por el cierre del 2020</t>
  </si>
  <si>
    <t xml:space="preserve">Se observa que el proceso público en el link: https://www.igac.gov.co/es/transparencia-y-acceso-a-la-informacion-publica/metas-objetivos-e-indicadores-de-gestion-yo-desempeno_x000D_
el seguimiento a las metas Plan Nacional de Desarrollo y de SPI con el cierre del primer trimestre del 2021_x000D_
</t>
  </si>
  <si>
    <t>Revisado el enlace https://www.igac.gov.co/es/transparencia-y-acceso-a-la-informacion-publica/metas-objetivos-e-indicadores-de-gestion-yo-desempeno, se observa que aparecen publicados los seguimientos del tercer trimestre a las metas Plan Nacional de Desarrollo y de SPI.</t>
  </si>
  <si>
    <t>Se verifica la elaboración, presentación y publicación de los reportes de seguimiento de las metas institucionales en las herramientas definidas cierre 2020.</t>
  </si>
  <si>
    <t>Se evidencia activiad con el proceso el proceso público en el link: https://www.igac.gov.co/es/transparencia-y-acceso-a-la-informacion-publica/metas-objetivos-e-indicadores-de-gestion-yo-desempeno</t>
  </si>
  <si>
    <t>Conforme a la revisión del link referido https://www.igac.gov.co/es/transparencia-y-acceso-a-la-informacion-publica/metas-objetivos-e-indicadores-de-gestion-yo-desempeno, se evidencia el avance reportado.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</si>
  <si>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</si>
  <si>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</si>
  <si>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</si>
  <si>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</si>
  <si>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</si>
  <si>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Se estructuro el anteproyecto de presupuesto y se cargo en la página de SIIF Nación el 29 de marzo </t>
  </si>
  <si>
    <t>Actividad completada en el primer trimestre del 2021. Sin meta para este periodo.</t>
  </si>
  <si>
    <t xml:space="preserve">Se observa que se estructuró el anteproyecto de presupuesto </t>
  </si>
  <si>
    <t>Sin meta para este periodo.</t>
  </si>
  <si>
    <t>Se verifica la actividad con las evidencias aportadas por el proceso como los formularios, la justificación y programa de gastos e ingresos.</t>
  </si>
  <si>
    <t>No se tiene programada meta.</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</si>
  <si>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</si>
  <si>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</si>
  <si>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</si>
  <si>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</si>
  <si>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</si>
  <si>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No hay meta para este trimestre</t>
  </si>
  <si>
    <t>Presentar ante las instancias definidas el anteproyecto de presupuesto del IGAC.</t>
  </si>
  <si>
    <t>Presentación anteproyecto de presupuesto</t>
  </si>
  <si>
    <t>Se presentó el 29 de marzo ante el Ministerio de Hacienda y Crédito Público el anteproyecto de presupuesto del IGAC.</t>
  </si>
  <si>
    <t>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t>
  </si>
  <si>
    <t>Actividad completada en el segundo trimestre del 2021. Sin meta para este periodo.</t>
  </si>
  <si>
    <t xml:space="preserve">Se observa que el Anteproyecto de presupuesto se presentó ante el Ministerio de Hacienda y Crédito Público el 29 de marzo </t>
  </si>
  <si>
    <t>Se observa que el proceso envió la presentación del anteproyecto de presupuesto</t>
  </si>
  <si>
    <t xml:space="preserve">Se evidencia el envío mediante correo electrónico del Anteproyecto de presupuesto, al Ministerio de Hacienda y Crédito Público. </t>
  </si>
  <si>
    <t>De acuerdo con lo evidenciado, el proceso presentó ante las instancias definidas el anteproyecto de presupuesto del IGAC.</t>
  </si>
  <si>
    <t xml:space="preserve">Informes de gestión </t>
  </si>
  <si>
    <t>Elaborar los informes de gestión de la entidad (vigencia y congreso)</t>
  </si>
  <si>
    <t>Informe de gestión vigencia y congreso</t>
  </si>
  <si>
    <t>Informes de gestión elaborados</t>
  </si>
  <si>
    <t>Se realizó el informe de gestión cierre vigencia 2020</t>
  </si>
  <si>
    <t xml:space="preserve">Actividad programada para los próximos periodos. </t>
  </si>
  <si>
    <t>Se elaboró el informe sectorial al Congreso correspondiente al periodo 2020-2021. El documento se encuentra publicado en la página web de la entidad en la sección de Transparencia: https://igac.gov.co/es/transparencia-y-acceso-a-la-informacion-publica/informe_al_congreso</t>
  </si>
  <si>
    <t>Se observa que se realizó el informe de gestión cierre vigencia 2020</t>
  </si>
  <si>
    <t>Revisado el enlace citado, se observa que aparece publicado el informe sectorial al Congreso correspondiente al periodo 2020-2021.</t>
  </si>
  <si>
    <t>Se verifica el informe de gestión del cierre vigencia 2020.</t>
  </si>
  <si>
    <t>Conforme a la revisión del link referido https://igac.gov.co/es/transparencia-y-acceso-a-la-informacion-publica/informe_al_congreso, se evidencia la publicación del informe  al congreso.</t>
  </si>
  <si>
    <t>Elaborar los informes mensuales de ejecución presupuestal</t>
  </si>
  <si>
    <t>Informe ejecución presupuestal</t>
  </si>
  <si>
    <t>Se realizó informe de ejecución presupuestal de los meses de enero, febrero y marzo, a su vez la respectiva publicación en el link: https://www.igac.gov.co/es/transparencia-y-acceso-a-la-informacion-publica/presupuesto-y-ejecucion-general-de-ingresos-gastos-e-inversion</t>
  </si>
  <si>
    <t>Se realizó informe de ejecución presupuestal de los meses de abril, mayo y junio, a su vez la respectiva publicación en el link: https://www.igac.gov.co/es/transparencia-y-acceso-a-la-informacion-publica/presupuesto-y-ejecucion-general-de-ingresos-gastos-e-inversion</t>
  </si>
  <si>
    <t>Se realizó informe de ejecución presupuestal de los meses de julio, agosto y septiembre, a su vez la respectiva publicación en el link: https://www.igac.gov.co/es/transparencia-y-acceso-a-la-informacion-publica/presupuesto-y-ejecucion-general-de-ingresos-gastos-e-inversion</t>
  </si>
  <si>
    <t>Se observa que se elaboraron mensualmente  los informes mensuales de ejecución presupuestal</t>
  </si>
  <si>
    <t>Se observa los informe de ejecución presupuestal correspondientes al segundo trimestre elaborados y publicados por el proceso</t>
  </si>
  <si>
    <t>Revisado el enlace citado, se observa que aparece publicado el informe de ejecución presupuestal de los meses de julio, agosto y septiembre</t>
  </si>
  <si>
    <t>La actividad de "Elaborar los informes mensuales de ejecución presupuestal", para el trimestre, se verifica con la publicación en la página institucional.</t>
  </si>
  <si>
    <t>Se constata la realización  de informe de ejecución presupuestal en el periodo, y publicación en el link: https://www.igac.gov.co/es/transparencia-y-acceso-a-la-informacion-publica/presupuesto-y-ejecucion-general-de-ingresos-gastos-e-inversion.</t>
  </si>
  <si>
    <t>Conforme a la revisión del link referido: https://www.igac.gov.co/es/transparencia-y-acceso-a-la-informacion-publica/presupuesto-y-ejecucion-general-de-ingresos-gastos-e-inversion, se evidencia la publicación del informe de ejecución presupuestal para los meses julio, agosto y septiembre de 2021.</t>
  </si>
  <si>
    <t>Publicar los informes de gestión de la entidad en las herramientas definidas</t>
  </si>
  <si>
    <t>Publicación informes de gestión</t>
  </si>
  <si>
    <t>Se publicó el informe de gestión con el cierre de la vigencia 2020 en el link: https://www.igac.gov.co/es/contenido/informes-de-gestion-y-empalme</t>
  </si>
  <si>
    <t>Se publicó el informe al Congreso 2020-2021 en el link: https://igac.gov.co/es/transparencia-y-acceso-a-la-informacion-publica/informe_al_congreso</t>
  </si>
  <si>
    <t xml:space="preserve">Se observa que se publicó el informe de gestión2020  de la entidad </t>
  </si>
  <si>
    <t xml:space="preserve">Revisado el enlace citado, se observa que aparece publicado el informe al Congreso 2020-2021 </t>
  </si>
  <si>
    <t>Se verifica la publicación del informe de gestión de cierre de la vigencia 2020 del IGAC.</t>
  </si>
  <si>
    <t>Conforme a la revisión del link referido: https://igac.gov.co/es/transparencia-y-acceso-a-la-informacion-publica/informe_al_congreso, se evidencia la publicación del informe el informe al Congreso 2020-2021.</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</si>
  <si>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</si>
  <si>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</si>
  <si>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</si>
  <si>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llevó a cabo el seguimiento al avance en los diferentes temas de cooperación internacional adelantados desde cada una de las áreas misionales durante el primer trimestre del año 2021, se_x000D_
verificó el diligenciamiento de actividades y evidencias aportadas</t>
  </si>
  <si>
    <t>Se llevó a cabo el seguimiento al avance en los diferentes temas de Cooperación Internacional adelantados desde cada una de las áreas misionales durante el segundo trimestre del año 2021, se verificó el diligenciamiento de actividades y evidencias aportadas</t>
  </si>
  <si>
    <t>Se observa que se realizó seguimiento a los temas de Cooperación Internacional de la entidad</t>
  </si>
  <si>
    <t>Se observa el seguimiento realizado por el proceso en la Matriz de Cooperación Internacional</t>
  </si>
  <si>
    <t>De acuerdo con las evidencias, se observa que durante el tercer trimestre se llevó a cabo el seguimiento al avance en los diferentes temas de Cooperación Internacional adelantados desde cada una de las áreas misionales durante el segundo trimestre del año 2021</t>
  </si>
  <si>
    <t>La actividad de seguimiento a los temas de Cooperación Inrternacional del IGAC, son evidenciados con las matrices de seguimiento de los procesos a cargo, así como los correos de envío.</t>
  </si>
  <si>
    <t>Con las evidencias aportadas por el proceso se evidencia la realización de seguimiento a los temas de Cooperación Internacional de la entidad.</t>
  </si>
  <si>
    <t>De acuerdo a los soportes entregados, seguimiento a las diferentes dependencias que cuentan con temas de cooperaciòn, se evidencia el avance reportado.</t>
  </si>
  <si>
    <t>Gestión del SGI</t>
  </si>
  <si>
    <t>Modelo de operación optimizado</t>
  </si>
  <si>
    <t>Arquitectura de procesos</t>
  </si>
  <si>
    <t>Analizar comportamientos y variables asociadas a los procesos, sub procesos y procedimientos del IGAC</t>
  </si>
  <si>
    <t>Documento de casos de uso</t>
  </si>
  <si>
    <t>Número de procesos optimizados</t>
  </si>
  <si>
    <t>Se realizó el levantamiento de información y modelamiento del proceso de gestión contractual</t>
  </si>
  <si>
    <t xml:space="preserve">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t>
  </si>
  <si>
    <t>Actividad programada para el último trimestre del 2021.</t>
  </si>
  <si>
    <t>Se observa que se realizó el levantamiento de información y modelamiento documental del proceso de gestión contractual</t>
  </si>
  <si>
    <t>Se observa que el proceso realizó la identificación de variables de los procesos en los documentos de casos de uso</t>
  </si>
  <si>
    <t>Se evidenció la realización  del levantamiento de información y modelamiento del proceso de gestión contractual.</t>
  </si>
  <si>
    <t>Se verifica en las matrices aportadas por el proceso la realización de  la identificación de variables de los procesos en los documentos de casos de uso</t>
  </si>
  <si>
    <t>Modelar los procesos, sub procesos y procedimientos del IGAC</t>
  </si>
  <si>
    <t>Modelo de Procesos</t>
  </si>
  <si>
    <t xml:space="preserve">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t>
  </si>
  <si>
    <t>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t>
  </si>
  <si>
    <t>Se observa que se realizó modelamiento documental del proceso de gestión contractual</t>
  </si>
  <si>
    <t>Se observa el modelamiento de los procesos realizado durante el segundo trimestre.</t>
  </si>
  <si>
    <t>De acuerdo con las evidencias, se observa que durante el tercer trimestre 2021 se modelaron los 17 procesos de la Entidad de acuerdo con la nueva cadena de valor y se socializaron las propuestas de caracterización presentadas</t>
  </si>
  <si>
    <t>De acuerdo a la información revisada, se evidencia la realización de la actividad.</t>
  </si>
  <si>
    <t>Se verifica el modelamiento de los procesos  de Control disciplinario, Gestión del Talento Humano, Gestión Geodésica, Regulación, Seguimiento y Evaluación y Servicio al Ciudadano y participación</t>
  </si>
  <si>
    <t>De acuerdo a los soportes entregados, caracterización de procesos y subprocesos y correos de aprobación, se evidencia el avance reportado.</t>
  </si>
  <si>
    <t>Presentar propuesta de mejora de los procesos, sub procesos y procedimientos del IGAC</t>
  </si>
  <si>
    <t>Documento de propuesta de mejora</t>
  </si>
  <si>
    <t xml:space="preserve">Actividad programada para próximos trimestres </t>
  </si>
  <si>
    <t>Se modelaron los diagramas 'To Be' de los procesos: Control disciplinario, gestión del talento humano, gestión geodésica, regulación, seguimiento y evaluación, servicio al ciudadano y participación, y gestión contractual.</t>
  </si>
  <si>
    <t>Se observan los documentos de propuesta de mejora presentados a los procesos durante el segundo trimestre.</t>
  </si>
  <si>
    <t>Sin meta programada para el trimestre.</t>
  </si>
  <si>
    <t>Se verifican las propuestas de mejora presentadas a los procesos durante el periodo.</t>
  </si>
  <si>
    <t>Sin meta para este trimestre</t>
  </si>
  <si>
    <t>MIPG implementado</t>
  </si>
  <si>
    <t>Implementar políticas y acciones enfocadas en el fortalecimiento institucional y la arquitectura de procesos como pilar estratégico del Institucional</t>
  </si>
  <si>
    <t>Elaborar informe respecto del análisis de las acciones de mejoramiento</t>
  </si>
  <si>
    <t>Informe</t>
  </si>
  <si>
    <t>Índice de desempeño institucional</t>
  </si>
  <si>
    <t>Se realizó reporte de acciones con corte al 31 de marzo de2021</t>
  </si>
  <si>
    <t xml:space="preserve">Actividad programada para el próximo trimestre. Sin meta asignada. </t>
  </si>
  <si>
    <t xml:space="preserve">Se realizó reporte de acciones con corte al 30 de septiembre. </t>
  </si>
  <si>
    <t>Se observa que se realizó reporte de acciones con corte al 31 de marzo de2021</t>
  </si>
  <si>
    <t>De acuerdo con las evidencias, se observa que durante el tercer trimestre se realizó reporte de acciones con corte al 30 de septiembre</t>
  </si>
  <si>
    <t>Se constata la realización del reporte de acciones con corte al 31 de marzo de2021.</t>
  </si>
  <si>
    <t>De acuerdo a los soportes entregados, Informe Acciones de Mejoramiento, se evidencia el avance reportado.</t>
  </si>
  <si>
    <t xml:space="preserve">Actualizar la información documentada del SGI del proceso. </t>
  </si>
  <si>
    <t>Actualización</t>
  </si>
  <si>
    <t>Aunque la actividad esta programada para el tercer trimestre, se adelanto parte de la actualización documenta, se carga en las evidencias el cronograma de trabajo.</t>
  </si>
  <si>
    <t>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t>
  </si>
  <si>
    <t>De acuerdo con las evidencias, se observa que durante el tercer trimestre se realizó seguimiento a la actualización documental del proceso de Direccionamiento Estratégico y Planeación.</t>
  </si>
  <si>
    <t>De acuerdo a los soportes entregados, Cronograma, se evidencia el avance reportado.</t>
  </si>
  <si>
    <t>Gestión de Riesgos</t>
  </si>
  <si>
    <t>Realizar seguimiento a los controles de los riesgos del proceso.</t>
  </si>
  <si>
    <t>Herramienta Planigac</t>
  </si>
  <si>
    <t>Se realizó seguimiento de acuerdo con la programación con corte al último trimestre de 2020</t>
  </si>
  <si>
    <t>Se realizó seguimiento de acuerdo con la programación con corte al primer trimestre del 2021 a través de cada asesor responsable desde la OAP.</t>
  </si>
  <si>
    <t>Se realizó seguimiento de acuerdo con la programación con corte al segundo trimestre del 2021 a través de cada asesor responsable desde la OAP.</t>
  </si>
  <si>
    <t>Se observa que se realizó seguimiento seguimiento a los controles de los riesgos institucionales con corte al último trimestre de 2020</t>
  </si>
  <si>
    <t>Se observan que el proceso realiza seguimiento del segundo trimestre en la Herramienta Planigac</t>
  </si>
  <si>
    <t xml:space="preserve">De acuerdo con las evidencias, se observa que durante el tercer trimestre se realizó seguimiento de acuerdo con la programación con corte al segundo trimestre del 2021 </t>
  </si>
  <si>
    <t>Se verifica el seguimiento a los controles de los riesgos institucionales con corte al último trimestre de 2020.</t>
  </si>
  <si>
    <t>Se evidencia la realización del seguimiento en el periodo a Sede Central y Direcciones Territoriales en la herramienta Planigac.</t>
  </si>
  <si>
    <t>De acuerdo a los soportes entregados, reporte definitivo y relación de PLANIGAC para sede central y territoriales, se evidencia el avance reportado.</t>
  </si>
  <si>
    <t>Elaborar mapa de riesgos institucional 2022</t>
  </si>
  <si>
    <t>Actividad programada para el cuarto trimestre.</t>
  </si>
  <si>
    <t>Realizar acompañamiento a los procesos en el seguimiento al PAA y PAAC</t>
  </si>
  <si>
    <t>Herramienta Planigac y Matriz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</si>
  <si>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</si>
  <si>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</si>
  <si>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observan que el proceso realiza acompañamiento a los procesos y DT en la Herramienta Planigac y Matriz PAAC durante el segundo trimestre</t>
  </si>
  <si>
    <t>De acuerdo con las evidencias, se observa que durante el tercer trimestre se realizó acompañamiento a través de cada uno de los enlaces en la herramienta PLANIGAC frente al PAA y también en el PAAC</t>
  </si>
  <si>
    <t>Se evidencia el acompañamiento durante el periodo por los responsables  a los procesos en el seguimiento al PAA y PAAC.</t>
  </si>
  <si>
    <t xml:space="preserve">Constatado lo soportado por el proceso se evidencia la realización  en el acompañamiento a los procesos seguimiento PAA y PAAC. </t>
  </si>
  <si>
    <t>De acuerdo a los soportes entregados, relación de PLANIGAC para sede central y territoriales y seguimiento segundo semestre, se evidencia el avance reportado.</t>
  </si>
  <si>
    <t>Acompañar la formulación del PAA y del PAAC 2022</t>
  </si>
  <si>
    <t>Realizar análisis y seguimiento a los resultados del PTS No conforme</t>
  </si>
  <si>
    <t>Matriz de producto no conforme 
Documento de análisis de producto no conforme</t>
  </si>
  <si>
    <t>Actividad programada a partir del segundo trimestre</t>
  </si>
  <si>
    <t xml:space="preserve">Se realizó monitoreo mensual a los productos, trabajos y servicios no conformes y se generó la matriz con corte al segundo trimestre del 2021, la cual se incluye como evidencia. </t>
  </si>
  <si>
    <t xml:space="preserve">Se realizó monitoreo mensual a los productos, trabajos y servicios no conformes y se generó la matriz con corte al tercer trimestre del 2021, la cual se incluye como evidencia. </t>
  </si>
  <si>
    <t>Se observa que el proceso monitorea el producto no conforme</t>
  </si>
  <si>
    <t>De acuerdo con las evidencias, se observa que durante el tercer trimestre se realizó monitoreo mensual a los productos, trabajos y servicios no conformes y se generó la matriz con corte al tercer trimestre del 2021</t>
  </si>
  <si>
    <t>De acuerdo a lo soportado por el proceso se evidencia el monitoreo mensual a los productos, trabajos y servicios no conformes y la generación de  la matriz con corte al segundo trimestre del 2021.</t>
  </si>
  <si>
    <t>De acuerdo a los soportes entregados, reportes de los procesos sede central y direcciones territoriales, se evidencia el avance reportado.</t>
  </si>
  <si>
    <t>Realizar autodiagnósticos MIPG</t>
  </si>
  <si>
    <t>Autodiagnósticos diligenciados</t>
  </si>
  <si>
    <t>Actividad programada para el segundo y tercer trimestre</t>
  </si>
  <si>
    <t xml:space="preserve">Se realizaron 5 autodiagnósticos a partir de las herramientas dispuestas por el DAFP y con la información registrada en el FURAG para la vigencia 2020. </t>
  </si>
  <si>
    <t>se observa el diligenciamiento de los Autodiagnósticos durante el segundo trimestre</t>
  </si>
  <si>
    <t>De acuerdo con las evidencias, se observa que durante el tercer trimestre Se realizaron 5 autodiagnósticos a partir de las herramientas dispuestas por el DAFP y con la información registrada en el FURAG para la vigencia 2020.</t>
  </si>
  <si>
    <t>Se presenta por el proceso la realización de 5 autodiagnósticos, verificando la realización de la actividad.</t>
  </si>
  <si>
    <t>De acuerdo a los soportes entregados, cinco (5) autodiagnósticos, se evidencia el avance reportado.</t>
  </si>
  <si>
    <t>Generar informe frente a los resultados de la encuesta FURAG 2020 vs. 2019</t>
  </si>
  <si>
    <t>Actividad programada para los próximos trimestres.</t>
  </si>
  <si>
    <t xml:space="preserve">Actividad programada para el próximo trimestre. </t>
  </si>
  <si>
    <t>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t>
  </si>
  <si>
    <t>De acuerdo con las evidencias, se observa que durante el tercer trimestre se realizó informe comparativo con los resultados obtenidos en el FURAG en las vigencias 2019 -2020</t>
  </si>
  <si>
    <t>De acuerdo a los soportes entregados, informe resultados FURAC 2019-2020, se evidencia el avance reportado.</t>
  </si>
  <si>
    <t>Acompañar a los procesos para la formulación de las actividades o acciones que se deban generar a partir de los resultados del FURAG 2020</t>
  </si>
  <si>
    <t xml:space="preserve">Acta y / o correo, Formulario </t>
  </si>
  <si>
    <t>Se realizaron 3 acompañamientos para la preparación del FURAG 2021 con los procesos de Gestión del conocimiento y la innovación, Gestión de tecnologías de la información y servicio al ciudadano</t>
  </si>
  <si>
    <t xml:space="preserve">Se realizaron 6 acompañamientos para la preparación del FURAG 2021 con los procesos de Comunicaciones, Gestión Administrativa, Gestión Contractual, Gestión Documental, OAJ y Talento Humano. Se deja ejecución en 1 por ser una jornada masiva de acompañamiento. </t>
  </si>
  <si>
    <t>se observa el acompañamiento a Gestión del conocimiento y la innovación, Gestión de tecnologías de la información y servicio al ciudadano para la formulación de las actividades a partir de los resultados del FURAG 2020</t>
  </si>
  <si>
    <t>De acuerdo con las evidencias, se observa que durante el tercer trimestre se realizaron acompañamientos para la preparación del FURAG 2021 a partir de los resultados del FURAG 2020.</t>
  </si>
  <si>
    <t>Con las evidencias aportadas, se evidencia el acompañamiento tema FURAG a los procesos de Gestión del conocimiento y la innovación, Gestión de tecnologías de la información y servicio al ciudadano</t>
  </si>
  <si>
    <t>De acuerdo a los soportes entregados, seis (6) formatos de preparación FURAC 2021, se evidencia el avance reportado.</t>
  </si>
  <si>
    <t>Realizar y promover sensibilizaciones acerca de los temas del SGI-MIPG</t>
  </si>
  <si>
    <t>Sensibilización</t>
  </si>
  <si>
    <t xml:space="preserve">Se realizaron 18 sesiones de sensibilización sobre los temas del SGI en el componente de riesgos y en MIPG con los procesos y direcciones territoriales entre los días 15 y 18 de junio. </t>
  </si>
  <si>
    <t xml:space="preserve">Se realizaron 8 sesiones de sensibilización sobre los temas centrales de la OAP, en lo que se incluyeron las generalidades, medición y resultados de MIPG. Esta actividad se desarrolló con procesos y Direcciones Territoriales entre el 15 y 22 de septiembre. </t>
  </si>
  <si>
    <t>Se observa que el proceso realizo sensibilizaciones acerca de los temas del SGI-MIPG durante el segundo trimestre</t>
  </si>
  <si>
    <t xml:space="preserve">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t>
  </si>
  <si>
    <t>Se evidencia la realización de sensibilizaciones en los temas del SGI-MIPG durante el periodo.</t>
  </si>
  <si>
    <t>De acuerdo a los soportes entregados, sensibilizaciones realizadas, se evidencia el avance reportado</t>
  </si>
  <si>
    <t>Preparar y realizar las auditorias internas del SGI</t>
  </si>
  <si>
    <t>Plan, programa e informe de auditorias</t>
  </si>
  <si>
    <t xml:space="preserve">Se realizó socialización y aprobación del programa de auditoria </t>
  </si>
  <si>
    <t xml:space="preserve">Se realizó socialización y aprobación del programa de auditoria en su versión 2 en el que se actualizaron los meses de inicio de las auditorías internas </t>
  </si>
  <si>
    <t xml:space="preserve">Dado el proceso de modernización de la entidad, las auditorías internas se reprogramaron para el último trimestre del año. No obstante, para este periodo se adelantaron las acciones de planificación de las auditorías. </t>
  </si>
  <si>
    <t>Se observa que se  realizó aprobación del programa de auditoria en el Comité de Coordinación de Control Interno</t>
  </si>
  <si>
    <t>Se observa que el proceso realizó la socialización y aprobación del programa de auditoria.</t>
  </si>
  <si>
    <t>De acuerdo con las evidencias, se observa que durante el tercer trimestre se adelantaron las acciones de planificación de las auditorías internas al SGI.</t>
  </si>
  <si>
    <t>Se verifica en documento excel el programa de auditoria internas al SGI.</t>
  </si>
  <si>
    <t>Según lo evidenciado el proceso realizó la socialización y aprobación del programa de auditorias internas del SGI.</t>
  </si>
  <si>
    <t>De acuerdo a los soportes entregados, planificación proceso de auditorías al SGI, se evidencia el avance reportado, que se encuentra por debajo de lo programadao.</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</si>
  <si>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</si>
  <si>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</si>
  <si>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</si>
  <si>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Actividad completada satisfactoriamente el periodo anterior. </t>
  </si>
  <si>
    <t xml:space="preserve">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t>
  </si>
  <si>
    <t xml:space="preserve">Se observa justificación para reprogramar la actividad para la última semana del mes de abril de 2021. </t>
  </si>
  <si>
    <t>De acuerdo con los registros, se observa se incluyen evidencias de la sesión de Comité Institucional de Gestión y desempeño en el que se presentó la Revisión por la dirección, con el fin de ajustar el dato dejado de reportar en el segundo trimestre 2021.</t>
  </si>
  <si>
    <t>Se observa la justificación por parte del proceso, para la reprogramación de la actividad para el mes de abril de 2021.</t>
  </si>
  <si>
    <t>De acuerdo a los soportes entregados, revisión por la dirección, se evidencia el avance reportado.</t>
  </si>
  <si>
    <t>Acompañar la presentación de la auditoria externa para mantener la certificación en los sistemas de gestión de calidad y ambiental (visita de seguimiento)</t>
  </si>
  <si>
    <t>Auditoria externa</t>
  </si>
  <si>
    <t xml:space="preserve">Actividad programada para el cuarto trimestre. Sin meta asignada. </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</si>
  <si>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</si>
  <si>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</si>
  <si>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</si>
  <si>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</si>
  <si>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Oficina Asesora de Planeación</t>
  </si>
  <si>
    <t>Porcentaje de avance del plan de mantenimiento del SGA Implementado</t>
  </si>
  <si>
    <t>Efectividad</t>
  </si>
  <si>
    <t>Actividad programada para los siguientes trimestres trimestre.</t>
  </si>
  <si>
    <t xml:space="preserve">Se realizó seguimiento al Plan de trabajo del SGA donde se da cumplimiento al 100% de las actividades programadas. </t>
  </si>
  <si>
    <t>Se observa que el proceso hace seguimiento a la implementación del plan de trabajo del Sistema de Gestión Ambiental</t>
  </si>
  <si>
    <t>De acuerdo con las evidencias, se observa que durante el tercer trimestre se realizó seguimiento al plan de trabajo ambiental</t>
  </si>
  <si>
    <t>Se evidencia el seguimiento a la implementación del plan de trabajo del Sistema de Gestión Ambiental, de acuerdo a las evidencias aportadas por el proceso.</t>
  </si>
  <si>
    <t>De acuerdo a los soportes entregados, plan de trabajo ambiental 2021 , se evidencia el avance reportado.</t>
  </si>
  <si>
    <t>Actualizar matriz de cumplimiento legal ambiental</t>
  </si>
  <si>
    <t>Matriz de cumplimiento Legal</t>
  </si>
  <si>
    <t xml:space="preserve">Actividad programada para el tercer trimestre. Sin meta asignada para este periodo. </t>
  </si>
  <si>
    <t>Se realizó la actualización de la matriz legal ambiental para el 2021 y se publica en la página web: https://www.igac.gov.co/es/contenido/sistema-de-gestion-de-ambiental</t>
  </si>
  <si>
    <t>Revisado el enlace citado, se observa que aparece publicada la matriz actualizada de cumplimiento legal ambiental</t>
  </si>
  <si>
    <t>Revisado el link: https://www.igac.gov.co/es/contenido/sistema-de-gestion-de-ambiental, se evidencia el avance reportado.</t>
  </si>
  <si>
    <t>Realizar seguimiento al  cumplimiento legal ambiental.</t>
  </si>
  <si>
    <t xml:space="preserve">Dentro del seguimiento del Plan de Gestión del SGA se contempla el monitoreo del cumplimiento legal ambiental, de manera que al realizar esta actividad trimestralmente, se está realizando también el seguimiento de esta actividad. </t>
  </si>
  <si>
    <t xml:space="preserve">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t>
  </si>
  <si>
    <t>Se observa que el proceso hace seguimiento al  cumplimiento legal ambiental durante el segundo trimestre</t>
  </si>
  <si>
    <t>De acuerdo con las evidencias, se observa que durante el tercer trimestre se realizó seguimiento al  cumplimiento legal ambiental.</t>
  </si>
  <si>
    <t>Se evidencia el cumplimiento en la realización de seguimiento al  cumplimiento legal ambiental.</t>
  </si>
  <si>
    <t xml:space="preserve">De acuerdo a los soportes entregados, plan de trabajo ambiental direcciones territoriales_x000D_
2021, se evidencia el avance reportado._x000D_
</t>
  </si>
  <si>
    <t>Gestión Administrativa</t>
  </si>
  <si>
    <t>Gestión de Inventarios</t>
  </si>
  <si>
    <t>Bienes de consumo y devolutivos registrados en el sistema</t>
  </si>
  <si>
    <t>Consolidar los inventarios de los módulos ERP (SAE y SAI) a nivel nacional, realizar el cierre de movimientos y actualización en la Sede Central (por demanda)</t>
  </si>
  <si>
    <t>Back Up, informes</t>
  </si>
  <si>
    <t>Subdirección Administrativa y Financiera</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</si>
  <si>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</si>
  <si>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</si>
  <si>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Durante el segundo trimestre se consolidó los inventarios de los modulos ERP (SAE y SAI) a nivel nacional, se realizó  el cierre de movimientos y actualización en la Sede Central (por demanda). Para este periodo se evidencia los back up de los meses de marzo, abril y mayo.</t>
  </si>
  <si>
    <t>Durante el tercer trimestre se consolidó los inventarios de los modulos ERP (SAE y SAI) a nivel nacional, se realizó  el cierre de movimientos y actualización en la Sede Central (por demanda). Para este periodo se evidencia los back up de los meses de julio, agosto y septiembre</t>
  </si>
  <si>
    <t>se revisan evidencias, encontrando afinidad entre las mismas y el producto esperado</t>
  </si>
  <si>
    <t>se verificó el cargue de la evidencia y el reporte del avance</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</si>
  <si>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</si>
  <si>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t>
  </si>
  <si>
    <t>Se verifica ejecución de la actividad con los soportes suministrados (Backup devolutivo SAI, Backup SAE y cierre movimientos módulos ERP SAE y SAI, Backup Consumo correspondientes a julio, agosto y septiembre de 2021)</t>
  </si>
  <si>
    <t xml:space="preserve">Depurar inventario, propiedad planta y equipo, y realizar el levantamiento del mismo. </t>
  </si>
  <si>
    <t>Archivo del inventario físico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</si>
  <si>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</si>
  <si>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</si>
  <si>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Teniendo en cuenta los soportes suministrados y los documentos "INFORME LEVANTAMIENTO DE INVENTARIO BIENES EN BODEGA" para los meses de abril, mayo y junio se observa la ejecución de la actividad.</t>
  </si>
  <si>
    <t>Se observa ejecución de la actividad con los Informes de Levantamiento de Inventarios de Bienes de Consumo correspondientes a los meses de julio, agosto y septiembre de 2021.</t>
  </si>
  <si>
    <t>Plan Anual de Adquisiciones</t>
  </si>
  <si>
    <t>Custodiar y controlar el ingreso y salida de elementos</t>
  </si>
  <si>
    <t>Correos, electrónicos, informes, relación de elementos que ingresan y salen</t>
  </si>
  <si>
    <t>El GIT de Almacen realizó la custodia y el control de ingreso y salida de elementos durante el primer trimestre</t>
  </si>
  <si>
    <t>El GIT de Almacen realizó la custodia y el control de ingreso y salida de elementos durante el segundo trimestre</t>
  </si>
  <si>
    <t>El proceso de gestión de inventario realizó la custodia y el control de ingreso y salida de elementos durante el tercer trimestre</t>
  </si>
  <si>
    <t>Se observa registro de bienes de consumo y devolutivos en el módulos SAE y SAI de los meses de enero, febreo y marzo, por lo que existen evidencias del desarrollo de la actividad.</t>
  </si>
  <si>
    <t>Teniendo en cuenta los soportes suministrados se observa inventario de bienes de consumo en los módulos de SAE y SAI de los meses abril y mayo.</t>
  </si>
  <si>
    <t xml:space="preserve">Se evidencia ejecución de la actividad a través de los reportes SAE y SAI de julio, agosto y septiembre de 2021, reportes de ingreso de bienes de julio y agosto 2021 y el correo electrónico del 06/08/2021 sobre envío de la información de julio 2021 movimientos SAI Sede Central, Boletín Contable y reportes y backup inventarios a nivel nacional, entre otros. </t>
  </si>
  <si>
    <t>Realizar el proceso de bajas de bienes</t>
  </si>
  <si>
    <t>Correos, informes</t>
  </si>
  <si>
    <t>Durante el primer trimestre se realizó el proceso de bajas de bienes</t>
  </si>
  <si>
    <t>El GIT de Almacen realizó durante el segundo trimestre el proceso de bajas de bienes</t>
  </si>
  <si>
    <t>El proceso de gestión de inventario realizó durante el tercer trimestre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</si>
  <si>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</si>
  <si>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t>
  </si>
  <si>
    <t xml:space="preserve">Se verifica ejecución de la actividad mediante el listado de bienes suceptibles de baja con corte 10/09/2021 y los reportes reintegro de bienes de julio, agosto y septiembre de 2021, entre otros. </t>
  </si>
  <si>
    <t>Elaborar y publicar tips (recomendaciones sencillas y precisas sobre los temas más relevantes).</t>
  </si>
  <si>
    <t>Solicitud de publicación de los tips y/o publicación de los tips</t>
  </si>
  <si>
    <t>El GIT de Almacen publicó 3 tips durante este primer trimestre</t>
  </si>
  <si>
    <t>El GIT de Almacen publicó 2 tips durante el segundo trimestre</t>
  </si>
  <si>
    <t>El proceso de gestión de inventario publicó 2 tips durante el tercer trimestre</t>
  </si>
  <si>
    <t>De acuerdo con las evidencias suministradas el GIT de Almacén envío mediante correos electrónicos de fechas 17, 24 y 26 de marzo tips respecto a los procesos que se encuentran a cargo de esta área.</t>
  </si>
  <si>
    <t>Teniendo en cuenta los soportes suministrados  se presentan dos tips enviados por correo electrónico de fechas 25 y 27 de junio con información de interes del almacén general</t>
  </si>
  <si>
    <t>Se evidencia ejecución mediante los correos electrónicos del 12/07/2021 (se publican 3 tips) y 14/07/2021 (se publican 4 tips).</t>
  </si>
  <si>
    <t>Socialización, capacitación y acompañamiento a las Direcciones Territoriales en los tema de almacén</t>
  </si>
  <si>
    <t>Reuniones, correos electrónicos</t>
  </si>
  <si>
    <t>El GIT de Almacen realizó el acompañamiento a las Direcciones territoriales en los temas de almacen</t>
  </si>
  <si>
    <t>El proceso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</si>
  <si>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</si>
  <si>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Teniendo en cuenta los soportes suministrados se observa acompañamiento realizado durante el trimestre a las Direcciones Territoriales de: Caldas, Atlantico, Tolima y  Norte de Santander.</t>
  </si>
  <si>
    <t>Se observa cumplimiento de la actividad mediante correo del 04/08/2021 sobre habilitación de tercero para DT Tolima, correo 15/09/2021 acompañamiento solicitud de bienes DT Cesar, capacitación 27/07/2021 sobre funcionalidades ERP SAI almacenista DT Caldas, entre otros</t>
  </si>
  <si>
    <t>Gestión de Servicios</t>
  </si>
  <si>
    <t>Fortalecimiento de la Infraestructura Física del IGAC a nivel nacional</t>
  </si>
  <si>
    <t>Mejora Normativa</t>
  </si>
  <si>
    <t>Realizar el acompañamiento a las Direcciones Territoriales en el levantamiento de necesidades de infraestructura física y actualizar el diagnostico de las necesidades de infraestructura física a nivel nacional para la vigencia</t>
  </si>
  <si>
    <t>Correos, formato de diagnostico, listas de asistencia, diagnostico de necesidades a nivel nacional</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</si>
  <si>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</si>
  <si>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</si>
  <si>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</si>
  <si>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 xml:space="preserve">Se observa acompañamiento mediante los Informes de Gestión de abril, mayo y junio de 2021, la ficha de Autodiagnóstico NTC6047 de Territoriales, el Informe de Gestión segundo trimstre 2021 e imagenes de la DT Bolívar. </t>
  </si>
  <si>
    <t>Se observa ejecución de la actividad mediante el Informe de Gestión de Agosto 2021.</t>
  </si>
  <si>
    <t>Elaborar el plan de infraestructura para la vigencia</t>
  </si>
  <si>
    <t>Plan de infraestructura</t>
  </si>
  <si>
    <t>Esta actividad se desarrollará en el siguiente trimestre</t>
  </si>
  <si>
    <t>Se elaboró el plan de infraestructura durante el segundo trimestre</t>
  </si>
  <si>
    <t>Sin meta para el trimestre</t>
  </si>
  <si>
    <t>Se verifica ejecución de actividad mediante documentos Plan de Infraestructura mantenimiento sede central 2021, excel de Direcciones Territoriales 2021 y Cronograma actividades infraestrctura 2021.</t>
  </si>
  <si>
    <t>Sin meta para el tercer trimestre.</t>
  </si>
  <si>
    <t>Coordinar y realizar seguimiento al mantenimiento de las sedes planteadas en el proyecto de fortalecimiento de la infraestructura física a nivel nacional.</t>
  </si>
  <si>
    <t>Informe de gestión</t>
  </si>
  <si>
    <t>Se desarrollo informe del proyecto de inversión del primer trimestre.</t>
  </si>
  <si>
    <t>Se desarrollo informe del proyecto de inversión del segundo trimestre.</t>
  </si>
  <si>
    <t>Se desarrollo informe del proyecto de inversión del tercer trimestre.</t>
  </si>
  <si>
    <t>Se evidencia informe del proyecto de inversión del primer trimestre sin firmas. En la programación cuantitativa de la actividad dice que se presentaran 3 informes, pero solo se está presentando un nforme trimestral.</t>
  </si>
  <si>
    <t xml:space="preserve">Se observa el seguimiento realizado por el GIT Servicios Administrativos a través de los Informes de Seguimiento a los Proyectos de Inversión de los meses de abril, mayo, junio de 2021 y de la presentación sobre Proyectos de Inversión Primer Semestre 2021. </t>
  </si>
  <si>
    <t>se observa seguimiento realizado por la dependencia mediante los Informes de Seguimiento Proyectos de Inversión de julio, agosto y septiembre 2021.</t>
  </si>
  <si>
    <t>Coordinar y realizar seguimiento a la  adecuación de las sedes  planteadas en el proyecto de fortalecimiento de la infraestructura física a nivel nacional.</t>
  </si>
  <si>
    <t xml:space="preserve">Se observa ejecución de actividad con la presentación de los Proyectos de Inversión primer semestre 2021 y los Informes de seguimiento proyectos de inversión de abril, mayo y junio 2021. </t>
  </si>
  <si>
    <t xml:space="preserve">Se verifica ejecución a traves de los Seguimientos Proyectos de Inversión de julio, agosto y septiembre de 2021. </t>
  </si>
  <si>
    <t>Coordinar y realizar seguimiento al reforzamiento estructural de las sedes  planteadas en el proyecto de fortalecimiento de la infraestructura física a nivel nacional.</t>
  </si>
  <si>
    <t xml:space="preserve">Se observa seguimiento con Informes de proyectos de Inversión de abril, mayo y junio 2021 así como la presentación de Informe Proyectos de Inversión primer semestre 2021. </t>
  </si>
  <si>
    <t>Se observa ejecución de actividad mediante seguimiento proyectos de inversión del tercer trimestre 2021.</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</si>
  <si>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</si>
  <si>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</si>
  <si>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</si>
  <si>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</si>
  <si>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</si>
  <si>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Se observa seguimiento mediante documentos del 31/04/2021 y 02/06/2021 sobre contrato transporte especial, documento 28/06/2021 seguimiento contrato 247381 de 2021 e Informes sobre Transporte de abril y mayo 2021.</t>
  </si>
  <si>
    <t>Se evidencia seguimiento realizado en el trimestre mediante Informe sistema transporte de julio-agosto y septiembre 2021, factura electrónica de venta Fe587 del 13/09/2021, entre otros soportes.</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</si>
  <si>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</si>
  <si>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</si>
  <si>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</si>
  <si>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</si>
  <si>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Se verifica seguimiento y atención de servicios de transporte a través del Informe del segundo trimestre 2021 y las muestras de abril, mayo y junio 2021.</t>
  </si>
  <si>
    <t>Se verifica ejecución de la actividad con Informes de julio, agosto y septiembre de 2021</t>
  </si>
  <si>
    <t>Realizar seguimiento al Plan Estratégico de Seguridad Vial</t>
  </si>
  <si>
    <t>Se realizó seguimiento al Plan Estratégico de Seguridad Vial</t>
  </si>
  <si>
    <t xml:space="preserve">Se evidencia seguimiento al Plan Estrategico de Seguridad Vial realizados durante los meses de febrero y marzo. </t>
  </si>
  <si>
    <t>Se observa seguimiento con evidencias registradas de abril, mayo y junio 2021 y reporte de avance.</t>
  </si>
  <si>
    <t>Se verifica seguimiento al Plan de seguridad Vial con los Informes sobre Sistema de Transporte de julio, agosto y septiembre de 2021, entre otros.</t>
  </si>
  <si>
    <t>Listado Maestro de Documentos Actualizados, según cronograma</t>
  </si>
  <si>
    <t>Esta actividad se desarrollará en el tercer trimestre</t>
  </si>
  <si>
    <t>Se establecio cronograma para la actualización de los documentos que se encuentran en el SGI</t>
  </si>
  <si>
    <t>No se registra avance durante el trimestre</t>
  </si>
  <si>
    <t>Meta asignada para ejecutar en el tercer trimestre.</t>
  </si>
  <si>
    <t xml:space="preserve">Se verifica ejecución de la actividad mediante cronograma del 24/09/2021. </t>
  </si>
  <si>
    <t xml:space="preserve">Se realizó el seguimiento a los controles de los riesgos del proceso </t>
  </si>
  <si>
    <t>Se evidencia correo del 14-04-2021 en el que remiten seguimiento del Plan de Acción Anual y de los Riesgos de la Secretaría General.</t>
  </si>
  <si>
    <t>Se realizó ejecución de la actividad mediante cargue de evidencia y reporte de avance.</t>
  </si>
  <si>
    <t>Se verifica ejecución de la actividad con excel planigac Servicios Administrativos y correo en que se remite Planigac y seguimiento Plan Anticorrupción tercer trimestre 2021.</t>
  </si>
  <si>
    <t>Revisar y actualizar el mapa de riesgo del proceso de acuerdo con la política de riesgos aprobada.</t>
  </si>
  <si>
    <t>Esta actividad se desarrollará en el cuarto trimestre</t>
  </si>
  <si>
    <t>No estaba programdo avance para el periodo</t>
  </si>
  <si>
    <t>Sin meta asignada en el segundo trimestre.</t>
  </si>
  <si>
    <t>Realizar las actividades contempladas en el PAA y en el PAAC a cargo del proceso.</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</si>
  <si>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</si>
  <si>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</si>
  <si>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Se observa ejecución de la actividad mediante el cargue de evidencia y reporte del avance (Excel seguimiento segundo trimestre 2021 Plan Anticorrupción y archivo Planigac).</t>
  </si>
  <si>
    <t xml:space="preserve">Se verifica ejecución de la actividad a través de correo sobre envío Planigac Servicios Administrativos y Plan Anticorrupción tercer trimestre 2021 y excel seguimiento Plan Anticorrupcion tercer trimestre, entre otros.  </t>
  </si>
  <si>
    <t>Formular el PAA y del PAAC 2022 del proceso.</t>
  </si>
  <si>
    <t>No hay avance programado para el periodo</t>
  </si>
  <si>
    <t>Sin meta para este trimestre.</t>
  </si>
  <si>
    <t>Implementar oportunidades de mejora relacionadas al cumplimiento del FURAG que apliquen al proceso.</t>
  </si>
  <si>
    <t>Se desarrollo mesa de trabajo con la OAP en la cual se identificaron las acciones de merjoa para el cumpliento del FURAG</t>
  </si>
  <si>
    <t>Sin meta asignada para este trimestre.</t>
  </si>
  <si>
    <t>Se evidencia ejecución de la actividad mediante correo del 29/09/2021 sobre preparación FURAG 2021-2022 de Servicios Administrativos y documento excel.</t>
  </si>
  <si>
    <t>Gestión Catastral</t>
  </si>
  <si>
    <t>Avalúos Comerciales</t>
  </si>
  <si>
    <t xml:space="preserve">Avalúos comerciales elaborados 
</t>
  </si>
  <si>
    <t>Realizar 2.070 avalúos comerciales o la totalidad de los que sean solicitados en caso que sea un número inferior</t>
  </si>
  <si>
    <t xml:space="preserve">Reporte Excel de avalúos </t>
  </si>
  <si>
    <t>Subdirección de Avalúos</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</si>
  <si>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</si>
  <si>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 xml:space="preserve">Abril: Para el mes de Abril se entregaron 13 avalúos comerciales, los cuales fueron reportados por Sede Central (8), Norte de Santander (2), Tolima (2) y Meta (1)_x000D_
Mayo: Para el mes de Mayo se entregaron 13 avalúos comerciales, los cuales fueron reportados por Sede Central (10), Cundinamarca (1), Santander (1), y Tolima (1)_x000D_
Junio: Para el mes de Junio se entregaron 41 avalúos comerciales, los cuales fueron reportados por Sede Central (16), Magdalena (8) Meta (7), Cauca (6), y Córdoba (3) y Nariño (1)_x000D_
</t>
  </si>
  <si>
    <t>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t>
  </si>
  <si>
    <t>Reportaron los avalúos realizados</t>
  </si>
  <si>
    <t>La subdireccion realiza el reporte de los avalúos realizados</t>
  </si>
  <si>
    <t>El proceso reporta la realización de los avalúos (730) a nivel nacional</t>
  </si>
  <si>
    <t>Se evidencia reporte Excel de avalúos con 53 realizados en el primer trimestre.</t>
  </si>
  <si>
    <t xml:space="preserve">Se evidencia reporte Excel de avalúos con 67 realizados en el segundo trimestre. Nota: se reportaron 120 por el proceso y no corresponde al reporte. </t>
  </si>
  <si>
    <t>Se evidencia reporte Excel de avalúos con 610 realizados en el tercer trimestre. Nota: no cumple con la meta para este trimestre.</t>
  </si>
  <si>
    <t>Implementación módulo de avalúos</t>
  </si>
  <si>
    <t xml:space="preserve">Realizar las especificaciones del módulo de avalúos comerciales </t>
  </si>
  <si>
    <t>Documento de especificaciones</t>
  </si>
  <si>
    <t>Desarrollo e implementación de la herramienta de avalúos</t>
  </si>
  <si>
    <t>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t>
  </si>
  <si>
    <t>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t>
  </si>
  <si>
    <t>En el periodo no hay meta</t>
  </si>
  <si>
    <t>Presentan la programacion y los requerimientos para poner en marcha el modulo de avalúos</t>
  </si>
  <si>
    <t>en éste trimestre finalizan el acompañamiento de requerimientos funcionales para el módulo de avalúos</t>
  </si>
  <si>
    <t>Se evidencia borrador de requerimiento del módulo de avalúos y avance del aplicativo, no se cumple con la meta programada pero se ve un avance para este trimestre.</t>
  </si>
  <si>
    <t>Se evidencia entrega de documentos con especificaciones para del módulo de avalúos y avance del aplicativo.</t>
  </si>
  <si>
    <t xml:space="preserve">Realizar las pruebas del módulo de avalúos comerciales </t>
  </si>
  <si>
    <t>Pruebas realizadas</t>
  </si>
  <si>
    <t>No aplica para el periodo</t>
  </si>
  <si>
    <t>No aplica porque hasta ahora esta en proceso la creacion del modulo</t>
  </si>
  <si>
    <t>Trámites de avalúos</t>
  </si>
  <si>
    <t>Atender el 100% de las solicitudes de impugnación dentro del término de ley</t>
  </si>
  <si>
    <t>No hubo impugnaciones</t>
  </si>
  <si>
    <t xml:space="preserve">Abril: Se atiende de manera oportuna y bajo criterios de ley tres solicitudes de impugnación, dentro del periodo reportado._x000D_
Mayo y Junio: No se reciben solicitudes de impugnaciones durante los meses de mayo y junio._x000D_
</t>
  </si>
  <si>
    <t>Julio, Agosto y Septiembre: No se reciben solicitudes de impugnaciones durante los meses de julio, agosto y septiembre.</t>
  </si>
  <si>
    <t>no hubo impugnaciones, se acepta 1 ejecutado</t>
  </si>
  <si>
    <t>Anexaron las eviadencias del mes de abril respecto a las solicitudes de impugnación</t>
  </si>
  <si>
    <t>No hubo impugnaciones a avalúos</t>
  </si>
  <si>
    <t xml:space="preserve">Se evidencia oficios donde se da respuesta a las impugnaciones recibidas. </t>
  </si>
  <si>
    <t>Prestación del Servicio Catastral por Excepción</t>
  </si>
  <si>
    <t xml:space="preserve">Avalúos IVP elaborados 
</t>
  </si>
  <si>
    <t xml:space="preserve">Realizar 4.921 Avalúos IVP </t>
  </si>
  <si>
    <t>Reporte Word de avalúos IVP</t>
  </si>
  <si>
    <t xml:space="preserve">Julio: Se realizó alistamiento de la información requerida para trabajo de campo, de acuerdo a observaciones del DANE, capacitación para todos los profesionales y personal a cargo_x000D_
Agosto: Se finalizó con los 3.285 puntos visitados, lo que equivale al 66% del trabajo en campo; además se tiene un consolidado del 30% de ofertas de mercado (trabajo de oficina)_x000D_
Septiembre: Se da por terminadas las visitas o trabajo de recolección de la información en campo; se establece cronograma de entrega y gestión administrativa en pro del cumplimiento de objetivos._x000D_
</t>
  </si>
  <si>
    <t>Se realizan a final de año</t>
  </si>
  <si>
    <t>No aplica ya que todavia el DANE esta en proceso de solicitud</t>
  </si>
  <si>
    <t>No se han realizado, preparacion de los insumos para la elaboración</t>
  </si>
  <si>
    <t>Áreas geográficas homogéneas y actualizadas</t>
  </si>
  <si>
    <t>Atender el 100% de las solicitudes de modificación de estudios de ZHF y ZHG, provenientes de las Direcciones Territoriales en un término máximo de 15 días, una vez se encuentre completa la solicitud</t>
  </si>
  <si>
    <t>Solicitudes de ZHFyG atendidas</t>
  </si>
  <si>
    <t>No hubo solicitudes de modificación.</t>
  </si>
  <si>
    <t xml:space="preserve">Abril: Al mes de abril se han radicado tres solicitudes de ZHF y G provenientes de las direcciones territoriales de Norte de Santander (1), Tolima (1), y Meta (1); dos actualizaciones y una modificación respectivamente._x000D_
Mayo y Junio: No se reciben solicitudes de  ZHFy G durante los meses de mayo y junio._x000D_
</t>
  </si>
  <si>
    <t xml:space="preserve">Julio: No se reciben solicitudes de  ZHFy G durante el mes de julio_x000D_
Agosto: Durante el mes de agosto se reciben cuatro solicitudes de ZHFyG, las cuales son entregadas de acuerdo a los protocolos establecidos en la Subdirección de avalúos _x000D_
Septiembre: Para el mes de septiembre se tramitan nueve solicitudes se ZHF y G, de las cuales se aprueban tres, Pasto (Modificación), Popayán (ajuste) y Montenegro (Ajuste)._x000D_
</t>
  </si>
  <si>
    <t>Se acepta 1 aunque no hubo solicitudes</t>
  </si>
  <si>
    <t>Se observan las tres evidencias de los conceptos a las tres territoriales sobre las solicitudes de modificacion de zonas</t>
  </si>
  <si>
    <t>Realizaron el estudio a las solicitudes de modificación de las ZHF y G</t>
  </si>
  <si>
    <t>Se evidencia oficios con los conceptos emitidos en atención a las solicitudes recibidas de actualización o modificación de cambios de zonas homogéneas físicas y geoeconomicas.</t>
  </si>
  <si>
    <t>Se evidencia reporte con las solicitudes recibidas y atendidas de ZHF y G.</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</si>
  <si>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</si>
  <si>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</si>
  <si>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</si>
  <si>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Subdirección de Proyectos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</si>
  <si>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</si>
  <si>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</si>
  <si>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 xml:space="preserve">Abril: De los 158 oficios reportados se contestaron 153, 101 corresponden a oficios contestados por la plataforma SIGAC y 57 a traslados de oficios que se realizaron por correo electrónico(politicadetierras@igac.gov.co)._x000D_
Mayo: De los 131 oficios reportados se contestaron 126, 71 corresponden a oficios contestados por la plataforma SIGAC y 55 a traslados de oficios que se realizaron por correo electrónico(politicadetierras@igac.gov.co)._x000D_
Junio: De los 129 oficios contestados, 69 corresponden a oficios contestados por la plataforma SIGAC y 60 a traslados de oficios que se realizaron por correo electrónico(politicadetierras@igac.gov.co)._x000D_
</t>
  </si>
  <si>
    <t xml:space="preserve">Julio: De los 187 oficios contestados, 113 corresponden a oficios contestados por la plataforma SIGAC y 74 a traslados de oficios que se realizaron por correo electrónico(politicadetierras@igac.gov.co)._x000D_
Agosto: De los 126 oficios contestados, 18 corresponden a oficios contestados por la plataforma SIGAC y 108 a traslados de oficios que se realizaron por correo electrónico(politicadetierras@igac.gov.co)._x000D_
Septiembre: _x000D_
De los 227  oficios contestados, 126corresponden a oficios contestados por la plataforma SIGAC y 101 a traslados de oficios que se realizaron por correo electrónico(politicadetierras@igac.gov.co)._x000D_
</t>
  </si>
  <si>
    <t>Registraron la relacion de las respuestas</t>
  </si>
  <si>
    <t>Reportan listado con la atencion a las solicitudes a nivel nacional</t>
  </si>
  <si>
    <t>Anexan listado de solicitudes atendidas en materia de regularización</t>
  </si>
  <si>
    <t>Se evidencia reporte Excel del registro de contestaciones y de traslados a otra entidades en el primer trimestre.</t>
  </si>
  <si>
    <t>Se evidencia reporte Excel de los meses de abril, mayo y junio con el registro de contestaciones y de traslados a otra entidades en el segundo trimestre.</t>
  </si>
  <si>
    <t>Se evidencia reporte Excel de los meses de julio, agosto y septiembre con el registro de contestaciones y de traslados a otras entidades en el tercer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</si>
  <si>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</si>
  <si>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</si>
  <si>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 xml:space="preserve">Abril: Se recibieron 605 requerimientos y se atendieron 479, incluye solicitudes de información etapa administrativa y judicial, suspensión de predios y solicitud de peritajes en etapa judicial._x000D_
Mayo: Se recibieron 528 requerimientos y se atendieron 447, incluye solicitudes de información etapa administrativa y judicial, suspensión de predios y solicitud de peritajes en etapa judicial._x000D_
Junio: Se recibieron 523 requerimientos y se atendieron 587 , incluye solicitudes de información etapa administrativa y judicial, suspensión de predios y solicitud de peritajes en etapa judicial._x000D_
</t>
  </si>
  <si>
    <t>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t>
  </si>
  <si>
    <t>Registraron la atencion a las solicitudes</t>
  </si>
  <si>
    <t>relacionan cuadro con las solicitudes atendidas a nivel nacional</t>
  </si>
  <si>
    <t>El proceso atendió los requerminetos recibidos dentro de la politica de restitucion de tierras</t>
  </si>
  <si>
    <t>Se evidencia reporte de solicitudes recibidas y atendidas, se observa un cumplimiento de atención de solicitudes del 51,3% que es un porcentaje bajo a lo esperado para el trimestre.</t>
  </si>
  <si>
    <t>Se evidencia reporte de solicitudes recibidas y atendidas, se observa un cumplimiento de atención de solicitudes del 91,36% para el segundo trimestre.</t>
  </si>
  <si>
    <t>Se evidencia reporte de solicitudes recibidas y atendidas, se observa un cumplimiento de atención de solicitudes del 83,05% para el tercer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</si>
  <si>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</si>
  <si>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</si>
  <si>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</si>
  <si>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 xml:space="preserve">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
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
Junio: Se asistió a 2 audiencias de seguimiento de procesos étnicos una de parte del Juzgado Primero de Restitución de Tierras de Quibdó(Resguardo indígena Embera Cuti) y </t>
  </si>
  <si>
    <t>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t>
  </si>
  <si>
    <t>Se evidencia las actividades realizadas</t>
  </si>
  <si>
    <t>Relacionan las actividades atendidas en Resguardos Indigenas/Grupos etcnicos</t>
  </si>
  <si>
    <t>Registran evidencias de lo reportado en el autoseguimiento en cumplimiento de los autos</t>
  </si>
  <si>
    <t>Se evidencia reporte de excel donde se relacionan los autos, asistencias a consejos directivos de la ANT y tutelas a marzo de 2021.</t>
  </si>
  <si>
    <t>Se evidencia reporte de excel donde se relacionan los autos, asistencias a consejos directivos de la ANT y tutelas a junio de 2021.</t>
  </si>
  <si>
    <t>Se evidencia reporte de excel donde se relacionan los autos, asistencias a consejos directivos de la ANT y tutelas del tercer  trimestre de 2021.</t>
  </si>
  <si>
    <t>Área geográfica actualizada catastralmente</t>
  </si>
  <si>
    <t>Realizar la actualización física, jurídica y económica de los municipios del país programados para la vigencia 2021.</t>
  </si>
  <si>
    <t>Resoluciones de cierre</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</si>
  <si>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</si>
  <si>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</si>
  <si>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 xml:space="preserve">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
En Rioblanco (Tolima), Guamo y Córdoba (Bolívar) se realizó diagnóstico de la información catastral y análisis de la dinámica inmobiliaria e identificación del perímetro urbano para definir la zona de intervención del IGAC, en conjunto con la ANT._x000D_
</t>
  </si>
  <si>
    <t>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t>
  </si>
  <si>
    <t>Se verifico las actividades reportadas</t>
  </si>
  <si>
    <t>Se evidencia el seguimiento realizado a los procesos de actualizacion que están en proceso</t>
  </si>
  <si>
    <t>Registran el seguimiento a los procesos de actualización catastral que se vienen desarrollando</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</si>
  <si>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</si>
  <si>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t>
  </si>
  <si>
    <t>Trámites de conservación catastral</t>
  </si>
  <si>
    <t>Realizar como mínimo 448.209  trámites de conservación catastral</t>
  </si>
  <si>
    <t>Reporte Excel de conservación</t>
  </si>
  <si>
    <t>Número de trámites de conservación catastral</t>
  </si>
  <si>
    <t>En enero 6.158, en febrero 37.156 y en marzo se realizaron 34.219 trámites de conservación, para un total acumulado de 77.533 trámites, que corresponden al 17,30% de la meta anual.</t>
  </si>
  <si>
    <t xml:space="preserve">Abril: En el mes de abril se realizaron 36.533 trámites de conservación, para un total acumulado de 114.066 trámites, que corresponden al 25,45% de la meta anual._x000D_
Mayo: En el mes de mayo se realizaron 36.622 trámites de conservación, para un total acumulado de 150.688 trámites, que corresponden al 33,62% de la meta anual._x000D_
Junio: En el mes de junio se realizaron 35.763 trámites de conservación, para un total acumulado de 186.451 trámites, que corresponden al 41,60% de la meta anual._x000D_
</t>
  </si>
  <si>
    <t xml:space="preserve">Julio: En el mes de julio se realizaron 69.581 trámites de conservación, para un total acumulado de 256.032 trámites, que corresponden al 57,12% de la meta anual. _x000D_
Agosto: En el mes de agosto se realizaron 9.674 trámites de conservación, para un total acumulado de 265.706 trámites, que corresponden al 59,28% de la meta anual. _x000D_
Septiembre: En el mes de septiembre se realizaron 20.764 trámites de conservación, para un total acumulado de 286.470 trámites, que corresponden al 64% de la meta anual. _x000D_
</t>
  </si>
  <si>
    <t>Aunque no se cumplio con la meta se espera se cumpla en el siguiente trimestre</t>
  </si>
  <si>
    <t>Se observa en cuadro en evidencias el desarrollo de las metas de conservacion por DT</t>
  </si>
  <si>
    <t>Reporte por territorial de los tramites de conservacion catastral a septiembre 2021</t>
  </si>
  <si>
    <t>Se evidencia reporte Excel de tramites, donde se llevan 77.533 de una meta de 90.000 para el trimestre, por lo tanto, se observa un avance de 86,14 % del primer trimestre.</t>
  </si>
  <si>
    <t>Se evidencia reporte Excel de tramites, donde se realizaron 108.918 de una meta de 119.403 para el trimestre, por lo tanto, se observa un cumplimiento de 91,21 % de la meta del segundo trimestre. Nota: la cifra ejecutada está mal reportada.</t>
  </si>
  <si>
    <t>Se evidencia reporte Excel de trámites, donde se realizaron 100.019 de una meta de 119.403 para el trimestre, por lo tanto, se observa un cumplimiento de 83,76% de la meta del tercer trimestre. Nota: la cifra ejecutada está mal reportada</t>
  </si>
  <si>
    <t>Suministro y disposición de información catastral actualizada</t>
  </si>
  <si>
    <t>Realizar la consolidación y disposición de información catastral actualizada de forma mensual</t>
  </si>
  <si>
    <t>Reporte del Geoportal</t>
  </si>
  <si>
    <t>Dirección de Gestión Catastral</t>
  </si>
  <si>
    <t>Disposición de información catastral actualizada</t>
  </si>
  <si>
    <t>Para febrero se publicó la información en las páginas web geoportal y datos abiertos la información del componente alfanumérico y geográfico correspondiente a los meses de enero y febrero.</t>
  </si>
  <si>
    <t xml:space="preserve">Abril: Para el mes de abril se actualizó la información del geoportal y datos abiertos de acuerdo a la meta establecida._x000D_
Mayo: Para el mes de mayo se actualizó la información del geoportal y datos abiertos de acuerdo a la meta establecida._x000D_
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
</t>
  </si>
  <si>
    <t xml:space="preserve">Julio: Para el mes de julio se actualizó la información del geoportal y datos abiertos de acuerdo con la meta establecida._x000D_
Agosto: Para el mes de AGOSTO se actualizó la información del geoportal y datos abiertos de acuerdo a la meta establecida._x000D_
Septiembre: Para el mes de SEPTIEMBRE se actualizó la información del _x000D_
geoportal y datos abiertos de acuerdo a la meta establecida. Adicionalmente se entregara la información para el portal Colombia en Mapas._x000D_
</t>
  </si>
  <si>
    <t>registraron las publicaciones</t>
  </si>
  <si>
    <t>Registran la entrega de la informacion catastral a traves de Geoportal y datos abiertos de abril y mayo, junio no se realizo de acuerdo a lo que reportan</t>
  </si>
  <si>
    <t>actualización y disposicion de la informacion en el geoportal</t>
  </si>
  <si>
    <t>Se evidencia reporte de cargue de información de los meses de enero y febrero.</t>
  </si>
  <si>
    <t>Se evidencia correos donde se envía la información para su posterior cargue de la información de los meses de abril y mayo.</t>
  </si>
  <si>
    <t>Se evidencia correos donde se envía la información para su posterior cargue de la información de los meses de julio, agosto y septiembre.</t>
  </si>
  <si>
    <t>Formación, Actualización y Conservación Catastral</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</si>
  <si>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</si>
  <si>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</si>
  <si>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</si>
  <si>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Implementación del proyecto de Catastro Multipropósito, en el marco del crédito de la banca multilateral</t>
  </si>
  <si>
    <t>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t>
  </si>
  <si>
    <t>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t>
  </si>
  <si>
    <t>Aunque no se pueden leer bien las evidencias, se consta de que realizaron ese proceso para la contratación dentro del credito BID y Banca Mundial</t>
  </si>
  <si>
    <t>De acuerdo a los registros realizaron un contrato dentro de los procesos financiados por la banca multilateral</t>
  </si>
  <si>
    <t xml:space="preserve">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t>
  </si>
  <si>
    <t>Se evidencia actas de inicio y pantallazos de secop de las personas que son contratadas en marco de la banca multilateral.</t>
  </si>
  <si>
    <t>Resoluciones publicadas</t>
  </si>
  <si>
    <t>Afianzar al IGAC como máxima autoridad reguladora de los temas de su competencia</t>
  </si>
  <si>
    <t>Máxima autoridad reguladora</t>
  </si>
  <si>
    <t xml:space="preserve">Elaborar el proyecto de resolución de modificación de la resolución 070 de 2011 </t>
  </si>
  <si>
    <t>Resolución</t>
  </si>
  <si>
    <t>Socialización y publicación de la resolución</t>
  </si>
  <si>
    <t>Se avanzó en los ajustes propuestos por los gestores catastrales y se consolidó una nueva versión para revisión de jurídica.</t>
  </si>
  <si>
    <t>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t>
  </si>
  <si>
    <t xml:space="preserve">Julio: Se publicó el proyecto de resolución en la página del instituto para observaciones y comentarios de la ciudadanía con plazo al 30 de julio._x000D_
_x000D_
Agosto: Se publicó el 19 de agosto de 2021 _x000D_
</t>
  </si>
  <si>
    <t>Registraron el borrador de la reglamentacion tecnica para la formacion y actualizacion, conservacion, difusion catastral</t>
  </si>
  <si>
    <t>En las evidencias anexan la version ajustada de la resolucion 70</t>
  </si>
  <si>
    <t>se publicó y se expidio la 1149 de agosto</t>
  </si>
  <si>
    <t xml:space="preserve">Se observa borrador de modificación de la resolución 070 de 2011.
</t>
  </si>
  <si>
    <t xml:space="preserve"> Se evidencia proyecto de resolución con ajustes realizados.</t>
  </si>
  <si>
    <t>Se publicó y se expidio la resolucion 1149 de agosto</t>
  </si>
  <si>
    <t xml:space="preserve">Elaborar el proyecto de resolución de modificación de la resolución 643 de 2018 </t>
  </si>
  <si>
    <t>Subdirección de  Proyectos</t>
  </si>
  <si>
    <t xml:space="preserve">Se diseñó cronograma, se identificó que se requiere actualizar o modificar la resolución 193 de 2014, razón por la cual se generó cronograma específico para dicha resolución._x000D_
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
El avance de la resolución 193 de 2014 se encuentra en un 30%, hasta proyección de borrador del articulado propuesto._x000D_
</t>
  </si>
  <si>
    <t>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t>
  </si>
  <si>
    <t>Se observa la realizacion de los avances en la modificacion de la resolucion 643 y 193</t>
  </si>
  <si>
    <t>El proceso ha realizado los pasos para la modificación de la resolución y ser expuesta al publico</t>
  </si>
  <si>
    <t>Se evidencia el avance en el cronograma propuesto para la realización de las modificaciones a las resoluciones 193 y 643, al igual se observa el avance en los borradores de modificación.</t>
  </si>
  <si>
    <t>Se evidencia borrador de resolución Nota: no se avala avance hasta que no se encuentre publicada</t>
  </si>
  <si>
    <t>Sistema de información nacional de catastro multipropósito</t>
  </si>
  <si>
    <t xml:space="preserve">Fortalecer los recursos técnicos y tecnológicos para la modernización institucional </t>
  </si>
  <si>
    <t>Implementación del SINIC (sistema de información nacional de catastro multipropósito)</t>
  </si>
  <si>
    <t>Realizar las especificaciones funcionales del SINIC</t>
  </si>
  <si>
    <t>Desarrollo e implementación del SINIC</t>
  </si>
  <si>
    <t xml:space="preserve">Se revisó por parte de la Oficina de Tecnología, Dirección General, Subdirección de Catastro y Bancos el documento levantado por el Departamento Nacional de Planeación que contiene la lógica de lo que espera de la herramienta y se solicitaron los ajustes pertinentes._x000D_
_x000D_
Se realizó la planificación del cronograma y se iniciaron las reuniones de entendimiento con OIT._x000D_
</t>
  </si>
  <si>
    <t>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t>
  </si>
  <si>
    <t>Se observa en las evidencias el cronograma y las actividades realizadas para los ajustes</t>
  </si>
  <si>
    <t>han venido trabajando en el modelo SINIC para recibir propuestas y obsrvaciones</t>
  </si>
  <si>
    <t>Para este periodo no existe meta asignada</t>
  </si>
  <si>
    <t>Se evidencia cronograma de actividades y presentación Mapeo de Atributos CICA y GDB a modelo de Levantamiento Catastral para Construcción de ETLs. Nota: no se observa avance en la actividad.</t>
  </si>
  <si>
    <t>Se evidencia modelo de datos SINIC y se han venido realizando mesas de trabajo. Nota: no se presenta avance en esta actividad.</t>
  </si>
  <si>
    <t>Realizar las pruebas del SINIC</t>
  </si>
  <si>
    <t>Se está a la espera de tener las especificaciones funcionales del SINIC</t>
  </si>
  <si>
    <t>no hay avance respecto a la programacion</t>
  </si>
  <si>
    <t>No se presenta avance en esta actividad.</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</si>
  <si>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</si>
  <si>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</si>
  <si>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</si>
  <si>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</si>
  <si>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</si>
  <si>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 xml:space="preserve">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
Se realizó la homologación del modelo LADM y SNC _x000D_
En el segundo trimestre se identificaron nuevos componentes para esta actividad._x000D_
</t>
  </si>
  <si>
    <t xml:space="preserve">Se realizaron mesas de entendimiento técnico con la Dirección de tecnología de los siguientes requerimientos: _x000D_
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
_x000D_
Se inicia el levantamiento de información de los requerimientos: 1- Publicaciones en diario oficial 2- Control de calidad operadores 3- Apertura del proceso de actualización/formación catastral_x000D_
</t>
  </si>
  <si>
    <t>Anexaron lo correspondiente al avance</t>
  </si>
  <si>
    <t>Requerimientos y cronograma en evidencias</t>
  </si>
  <si>
    <t>Realizaron actividades para el avance en las especificaciones funcionales del SNC pero no hubo ejecucion en el avance</t>
  </si>
  <si>
    <t>Se evidencia avance con documento de épicas de tramites catastrales.</t>
  </si>
  <si>
    <t xml:space="preserve">Se evidencia documentos en el avance de las especificaciones funcionales del SNC.Nota:para este trimestre se debio tenerel documento definitivo con las especificaciones </t>
  </si>
  <si>
    <t>Realizaron actividades para el avance en las especificaciones funcionales del SNC pero no hubo avance de esta actividad.</t>
  </si>
  <si>
    <t>Puesta en marcha del sistema de información  nacional de catastro</t>
  </si>
  <si>
    <t>Realizar las pruebas del SNC</t>
  </si>
  <si>
    <t>Se está a la espera de tener las especificaciones funcionales del SNC.</t>
  </si>
  <si>
    <t>Se está a la espera de tener las especificaciones funcionales del SNC</t>
  </si>
  <si>
    <t>no aplica para este trimestre. no se ha ejecutado ninguna meta, se espera que para el ultimo trimestre se ejecute toda la meta</t>
  </si>
  <si>
    <t>No existe avance para esta actividad.</t>
  </si>
  <si>
    <t>Procedimientos en Word</t>
  </si>
  <si>
    <t>número</t>
  </si>
  <si>
    <t>Actualización, implementación y seguimiento de las actividades de MIPG</t>
  </si>
  <si>
    <t>Meta programada para los dos últimos trimestres</t>
  </si>
  <si>
    <t>Se está actualizando los procedimientos de Conservación Catastral y de elaboración de ZFHyG</t>
  </si>
  <si>
    <t>no hay actualizaciones a la fecha</t>
  </si>
  <si>
    <t xml:space="preserve">PLANIGAC </t>
  </si>
  <si>
    <t>Se realizó seguimiento al primer trimestre de los riesgos establecidos para la Subdirección.</t>
  </si>
  <si>
    <t>Se realizó seguimiento al Segundo trimestre de los riesgos establecidos para la Subdirección.</t>
  </si>
  <si>
    <t>Se realizó seguimiento al Tercer trimestre de los riesgos establecidos para la Dirección.</t>
  </si>
  <si>
    <t>el seguimiento lo hicieron en la plataforma de riesgos</t>
  </si>
  <si>
    <t>se direcciona al seguimiento de PLanner de riesgos</t>
  </si>
  <si>
    <t>la direccion de gestión catastral realizó el seguimiento al tercer trimestre a los riesgos establecidos para el proceso</t>
  </si>
  <si>
    <t>Se cargan evidencias en PLANIGAC</t>
  </si>
  <si>
    <t>Realizar reporte a los Producto, Trabajo y/o Servicio no Conforme del proceso.</t>
  </si>
  <si>
    <t>Formato de identificación y control de PTS</t>
  </si>
  <si>
    <t>Índice de Desempeño Institucional (IDI)</t>
  </si>
  <si>
    <t>Se hizo seguimiento al PTS No Conforme que se presentó para el primer trimestre de 2021, se adjunta como evidencias correos y matriz de PTS No Conforme</t>
  </si>
  <si>
    <t xml:space="preserve">Se hizo seguimiento al PTS No Conforme que se presentó para el segundo trimestre de 2021, se adjunta como evidencias correos y matriz de PTS No Conforme </t>
  </si>
  <si>
    <t xml:space="preserve">Se hizo seguimiento al PTS No Conforme que se presentó para el tercer trimestre de 2021, se adjunta como evidencias correos y cuadro resumen </t>
  </si>
  <si>
    <t>Registraron el seguimiento a nivel nacional de los productos no conformes</t>
  </si>
  <si>
    <t xml:space="preserve">Realizaron el cargue de evidencias por territorial de producto no conforme </t>
  </si>
  <si>
    <t>la direccion de gestión catastral realizó el seguimiento al tercer trimestre al Producto, Trabajo y/o Servicio no Conforme del proceso, anexando las evidencias correspondientes</t>
  </si>
  <si>
    <t>Se evidencias correos y matriz de PTS No Conforme</t>
  </si>
  <si>
    <t>Gestión Comercial</t>
  </si>
  <si>
    <t xml:space="preserve">Plan de Mercadeo Formulado e implementado </t>
  </si>
  <si>
    <t>Garantizar la autosostenibilidad del Instituto por medio de estrategias de mercadeo y comercialización, orientadas a fortalecer la venta de productos y servicios de la entidad.</t>
  </si>
  <si>
    <t xml:space="preserve">Planeación Institucional </t>
  </si>
  <si>
    <t xml:space="preserve">Formular el plan de Mercadeo </t>
  </si>
  <si>
    <t xml:space="preserve">Documento Plan de Mercadeo formulado y aprobado por la alta gerencia. </t>
  </si>
  <si>
    <t xml:space="preserve">Oficina Comercial </t>
  </si>
  <si>
    <t xml:space="preserve">Número </t>
  </si>
  <si>
    <t>Plan de Mercadeo formulado</t>
  </si>
  <si>
    <t>Sin meta asignada para el trimestre</t>
  </si>
  <si>
    <t xml:space="preserve">Información y Comunicación </t>
  </si>
  <si>
    <t>Transparencia, acceso a la información pública y Lucha contra la Corrupción.</t>
  </si>
  <si>
    <t>Actualizar el portafolio de productos y Servicios, alineado con el enfoque estratégico.</t>
  </si>
  <si>
    <t xml:space="preserve">Documento portafolio de productos y/o servicios aprobado por las áreas misionales.  Resolución de precios actualizada 2021. </t>
  </si>
  <si>
    <t xml:space="preserve">Informes de avance en la implementación del plan de mercadeo </t>
  </si>
  <si>
    <t xml:space="preserve">Se realizó la actualización del portafolio de productos y servicios, así como el componente de precios, expedidos a través de la resolución 481 de 2021, de acuerdo con el incremento del IPC 1,61% para la actual vigencia. </t>
  </si>
  <si>
    <t>De acuerdo con las evidencias suministradas, " Cátalogo bienes y servicios 2021" y resolución de actualización de precios se observa el desarrollo de la actividad.</t>
  </si>
  <si>
    <t xml:space="preserve">Servicio al ciudadano </t>
  </si>
  <si>
    <t xml:space="preserve">Gestionar las relaciones comerciales a través de las solicitudes que llegan de los diferentes grupos de interés publico y/o privados. . </t>
  </si>
  <si>
    <t xml:space="preserve">Actas de reunión - Llamadas telefónicas - Correos electrónicos enviados - Propuestas Técnicas y Económicas. </t>
  </si>
  <si>
    <t xml:space="preserve">Se respondieron las solicitudes realizadas por los clientes y/o grupos de interés públicos y privados, así como las remitidas por las diferentes dependencias del IGAC, por medio de correos electrónicos, llamadas telefónicas brindando la información en oportunidad. </t>
  </si>
  <si>
    <t>De acuerdo con las evidencias suministradas, "Gestionar relaciones comerciales" se presentan las actividades desarrolladas para el fortalecimiento de las acciones comerciales con diferentes grupos de interes e instituciones.</t>
  </si>
  <si>
    <t>Tramitar la realización y envió de propuestas técnico económicas.</t>
  </si>
  <si>
    <t xml:space="preserve">Propuestas técnico economicas realizadas y enviadas. Reporte de correos remitidos a los futuros aliados estratégicos. </t>
  </si>
  <si>
    <t xml:space="preserve">Se enviaron las propuestas técnico económicas y cotizaciones de los siguientes productos o servicios: A.  Actualización Catastral: 49 propuestas B. Conservación Catastral: 36 propuestas. C.  Información catastral: 27 Propuestas. </t>
  </si>
  <si>
    <t>De acuerdo con las evidencias suministradas, "Tramitar la realización y envió de propuestas técnico económicas" se osbserva el envío de diferentes propuestas.</t>
  </si>
  <si>
    <t xml:space="preserve">Brindar asistencia técnica comercial en la negociación con los aliados estratégicos a nivel nacional. (Áreas misionales, Direcciones Territoriales). 
</t>
  </si>
  <si>
    <t xml:space="preserve">Planillas de asistencia - Actas de reunión - Llamadas telefónicas - Correos electrónicos enviados.  </t>
  </si>
  <si>
    <t xml:space="preserve">Porcentaje </t>
  </si>
  <si>
    <t>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t>
  </si>
  <si>
    <t>Las evidencias suminitradas no corresponden al trimestre evaluado.</t>
  </si>
  <si>
    <t xml:space="preserve">Realizar mesas de trabajo con las áreas misionales para generar propuestas de valor frente a la gestión comercial. (procesos, personas, técnologia, servicio).  
</t>
  </si>
  <si>
    <t xml:space="preserve">Acta de reuniónes.  Planillas de asistencia - Actas de reunión - Llamadas telefónicas - Correos electrónicos enviados.  </t>
  </si>
  <si>
    <t>Se realizaron reuniones de trabajo con las diferentes dependencias del Instituto y direcciones territoriales brindando información técnica, suministrando documentos,  socialización de procedimientos.</t>
  </si>
  <si>
    <t>De acuerdo con las evidencias suministradas, "Realizxar mesas de trabajo con las áreas misionales" se observa ue se desarrollaron mesas de trabajo en el mes de agosto y septiembre.</t>
  </si>
  <si>
    <t xml:space="preserve">Gobierno Digital </t>
  </si>
  <si>
    <t>Actualizar y/o mantener los productos de la tienda virtual para la venta  de productos y servicios en línea.</t>
  </si>
  <si>
    <t xml:space="preserve">Reporte de actualización de los productos y/o servicios, asi como el seguimiento a las solicitudes de los clientes. 
Movimientos de inventario de nuevas publicaciones cargadas a 
tienda virtual. </t>
  </si>
  <si>
    <t>Se realizaron las actualizaciones de publicaciones de acuerdo con el inventario de productos de la tienda virtual.</t>
  </si>
  <si>
    <t>De acuerdo con las evidencias suministradas,  "Actualizar mantener los productos de la tienda virtual" se observa que durante los meses de julio, agosto y septiembre se han ido actualizando los productos.</t>
  </si>
  <si>
    <t xml:space="preserve">Evaluación de resultados </t>
  </si>
  <si>
    <t xml:space="preserve">Seguimiento y evaluacion del desempeño institucional </t>
  </si>
  <si>
    <t xml:space="preserve">Realizar seguimiento al cumplimiento de la meta de ingresos a nivel nacional. </t>
  </si>
  <si>
    <t xml:space="preserve">Reportes y/o análisis del comportamiento de las ventas - Reportes SIIF mensuales. Reportes del Seguimiento en Comités con la Alta Gerencia. </t>
  </si>
  <si>
    <t>Informes de seguimiento al cumplimiento de la meta de ingresos del Instituto</t>
  </si>
  <si>
    <t xml:space="preserve">Producto </t>
  </si>
  <si>
    <t>Se realizaron los seguimientos sobre el cumplimiento de la meta de ingresos, se actualizó el archivo de comité reducido y gráficos con información del periodo, con  corte al último informe correspondiente al mes de agosto de 2021.</t>
  </si>
  <si>
    <t>De acuerdo con las evidencias suministradas, "Ingresos SIIF Enero- Agosto" " Realizar Seguimiento a la meta de ingresos" se observa que durante los meses de julio, agosto y septiembre se realiza análisis y revisión de las metas de ingresos y su cumplimiento</t>
  </si>
  <si>
    <t>Implementar una (1) encuesta para medir el índice de satisfacción del cliente.</t>
  </si>
  <si>
    <t xml:space="preserve">Resultados de las encuestas y analisis de las mismas.  Correos eletrónicos y/o links de las encuestas enviadas. </t>
  </si>
  <si>
    <t xml:space="preserve">Medición del índice de satisfacción del cliente.  </t>
  </si>
  <si>
    <t xml:space="preserve">Eficacia </t>
  </si>
  <si>
    <t>Se proyectó encuesta en google forms y se remitió mediante correo electrónico a las diferentes entidades con las que tenemos relación comercial.</t>
  </si>
  <si>
    <t>De acuerdo con las evidencias suministradas, "Implementar encuesta indice satisfacción al cliente" se observa que durante el mes de septiembre se enviaron 22 encuestas a diferentes entidades con las que tiene relación el Instituto.</t>
  </si>
  <si>
    <t xml:space="preserve">Diseñar e implementar un (1) plan de mejora frente a los resultados de la medición de satisfacción del cliente. </t>
  </si>
  <si>
    <t xml:space="preserve">Plan de mejora diseñado y aprobado. </t>
  </si>
  <si>
    <t>Sin meta asignada para el trimestre.</t>
  </si>
  <si>
    <t>Implementar políticas y acciones enfocadas en el fortalecimiento institucional y la arquitectura de procesos como pilar estratégico del Institutocional</t>
  </si>
  <si>
    <t xml:space="preserve">Publicación de la documentacion actualizada del proceso. </t>
  </si>
  <si>
    <t>El pasado 22 de septiembre se estableció con la OAP el cronograma de actualización documental para el proceso comercial el cual se adjunta.</t>
  </si>
  <si>
    <t>De acuerdo con las evidencias suministradas, "Cronograma gestión Comercial" se observa que se establecen fechas para la actualización de los documentos.</t>
  </si>
  <si>
    <t>Reportes de segumiento, actas, correos, documento de implementación del plan anticorrupción.</t>
  </si>
  <si>
    <t>el proceso de Gestión Comercial no tiene a cargo actividades en el Plan Anticorrupción y Atención al Ciudadano, el seguimiento al Plan de Acción se realiza mediante el aplicativo PLANIGAC.</t>
  </si>
  <si>
    <t>No se presentan evidencias del desarrollo de la actividad.</t>
  </si>
  <si>
    <t>Identificar las acciones de mejora relacionadas al cumplimiento del FURAG que apliquen al proceso.</t>
  </si>
  <si>
    <t>Reportes, informes de las acciones de mejora implementadas.</t>
  </si>
  <si>
    <t>Esta actividad no está programada para el trimestre, sin embargo se anexa correo donde se confirma que el proceso de Gestión Comercial no tiene actividades programadas relacionadas al cumplimiento del FURAG que apliquen al proceso.</t>
  </si>
  <si>
    <t>Mapa de riesgos actualizado.</t>
  </si>
  <si>
    <t>Esta actividad no esta programada para el trimestre</t>
  </si>
  <si>
    <t>Realizar reporte a los producto, trabajo y/o servicio no conforme del proceso.</t>
  </si>
  <si>
    <t>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t>
  </si>
  <si>
    <t>Gestión Contractual</t>
  </si>
  <si>
    <t>Procesos de Contratación suscritos y perfeccionados</t>
  </si>
  <si>
    <t>Revisar, ajustar, consolidar y publicar el Plan Anual de Adquisiciones a nivel nacional</t>
  </si>
  <si>
    <t>Publicación en pagina WEB del PAA</t>
  </si>
  <si>
    <t>Porcentaje  de contratación adelantados</t>
  </si>
  <si>
    <t>Durante el primer trimestre se revisó, ajusto, consolido y se publicó el Plan Anual de Adquisiciones a nivel nacional esta actividad se desarrollo mensualmente</t>
  </si>
  <si>
    <t>Durante el segundo trimestre se revisó, ajusto, consolido y se publicó el Plan Anual de Adquisiciones a nivel nacional esta actividad se desarrollo mensualmente (https://www.igac.gov.co/transparencia-y-acceso-a-la-informacion-publica/plan-anual-de-adquisiciones)</t>
  </si>
  <si>
    <t>Se verifica la información y la evidencia aportada: Documentos de PAA, al ser coincidentes se aprueba el seguimiento.</t>
  </si>
  <si>
    <t>De acuerdo con los soportes entregados se observa que se ha consolidado y ajustado el Plana anual de adquisiciones a nivel nacional de acuerdo con las necesidades de la entidad</t>
  </si>
  <si>
    <t>De acuerdo con las evidencias suministradas se observa que se ha consolidado y ajustado el Plan anual de adquisiciones en los meses de abril, mayo y junio.</t>
  </si>
  <si>
    <t>De acuerdo con las eviencias suministradas se observa que se ha reevisado ajustado, consolidado y publicado el Plan Anual de Adquisiciones a nivel nacional durante los meses de julio, agosto, septiembre</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</si>
  <si>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</si>
  <si>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</si>
  <si>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</si>
  <si>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Durante los meses de abril, mayo y junio se elaboraron  los procesos de contratación utilizando las plataformas dispuestas por el Gobierno Nacional</t>
  </si>
  <si>
    <t>Durante los meses de julio, agosto y septiembre se elaboraron  los procesos de contratación utilizando las plataformas dispuestas por el Gobierno Nacional</t>
  </si>
  <si>
    <t>Se verifica la información y la evidencia aportada: Informes de contratación efectuada, al ser coincidentes se aprueba el seguimiento.</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</si>
  <si>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</si>
  <si>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Teniendo en cuenta los soportes suministrados, el documento "Informes de Gestión- Plan de acción 2021" se observa que para el mes de junio la sede central ha realizado 21 procesos de contratación, las direcciones territoriales 25 procesos, así mismo el plan de adquisiciones durante el mes de junio se modifio en 3 oportunidades.</t>
  </si>
  <si>
    <t xml:space="preserve">De acuerdo con los soportes suministrados, "Informes de Gestión- Plan de acción 2021" se observa que para el mes de julio la sede central realizó 36  procesos de contratación y las direcciones territoriales 64 procesos, el plan de adquisiciones se modifico 2 veces durante el mes de julio, en agosto la sede central realizó 37  procesos de contratación y las direcciones territoriales 130 procesos, el plan de adquisiciones se modifico 4 veces durante este mes. </t>
  </si>
  <si>
    <t xml:space="preserve">Apoyo precontractual y contractual para los procesos que se adelanten para la ejecución del crédito de banca multilateral </t>
  </si>
  <si>
    <t>Reuniones, correos electrónicos, informes</t>
  </si>
  <si>
    <t xml:space="preserve">El GIT de Gestión Contractual durante el primer trimestre estuvo apoyando el proceso  precontractual y contractual para los procesos que se adelanten para la ejecución del crédito de banca multilateral cuando fue requerido </t>
  </si>
  <si>
    <t xml:space="preserve">El GIT de Gestión Contractual durante el segundo trimestre estuvo apoyando el proceso  precontractual y contractual para los procesos que se adelanten para la ejecución del crédito de banca multilateral cuando fue requerido </t>
  </si>
  <si>
    <t xml:space="preserve">El GIT de Gestión Contractual durante el tercer trimestre estuvo apoyando el proceso  precontractual y contractual para los procesos que se adelanten para la ejecución del crédito de banca multilateral cuando fue requerido </t>
  </si>
  <si>
    <t>Se verifica la información y la evidencia aportada: Reuniones realizadas, al ser coincidentes se aprueba el seguimiento.</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</si>
  <si>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</si>
  <si>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Teniendo en cuenta los soportes suministrados se observa que el GIT de Gestión Contractual brindo los apoyos requeridos en las reuniones sostenidas en los meses de abril, mayo y junio.</t>
  </si>
  <si>
    <t>De acuerdo con las evidencias suministradas, soportes reuniones de julio, reuniones de la banca se observa que durante los meses de julio y agosto se brindo el apoyo requerido para los procesos de contratación.</t>
  </si>
  <si>
    <t>Brindar acompañamiento (capacitación, soporte y asesoría) a las diferentes áreas y Direcciones Territoriales del IGAC en asuntos contractuales en desarrollo de los procesos.</t>
  </si>
  <si>
    <t>El GIT de Gestión Contractual durante el primer trimestre prestó acompañamiento, soporte y asesoria a las diferentes áreas y Direcciones Territoriales del IGAC en asuntos contractuales en desarrollo de los procesos.</t>
  </si>
  <si>
    <t>El GIT de Gestión Contractual durante el segundo trimestre prestó acompañamiento, soporte y asesoria a las diferentes áreas y Direcciones Territoriales del IGAC en asuntos contractuales en desarrollo de los procesos</t>
  </si>
  <si>
    <t>El GIT de Gestión Contractual durante el tercer trimestre prestó acompañamiento, soporte y asesoria a las diferentes áreas y Direcciones Territoriales del IGAC en asuntos contractuales en desarrollo de los procesos</t>
  </si>
  <si>
    <t>Se verifica la información y la evidencia aportada: correos electronicos, al ser coincidentes se aprueba el seguimiento.</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</si>
  <si>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</si>
  <si>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t>
  </si>
  <si>
    <t>De acuerdo con los soportes suministrados, reuniones para capacitación de supervisiores, correos electrónicos de soporte asesoría se observa el acompñamiento brindado para el correcto funcionamiento de la supervisión de los contratos.</t>
  </si>
  <si>
    <t>Elaborar los informes requeridos en desarrollo  del proceso de Gestión Contractual</t>
  </si>
  <si>
    <t>Informes</t>
  </si>
  <si>
    <t>Se elaborarón informes sobre el desarrollo del proceso de gestión contractual mensualmente</t>
  </si>
  <si>
    <t>Se elaborarón informes sobre el desarrollo del proceso de gestión contractual mensualmente, adicionalmente se publicó mensualmente los planes de adquisiciones (https://www.igac.gov.co/transparencia-y-acceso-a-la-informacion-publica/plan-anual-de-adquisiciones)</t>
  </si>
  <si>
    <t>Se verifica la información y la evidencia aportada: Listados de contratos, al ser coincidentes se aprueba el seguimiento.</t>
  </si>
  <si>
    <t>De acuerdo con los soportes suministrados se observa que se han publicado los contratos suscritos en los meses de enero, febrero y marzo del 2021.</t>
  </si>
  <si>
    <t>Teniendo en cuenta los soportes suministrados se presenta relación de 46 contratos suscritos a nivle nacional durante el mes de junio.</t>
  </si>
  <si>
    <t>De acuerdo con los soportes suministrados, Contratos Julio, agosto y septiembre se observa que los procesos de contratación suscritos se han publicado y perfeccionado en los tiempos establecidos.</t>
  </si>
  <si>
    <t xml:space="preserve">Socializaciones y sensibilizaciones en temas en contratación y supervisión </t>
  </si>
  <si>
    <t>Realizar capacitaciones a los funcionarios y contratistas a nivel nacional, de acuerdo a los procedimientos de Contratación y supervisión e interventoría y demás formatos</t>
  </si>
  <si>
    <t>Lista de asistencia, programación de las socializaciones</t>
  </si>
  <si>
    <t>Actividades de socialización y sensibilizaciones realizadas</t>
  </si>
  <si>
    <t>Durante el primer trimestre del año el GIT Gestión Contractual realizaron capacitaciones a funcionarios y contratistas del IGAC</t>
  </si>
  <si>
    <t>Durante el segundo trimestre del año el GIT Gestión Contractual realizó 7 capacitaciones a funcionarios y/o contratistas del IGAC</t>
  </si>
  <si>
    <t>Durante el tercer trimestre del año el GIT Gestión Contractual realizó 10 capacitaciones a funcionarios y/o contratistas del IGAC</t>
  </si>
  <si>
    <t>Se verifica la información y la evidencia aportada: Registros de asistencia, al ser coincidentes se aprueba el seguimiento.</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</si>
  <si>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</si>
  <si>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Teniendo en cuenta los soportes suministrados se observan capacitaciones realizadas los días 8 de abril, 03 de mayo, 30 de mayo,4 de junio, 17 de junio.</t>
  </si>
  <si>
    <t>De acuerdo con los soportes suministrados, Registros de asistencia de fecha 02, 07,08,09 y 13 de julio, 01 de agosto, 01 y 06 dde septiembre se observa la socialización y capacitación en temas relacionados con supervisión de contratos.</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</si>
  <si>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</si>
  <si>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</si>
  <si>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</si>
  <si>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El GIT de Gestión Contractual publicó 5 tips durante el segundo trimestre</t>
  </si>
  <si>
    <t>El GIT de Gestión Contractual publicó 2 tips durante el tercer trimestre</t>
  </si>
  <si>
    <t>Se verifica la información y la evidencia aportada: Correos electronicos, al ser coincidentes se aprueba el seguimiento.</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</si>
  <si>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</si>
  <si>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Teniendo en cuenta los soportes suministrados se observa el envío de tips por medio de correo electrónico de fechas 08 de abril, 07 de mayo y 25 de mayo relacionados con las funciones de la supervisión de contratos.</t>
  </si>
  <si>
    <t>De acuerdo con los soportes suministrados, se observa que se envian tips relacionados con el proceso de supervisión por medio de correo electrónico de fecha 09 de juio y 13 de agosto.</t>
  </si>
  <si>
    <t>Avance en la actualización, implementación y seguimiento de las actividades de MIPG</t>
  </si>
  <si>
    <t>Esta actividad se desarrollara en los siguientes trimestres</t>
  </si>
  <si>
    <t>Esta actividad será desarrollada a partir del tercer trimestre</t>
  </si>
  <si>
    <t>Se realizó cronograma de actualización dela documentacion del SGI</t>
  </si>
  <si>
    <t>esta actividad se desarrollara en los siguientes periodos</t>
  </si>
  <si>
    <t>sin meta asignada para el periodo</t>
  </si>
  <si>
    <t xml:space="preserve">Sin avance para el periodo </t>
  </si>
  <si>
    <t>Sin meta asignada para el trimestre y sin evidencias de ejecución de la misma.</t>
  </si>
  <si>
    <t>No se presentan evidencias que demuestren el avance de la actividad.</t>
  </si>
  <si>
    <t xml:space="preserve">Realizar las actividades contempladas en el plan anticorrupción a cargo del proceso. </t>
  </si>
  <si>
    <t>El GIT realizó el seguimiento a las actividades del PAAC</t>
  </si>
  <si>
    <t>Se verifica la información y la evidencia aportada: Correo electronico, plan anticorrupción con seguimiento, al ser coincidentes se aprueba el seguimiento.</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</si>
  <si>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</si>
  <si>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Teniendo en cuenta los soportes suministrados se observa que el GIT de Gestión Contractual realiza seguimiento a las actividades contempladas en el Plan de Anticorrupción y Atención al Ciudadano.</t>
  </si>
  <si>
    <t>De acuerdo con los soportes suministrados, correo electrónico del 14 de octubre se observa envío del seguimiento realizado al PLan Anticorrupción y Atención al Ciudadano.</t>
  </si>
  <si>
    <t xml:space="preserve">Identificar las acciones de mejora relacionadas al cumplimiento del FURAG que apliquen al proceso. </t>
  </si>
  <si>
    <t>Esta actividad se desarrollará a partir del tercer trimestre</t>
  </si>
  <si>
    <t>En el mes de septiembre se realizó la reunión con la OAP para identificar las acciones de mejora respecto al FURAG</t>
  </si>
  <si>
    <t>esta actividad se desarrolla en los siguientes periodos</t>
  </si>
  <si>
    <t>se inicia en el tercer trimestre</t>
  </si>
  <si>
    <t>Se verifica la información y la evidencia aportada: archivos preparación FURAG, al ser coincidentes se aprueba el seguimiento.</t>
  </si>
  <si>
    <t>Sin meta asignada para el trimestre y sin evidencias de su ejecución.</t>
  </si>
  <si>
    <t>Sin meta asignada en el trimestre y sin evidencias de ejecución de la misma.</t>
  </si>
  <si>
    <t>De acuerdo con los soportes suministrados, "Preparación FURAG 2021 y correo electrónico de fecha 29 de septiembre" se realiza revisión de fechas de cumplimiento y responsables para el proceso de gestión contractual.</t>
  </si>
  <si>
    <t>Desde la reunión de la identificación de las acciones de mejora, se esta realizando control a las mismas para generar el efectivo cumplimiento</t>
  </si>
  <si>
    <t>se desarrolla a partir del tercer trimestre</t>
  </si>
  <si>
    <t>Se verifica la información y la evidencia aportada: Documentos FURAG, al ser coincidentes se aprueba el seguimiento.</t>
  </si>
  <si>
    <t>Sin meta asignada  para el trimestre y sin evidencias de su ejecución.</t>
  </si>
  <si>
    <t>De acuerdo con los soportes suministrados, "Preparación FURAG 2021 " se diligencia una versión preliminar de las preguntas del formulario FURAG</t>
  </si>
  <si>
    <t>Esta actividad se realizará en el cuarto trimestre</t>
  </si>
  <si>
    <t>se desarrolla en los periodos siguientes</t>
  </si>
  <si>
    <t>se realia seguimiento en tercer trimestre</t>
  </si>
  <si>
    <t>Sin meta programada para el periodo</t>
  </si>
  <si>
    <t>Gestión de Comunicaciones</t>
  </si>
  <si>
    <t>Gestión de Comunicaciones Externas</t>
  </si>
  <si>
    <t>Plan Estratégico de comunicaciones formulado e implementado.</t>
  </si>
  <si>
    <t xml:space="preserve">Trabajar de manera colaborativa y participativa con nuestras partes interesadas para la generación de valor público. </t>
  </si>
  <si>
    <t>Fortalecimiento de estrategias de comunicación institucional</t>
  </si>
  <si>
    <t>Información y Comunicación</t>
  </si>
  <si>
    <t xml:space="preserve">Diseñar el Plan Estratégico de Comunicaciones de la entidad. </t>
  </si>
  <si>
    <t>Documento Plan Estratégico de comunicaciones.</t>
  </si>
  <si>
    <t>Oficina Asesora de Comunicaciones</t>
  </si>
  <si>
    <t xml:space="preserve">Plan estratégico de comunicaciones formulado. </t>
  </si>
  <si>
    <t xml:space="preserve">El documento Plan Estratégico de Comunicaciones se encuentra publicado en la página web institucional. </t>
  </si>
  <si>
    <t>Actividad cumplida en el primer trimestre</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</si>
  <si>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</si>
  <si>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</si>
  <si>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</si>
  <si>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</si>
  <si>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</si>
  <si>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 xml:space="preserve">Se realizó el foro Colombia Tierra de Todos en conjunto con coordinación con Presidencia de la República. </t>
  </si>
  <si>
    <t>Se realizaron tres (3) foros durante el trimestre: 1. Foro Catastro Multipropósito. Nuevos retos, nuevos profesionales. 2. Catastro Multipropósito: Nuevos retos, nuevas oportunidades. 3. Lanzamiento proyecto de fortalecimiento de capacidades territoriales Boyacá.</t>
  </si>
  <si>
    <t>Se verifica la realización de la actividad con el Foro "Así evoluciona la gestión Catastral en Colombia", con fecha del 24 de marzode 2021.</t>
  </si>
  <si>
    <t>Sin meta para el periodo, sin embargo, se evidencia la  realización del foro Colombia Tierra de Todos en conjunto con coordinación con Presidencia de la República.</t>
  </si>
  <si>
    <t>Sin meta para el periodo, sin embargo, se evidencia la  realización del Foro Catastro Multipropósito, Lanzamiento proyecto de fortalecimiento de capacidades territoriales Boyacá.</t>
  </si>
  <si>
    <t xml:space="preserve">Realizar publicaciones en la página web y redes sociales sobre temas estratégicos de la entidad. </t>
  </si>
  <si>
    <t>Publicación de comunicados.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</si>
  <si>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</si>
  <si>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Durante el segundo trimestre se realizaron 19 publicaciones en la página web y 491 mensajes a través de las redes sociales (Twitter, Facebook e Instagram). </t>
  </si>
  <si>
    <t xml:space="preserve">Durante el tercer trimestre se realizaron 26 publicaciones en la página web y 453 mensajes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</si>
  <si>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</si>
  <si>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En el autoseguimiento se reporta la realización de 19 publicaciones en la página web y 491 mensajes a través de las redes sociales (Twitter, Facebook e Instagram).</t>
  </si>
  <si>
    <t>En el autoseguimiento se reporta la realización de 26 publicaciones en la página web y 453 mensajes a través de las redes sociales (Twitter, Facebook e Instagram</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</si>
  <si>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</si>
  <si>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</si>
  <si>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</si>
  <si>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Se realizaron los siguientes Facebook Live: Innovación en los análisis de suelos. 2. Fortalecimiento de la ICDE de los colombianos. 3. ¿Cómo sacarle provecho a Colombia en Mapas? 4. Foro Agrología, clave para el ordenamiento integral del territorio.</t>
  </si>
  <si>
    <t>Se realizaron dos (2) Facebook Live: 1. ¿Cómo sacarle provecho a Colombia en Mapas? 2. Foro Catastro Multipropósito. Nuevos retos, nuevos profesionales</t>
  </si>
  <si>
    <t xml:space="preserve">Se evidencia durante el periodo  la realización de 6 transmisiones en vivo, lal cual supera la meta programada, que era de 2. </t>
  </si>
  <si>
    <t>Se evidencia la realización Facebook Live en Innovación en los análisis de suelos, Fortalecimiento de la ICDE de los colombianos, ¿Cómo sacarle provecho a Colombia en Mapas, Foro Agrología, clave para el ordenamiento integral del territorio.</t>
  </si>
  <si>
    <t>Se evidencia la realización de dos  Facebook Live, el primero fue  Cómo sacarle provecho a Colombia en Mapas? 2. Foro Catastro Multipropósito.</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</si>
  <si>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</si>
  <si>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</si>
  <si>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</si>
  <si>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Se diseñaron los planes de medios para: 1. Colombia Tierra de Todos. 2. Plenaria ICDE. 3. Día de la Tierra. 4. El Catastro Multipropósito va por buen camino.  5. Trámites a la mano de los Colombianos’</t>
  </si>
  <si>
    <t xml:space="preserve">Se realizaron cuatro (4) planes de medios: 1. El IGAC a la Vanguardia de la Globalización. 2. Taller Colombia en Mapas. 3. Foro Catastro Multipropósito: Nuevos Retos, Nuevos Profesionales. 4. Ventajas y beneficios del Catastro Multipropósito para el país. </t>
  </si>
  <si>
    <t xml:space="preserve">Se verifica el diseño de 4 planes de medios con La rueda de prensa sobre los avances de la política de Catastro Multipropósito, Lanzamiento de Colombia en Mapas, Plan de medios de VIVI, y Plan de medios del foro de gestión catastral. </t>
  </si>
  <si>
    <t>Se evidencia el diseño de planes de medios sobre temas estratégicos para la Entidad.</t>
  </si>
  <si>
    <t xml:space="preserve">Se evidencia la realizacion de 4 planes de medios sobre temas estrategicos para la entidad </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</si>
  <si>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</si>
  <si>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</si>
  <si>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</si>
  <si>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formalizaron  149 alianzas estratégicas con los principales medios de comunicación del país y un ahorro para la entidad $92.040.711</t>
  </si>
  <si>
    <t xml:space="preserve">Se formalizaron 95 alianzas estratégicas con los principales medios de comunicación del país, lo que trae un ahorro para la entidad de $192.838.105 en Free Press. </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</si>
  <si>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</si>
  <si>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</si>
  <si>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se evidenció el cargue de la evidencia y el reporte del avance, con los soportes sumnisitrados por el proceso.</t>
  </si>
  <si>
    <t>Se evidencia formato donde se formalizaron 95 alianzas estratégicas con los principales medios de comunicación del país</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</si>
  <si>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</si>
  <si>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</si>
  <si>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</si>
  <si>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 xml:space="preserve">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
</t>
  </si>
  <si>
    <t xml:space="preserve">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t>
  </si>
  <si>
    <t>Durante el periodo se evidencia la realización de 6 columnas de la directora en dos medios de comunicación, superando la meta programada que fué de 3.</t>
  </si>
  <si>
    <t>Se evidencia durante el trimestre la realización de 5 columnas digitales de la Dirección General, en diferentes temas de interés.</t>
  </si>
  <si>
    <t>Se evidencia durante el trimestre la realización de 4  columnas digitales de la Dirección General, en diferentes temas de interés para la entidad.</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</si>
  <si>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</si>
  <si>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</si>
  <si>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</si>
  <si>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 xml:space="preserve">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
</t>
  </si>
  <si>
    <t xml:space="preserve">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t>
  </si>
  <si>
    <t>Se evidencia el diseño y cargue de la campaña para el producto certificado catastral, en plataforma virtual.</t>
  </si>
  <si>
    <t>De acuerdo a lo aportado por el proceso se evidencia el diseño y ejecución de campañas para la promoción de los productos y/o servicios de la Entidad.</t>
  </si>
  <si>
    <t>De acuerdo a lo aportado por el proceso se evidencia la realizaron  de 12 campañas para la promoción de los productos y/o servicios de la entidad.</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</si>
  <si>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</si>
  <si>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</si>
  <si>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</si>
  <si>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 xml:space="preserve">Se recopilaron y remitieron al área competente 753 mensajes directos de los ciudadanos recibidos a través de las redes sociales.  </t>
  </si>
  <si>
    <t xml:space="preserve">Se recopilaron y remitieron al área competente 844 mensajes directos de los ciudadanos recibidos a través de las redes sociales.  </t>
  </si>
  <si>
    <t>Se constata la recopilación y remisión mediante documento soporte de 792 mensajes de los ciudadanos recicibidos a través de las redes sociales.</t>
  </si>
  <si>
    <t xml:space="preserve">Se evidencia la compilación y remición  a las áreas competente las solicitudes allegadas de los ciudadanos a través de las redes sociales en el periodo. </t>
  </si>
  <si>
    <t xml:space="preserve">Se evidencia la compilación y remición  a las áreas competente las solicitudes allegadas de los ciudadanos a través de las redes sociales en e tercer  periodo. </t>
  </si>
  <si>
    <t>Gestión de Comunicaciones Internas</t>
  </si>
  <si>
    <t xml:space="preserve">Realizar campañas internas con el propósito de informar, socializar y que permitan fortalecer el sentido de pertenencia entre los servidores públicos de la entidad. </t>
  </si>
  <si>
    <t xml:space="preserve">Piezas de comunicación, correos electrónicos enviados, publicación en campañas e intranet.  </t>
  </si>
  <si>
    <t>Actividades del plan estratégico de comunicaciones internas implementadas</t>
  </si>
  <si>
    <t xml:space="preserve">Se diseñaron y ejecutaron las campañas internas: 1. Yo Soy IGAC y 2. Juntos Avanzamos. </t>
  </si>
  <si>
    <t xml:space="preserve">Se diseñaron y ejecutaron las campañas internas: 1. Diseño y ejecución de la campaña interna CheckList IGAC, cuyo propósito es dar a conocer la nueva herramienta de comunicación e información a los planes de Talento Humano. </t>
  </si>
  <si>
    <t>Se diseñaron y ejecutaron cuatro (4) campañas internas como : La ruta del cambio, Soy cultura IGAC e historias que transcienden.</t>
  </si>
  <si>
    <t>De acuerdo a lo aportado por el proceso, se verifica  el diseño y ejecución de 2 campañas internas, Yo Soy IGAC y Juntos Avanzamos. Se supera lo programado en el periodo.</t>
  </si>
  <si>
    <t>Se constató el diseño y ejecución de la campaña interna CheckList IGAC.</t>
  </si>
  <si>
    <t>Para el tercer trimestre se evidencia el diseño y ejecucion de 4 campañas internas para el IGAC</t>
  </si>
  <si>
    <t xml:space="preserve">Mantener actualizado el boletín institucional como espacio de participación con el cliente interno. </t>
  </si>
  <si>
    <t xml:space="preserve">Boletín actualizado y difundido. </t>
  </si>
  <si>
    <t xml:space="preserve">Se realizaron cuatro (4) actualizaciones del boletín institucional IGAC al día durante el trimestre. </t>
  </si>
  <si>
    <t xml:space="preserve">Se realizaron 6 actualizaciones del boletín institucional IGAC al día; entre los que se destacan los avances del Instituto frente a los procesos de actualización en el Departamento de Boyacá. </t>
  </si>
  <si>
    <t xml:space="preserve">Se realizaron seis (6) actualizaciones del boletín institucional IGAC al día; entre los que se destacan: reconocimiento de pacto global al IGAC, Ibagué se habilita como gestor catastral, agrología y su impacto en la construcción de país. </t>
  </si>
  <si>
    <t>Se verifican las 4  actualizaciones del boletín en el el trimestre; ejecutado igual a lo programado.</t>
  </si>
  <si>
    <t>Se constató la realización del diseño y ejecución de las campañas internas, como espacio de participación con el cliente IGAC.</t>
  </si>
  <si>
    <t>Se constató la realización  de seis actualizaciones del boletín institucional IGAC al día, actividades que mantienen actualizado el boletin institucional.</t>
  </si>
  <si>
    <t>Divulgar en los diferentes canales del instituto, contenidos sobre la importancia del cuidado y prevención del COVID-19.</t>
  </si>
  <si>
    <t xml:space="preserve">Piezas de comunicación, correos electrónicos enviados, publicación en campañas e IGANET. </t>
  </si>
  <si>
    <t xml:space="preserve">Se divulgó a través de piezas TIPS del protocolo de bioseguridad en pantallas digitales, correos electrónicos e IGANET. </t>
  </si>
  <si>
    <t xml:space="preserve">Se divulgó a través de piezas TIPS del protocolo de bioseguridad en pantallas digitales, correos electrónicos e IGACNET. </t>
  </si>
  <si>
    <t xml:space="preserve">Se continuó divulgando contenido a través de piezas TIPS sobre el protocolo de bioseguridad en pantallas digitales, correos electrónicos e IGANET. </t>
  </si>
  <si>
    <t>Se valida la divulgación  de piezas TIPS del protocolo de bioseguridad en los diferentes medios utilizados por el proceso.</t>
  </si>
  <si>
    <t>Se verificó el cargue y reporte a través de piezas TIPS del protocolo de bioseguridad en pantallas digitales, correos electrónicos e IGACNET.</t>
  </si>
  <si>
    <t>Se valida la divulgación  de contenido a través de piezas TIPS sobre el protocolo de bioseguridad en pantallas digitales, correos electrónicos e IGANET</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</si>
  <si>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</si>
  <si>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</si>
  <si>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t>
  </si>
  <si>
    <t xml:space="preserve">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t>
  </si>
  <si>
    <t>De acuerdo a lo evidenciado, se cumple con la actividad de realización de campañas internas solicitadas por los diferentes procesos a nivel nacional.</t>
  </si>
  <si>
    <t>De acuerdo a lo aportado por el proceso, se evidencia la atención de las solicitudes para realizar campañas internas solicitadas por las diferentes áreas a nivel nacional, en los diferentes canales del instituto.</t>
  </si>
  <si>
    <t>De acuerdo a lo aportado por el proceso, se evidencia la realizaron 24 campañas  por las diferentes áreas a nivel nacional, en los diferentes canales del instituto.</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</si>
  <si>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</si>
  <si>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</si>
  <si>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</si>
  <si>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realizaron 2 emisiones para la implementación del programa juntos avanzamos. </t>
  </si>
  <si>
    <t xml:space="preserve">Se realizaron tres (3) emisiones para la implementación del programa Juntos Avanzamos. </t>
  </si>
  <si>
    <t xml:space="preserve">Se evidencia durante el trimestre, el cargue de 2 emisiones para la implementación  del programa "Juntos Avanzamos". </t>
  </si>
  <si>
    <t xml:space="preserve">Se constató la realización de 2 emisiones para la implementación del programa juntos avanzamos. </t>
  </si>
  <si>
    <t>Se constató la realización de 3 emisiones para la implementación del programa juntos avanzamos</t>
  </si>
  <si>
    <t>Mantener actualizada la información institucional en los medios de comunicación internos.</t>
  </si>
  <si>
    <t>Publicaciones en la IGANET; Carteleras Digitales, Correo Electrónicos).</t>
  </si>
  <si>
    <t xml:space="preserve">La información dirigida a los servidores durante el trimestre fue publicada en cada uno de los diferentes canales institucionales como son: Correo, Igacnet, pantallas digitales.  </t>
  </si>
  <si>
    <t xml:space="preserve">La información dirigida a los servidores durante el trimestre fue publicada en cada uno de los diferentes canales institucionales: Correo, IGACNET, pantallas digitales.  </t>
  </si>
  <si>
    <t>De acuerdo a lo aportado por el proceso, se verifica el Mantenimiento y  actualización de  la información institucional en los medios de comunicación internos.</t>
  </si>
  <si>
    <t>Con los soportes del proceso se evidencia la realización de la actividad en el mantenimiento actualizado de la información institucional en correos, IGACNET y pantallas digitales.</t>
  </si>
  <si>
    <t>Apoyar las solicitudes de divulgación inherentes a la rendición de cuentas permanente de la entidad.</t>
  </si>
  <si>
    <t>Matriz de seguimiento, informes, actas de reunión.</t>
  </si>
  <si>
    <t>Sin meta asociada para el presente trimestre</t>
  </si>
  <si>
    <t>Formulación, diseño y difusión de los documentos de autodiagnóstico y autoevaluación de la rendición de cuentas, solicitados por el equipo de Servicio al Ciudadano.</t>
  </si>
  <si>
    <t xml:space="preserve">Se apoyaron las solicitudes como: Socialización oferta institucional del SNARIV. </t>
  </si>
  <si>
    <t>Se verificó el cargue de la evidencia y el reporte del avance de Formulación, diseño y difusión de los documentos de autodiagnóstico y autoevaluación de la rendición de cuentas, solicitados por Servicio al Ciudadano.</t>
  </si>
  <si>
    <t>Se verificó el cargue de la evidencia y el reporte del avance con la socialización de  oferta  institucional del SNARIV</t>
  </si>
  <si>
    <t>Apoyar las solicitudes de participación en eventos internos de la entidad.</t>
  </si>
  <si>
    <t>Se apoyaron las solicitudes de participación en eventos propios como son: 1. Lanzamiento “Colombia en mapas” y 2. “Comisión Accidental Cámara de Representantes.</t>
  </si>
  <si>
    <t>Difusión de la invitación y socialización del foro virtual ‘Colombia tierra de todos’ articulado y organizado por la Presidencia de la Republica.  En este espacio, el IGAC en representación de nuestra Directora General, moderó el primer panel sobre Catastro Multipropósito.</t>
  </si>
  <si>
    <t xml:space="preserve">Se apoyaron las solicitudes de participación en eventos internos de la entidad como: Cumpleaños número 86 del IGAC y día del empleado público entre otros. </t>
  </si>
  <si>
    <t>De acuerdo a lo aportado por el proceso, se evidencia el desarrollo de la actividad.</t>
  </si>
  <si>
    <t>Se verifica el Apoyo a las solicitudes de participacion en eventos internos de la entidad como Difusión de la invitación y socialización del foro virtual ‘Colombia tierra de todos’ articulado y organizado por la Presidencia de la Republica.</t>
  </si>
  <si>
    <t>Se verifica el Apoyo a las solicitudes de participacion en eventos internos de la entidad como la celebracion del cumpleaños del IGAC  y dia del empleado publico.</t>
  </si>
  <si>
    <t xml:space="preserve">Realizar encuestas de percepción de los servidores públicos frente a las comunicaciones internas. </t>
  </si>
  <si>
    <t>Documento de resultados de la Encuesta.</t>
  </si>
  <si>
    <t xml:space="preserve">Medición de la  percepción de las comunicaciones internas. </t>
  </si>
  <si>
    <t xml:space="preserve">Se realizó la primera encuesta de satisfacción sobre las comunicaciones internas evidenciando que el 91,4% de satisfacción. </t>
  </si>
  <si>
    <t xml:space="preserve">Se constat la realización de la primera encuesta de satisfacción sobre las comunicaciones internas. </t>
  </si>
  <si>
    <t xml:space="preserve">Sin meta asignada en el periodo </t>
  </si>
  <si>
    <t xml:space="preserve">Publicación de la documentación actualizada del proceso. </t>
  </si>
  <si>
    <t xml:space="preserve">Esta actividad se reprogramó para el siguiente trimestre. </t>
  </si>
  <si>
    <t>El pasado 17 de septiembre se llevó a cabo reunión con el Responsable del proceso de Gestión de Comunicaciones y la Oficina Asesora de Planeación para establecer el cronograma de actualización documental, el cual se adjunta.</t>
  </si>
  <si>
    <t>Como soporte se observa reunion de actualizacion documental.</t>
  </si>
  <si>
    <t>Reportes de seguimiento, actas, correos, documento de implementación del plan anticorrupción.</t>
  </si>
  <si>
    <t xml:space="preserve">Se realizaron las acciones contempladas en el Plan Anticorrupción durante el trimestre. </t>
  </si>
  <si>
    <t xml:space="preserve">Se realizaron las acciones contempladas en el PAA y el PAAC durante el trimestre. </t>
  </si>
  <si>
    <t>Para el periodo, se evidencia el cargue y el reporte de la acciones contempladas en el Plan Anticorrupción.</t>
  </si>
  <si>
    <t>Se verificó la realización de las acciones contempladas en el Plan Anticorrupción durante periodo.</t>
  </si>
  <si>
    <t>Conforme a lo manifestado en el autoseguimiento se realizaron acciones contempladas en el PAA  y el PAAC</t>
  </si>
  <si>
    <t>Durante el trimestre se realizó la identificación de las acciones de mejora relacionadas al cumplimiento del FURAG que aplican al proceso, se adjunta el reporte.</t>
  </si>
  <si>
    <t>En el autoseguimiento se hace la anotación que la actividad, se corrió para el siguiente semestre. Favor reflejar en Metas y ejecución por trimestre.</t>
  </si>
  <si>
    <t>se verifico el cargue de la evidenca y se observa reporte de las acciones de mejora relacionadas al cumplimiento del FURAG.</t>
  </si>
  <si>
    <t xml:space="preserve">Sin meta asociada para el presente trimestre. </t>
  </si>
  <si>
    <t xml:space="preserve">Sin meta asignada para el trimestre. </t>
  </si>
  <si>
    <t xml:space="preserve">Sin meta en el periodo </t>
  </si>
  <si>
    <t>Gestión de Información Geográfica</t>
  </si>
  <si>
    <t>Gestión Agrológica</t>
  </si>
  <si>
    <t xml:space="preserve">Áreas homogéneas elaboradas y actualizadas </t>
  </si>
  <si>
    <t>Seguimiento y evaluación del desempeño institucional</t>
  </si>
  <si>
    <t>Correlacionar o actualizar las áreas homogéneas de tierras a nivel nacional</t>
  </si>
  <si>
    <t xml:space="preserve">Hectáreas AHT elaboradas y actualizadas </t>
  </si>
  <si>
    <t>producto</t>
  </si>
  <si>
    <t>Se actualizaron 13 municipios</t>
  </si>
  <si>
    <t>Se actualizaron 1.002.197 has de AHT, con un avance del 35%, por encima de lo programado del 30%</t>
  </si>
  <si>
    <t>Se actualizaron 7.290.600 ha de AHT, para un avance del 243%, muy por encima de lo programado del 30%, esto debido  a los requerimientos de la Subdirección de Catastro con relación al proceso de Catastro Multipropósito</t>
  </si>
  <si>
    <t>No se cumplió la meta programada para el trimestre, por lo que se sugiere para próximos reportes describir los motivos por los cuales no fue posible alcanzar la meta programada.</t>
  </si>
  <si>
    <t>Si se dió cumplimiento a la meta programada en el periodo. Las evidencias deben reflejar el desarrollo de la actividad.</t>
  </si>
  <si>
    <t>No hay consistencia entre el valor reportado de 0,24% y la observación en la cual se reporta avance acumulado de 234% lo anterior dado que en ningun período se reportado ese margen de cumplimiento por encima de lo programado.</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</si>
  <si>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</si>
  <si>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t>
  </si>
  <si>
    <t xml:space="preserve">De acuerdo a las evidencias suministradas por el área se observa la actualización de AHT, para 30 municipios, lo que corresponde a un total de área de 7’290.608,30 ha, sin embargo, no se cumple con la meta programada para el tercer trimestre. Se recomienda validar la información suministrada de acuerdo al avance que describen en el autoseguimiento de un 243%.  </t>
  </si>
  <si>
    <t>Atender prioritariamente solicitudes judiciales, catastrales procesos de restitución de tierras, entre otras (a demanda).</t>
  </si>
  <si>
    <t>Se atendieron todas las solicitudes recibidas</t>
  </si>
  <si>
    <t>Fueron atentidas todas las solicitudes recibidas</t>
  </si>
  <si>
    <t>Se atendieron todas las solicitudes recibidas dentro de los tiempos establecidos</t>
  </si>
  <si>
    <t xml:space="preserve">Si se dió cumplimiento a la meta programada en el periodo. </t>
  </si>
  <si>
    <t xml:space="preserve">Se dío cumplimiento con lo programado en el período. </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</si>
  <si>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</si>
  <si>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t>
  </si>
  <si>
    <t xml:space="preserve">Se revisa el informe suministrado por el área donde se describe que para este trimestre del año se han atendido diez (10) solicitudes de asesoría agrológica de usuarios externos y veinticuatro (24) de información de clases agrológicas.  Dando cumplimiento a la meta programada. </t>
  </si>
  <si>
    <t>Estructurar el control de calidad y correlacionar digitalmente la información de áreas homogéneas producida por el GIT de Levantamientos y Aplicaciones.</t>
  </si>
  <si>
    <t>Se realizó la estructuración 9 municipios</t>
  </si>
  <si>
    <t>Se estructuraron AHT en un área de 1.124.410,72 ha, con un avance del 44% yel 14% por encima de o progamado, debido a que se ha avanzado en la actualizacion de AHT.</t>
  </si>
  <si>
    <t>Se estructuro un área de  5.089.200 ha para un avance del 169,64%, frente a lo programado de 30%, debido a los requerimientos del Catastro Multipropósito .y del área actualizada de AHT.</t>
  </si>
  <si>
    <t>Se dió cumplimiento a la meta programada, sin embargo, se solicita revisar el soporte el cual debe ser exclusivo para esta actividad.</t>
  </si>
  <si>
    <t>Aunque se reporta avance por debajo del esperado en la observacion se reporta avance del 169,64% por lo que no hay consistencia en la información reportada.</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</si>
  <si>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</si>
  <si>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t>
  </si>
  <si>
    <t xml:space="preserve">De acuerdo al informe suministrado se evidencia que para julio y agosto se realizó la estructuración del control de calidad y correlación digital de la información de áreas homogéneas producidas por el GIT de Levantamientos y Aplicaciones, para los municipios de Popayán – Cauca y Rioblanco – Tolima, en la misma cantidad de área.  No es claro si repitió la información, por lo tanto, se recomienda hacer la descripción de forma entendible y colocar el valor total de área en ha estructurado.  Adicional se evidencia que no se cumplió con la meta programada para el tercer trimestre del año 2021. </t>
  </si>
  <si>
    <t>Entregar insumos estadísticos y mapas de las solicitudes judiciales, catastrales, procesos de restitución de tierras a demanda.</t>
  </si>
  <si>
    <t xml:space="preserve">Se atendieron todas solicitudes </t>
  </si>
  <si>
    <t>Fueron atendidas todas ls solicitudes</t>
  </si>
  <si>
    <t>Fueron atendidas todas las solicitudes requeridas, las cuales han estado por encima de los históricos por los requerimientos del Catastro Multipropósito.</t>
  </si>
  <si>
    <t>Se dió cumplimiento a la meta programada</t>
  </si>
  <si>
    <t>Se dió cumplimiento a la meta programada, se solicita soportar la actividad con evidencias que demuestren el desarrollo de la actividad.</t>
  </si>
  <si>
    <t>A pesar de que el avance esta por debajo de lo esperado en el período, se reporta cumplimiento satisfactorio en la observacion por lo que no esta de acuerdo el avance cuantitativo con el cualitativo</t>
  </si>
  <si>
    <t xml:space="preserve">Según el reporte suministrado por la Subdirección del 31/03/2021 se describe que fueron atendidas todas las solicitudes allegadas. </t>
  </si>
  <si>
    <t>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t>
  </si>
  <si>
    <t xml:space="preserve">Se observa que para el tercer trimestre del año se generaron y entregaron los insumos correspondientes a 30 municipios, para un total de avance en área de 5’076.036,04 ha. Sin embargo, se evidencia que no se cumplió con la meta programada.  Se recomienda revisar la información suministrada de acuerdo a los avances cualitativos y cuantitativos ya que no son coherentes. </t>
  </si>
  <si>
    <t xml:space="preserve">Estudio de suelos realizados, como insumo para el ordenamiento del territorio. </t>
  </si>
  <si>
    <t>Ampliación de la cobertura en la identificación de los suelos,  geomorfología y capacidad agrológica a escalas más detalladas, sus  usos y aplicaciones</t>
  </si>
  <si>
    <t>Elaborar la interpretación de geomorfología aplicada a los levantamientos de suelos</t>
  </si>
  <si>
    <t xml:space="preserve">Áreas de estudio de suelos realizados, como insumo para el ordenamiento del territorio. </t>
  </si>
  <si>
    <t>Se interpretacion interpetraron 133.000 has</t>
  </si>
  <si>
    <t>Se interpretaron 328.799 ha en Geomorfología, para un avance del 35% frente al 40% programado, pero visto desde el totl que seria del 50% se esta acorde</t>
  </si>
  <si>
    <t>De Geomorfología se interpretaron 313.830 ha en los departamentos del Cauca, Putumayo y los municipios de Pereira y Tumaco, para una ejecución del 34,87% por encima de lo programado del 30%, debido a los compromisos que ha asumido la Subdirección.</t>
  </si>
  <si>
    <t>Se cumplió la meta programada y se superó por un pequeño margen.</t>
  </si>
  <si>
    <t>Se cumple con el avance acumulado programado para el periodo. Se solcita revisar el soporte, el cual debe ser especifico para esta actividad y demostrar el desarrollo de la misma.</t>
  </si>
  <si>
    <t>Se reporta cumpliiento de lo programado, se recomienda revisar redacción de la observación.</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</si>
  <si>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</si>
  <si>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De acuerdo al avance suministrado por la Subdirección del 30/06/2021 se observa que se interpretaron 317.533 ha en Geomorfología para un avance del 35.28 % frente a un meta programado del 40%.  Sin embargo, se evidencia que para el semestre se ha cumplido con el avance del 50%.</t>
  </si>
  <si>
    <t xml:space="preserve">Se observa que se cumplió con la meta programada para este periodo, elaborando la interpretación de geomorfología aplicada a los Levantamientos de Suelos para 313.968 ha , lo que corresponde a un avance del 34,88%. </t>
  </si>
  <si>
    <t>Realizar el levantamiento de suelos</t>
  </si>
  <si>
    <t xml:space="preserve">Se avanzó en un área de </t>
  </si>
  <si>
    <t>Se ejecutaron 342.180 has de levantamientos de suelos equivalente al 38% de avance, e 2% por debajo de lo programao, esto debido a la disponibilidad de la información básica</t>
  </si>
  <si>
    <t>El área de Levantamientos de Suelos ejecutada es de 335.160 ha, equivalente al 37,24% que está por encima del 30% programado, debido a que dentro del proceso se ha podido realizar salidas y avanzar.</t>
  </si>
  <si>
    <t>No se cumplió la meta programada para el trimestre, por lo que se sugiere para próximos reportes describir los motivos por los cuales no fue posible alcanzar la meta programada.  La observación esta inconclusa.</t>
  </si>
  <si>
    <t>No se dió cumplimiento a la meta programada. Se espera que se compense en periodo posteriores. Revisar el soporte de la actividad el cual debe ser específico para actividad y dar evidencia del desarrollo de la misma.</t>
  </si>
  <si>
    <t>Se dió cumplimiento al avance programado en el período.</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</si>
  <si>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</si>
  <si>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 xml:space="preserve">Según el reporte de avance del 30/06/2021 se evidencia que se ejecutaron 342.180 ha de levantamiento de suelos.  Sin embargo, no se alcanza a cumplir con la meta programa para el segundo trimestre del año. </t>
  </si>
  <si>
    <t>Se observa el cumplimiento de la meta programada para el periodo evaluado, donde se evidencia que la actividad de Levantamiento de suelos se desarrollo para dos (2) proyectos:_x000D_
1.	Estudio multitemporal de las coberturas y uso de la tierra y levantamiento de suelos a escala 1:10.000 en las áreas de páramo de la jurisdicción CAR._x000D_
2.	Información agrológica básica como insumo para el ordenamiento integral del territorio. Departamentos de Cesar y Magdalena.</t>
  </si>
  <si>
    <t>Elaborar la interpretación de cobertura y uso de las tierras</t>
  </si>
  <si>
    <t>Sin observación</t>
  </si>
  <si>
    <t xml:space="preserve">Se interpretaron e Cobertura y Uso de las Tierras 152.190 has, encontrandose el 15% por debajo de lo programado, esto debido a la disponibilidad de información de imagenes </t>
  </si>
  <si>
    <t>En Cobertura y Uso del Suelo se avanzó en un 27,42%, lo que equivale a 246.780 ha, algo menor de lo programado del 30%, porque ya se está realizando el control de calidad del proyecto CAR para ser entregado.</t>
  </si>
  <si>
    <t>No se cumplió la meta programada para el trimestre, por lo que se sugiere para próximos reportes describir los motivos por los cuales no fue posible alcanzar la meta programada.  No hay Observación frente al no reporte del avance programado.</t>
  </si>
  <si>
    <t>No se dió cumplimiento a la meta programada para el periodo. Se solicita verificar que el soporte evidencia las actividades desarrolladas y los documentos de verificación cumplan con su proposito.</t>
  </si>
  <si>
    <t>Se avanza en el período, no obstante,  el reporte no posee un rezago significativo para el periodo, pero si para el valor acumulado esperado a la fecha.</t>
  </si>
  <si>
    <t>No se cumplió con la meta programada, se recomienda entregar reporte del porqué no se cumplió con la meta.</t>
  </si>
  <si>
    <t>Para esta actividad se observa un significativo avance. Sin embargo, no se cumplió con la meta programada para el segundo trimestre del año.</t>
  </si>
  <si>
    <t xml:space="preserve">Se realizó la interpretación de coberturas y usos de la tierra para 246.780 ha, lo que corresponde a un 27,42%.  De acuerdo a lo anterior, se evidencia que no alcanzó a cumplir con la meta programada para el periodo evaluado. Se recomienda tomar las medidas necesarias para dar cumplimiento total en próximo periodo hacer evaluado. </t>
  </si>
  <si>
    <t>Realizar la clasificación de capacidad de uso de las tierras</t>
  </si>
  <si>
    <t>Se desarrollaron 307.800 has en Capacidad y Uso de las Tierras, equivalente al 34% de avance por debajo de lo programado, para el proximo perido se podra contar con un avance mayor que subsana los retrasos</t>
  </si>
  <si>
    <t xml:space="preserve">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t>
  </si>
  <si>
    <t>No se dió cumplimiento con la meta programada para el periodo. Verificar que el soporte sea especifio para la actividad y evidecie el desarrollo de la misma. Los documentos de verificación deben estar disponibles.</t>
  </si>
  <si>
    <t>Se da cumplimiento a lo programado y se hace aporte al cumplimiento acumulado de la meta el cual tenía un rezago.</t>
  </si>
  <si>
    <t>Sin embargo, no se cumplió con la meta programada, se recomienda entregar reporte del porqué no se cumplió con la meta.</t>
  </si>
  <si>
    <t>Para esta actividad no se da cumplimiento a la meta programada, por favor entregar los soportes más claros, donde se pueda evidenciar que se desarrollaron las 307.800 has descritas en el autoseguimiento.</t>
  </si>
  <si>
    <t xml:space="preserve">De acuerdo a la información suministrada por el área evaluada se observa que se superó el porcentaje de avance para el tercer trimestre del año 2021 evaluado, lo que corresponde a 362.970 ha.  Dando así cumplimiento a la fecha para esta actividad. </t>
  </si>
  <si>
    <t xml:space="preserve">Indicador de oportunidad en respuesta mejorado </t>
  </si>
  <si>
    <t>Eficiencia en el uso y producción de la información del Laboratorio Nacional de Suelos</t>
  </si>
  <si>
    <t>Procesamiento de muestras tema de química</t>
  </si>
  <si>
    <t xml:space="preserve"> Indicador de oportunidad de respuesta</t>
  </si>
  <si>
    <t>Se dió cumplimiento a la oportunidad para los resultados del tema de química</t>
  </si>
  <si>
    <t>El tema de Química entregó dentro de los tiempos estipulados los resultados al cliente llegando al 100% de oportunidad en la entrega de resultados, pero por la baja en el personal de analistas esto puede no continuar.</t>
  </si>
  <si>
    <t>Para el mes de marzo el área química aumentó en el indicador de oportunidad en el 9.85.  Sin embargo, no se evidencia diligenciamiento de autoseguimiento.</t>
  </si>
  <si>
    <t>Se dió cumplimiento con la meta programada, sin embargo se debe alcanzar el valor acumulado esperado. Se debe contar con soportes del desarrollo de la actividad y evidencias.</t>
  </si>
  <si>
    <t>Se sugiere ser mas claros en la redacción de la observación.</t>
  </si>
  <si>
    <t>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t>
  </si>
  <si>
    <t xml:space="preserve">Se observa que, para las muestras en el tema de química, se entregó la información dentro de los tiempos estipulados al cliente.  Dando cumplimiento a la meta programada en el periodo evaluado. </t>
  </si>
  <si>
    <t>Procesamiento de muestras tema de física</t>
  </si>
  <si>
    <t>Se cumplio con la oportunidad de respuesta en l tema de Física con un 8% por encima de lo requeido, lo que indica que fue menos el tiempo para el proceso</t>
  </si>
  <si>
    <t xml:space="preserve">El tema de Física entrego oportunamente resultados al cliente alcanzando el 100%. </t>
  </si>
  <si>
    <t xml:space="preserve">Para el área física se aumentó en el indicador de oportunidad en el 8%.  Sin embargo, no se evidencia diligenciamiento de autoseguimiento. </t>
  </si>
  <si>
    <t>Se dió cumplimiento a lo programado en el período y se aporta al rezago de la meta.</t>
  </si>
  <si>
    <t xml:space="preserve">Se evidencia que se dio cumplimiento a esta actividad para el tercer trimestre del año, observando que se entregó la información correspondiente a las muestras tema de física en los tiempos establecidos al cliente. </t>
  </si>
  <si>
    <t>Procesamiento de muestras tema de mineralogía</t>
  </si>
  <si>
    <t>El cumplimiento se vió afectado por la disponibilidad de equipos ya que se requirio mantemimiento</t>
  </si>
  <si>
    <t xml:space="preserve">Para el tema de Mineralogía la oportunidad se encuentra en un 66,67% ya  que no se cuenta con personal capacitado en todas las determinaciones lo cual incide directamente en el tiempo de entrega. </t>
  </si>
  <si>
    <t>Para el área de mineralogía se evidencia un decrecimiento en el indicador de oportunidad pasando del 100% al 85%.  Sin embargo, no se evidencia diligenciamiento de autoseguimiento.</t>
  </si>
  <si>
    <t>No se da cumplimiento al avance programado de la meta</t>
  </si>
  <si>
    <t xml:space="preserve">De acuerdo al informe suministrado por el área se observa que se NO se dio cumplimiento a esta actividad dado a la falta de personal capacitado en el tema de mineralogía.  Se recomienda describir de forma más clara los avance para cada una de las muestras en los informes presentados. </t>
  </si>
  <si>
    <t>Procesamiento de muestras tema de biología</t>
  </si>
  <si>
    <t>El cumplimiento de oportunidad se vió afectado por la cantidad de solicitudes recibidas</t>
  </si>
  <si>
    <t>La oportunidad de entrega en el tema de Biología presento cumplimiento del 90,47%, bajando debido a que no se cuenta con personal.</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</si>
  <si>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</si>
  <si>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 xml:space="preserve">Se cumplió con lo programado apra el periodo, sin embargo en la observación se menciona que hay limitaciones. </t>
  </si>
  <si>
    <t xml:space="preserve">Se evidencia que se dio cumplimiento a la meta programada para este trimestre del año.  De acuerdo al informe presentado por el área responsable que describe que se entrego a tiempo al cliente la información correspondiente a las muestras en el tema de biología. </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</si>
  <si>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</si>
  <si>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</si>
  <si>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</si>
  <si>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o actualizar productos cartográficos con cubrimiento del área del territorio continental del país (escalas 1:5.000, 1:10.000, y/o 1:25.000) .</t>
  </si>
  <si>
    <t>Base de datos geográfica</t>
  </si>
  <si>
    <t>Subdirección de Cartografía y Geodesia</t>
  </si>
  <si>
    <t>Área geográfica (ha) con cartografía básica</t>
  </si>
  <si>
    <t>Durante el primer trimestre se generaron 164.505 ha de productos cartográficos del área rural correspondiente a los municipios de Cáceres, Villavicencio, Planadas, La Plata y Fuente de Oro</t>
  </si>
  <si>
    <t>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t>
  </si>
  <si>
    <t>Durante el tercer trimestre se generaron 567.448,39ha de productos cartográficos del área rural correspondientes a los municipios de: Arauquita (Arauca), Popayán (Cauca), Chaparral (Tolima) y María La Baja (Bolívar).</t>
  </si>
  <si>
    <t>Avance y evidencias acordes</t>
  </si>
  <si>
    <t xml:space="preserve">Avance y evidencia acordes </t>
  </si>
  <si>
    <t xml:space="preserve">Evidencias acorde al avance. </t>
  </si>
  <si>
    <t>Se presentan 3 planos correspondientes a los departamentos del Meta y Tolima a escala 1:10.000 y 1:5.000, pero se evidencia que no se cumplió con la meta programada para el primer trimestre.</t>
  </si>
  <si>
    <t>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t>
  </si>
  <si>
    <t xml:space="preserve">Se presentan cuatro (4) planos correspondientes a los departamentos de Tolima (Municipio de Chaparral); Arauca (Municipio de Arauquita); Bolívar (Municipio de María La Baja) y del Departamento de Cauca (Municipio de Popayán) a escala 1:10.000, dando un total de 567.448,39 ha de productos cartográficos generados y/o actualizados, para el tercer trimestre del año.  Superando así la meta programada para el periodo evaluado. </t>
  </si>
  <si>
    <t>Generar productos cartográficos con cubrimiento de del área urbana del territorio continental del país (escalas 1:2.000) .</t>
  </si>
  <si>
    <t>Durante el primer trimestre se generaron 2.726ha de productos cartográficos del área urbana correspondientes a los municipios de Villavicencio y Fuente de Oro.</t>
  </si>
  <si>
    <t>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t>
  </si>
  <si>
    <t>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t>
  </si>
  <si>
    <t>Evidencias y avance acordes</t>
  </si>
  <si>
    <t>Se evidencia el producto cartográfico correspondiente a la Cabecera municipal de Fuente de Oro (Depto. Meta) a escala 1:5.000 con un área de cubrimiento de 157 ha. Tener en cuenta para el próximo reporte la escala de la actividad debe corresponde a 1:2.000</t>
  </si>
  <si>
    <t>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t>
  </si>
  <si>
    <t xml:space="preserve">Se evidencia que, para el tercer trimestre del año 2021, se generaron 3.198,37 ha de productos cartográficos de la zona urbana correspondiente a los Municipios: Colombia (Huila), Cubarral (Meta), Montecristo (Bolívar), Paz de Río (Boyacá), San Carlos y Valencia (Córdoba), Trinidad (Casanare), Ricaurte (Cundinamarca), Santa Rosalía (Vichada), Sardinata (Norte de Santander).  Por lo tanto, se observa el cumplimiento de la meta establecida para este trimestre. </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</si>
  <si>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</si>
  <si>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</si>
  <si>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t>
  </si>
  <si>
    <t xml:space="preserve">Durante el tercer trimestre se generaron 4.198.574ha correspondientes a Modelos Digitales de elevación de los municipios de: La Pedrera, Puerto Arica, Puerto Santander, La Chorrera, Tarapacá, Leticia y Puerto Nariño (Amazonas), La Guadalupe, Puerto Colombia y San Felipe (Guainía)._x000D_
_x000D_
</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</si>
  <si>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</si>
  <si>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t>
  </si>
  <si>
    <t xml:space="preserve">Se soportan los archivos correspondientes al avance realizado por el GIT en el convenio TREx 2021 para los meses de julio, agosto y septiembre por Geoceldas de los municipios de Mirití – Paraná, Puerto Santander, Puerto Arica, Puerto Colombia, San Felipe, La Guadalupe, Venezuela, Brasil, Tarapacá, Puerto Nariño, Leticia, para un total de 4’198.573,794 ha generadas correspondientes a Modelos Digitales de Elevación. </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</si>
  <si>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</si>
  <si>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</si>
  <si>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t>
  </si>
  <si>
    <t>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t>
  </si>
  <si>
    <t>Se evidencia que para este trimestre se gestionaron las imágenes correspondientes a los municipios de: Arauquita, Sardinata, Carmen de Bolívar, Tumaco y un área de 426023 ha correspondientes a los páramos CAR.</t>
  </si>
  <si>
    <t>Para el segundo trimestre del año se gestionó la imagen correspondiente al municipio de El Reten (Magdalena), con un área de 17.798,00 ha a escala 1:35.000. Sin embargo, se observa que no se cumplió con la meta programada para el periodo evaluado.</t>
  </si>
  <si>
    <t xml:space="preserve">Para el tercer trimestre del año se generaron 280.544 ha de mosaicos de ortoimágenes gestionadas para escala 1:25.000.  Sin embargo, se observa que no se cumplió con la meta programada para el periodo evaluado. </t>
  </si>
  <si>
    <t>Capturar y/o gestionar imágenes del área del territorio continental del país e incorporarlas en el Banco Nacional de Imágenes, a escalas y temporalidad requerida para fines catastrales</t>
  </si>
  <si>
    <t>Base de datos de imágenes</t>
  </si>
  <si>
    <t>Área geográfica (ha) con cubrimiento de imágenes</t>
  </si>
  <si>
    <t>Durante el primer trimestre se capturaron y/o gestionarion 14.078.04 ha con dron y 1.301.685 con la Fuerzas Militares, para un total del 1.315.763.04</t>
  </si>
  <si>
    <t>Durante el segundo trimestre, se capturaron  y adquirieron 347.238,68 ha imágenes y se gestionaron con terceros 264.982,5ha (Sensor Skysat), para un total del 612.221 ha.</t>
  </si>
  <si>
    <t>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</si>
  <si>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</si>
  <si>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t>
  </si>
  <si>
    <t xml:space="preserve">El GIT proporciona como insumos soportes los productos cartográficos correspondientes a la toma de aerofotográfica del municipio de Paz del Río, San Carlos, Venecia, Arbeláez, Cabrera entre otros.  De igual manera se observan las imágenes satelitales adquiridas por el IGAC para el Territorio Nacional, correspondiente a 18.662,19 ha de imágenes capturadas y se gestionaron 4’892.683,94 ha, dando cumplimiento a la meta programada para el periodo.  Adicional se observa que para esta actividad ya se cumplió con la meta programada para el año 2021.  Se recomienda cargar los insumos correspondientes a cada periodo (esto dado a que se evidencia para este trimestre información correspondiente al mes de junio). </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</si>
  <si>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</si>
  <si>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</si>
  <si>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</si>
  <si>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</si>
  <si>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Durante el segundo trimestre, se realizó la actualización del mapa base vectorial con información catastral, así mismo, se avanzó en la generación del mapa híbrido con imágenes PlanetScope de 4.8 metros. _x000D_
_x000D_
Por otro lado, se realizó la actualización de los mapas físicos y de entidades territoriales conforme a las dinámicas de los procesos de deslindes, los cuales se encuentran publicados en Colombia en Mapas.</t>
  </si>
  <si>
    <t>Durante el tercer trimestre, se logró la configuración y publicación del mapa físico de Colombia, dispuesto en https://tiles.arcgis.com/tiles/RVvWzU3lgJISqdke/arcgis/rest/services/Mapa_base_fisico_vector/VectorTileServer</t>
  </si>
  <si>
    <t xml:space="preserve">Evidencia acorde con el avance </t>
  </si>
  <si>
    <t>Se evidencia que se tienen en funcionamiento los servicios GeoCartoIGAC y VTPK05KGeoCartoIGAC, donde se encuentran dispuestos los productos cartográficos del país.</t>
  </si>
  <si>
    <t xml:space="preserve">Para el segundo trimestre, se soportan mapas que evidencian la actualización del mapa base vectorial con información catastral, de igual manera se observa el avance en la generación del mapa híbrido. </t>
  </si>
  <si>
    <t xml:space="preserve">Para el tercer trimestre, se suministra una imagen donde se indica la URL, informando que el mapa físico de Colombia se encuentra allí dispuesto.  Dado lo anterior se avala el cumplimiento para el este periodo evaluado. </t>
  </si>
  <si>
    <t>Información cartográfica producida por terceros, oficializada de 25.5 millones de ha del país.</t>
  </si>
  <si>
    <t>Fortalecer al IGAC como máxima autoridad reguladora en los temas de su competencia</t>
  </si>
  <si>
    <t>Ajustar, formalizar y publicar resolución para la validación y oficialización de productos cartográficos generada por terceros.</t>
  </si>
  <si>
    <t>Acto administrativo y actas de reunión</t>
  </si>
  <si>
    <t xml:space="preserve">Información cartográfica producida por terceros, oficializada </t>
  </si>
  <si>
    <t>Durante el primer trimestre, se elaboró la versión preliminar de la resolución de validación de productos cartográficos</t>
  </si>
  <si>
    <t xml:space="preserve">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t>
  </si>
  <si>
    <t>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t>
  </si>
  <si>
    <t>Se presenta un documento borrador sobre la Resolución “Por la cual se reglamenta la validación y oficialización de productos cartográficos”. Se avala el avance a esta actividad. Sin embargo no se programó meta para este trimestre.</t>
  </si>
  <si>
    <t>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t>
  </si>
  <si>
    <t xml:space="preserve">Se soporta la Resolución No. 1421/2021 “Por la cual se establecen las condiciones de validación técnica y oficialización de productos cartográficos básicos y se dictan otras disposiciones”.  La cual se encuentra publicada en el espacio de Transparencia y acceso a la información pública/proyectos para comentar, dando cumplimiento a la meta programada para el tercer trimestre del año. </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</si>
  <si>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</si>
  <si>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</si>
  <si>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</si>
  <si>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Durante el segundo trimestre, se validó los Modelos Digitales de Terreno adquiridos para  6.503.000 ha correspondiente a 62 municipios del país, en el marco del contrato 24118 de 2020, logrando con ello cumplir la meta establecida.</t>
  </si>
  <si>
    <t>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</si>
  <si>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</si>
  <si>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</si>
  <si>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Se observa que para el segundo trimestre del año se cumplió con la meta propuesta, ya que se han realizado y validado los Modelos Digitales de Terreno para diferentes municipios del país.</t>
  </si>
  <si>
    <t xml:space="preserve">Para este trimestre del año se observa que se oficializaron e integraron 63.322 ha de información cartográfica producida.  A pesar de observar que no se dio cumplimiento a la meta programada para este periodo evaluado, se evidencia que esta actividad ya cumplió con la meta programada para el año 2021 así, meta programada (3’000.000 ha), meta ejecutada (6’566.322 ha).  Dado lo anterior, se avala el cumplimiento.  </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</si>
  <si>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</si>
  <si>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</si>
  <si>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</si>
  <si>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
Así mismo, se realizó algoritmo para la evaluación semi-automática de imágenes de diferentes sensores, sobre el cual se realizaron las respectivas pruebas y documentación.</t>
  </si>
  <si>
    <t>Durante el tercer trimestre se terminó el ajuste y actualización de la documentación relacionada a automatizar procesos de validación de productos de ortoimágenes y generar nueva versión de bases de datos cartográficas, así como realizar su documentación.</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</si>
  <si>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</si>
  <si>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</si>
  <si>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t>
  </si>
  <si>
    <t xml:space="preserve">Se observan los documentos correspondientes a la preparación de aplicativos y validación técnica de BD. Los cuales se terminaron de justar y actualización. A pesar que para este periodo no existe una meta programada, se avala avance a la actividad. </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</si>
  <si>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</si>
  <si>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</si>
  <si>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</si>
  <si>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Durante el segundo trimestre, se inició con el ajuste de la resolución de adopción del Plan Nacional de Cartografía, con base en los documentos elaborados.</t>
  </si>
  <si>
    <t>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t>
  </si>
  <si>
    <t>Evidencias y avances acordes,</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</si>
  <si>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</si>
  <si>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t>
  </si>
  <si>
    <t xml:space="preserve">Se observa que aún se encuentra en trámite el documento borrador de la Resolución “Por la cual se adopta el Plan Nacional de Cartografía Básica de Colombia”.  De igual manera se evidencia que se inicio con la actualización y análisis de información cuantitativa, en lo relacionado a cruces de información de municipios financiados, cuadros de áreas y costos 2021.  Sin embargo, no se da cumplimiento a la meta programada para el periodo evaluado. </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</si>
  <si>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</si>
  <si>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</si>
  <si>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</si>
  <si>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</si>
  <si>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Durante el primer trimestre se atendieron 94 solicitudes de información cartográfica, geodésica y geográfica, correspondientes a 3224 productos</t>
  </si>
  <si>
    <t>Durante el segundo trimestre se atendieron 277 solicitudes de información cartográfica, geodésica y geográfica, correspondientes a 14.150 productos.</t>
  </si>
  <si>
    <t>Durante el tercer trimestre, se gestionaron y controlaron 149 solicitudes de información cartográfica, geodésica y geográfica, y se entregaron 11.179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</si>
  <si>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</si>
  <si>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</si>
  <si>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t>
  </si>
  <si>
    <t>Se observan que para el tercer trimestre del año se recibieron 149 solicitudes de información cartográfica, geodésica y geográfica las cuales corresponden a 4.919 productos para el mes de julio, 4.122 productos para el mes de agosto y 4.919 para el mes de septiembre, para un total de 11.179 productos.  Por lo anterior se avala el avance de la actividad.</t>
  </si>
  <si>
    <t>Organizar , catalogar y disponer los productos cartográficos, geográficos y geodésicos para su migración al Sistema único de información geográfica, cartográfica y geodésica</t>
  </si>
  <si>
    <t>Bases de datos y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</si>
  <si>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</si>
  <si>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</si>
  <si>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Durante el segundo trimestre, se organizaron y catalogaron 60.478.772,16 ha de 1.855 productos, de los cuales se dispusieron 20.735.682ha de 106 servicios, logrando el cumplimiento de la meta debido a la implementación de herramientas de automatización de actividades.</t>
  </si>
  <si>
    <t>Durante el tercer tremestre se organizaron y catalogaron 103.550.844,7ha y se dispusieron 13.071.871ha de productos cartográficos, geográficos y geodésicos para su migración al Sistema único de información geográfica, cartográfica y geodésica.</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</si>
  <si>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</si>
  <si>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En los informes suministrados se observa el reporte donde se describe que se catalogaron 60’475.772,16 ha de 1.855 productos para los meses de abril, mayo y junio. Cumpliendo con la meta propuesta para este trimestre del año.</t>
  </si>
  <si>
    <t xml:space="preserve">En los informes suministrados se observa el reporte donde se describe que se catalogaron 13’071.870,76 ha de 2.100 productos para los meses de julio, agosto y septiembre. Cumpliendo con la meta propuesta para este trimestre del año. </t>
  </si>
  <si>
    <t xml:space="preserve">Preservar y disponer el archivo histórico de rollos de negativos de pelicula de fotografía áerea </t>
  </si>
  <si>
    <t>Base de datos</t>
  </si>
  <si>
    <t>Durante el primer trimestre se gestionó la contratación para el desarrollo de esta actividad</t>
  </si>
  <si>
    <t>Durante el segundo trimestre, se dispusieron en el archivo histórico 3.238 elementos escaneados de los rollos de negativos de película de fotografía aérea.</t>
  </si>
  <si>
    <t xml:space="preserve">Durante el tercer tremestre se preservaron y dispusieron 10.126 elementos del archivo histórico de rollos de negativos de película de fotografía áerea. </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</si>
  <si>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</si>
  <si>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Se observa que para el segundo trimestre del año se dispusieron 3.238 elementos escaneados de los rollos de negativos de película de fotografía aérea.  Sin embargo, no se cumplió con la meta establecida para este periodo del año.</t>
  </si>
  <si>
    <t>Se observa que para el tercer trimestre del año se dispusieron 10.126 elementos del archivo histórico de los rollos de negativos de película de fotografía aérea.  Dando cumplimiento a la meta programada para el periodo evaluado.</t>
  </si>
  <si>
    <t>Generar el mapa 3D de Colombia.</t>
  </si>
  <si>
    <t>Base de datos y archivo de representación</t>
  </si>
  <si>
    <t>En el primer trimestre, se avanzó en la generación de la nueva versión del mapa 3D de Colombia.</t>
  </si>
  <si>
    <t>Durante el segundo trimestre, se realizó la entrega del mapa 3D final a la Subdirección para aprobación, es decir, que el avance de la meta se encuentra en el 80%.</t>
  </si>
  <si>
    <t>Durante el tercer trimestre, se terminó la generación del mapa 3D de Colombia y este fue aprobado.</t>
  </si>
  <si>
    <t xml:space="preserve">Avance y evidencia acorde. </t>
  </si>
  <si>
    <t>Para esta actividad se evidencia como insumo por parte del área respectiva el Mapa de la República de Colomba a escala 1:2’500.000.</t>
  </si>
  <si>
    <t>Se observan los productos sobre la realización del mapa 3D final.  Por lo anterior se avala el avance para este segundo trimestre del año 2021.</t>
  </si>
  <si>
    <t>Para este trimestre del año el área correspondiente culminó la generación del mapa 3D de Colombia, el cual se encuentra aprobado.  De igual manera, se observa el correo electrónico del 09/09/2021 donde se hace envió de la última versión del Mapa 3D, a la entidad de Parques Nacionales con el fin de que sea analizado y se realice la retroalimentación, conociendo la opinión acerca de las áreas de la jurisdicción.  Por lo anterior se avala el avance para este trimestre del año 2021.</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</si>
  <si>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</si>
  <si>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</si>
  <si>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</si>
  <si>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</si>
  <si>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</si>
  <si>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</si>
  <si>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</si>
  <si>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Se observa que, para el tercer trimestre del año 2021, se generaron varios documentos de diagnósticos de los municipios de Valledupar (Cesar), Buenos Aires, Caldono, Caloto, Corinto, Guachené, Jambaló, Miranda, Padilla, Puerto Tejada, Santander de Quilichao, Suárez, Toribió y Villa Rica (Cauca), Trujillo, la Cumbre, Calima y El Darién (Valle del Cauca), El peñón, Florián, Guavatá, Güepsa, San Benito y Vélez (Santander), Ibagué (Tolima), Manizales (Caldas), Gachetá (Cundinamarca), Sincelejo (Sucre), Chiquinquirá (Boyacá), Lloró (Chocó), Sabanalarga (Atlántico), Carurú y Mitú (Vaupés), Distrito Turístico y Cultural Cartagena de Indias (Bolívar), Florencia (Caquetá), Catatumbo Provincia de Ocaña (Norte de Santander) y Sur del Cesar (Cesar).  Cumpliendo así con la meta programada.</t>
  </si>
  <si>
    <t>Configurar y disponer aplicaciones temáticas para usuarios, de acuerdo con la disponibilidad de archivos digitales</t>
  </si>
  <si>
    <t>URLs de aplicaciones y bases de datos</t>
  </si>
  <si>
    <t>Aplicaciones temáticas disponibles</t>
  </si>
  <si>
    <t>Se realizó la exploración y búsqueda de archivos digitales para su estructuración y disposición de aplicaciones temáticas</t>
  </si>
  <si>
    <t>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
y se generó el inventario de dicha información.</t>
  </si>
  <si>
    <t xml:space="preserve">Durante el tercer trimestre se avanzó en la configuración de: Story Map del departamento del Putumayo al 50% (https://storymaps.arcgis.com/stories/ba7fcb31eaea4d9fbaf9c7ca39b01056). Se avanzó en la consulta catastral (http://igac.azurewebsites.net/) y en hojas cartográficas. </t>
  </si>
  <si>
    <t>Se observa documento con la estructura de las carpetas donde se dispone la información digital de cada uno de los productos cartográficos según la temática.  Por lo anterior se valida avance de esta actividad para este trimestre.</t>
  </si>
  <si>
    <t>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t>
  </si>
  <si>
    <t xml:space="preserve">Se observa que para este trimestre del año el área responsable de la actividad avanzó en la configuración de: Story Map del departamento del Putumayo al 50%, y en la consulta catastral y hojas cartográficas.  Dando cumplimiento a la meta programada.  </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</si>
  <si>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</si>
  <si>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</si>
  <si>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</si>
  <si>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</si>
  <si>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t>
  </si>
  <si>
    <t>Durante el tercer trimestre, se completó la implementación y se realizó la puesta en producción de la funcionalidad de "Coordenadas" en "Colombia en Mapas", la cual permite la consultar la jurisdicción, altura y coordenada de una ubicación específica.</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</si>
  <si>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</si>
  <si>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Se observa el avance correspondiente al segundo trimestre del año, cumpliendo con la meta establecida para esta actividad. Se observan pantallazos de la aplicación Colombia en Mapas realizando la búsqueda de los diferentes municipios para obtener la respectiva información.</t>
  </si>
  <si>
    <t xml:space="preserve">Se observa imagen de donde se evidencia que se completó la implementación de la puesta en producción de la funcionalidad "Coordenadas" en "Colombia en Mapas".  Dando cumplimiento a la meta programada para el periodo evaluado.  </t>
  </si>
  <si>
    <t>Evidencias de la actualización de los documentos</t>
  </si>
  <si>
    <t>Dirección de Gestión de Información Geográfica</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</si>
  <si>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</si>
  <si>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t>
  </si>
  <si>
    <t xml:space="preserve">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
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t>
  </si>
  <si>
    <t>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</si>
  <si>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t>
  </si>
  <si>
    <t>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t>
  </si>
  <si>
    <t>Para el cumplimiento de esta actividad se evidencia la comunicación interna enviada a los funcionarios y/o contratistas del IGAC, el 09/09/2021, con el fin de invitarlos a consultar la documentación y procedimientos actualizados correspondientes al Proceso de Gestión de Información Geográfica.</t>
  </si>
  <si>
    <t>Realizar reporte a los productos no conformes</t>
  </si>
  <si>
    <t>Durenate el primer trimestre del año, no se presentarion casos de Porducto No Conforme.</t>
  </si>
  <si>
    <t>Durante el segundo trimestre no se presentaron productos no conformes</t>
  </si>
  <si>
    <t>Durante el tercer trimestre no se presentaron productos no conformes</t>
  </si>
  <si>
    <t>No se presentaron casos de producto no conforme</t>
  </si>
  <si>
    <t>Se reporta por parte del área correspondiente que para el primer trimestre del año no se encontraron productos NO Conformes en el proceso de certificados de punto señalado por el usuario.</t>
  </si>
  <si>
    <t xml:space="preserve">Para el segundo trimestre del año no se encontraron productos no conformes en el proceso de certificados de punto señalado por el usuario. </t>
  </si>
  <si>
    <t xml:space="preserve">Se evidencia que, para este trimestre del año 2021, no se presentaron productos no conformes.  Sin embargo, se debe revisar las evidencias cargadas en esta actividad ya que no corresponden, las cuales se encuentran dispuestas en la actividad 34.  </t>
  </si>
  <si>
    <t>Esta actividad se programó a partir del cuarto trimestre.</t>
  </si>
  <si>
    <t xml:space="preserve">No hay meta programada </t>
  </si>
  <si>
    <t xml:space="preserve">No tiene meta contemplada para este trimestre </t>
  </si>
  <si>
    <t xml:space="preserve">No se tiene meta contemplada para este trimestre </t>
  </si>
  <si>
    <t>No se evidencia meta programada para este trimestre del año.</t>
  </si>
  <si>
    <t>Sin meta programada para el tercer trimestre del año.</t>
  </si>
  <si>
    <t>Durante el primer trimestre se atendió 1 requerimiento de la Oficina Asesora de Plaenación sobre las respuestas a 22 preguntas específicas de FURAG, las cuales se entregaron oportunamente y las evidencias respectivas.</t>
  </si>
  <si>
    <t>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t>
  </si>
  <si>
    <t>Durante el tercer trimestre se solicitó a la Oficina Asesora Jurídica incluir la normatividad que se encuentra relacionada en el procedimiento ""GESTIÓN DE INFORMACIÓN DE ORDENAMIENTO TERRITORIAL"", el cual, se requiere oficializar ante el Sistema de Gestión integrado del IGAC._x000D_
_x000D_
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t>
  </si>
  <si>
    <t xml:space="preserve">Avance y evidencias acordes </t>
  </si>
  <si>
    <t>Se evidencia documento donde se encuentran preguntas las cuales fueron respondidas por el área respectiva, enviadas a la Oficina Asesora de Planeación.</t>
  </si>
  <si>
    <t>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t>
  </si>
  <si>
    <t xml:space="preserve">Se observan los reportes de controles de riesgo correspondientes a los meses de julio, agosto y septiembre de 2021.  </t>
  </si>
  <si>
    <t xml:space="preserve">Durante el tercer trimestre, se adelantaron las actividades que permitirán el cumplimiento de las metas establecidas en el PAA y en el PAAC a cargo de los procesos, como lo muestran las evidencias de todas las actividades del Plan de Acción Anual. </t>
  </si>
  <si>
    <t>No se dió cumplimiento a la meta programada.</t>
  </si>
  <si>
    <t>No se evidencian insumos para validar esta actividad, de hecho, no se cumplió con la meta programada para el primer trimestre del año 2021</t>
  </si>
  <si>
    <t>No se evidencian insumos que den cumplimiento a esta actividad.</t>
  </si>
  <si>
    <t xml:space="preserve">Se evidencia correo electrónico del 28/09/2021, informando que para el tercer trimestre del año (julio, agosto y septiembre), no se encontraron productos no conformes en el proceso de certificados de punto señalizados por los usuario.  Lo que demuestra que las evidencias se encuentran trucadas con la actividad 31, por favor revisar y organizarla.  </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</si>
  <si>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</si>
  <si>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</si>
  <si>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</si>
  <si>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</si>
  <si>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</si>
  <si>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Subdirección Cartográfica y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</si>
  <si>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</si>
  <si>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</si>
  <si>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t>
  </si>
  <si>
    <t>Durante el tercer trimestre, se lograron determinar obsevaciones gravimétricas sobre 369 puntos de control de la red geodésica nacional y 20 sobre puntos intermedios sin materializar.</t>
  </si>
  <si>
    <t>Avance y evidencias acorde</t>
  </si>
  <si>
    <t>Avances y evidencias acordes</t>
  </si>
  <si>
    <t>Para esta actividad el área respectiva presenta el Convenio de Cooperación Internacional entre la Universidad del Estado de OHIO (Estados Unidos de América) y el IGAC.  A pesar que no se ejecutó meta se avala avance con el convenio firmado.</t>
  </si>
  <si>
    <t>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t>
  </si>
  <si>
    <t xml:space="preserve">De acuerdo a los informes suministrados por el proceso se evidencia que para el mes de julio se lograron determinar observaciones gravimétricas sobre 90 puntos de control de la red geodésica Nacional, para el mes de agosto también se determinaron 90 puntos de control y para septiembre 180, es decir que en total para este trimestre evaluado se lograron determinar observaciones gravimétricas sobre 369 puntos de control de la red geodésica nacional y 20 sobre puntos intermedios sin materializar.  Se recomienda actualizar la información en la meta ejecutada para cada trimestre.  </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</si>
  <si>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</si>
  <si>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</si>
  <si>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</si>
  <si>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</si>
  <si>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</si>
  <si>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t>
  </si>
  <si>
    <t>Durante el tercer trimestre, se materializó 1 estación de funcionamiento continuo (01 CORS-GNSS) en el municipio de Tibú (Norte de Santander). A su vez, se realizaron exploraciones en Huila, Nariño, Meta y Casanare.</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</si>
  <si>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</si>
  <si>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t>
  </si>
  <si>
    <t>Se observa documento Acta de entrega Sistema de Comunicación de la Estación de Funcionamiento continuo GNSS en el municipio de Tibú – Norte de Santander, la cual se materializó la estación de funcionamiento continuo (01 CORS-GNSS).  Sin embargo, se evidencia que no se cumplió con la meta programada para este trimestre del año</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</si>
  <si>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</si>
  <si>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</si>
  <si>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</si>
  <si>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</si>
  <si>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Durante el segundo trimestre, se finalizó la integración tecnológica de las estaciones del Servicio Geológico Colombiano en la plataforma Colombia en Mapas, logrando así el cumplimiento de la meta._x000D_
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t>
  </si>
  <si>
    <t>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</si>
  <si>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</si>
  <si>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t>
  </si>
  <si>
    <t xml:space="preserve">Se avala el cumplimiento de la actividad de acuerdo a los documentos suministrados por el proceso responsable.  Se recomienda realizar la actualización de la meta ejecutada en el periodo evaluado.  </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</si>
  <si>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</si>
  <si>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</si>
  <si>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</si>
  <si>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t>
  </si>
  <si>
    <t>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t>
  </si>
  <si>
    <t>Se evidencian informes sobre visitas a estaciones para el Mantenimiento correctivo a las estaciones: AECH, YOPA, ARCA, SOCB y AEPL.</t>
  </si>
  <si>
    <t>Se observa que para el segundo trimestre del año 2021 se realizó el mantenimiento de las estaciones continuas las cuales se encuentran en los municipios de Cúcuta, Becerril, Bucaramanga, Taraza, Bosconia, Aguachica, Fúquene, Puerto Lleras, Pamplona, Villavicencio y Bogotá.</t>
  </si>
  <si>
    <t xml:space="preserve">De acuerdo a los documentos suministrados se observa que se realizó para el tercer trimestre del año el mantenimiento de 10 estaciones CORS para diferentes municipios en donde se encuentra (Garagoa, Tumaco, Silvia, Santa Rosalía, entre otros.  De acuerdo a lo anterior se avala el cumplimiento de esta actividad.  </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</si>
  <si>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</si>
  <si>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</si>
  <si>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</si>
  <si>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</si>
  <si>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Durante el segundo trimestre, se procesaron y dispusieron 4.331 archivos rinex de las estaciones de operación continua administradas e integradas por el IGAC.</t>
  </si>
  <si>
    <t>Durante el tercer trimestre, se generaron 4.809 archivos rinex de las estaciones de operación continua y administradas e integradas por el IGAC.</t>
  </si>
  <si>
    <t>Se observa los archivos rinex de las estaciones de operación continua para los meses de enero, febrero y marzo.  Por lo tanto, se avala el avance a esta actividad.</t>
  </si>
  <si>
    <t>Para el segundo trimestre del año 2021, se observan los archivos rinex de las estaciones de operación continua, donde se procesaron y dispusieron 4.331 archivos.</t>
  </si>
  <si>
    <t xml:space="preserve">Se observa la generación de 4.809 archivos rinex de las estaciones de operación continua para el tercer trimestre del año, dando cumplimiento a la meta programada.  </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</si>
  <si>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</si>
  <si>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</si>
  <si>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</si>
  <si>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</si>
  <si>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Durante el segundo trimestre, se procesaron y dispusieron las coordenadas de estaciones activas del centro de procesamiento IGA del Sistema de Referencia Geocéntrico para las Américas (SIRGAS) correspondiente a 13 semanas comprendidas desde abril a junio.</t>
  </si>
  <si>
    <t>Durante el tercer trimestre, se procesaron y dispusieron las coordenadas de estaciones activas del centro de procesamiento IGA del Sistema de Referencia Geocéntrico para las Américas (SIRGAS) correspondiente a 12 semanas.</t>
  </si>
  <si>
    <t>Se evidencia el archivo de Estaciones procesadas por el Centro de Procesamiento IGA – IGAC, para SIRGAS para el primer trimestre del año 2021.</t>
  </si>
  <si>
    <t>Para los meses de abril, mayo y junio se procesaron y dispusieron las coordenadas de estaciones activas del centro de procesamiento IGA, las cuales corresponden a 13 semanas.</t>
  </si>
  <si>
    <t xml:space="preserve">Se observa que para el tercer trimestre del año se procesaron y dispusieron las coordenadas de estaciones activas del centro de procesamiento IGA del Sistema de Referencia Geocéntrico para las Américas (SIRGAS) correspondiente a 12 semanas.  Aunque se evidencia que no se cumplió con la meta programada, se avala el cumplimiento.  </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</si>
  <si>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</si>
  <si>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</si>
  <si>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</si>
  <si>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</si>
  <si>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Durante el segundo trimestre, se realizó la integración de la información validada de las redes de los municipios de Dosquebradas y la Virginia del contrato interadministrativo 5251 de 2020, entre el IGAC y AMCO, permitiendo adicionar 49 vértices  a la red pasiva del país.</t>
  </si>
  <si>
    <t>Durante el tercer trimestre, se materializaron 13 vértices geodésicas, densificando la red geodésica nacional, en los municipios: (2) Cabuyaro (Meta), (2) Covarachia, (2) Topaga, (2) Gameza (Boyacá), (2) Topaipi (Cundinamarca), (2) Popayán (Cauca) y Urumita (La Guajira).</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</si>
  <si>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</si>
  <si>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t>
  </si>
  <si>
    <t xml:space="preserve">De acuerdo a los documentos suministrados se evidencia que se materializaron 13 vértices geodésicas, superando el cumplimiento de la meta programada para el tercer trimestre del año 2021.  </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</si>
  <si>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</si>
  <si>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</si>
  <si>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</si>
  <si>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</si>
  <si>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t>
  </si>
  <si>
    <t>Durante el tercer trimestre, en el marco del contrato 24695 suscrito con IGN-FI, se dio inicio al diseño del centro de control de la Red Geodésica, la cual contemplará la disposición de servicios VRS/NTRIP.</t>
  </si>
  <si>
    <t>No tiene meta programada para el primer trimestre</t>
  </si>
  <si>
    <t>No se programó meta para este trimestre del año.</t>
  </si>
  <si>
    <t xml:space="preserve">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t>
  </si>
  <si>
    <t xml:space="preserve">De acuerdo a la meta programada para este trimestre del año, se evidencia que no se cumplió, sin embargo, se avala de acuerdo a la documentación soportada para esta actividad.  Se recomienda tomar las medidas necesarias para culminar con el proceso al final del año.  </t>
  </si>
  <si>
    <t>Ajustar, depurar y actualizar la red de nivelación geodésica, conforme a la estructuración de los datos capturados en años anteriores.</t>
  </si>
  <si>
    <t>Base de datos de alturas geométricas</t>
  </si>
  <si>
    <t>Coordenadas con altura de precisión</t>
  </si>
  <si>
    <t>Durante el primer trimestre, se depuraron 2998 vértices antiguos.  El cumplimeinto de esta meta de nivelación se encuentra supeditada a las labores en campo.</t>
  </si>
  <si>
    <t xml:space="preserve">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t>
  </si>
  <si>
    <t>Durante el tercer trimestre, se depuraron 3.693 vértices con alturas geométricas, para actualizar la red de nivelación geodésica, conforme a la estructuración de los datos capturados en años anteriores.</t>
  </si>
  <si>
    <t>Se evidencia archivo sobre las alturas de cada vértice para diferentes años. A pesar de no cumplir con la meta programada se valida el avance tenido a la fecha para este trimestre.</t>
  </si>
  <si>
    <t xml:space="preserve">Para el segundo trimestre del año 2021, se evidencian los archivos donde se encuentran descritas las depuraciones a 3.549 vértices con alturas geométricas. </t>
  </si>
  <si>
    <t xml:space="preserve">Se observa que para esta actividad no se suministró ningún soporte, sin embargo, al hacer la revisión en las siguiente actividad (drive actividad 10) se evidencia que los documentos están allí.  Por favor tener presente disponer la información en las actividades y que sea coherente con lo trabajado, para que no se preste a confusiones.  De acuerdo a la revisión para esta actividad se depuraron 1.006 vértices con alturas geométrica para el mes de julio, 1.256 para agosto y 1.431 en septiembre, dando en total 3.693 vértices depurados, para actualizar la red de nivelación geodésica.  </t>
  </si>
  <si>
    <t>Datos geomagnéticos generados, procesados y dispuestos</t>
  </si>
  <si>
    <t>Procesar datos del observatorio geomagnético para su disposición</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</si>
  <si>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</si>
  <si>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</si>
  <si>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Durante el segundo trimestre, se procesó el 72% de datos del observatorio geomagnético para su disposición, correspondiente a actividades de escalonamiento de datos, determinación del índice de actividad magnética, obtención de factores de escala y deltas.</t>
  </si>
  <si>
    <t>Durante el tercer trimestre, el avance para la consolidación de la base de datos con la información obtenida por el Observatorio de Fúquene durante el 2018-2019 es del 100%, completando la labor.</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</si>
  <si>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</si>
  <si>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t>
  </si>
  <si>
    <t xml:space="preserve">Para el cumplimiento de esta actividad se disponen los informes de los meses de (julio, agosto y septiembre), con sus respectivos productos, donde se observa el avance para la consolidación de la base de datos con la información obtenida por el Observatorio de Fúquene durante el 2018 – 2019.  </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</si>
  <si>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</si>
  <si>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</si>
  <si>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Durante el segundo trimestre, se revisaron 1.925 datos para completar la revisión al 100% de los datos históricos, para un total de cumplimiento de la meta de 4.668 datos</t>
  </si>
  <si>
    <t>La tarea de realizar el control de calidad y validación de los históricos base de geomagnetismo, así como realizar análisis espacial y disponer los datos, se completó en el segundo trimestre.</t>
  </si>
  <si>
    <t>Se observa documento sobre las estaciones repetición 300321 y el documento sobre el avance de revisión de datos de estaciones de repetición geomagnéticos enviado al coordinador GIT Gestión Geodésica.</t>
  </si>
  <si>
    <t>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t>
  </si>
  <si>
    <t>Se evidencia que esta actividad se completó en el segundo trimestre del año</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</si>
  <si>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</si>
  <si>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</si>
  <si>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</si>
  <si>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</si>
  <si>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</si>
  <si>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t>
  </si>
  <si>
    <t>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 la cual fue socializada, discutida y afinada en una mesa de trabajo y se encuentra en revisión técnica.</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</si>
  <si>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</si>
  <si>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Se observa que se actualizó y publicó el documento Resolución No. 370 del 16/06/2021 “Por medio de la cual se establece el sistema de proyección cartográfica oficial para Colombia”, de igual manera se realizó el ajuste a la Resolución 643 de 2018 "Por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t>
  </si>
  <si>
    <t>Para esta actividad no se suministró ningún soporte, sin embargo, al hacer la revisión en las siguiente actividad (drive actividad 13) se evidencia que los documentos están allí.  Por favor tener presente disponer la información en las actividades y que sea coherente con lo trabajado, para que no se preste a confusiones.  Para el cumplimiento de esta actividad el proceso realizó los documentos borradores de Resoluciones “Por la cual se adoptan los lineamientos para la validación, conservación y calidad de productos geodésicos” y “Por medio de la cual se establecen los lineamientos técnicos mínimos requeridos en la materialización, medición y administración de vértices geodésicos para su integración a la Red Geodésica Nacional de la República de Colombia”.  Se encuentran en revisión.</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</si>
  <si>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</si>
  <si>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</si>
  <si>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</si>
  <si>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</si>
  <si>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Subdirección de Geografía</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</si>
  <si>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</si>
  <si>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</si>
  <si>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 xml:space="preserve">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t>
  </si>
  <si>
    <t>Durante el tercer trimestre se elaboraron 9 documentos de caracterización territorial, de los municipios: Puerto Leguizamo (Putumayo), Cartagena del Chaira, Puerto Rico, Solano (Caquetá), San José del Guaviavre (Guaviare), Mapiripán, San Juan de Arama (Meta), Montecristo (Bolívar) y Trinidad (Casanare).</t>
  </si>
  <si>
    <t>Se evidencia la caracterización de Villavicencio, Arauquita y Popayán correspondiente a un área 464.099,55ha</t>
  </si>
  <si>
    <t>Se evidencia los documentos de las 15 caracterizaciones territoriales que suman un area 2.809.430 has.</t>
  </si>
  <si>
    <t xml:space="preserve">Se evidencian los documentos de nueve (9) caracterizaciones territoriales de los municipios de Trinidad, Leguízamo, Cartagena del Chairá, Solano, Puerto Rico, San Juan de Arama, Montecristo, Mapiripán y San José de Guaviare, sumando 12’708.236 ha, dando cumplimiento a la meta programada para el tercer trimestre del año 2021. </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</si>
  <si>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</si>
  <si>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</si>
  <si>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t>
  </si>
  <si>
    <t>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t>
  </si>
  <si>
    <t xml:space="preserve">Avances y evidencias acordes </t>
  </si>
  <si>
    <t>Se evidencia la mapas de intervencion municipal de Villavicencio, Arauquita y Popayán.</t>
  </si>
  <si>
    <t>Se evidencia los mapas de intervención de 15 municipios.</t>
  </si>
  <si>
    <t xml:space="preserve">Para este trimestre de da cumplimiento a la meta programada, evidenciando la generación de nueve (9) mapas de síntesis territorial, unidades de intervención y base de datos geográfica.  </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</si>
  <si>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</si>
  <si>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</si>
  <si>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</si>
  <si>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</si>
  <si>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</si>
  <si>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 xml:space="preserve">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t>
  </si>
  <si>
    <t xml:space="preserve">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t>
  </si>
  <si>
    <t>Se evidencia que se suministraron los documentos sobre el Capítulo 1: Generalidades y Capítulos 2: Conformación del Estado Nacional Colombiano, para ser incluidos en el Atlas de Colombia.  Sin embargo, para este trimestre no se programó ninguna meta.</t>
  </si>
  <si>
    <t>Dos instrumentos  para el fortalecimiento de los procesos de ordenamiento territorial</t>
  </si>
  <si>
    <t>Actualizar, formalizar y socializar especificaciones técnicas para la generación de cartografía para el ordenamiento territorial</t>
  </si>
  <si>
    <t>Especificación técnica versionada, Actas de reunión y/o comunicaciones oficiales</t>
  </si>
  <si>
    <t>Instrumentos  para el fortalecimiento de los procesos de ordenamiento territorial elaborados</t>
  </si>
  <si>
    <t>Durante el primer trimestre, se elaboró la versión preliminar del documento legal (circular) sobre  especificaciones técnicas para la generación de cartografía para el ordenamiento territorial.</t>
  </si>
  <si>
    <t>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t>
  </si>
  <si>
    <t>Durante el tercer trimestre se avanzó en la actualizaciónde las especificaciones técnicas para la generación de cartografía para el ordenamiento territorial, ajustando la versión de proyecto de resolución "Por medio de la cual se establecen las especificaciones técnicas mínimas para la generación de cartografía asociada a los procesos de ordenamiento territorial"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t>
  </si>
  <si>
    <t>Se evidencia versión preliminar del documento legal (circular) sobre especificaciones técnicas para la generación de cartografía para el ordenamiento territorial. Nota: Para este periodo no existe meta asignada.</t>
  </si>
  <si>
    <t xml:space="preserve"> Se evidencia documento preliminar de referencias para las Especificaciones Técnicas-ET y el documento en borrador Lineamientos básicos para la cartografía oficial de los Planes de Ordenamiento Territorial. Nota: Para este periodo no existe meta asignada.</t>
  </si>
  <si>
    <t xml:space="preserve">Se soportaron los documentos borradores a ser incluidos en la Resolución “Por medio de la cual se establecen las especificaciones técnicas mínimas para la generación de cartografía asociada los planes de Ordenamiento Territorial”.  Sin embargo, para este trimestre no se programó ninguna meta. </t>
  </si>
  <si>
    <t>Diseñar y poner en funcionamiento el repositorio de planes de ordenamiento territorial. Rediseño plataforma.</t>
  </si>
  <si>
    <t xml:space="preserve">Documento de diseño y repositorio de planes de ordenamiento territorial </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</si>
  <si>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</si>
  <si>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t>
  </si>
  <si>
    <t>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t>
  </si>
  <si>
    <t>Evidencias y avances acordes</t>
  </si>
  <si>
    <t>Se evidencia varios documentos para el diseño y puesta en funcionamiento el repositorio de planes de ordenamiento territorial.</t>
  </si>
  <si>
    <t xml:space="preserve">Se observa que durante el trimestre se ha avanzado en el diseño del repositorio de planes de Ordenamiento Territorial.  Sin embargo, para este trimestre no se programó ninguna meta.  </t>
  </si>
  <si>
    <t>Base Nacional de Nombres Geográficos integrada, actualizada y disponible 
(Base de datos del diccionario geográfico)</t>
  </si>
  <si>
    <t>Robustecer en un 20% los nombres geográficos en la Base Nacional, a partir de la gestión de diferentes fuentes e integración de existentes.</t>
  </si>
  <si>
    <t>Nombres geográficos recolectados, actualizados y/o integrados</t>
  </si>
  <si>
    <t>Durante el primer trimestre, se avanzó con la gestión contractual para el desarrollo de esta actividad.</t>
  </si>
  <si>
    <t xml:space="preserve">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 </t>
  </si>
  <si>
    <t>Se gestionó e integró la información de 1.790 registros de nombres geográficos asociados a Parques Naturales, así como 190 de la Fundación GAIA asociada a grupos étnicos y 10.000 nombres de la base de datos de topónimos urbanos del DANE.</t>
  </si>
  <si>
    <t>La evidencia aportada no corresponde al producto esperado.</t>
  </si>
  <si>
    <t>No se evidencia avance en la meta propuesta.</t>
  </si>
  <si>
    <t xml:space="preserve">Se evidencia en documento por medio del cual se va avanzando en robustecer los nombres geográficos en le Base Nacional, sin embargo, se observa que no se dio cumplimiento a la meta programada para el tercer trimestre del año.  </t>
  </si>
  <si>
    <t>Desarrollar nueva versión de diccionario geográfico de Colombia integrado con Colombia en Mapas.</t>
  </si>
  <si>
    <t>Documento de requerimientos y código fuente</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</si>
  <si>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</si>
  <si>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Durante el segundo trimestre, se realizó la migración de los datos y se implementó una nueva interfaz web del diccionario geográfico de Colombia.  http://igac.azurewebsites.net/diccionario/</t>
  </si>
  <si>
    <t>La nueva versión de diccionario geográfico de Colombia integrado con Colombia en Mapas se cumplió en el segundo trimestre, sin embargo continua en mejoramiento con la integración de nuevos términos y la base geográfica de nombres o topónimos.</t>
  </si>
  <si>
    <t>Se evidencia documento técnico benchmarking, nueva página web, con lo cual se avanza en los requerimientos, para la Base Nacional de Nombres Geográficos. Nota: Para este periodo no existe meta asignada.</t>
  </si>
  <si>
    <t>Se evidencia la implementación de una nueva interfaz web del diccionario geográfico de Colombia.  http://igac.azurewebsites.net/diccionario/</t>
  </si>
  <si>
    <t xml:space="preserve">Esta actividad se cumplió en el segundo trimestre del año, actualmente se continua con el mejoramiento de la integración de nuevos términos y la base geográfica de nombres o topónimos.  </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</si>
  <si>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</si>
  <si>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</si>
  <si>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</si>
  <si>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</si>
  <si>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t>
  </si>
  <si>
    <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Además, Se dispuso en la plataforma de Colombia en Mapas otros seis (9) servicios: _x000D_
-Vigencia y tipo de plan de ordenamiento territorial (POT) por municipio. (https://mapas.igac.gov.co/server/rest/services/ordenamientoterritorial/datosnacionalespot/MapServer) _x000D_
-Subregiones funcionales de Colombia: (https://mapas.igac.gov.co/server/rest/services/ordenamientoterritorial/subregionesfuncionales/MapServer) _x000D_
-Clasificación del suelo según POT: https://mapas.igac.gov.co/server/rest/service</t>
  </si>
  <si>
    <t>Se evidencia las capas de clasificación del suelo, suelos de protección, zonificación de usos urbanos y rurales de los POT de los municipio de Valencia(Córdoba) y Villavicencio (Meta), obteniendo como resultado 7 capas temáticas.</t>
  </si>
  <si>
    <t xml:space="preserve">Se observan los documentos correspondientes a la validación y disposición de OT, para los meses de julio, agosto y septiembre de 2021.  </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</si>
  <si>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</si>
  <si>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</si>
  <si>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</si>
  <si>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 xml:space="preserve">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t>
  </si>
  <si>
    <t>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t>
  </si>
  <si>
    <t>Se evidencia la incorporación de información dentro de la estructura de GDB, de la capa de Ríos Fronterizos de Colombia, la capa de islas fronterizas y el Límite Provisional de Caquetá - Meta y se modificó los puntos trifinios.</t>
  </si>
  <si>
    <t>Se evidencia la actualización de la base de datos límites de Entidades Territoriales y límites municipales; Se observa que se integró la capa de clasificación del suelo.</t>
  </si>
  <si>
    <t xml:space="preserve">Se observa que para el tercer trimestre del año se actualizaron 26 registros de límites departamentales, 44 registros de límites municipales y no hubo actualizaciones en límites fronterizos, ni cartografía temática.  Adicional se actualizó la normatividad del municipio de Barrancominas, lo anterior dispuesto en la plataforma de Colombia en Mapas.  Sin embargo, no se programó meta para este trimestre del año.  </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</si>
  <si>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</si>
  <si>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</si>
  <si>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</si>
  <si>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Durante el segundo timestre, se lograron 17.207 usuarios más en la página de  Colombia en Mapas.</t>
  </si>
  <si>
    <t>Durante el tercer trimestre, Colombia en Mapas registró 155.210 usuarios. Para un total acumulado a la fecha de 201.364 usuarios.</t>
  </si>
  <si>
    <t>Se evidencia reporte trimestral Google Analytics, donde accedieron 28947 usuarios.</t>
  </si>
  <si>
    <t>Se evidencia reportes de Google Analytics con 17.207 nuevos usuarios.</t>
  </si>
  <si>
    <t xml:space="preserve">Se evidencia reportes de Google Analytics donde se observa el registro de 155.210 nuevos usuarios.  Se recomienda tomar las medidas necesarias para dar cumplimiento a esta actividad al culminar el año 2021.  </t>
  </si>
  <si>
    <t>Documentos de  Estudios Técnicos de Entidades Territoriales</t>
  </si>
  <si>
    <t>Elaborar, remitir y publicar el diagnóstico de  límites de entidades territoriales como insumo para la caracterización territorial y levantamiento catastral.</t>
  </si>
  <si>
    <t>Informes de diagnóstico de las líneas limítrofes</t>
  </si>
  <si>
    <t>Documentos de  Estudios Técnicos de Entidades Territoriales elaborados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</si>
  <si>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</si>
  <si>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t>
  </si>
  <si>
    <t>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t>
  </si>
  <si>
    <t>Se evidencia 15 estudios de límites de entidades territoriales.</t>
  </si>
  <si>
    <t>Se evidencia 16 estudios de límites de entidades territoriales.Nota:no se cumple con la meta.</t>
  </si>
  <si>
    <t xml:space="preserve">En el repositorio se evidencian 25 documentos de diagnósticos de límites de entidades territoriales para diferentes municipios.  </t>
  </si>
  <si>
    <t>Avanzar en un 25% las operaciones de los procesos de deslindes aperturados, con su correspondiente informe técnico.</t>
  </si>
  <si>
    <t>Reporte de avance de operaciones de deslinde y/o amojonamiento municipales y departamentales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</si>
  <si>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</si>
  <si>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 xml:space="preserve">Durante el segundo trimestre,  se finalizó el proceso de deslinde Vijes - Yumbo y se avanzó en cinco operaciones de los siguientes procesos de deslindes: _x000D_
1. Atlántico-Bolívar, 2. Segovia-Remedios, 3. Fredonia - Venecia (antioquia), 4. Norte de Santander-Santander </t>
  </si>
  <si>
    <t>Durante el tercer trimestre se finalizaron los procesos administrativos de Santa Rosalía – La Primavera, Campamento – Guadalupe, El Retiro –Envigado (Antioquia) y Fredonia - Venecia (Antioquia).</t>
  </si>
  <si>
    <t>Se evidencia reportes de avances de operaciones de deslinde y/o amojonamiento municipales y departamentales.</t>
  </si>
  <si>
    <t xml:space="preserve">Se observan las actas de sesión de deslindes de entidades territoriales de apertura con su informe técnico.  </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</si>
  <si>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</si>
  <si>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</si>
  <si>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</si>
  <si>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 xml:space="preserve">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t>
  </si>
  <si>
    <t>Esta actividad se completó en el segundo trimestre y durante el tercer trimestre no se reportan nuevas aperturas.</t>
  </si>
  <si>
    <t>Se evidencia apertura del proceso de deslinde de Bogotá D.C. - La Calera con Resolución 187 de 23 de marzo de 2021.</t>
  </si>
  <si>
    <t>Se evidencia documentos técnicos y resoluciones de deslindes.</t>
  </si>
  <si>
    <t xml:space="preserve">Se evidencia que esta actividad se cumplió en el segundo trimestre.  Adicional para el tercer trimestre del año no se programó ninguna meta.  </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</si>
  <si>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</si>
  <si>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</si>
  <si>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</si>
  <si>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t>
  </si>
  <si>
    <t>Esta actividad se completó en el segundo trimestre y durante el tercer trimestre no se reportan nuevos listados.</t>
  </si>
  <si>
    <t>Se evidencia listado oficial de las Entidades Territoriales.</t>
  </si>
  <si>
    <t>Se evidencia que se realizó presentación y socialización de la actualización de las áreas oficiales de las entidades territoriales con el Departamento Nacional de Planeación.</t>
  </si>
  <si>
    <t xml:space="preserve">Esta actividad se culminó en el segundo trimestre del año.  Adicional para el tercer trimestre del año no se programó ninguna meta.  </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</si>
  <si>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</si>
  <si>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</si>
  <si>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</si>
  <si>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t>
  </si>
  <si>
    <t xml:space="preserve">Durante el tercer trimestre, se avanzó en la definición de los lineamientos técnicos para la delimitación de entidades territoriales a escalas 1:10.000, alcanzando el 65% de la elaboración del documento. </t>
  </si>
  <si>
    <t>Avances y evideencias acordes</t>
  </si>
  <si>
    <t>Se evidencia el listado de los límites con su relación de escala. Nota: Para este periodo no existe meta asignada.</t>
  </si>
  <si>
    <t>Se evidencia el flujograma de trabajo del proceso de precisión de líneas limítrofes a escala 1:10.000. Nota: Para este periodo no existe meta asignada.</t>
  </si>
  <si>
    <t xml:space="preserve">Se observa el avance de los documentos “Metodologías para precisar límites” y “Lineamientos para precisar límites”, a escala 1:10.000.  Sin embargo, para este trimestre no se programó ninguna meta.  </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</si>
  <si>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</si>
  <si>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</si>
  <si>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</si>
  <si>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</si>
  <si>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</si>
  <si>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</si>
  <si>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Durante el segundo trimestre, se han atendido 56 solicitudes, sobre cartografía binacional, cuencas hidrográficas internacionales, demarcación y asuntos fronterizos marítimos, zona fronteriza marítima y terrestre.</t>
  </si>
  <si>
    <t>Durante el tercer trimestre, se han atendido 24 solicitudes, sobre: asuntos étnicos y fronteras internacionales.</t>
  </si>
  <si>
    <t>Se evidencia informe de gestión técnico de apoyo de solicitudes en temas fronterizos.</t>
  </si>
  <si>
    <t>Se evidencia documentos de las 56 solicitudes atendidas.</t>
  </si>
  <si>
    <t xml:space="preserve">Se observa que, para el tercer trimestre del año 2021, el proceso apoyó técnicamente las solicitudes del Ministerio de Relaciones Exteriores, generando informes técnicos en Fronteras según las solicitudes recibidas.  </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</si>
  <si>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</si>
  <si>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</si>
  <si>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</si>
  <si>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</si>
  <si>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</si>
  <si>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 xml:space="preserve">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
</t>
  </si>
  <si>
    <t>Durante el tercer trimestre, se atendieron 47 solicitudes de requerimientos relacionados con asuntos étnicos. Igualmente, se participó en 21 espacios relacionados a asuntos étnicos, convocados por entidades externas y el IGAC.</t>
  </si>
  <si>
    <t>Se evidencia informe de atención de requerimientos relacionados con asuntos étnicos, 10 fueron recibidos y estos atendidos.Se evidencia informe de atención de requerimientos relacionados con asuntos étnicos, 10 fueron recibidos y estos atendidos.</t>
  </si>
  <si>
    <t>Se evidencia listado de las 20 solicitudes recibidas y atendidas .</t>
  </si>
  <si>
    <t xml:space="preserve">Se evidencia que se atendieron 47 solicitudes de requerimientos allegadas al área, además se participó en espacios relacionados a asuntos étnicos.  </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</si>
  <si>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</si>
  <si>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</si>
  <si>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</si>
  <si>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Durante el segundo trimestre, se atendieron 5 solicitudes relacionadas con  asesoría técnica emitidos para la Agencia Nacional de Tierras.</t>
  </si>
  <si>
    <t>Durante el tercer trimestre, se emitieron 17 informes de asesoría técnica relacionados con resguardos indígenas y comunidades negras. Igualmente, se participó en 8 mesas de trabajo técnicas y sesiones correspondientes.</t>
  </si>
  <si>
    <t>Se evidencia informes de asesoría en siete procesos de Resguardos Indígenas: 4 Constitución y 3 de ampliación.</t>
  </si>
  <si>
    <t>Se evidencia listado de 5 solicitudes atendidas.</t>
  </si>
  <si>
    <t xml:space="preserve">Para este periodo evaluado se generaron 17 informes de asesoría técnica correspondiente a Resguardo Indígenas y Comunidades Negras, además se contó con la participación de mesas de trabajo técnicas.  </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</si>
  <si>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</si>
  <si>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</si>
  <si>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</si>
  <si>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t>
  </si>
  <si>
    <t>Durante el tercer trimestre, se finalizó el informe de revisión e integración de la información cartográfica de Territorios Colectivos y se emitieron dos informes de uniformidad de la información de Comunidades Étnicas, con base en la información de ANT.</t>
  </si>
  <si>
    <t>Se evidencia documentos de ajuste de especificaciones técnicas e informes con los reportes de calidad.</t>
  </si>
  <si>
    <t>Se evidencia reportes de calidad.</t>
  </si>
  <si>
    <t xml:space="preserve">Para el tercer trimestre del año 2021 se culminó con el informe de Revisión e Integración de la Información Cartográfica de Territorios Colectivos, adicional se observan los documentos sobre los informes de Uniformidades de la Información de Comunidades Étnicas.  </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</si>
  <si>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</si>
  <si>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</si>
  <si>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</si>
  <si>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Durante el segundo trimestre, se realizó la sesión ordinaria No 9 de la mesa técnica de asuntos étnicos titulada "Estado actual de temas étnicos coyunturales",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t>
  </si>
  <si>
    <t>Durante el tercer trimestre, no se realizó convocatoria o sesión ordinaria de la mesa de asuntos étnicos.</t>
  </si>
  <si>
    <t>Avance acorde</t>
  </si>
  <si>
    <t>No se realiza para este trimestre mesa de asuntos etnicos.</t>
  </si>
  <si>
    <t>Se evidencia acta de reunión de la 9 sesión de la mesa de asuntos étnicos realizada el 16 de junio de 2021 y se observa presentación de la mesa de asuntos étnicos.</t>
  </si>
  <si>
    <t xml:space="preserve">Para este trimestre no se realizaron sesiones ordinarias de asuntos étnicos.  </t>
  </si>
  <si>
    <t>Gestión de Regulación y Habilitación</t>
  </si>
  <si>
    <t>Habilitación</t>
  </si>
  <si>
    <t>Gestores habilitados en el marco de lo definido en el Plan Nacional de Desarrollo 2019-2022</t>
  </si>
  <si>
    <t>Habilitar mínimo siete (7) Gestores Catastrales</t>
  </si>
  <si>
    <t>Resoluciones, reporte Excel de municipios</t>
  </si>
  <si>
    <t>Dirección de Regulación y Habilitación</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</si>
  <si>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</si>
  <si>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</si>
  <si>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 xml:space="preserve">Abril: Durante el mes de abril se habilitó como gestor catastral el municipio de Sabaneta por medio de las resoluciones 214 del 9 de abril 2021. _x000D_
Mayo: Durante el mes de mayo se habilito como gestor catastral el municipio de Neiva, mediante la resolución 249 del 3 de mayo 2021. _x000D_
Junio: Durante el mes de junio se dio inicio al trámite de Habilitación de los municipios de Valledupar e Ibagué mediante Res. 341 del 10 de junio y Res. 430 del 18 de junio respectivamente._x000D_
</t>
  </si>
  <si>
    <t xml:space="preserve">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
</t>
  </si>
  <si>
    <t>Sobrepasaron la meta para el trimestre</t>
  </si>
  <si>
    <t>Registran las resoluciones de habilitacion</t>
  </si>
  <si>
    <t>Se evidencia la habilitación de gestores a nivel nacional</t>
  </si>
  <si>
    <t>Se evidencia las resoluciones en las cuales se habilitan como gestores catastrales los municipios de Zipaquirá, Envigado, Jamundí y Armenia.</t>
  </si>
  <si>
    <t>Se evidencia las resoluciones en las cuales se habilitan como gestores catastrales los municipios de Sabaneta, Neiva, Valledupar e Ibagué.</t>
  </si>
  <si>
    <t>Se evidencia las resoluciones en las cuales se habilitan como gestores catastrales los municipios de Valledupar, Ibagué, Asomunicipios Catatumbo Ocaña y Sur del Cesar mediante, Sabanalarga Girardot y Sahagun.</t>
  </si>
  <si>
    <t>Regulación</t>
  </si>
  <si>
    <t>Documentos de Regulación</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</si>
  <si>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</si>
  <si>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</si>
  <si>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</si>
  <si>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t>
  </si>
  <si>
    <t>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t>
  </si>
  <si>
    <t>Se verifica realización de la actividad a través de correos electrónicos enviados con lineamientos y con envío de material complementario a la socialización.</t>
  </si>
  <si>
    <t>Se icomprueba la impementacion de la actividad con tres correos electronicos remisorios de lineamientos, donde se socializa y se remite el  procedimiento de regulación.</t>
  </si>
  <si>
    <t>Se evidencia con , 3 PDF que soportan las reuniones y las socializaciones del procedimiento de regulación.</t>
  </si>
  <si>
    <t>Se evidencia correos electrónicos a las diferentes áreas, donde se realiza la socialización y se les envía el documento de procedimientos de regulación.</t>
  </si>
  <si>
    <t>Se evidencia reuniones y socializaciones del procedimiento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</si>
  <si>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</si>
  <si>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</si>
  <si>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Oficina Asesora Juridica llevo a cabo la proyeccion de conceptos de regulacion entre los meses de abril, mayo y junio de 2021. Como evidencia, se adjuntan tres archivos en los que se encuentran correos electronicos estableciendo conceptos juridicos de regulacion.</t>
  </si>
  <si>
    <t>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</si>
  <si>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</si>
  <si>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comprueba el cumplimiento de la meta con correos electronicos estableciendo conceptos juridicos de regulacion.</t>
  </si>
  <si>
    <t>Se evidencia con  3 PDF que soportan las reuniones y las socializaciones del procedimiento de regulación.</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</si>
  <si>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</si>
  <si>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 evidencia tres correos electrónicos donde envían los conceptos emitidos a las respectivas áreas.</t>
  </si>
  <si>
    <t>Se evidencia correos electrónicos estableciendo conceptos jurídicos de regulación, y soporte de reuniones llevadas a cabo para socializar concepto</t>
  </si>
  <si>
    <t>Servicios del proceso de regulación</t>
  </si>
  <si>
    <t>Implementar y socializar el procedimiento asociado al proceso de Regulación.</t>
  </si>
  <si>
    <t>Porcentaje de Servicios Juridicos Implementados</t>
  </si>
  <si>
    <t>Se llevaron a cabo dos socializaciones del procedimiento de regulacion con el GIT Servicio al ciudadano y la Subdireccion de Geografia y Cartografia. Como soporte, 2 PDF de convocatorias a reuniones virtuales de socializacion.</t>
  </si>
  <si>
    <t>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t>
  </si>
  <si>
    <t>Se llevaron a cabo reuniones tendientes a socializar el procedimiento de regulación. Como soporte, 3 PDF de convocatorias a reuniones virtuales de socialización y correos electrónicos socializando el procedimiento.</t>
  </si>
  <si>
    <t xml:space="preserve">Se Verifica realización de la actividad teniendo en cuenta las dos convocatorias socializaciones del procedimiento de regulacion </t>
  </si>
  <si>
    <t>Se comprueba el cumplimiento de lo programado con la realización de 3 socializaciones, 2 correos de solicitudes de publicación de regulación, 3 convocatorias de reuniones.</t>
  </si>
  <si>
    <t>3 PDF de convocatorias a reuniones virtuales de socialización y correos electrónicos socializando el procedimiento.</t>
  </si>
  <si>
    <t>Se evidencian pantallazos de dos socializaciones virtuales de los procesos de regulación.</t>
  </si>
  <si>
    <t>Se evidencia correos electrónicos donde se socializa el proceso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</si>
  <si>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</si>
  <si>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</si>
  <si>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t>
  </si>
  <si>
    <t>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t>
  </si>
  <si>
    <t>Se realizo acompañamiento y asesoria a los proyectos de actos administrativos de regulacion a la Subdireccion de Arologia,  Catasto y Cartografia.</t>
  </si>
  <si>
    <t>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t>
  </si>
  <si>
    <t>Se comprobaron las evidencas aportadas</t>
  </si>
  <si>
    <t>Se evidencia correos electrónicos donde se realizó acompañamiento y asesoría a los proyectos de actos administrativos de regulación a la Subdirección de Agrología,  Catastro y Cartografía.</t>
  </si>
  <si>
    <t>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t>
  </si>
  <si>
    <t>Se evidencia correos electrónicos y reuniones virtuales donde se realiza acompañamiento a las áreas misionales en la elaboración de actos administrativos.</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</si>
  <si>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</si>
  <si>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</si>
  <si>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 Se llevó a cabo la revisión y soporte en la publicación de un acto administrativo de regulación para comentarios de la ciudadanía. Como soporte, información contenida y publicada en el link https://www.igac.gov.co/es/transparencia-y-acceso-a-la-informacion-publica/proyectos-para-comentar </t>
  </si>
  <si>
    <t xml:space="preserve">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t>
  </si>
  <si>
    <t xml:space="preserve">al no  recibir requerimientos  no hubo que publicarse para la participación de la Ciudadania </t>
  </si>
  <si>
    <t>Con la información contenida y publicada en el link https://www.igac.gov.co/es/transparencia-y-acceso-a-la-informacion-publica/proyectos-para-comentar,se da cumplimiento a la actividad programada</t>
  </si>
  <si>
    <t xml:space="preserve">Se aportan 13 PDF con la asesoría y la información contenida y publicada en el link https://www.igac.gov.co/es/transparencia-y-acceso-a-la-informacion-publica/proyectos-para-comentar </t>
  </si>
  <si>
    <t>No se presentan solicitudes en el primer trimestre.</t>
  </si>
  <si>
    <t>Se evidencia la publicación de un acto administrativo de regulación para comentarios de la ciudadanía, esta se encuentra ubicada en el link https://www.igac.gov.co/es/transparencia-y-acceso-a-la-informacion-publica/proyectos-para-comentar.</t>
  </si>
  <si>
    <t>Se evidencia correos electrónicos con los proyectos de resoluciones finales enviados por las diferentes áreas, también dentro el link https://www.igac.gov.co/es/transparencia-y-acceso-a-la-informacion-publica/proyectos-para-comentar se pueden ver las resoluciones para comentar.</t>
  </si>
  <si>
    <t xml:space="preserve">Definir agenda regulatoria </t>
  </si>
  <si>
    <t>Definición agenda regulatoria</t>
  </si>
  <si>
    <t>Programado para cumplimiento desde 4 trimestre de 2021.</t>
  </si>
  <si>
    <t>No esta programada actividad para este trimestre.</t>
  </si>
  <si>
    <t>No tiene meta programada para este trimestre</t>
  </si>
  <si>
    <t>Ejecutar agenda regulatoria definida</t>
  </si>
  <si>
    <t>Porcentaje de ejecución agenda regulatoria definida</t>
  </si>
  <si>
    <t>No se tiene proramada actividad para este periodo</t>
  </si>
  <si>
    <t>Programado para cumplimiento desde 3 trimestre de 2021.</t>
  </si>
  <si>
    <t>Se llevó a cabo el cumplimiento del cronograma establecido para actualización de documentación del procedimiento de regulación. Como soporte, 1 excel con cronograma establecido, 2 PDF con cumplimiento de cronograma, 1 word con proyecto de procedimiento de regulación.</t>
  </si>
  <si>
    <t>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t>
  </si>
  <si>
    <t>Actividad progamada para el tercer trimestre</t>
  </si>
  <si>
    <t>Se da cumplimiento al cronograma y a mesas de trabajo, se evidencia en convocatorias y en procedimiento PROPUETA</t>
  </si>
  <si>
    <t>Se e idencia con 1 excel con cronograma establecido, 5 word con política de mejora normativa, caracterización del proceso, proyecto de procedimiento de regulación y formatos asociados.</t>
  </si>
  <si>
    <t>Se evidencia dos reuniones en las cuales se revisó y ajusto el procedimiento de regulación, se observa documento proyecto de procedimiento de regulación.</t>
  </si>
  <si>
    <t>Se evidencia cronograma de actualización de documentos y cinco documentos que son:  memoria justificativa, caracterización del proceso, proyecto de procedimiento de regulación y formatos</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</si>
  <si>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</si>
  <si>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seguimiento a los controles del proceso mediante el diligenciamiento de la herramienta PLANIGAC Regulacion a 30 de junio de 2021. Como evidencia, herramienta PLANIGAC regulacion diligenciada y sus correspondientes soportes cargados en DRIVE.</t>
  </si>
  <si>
    <t>Se realiza el seguimiento a los controles del proceso mediante el diligenciamiento de la herramienta PLANIGAC Regulación y Habilitación a 30 de septiembre de 2021. Como evidencia, herramienta PLANIGAC regulación diligenciada y sus correspondientes soportes cargados en DRIVE.</t>
  </si>
  <si>
    <t>Se realiza el seguimmiento a los riesos del proceso evidenciandose Herramienta Planigac</t>
  </si>
  <si>
    <t>Se evidencias el cumplimiento de la actividad en el el mapa de riesgos en PLANIGAC con su diligenciamiento</t>
  </si>
  <si>
    <t>evidencia, herramienta PLANIGAC regulación diligenciada y sus correspondientes soportes cargados en DRIVE.</t>
  </si>
  <si>
    <t>Se observa diligenciamiento y cargue de evidencias del mapa de riesgos en PLANIGAC.</t>
  </si>
  <si>
    <t>Actividad programada para cumplimiento desde cuarto trimestre 2021.</t>
  </si>
  <si>
    <t>Para este periodo no se tiene programada la realizacion de actividad</t>
  </si>
  <si>
    <t>En este periodo no tiene meta asignada.</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</si>
  <si>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</si>
  <si>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t>
  </si>
  <si>
    <t>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t>
  </si>
  <si>
    <t>Se realiza el seguimiento al plan de accion a al PAAC en herramienta PLANIGAC Regulacion y la matriz PAAC diligenciada</t>
  </si>
  <si>
    <t>Se comprueba la  realizacion del  seguimiento al plan de accion a al PAAC en herramienta PLANIGAC Regulacion y la matriz PAAC diligenciada</t>
  </si>
  <si>
    <t>evidencia, herramienta PLANIGAC regulación diligenciada y matriz PAAC diligenciada, y sus correspondientes soportes cargados en DRIVE.</t>
  </si>
  <si>
    <t>Se evidencia diligenciamiento y seguimiento al PAA y Mapa de riesgos en PLANIGAC.</t>
  </si>
  <si>
    <t>Se evidencia diligenciamiento y seguimiento al PAA y Mapa de riesgos en PLANIGAC.Se evidencia diligenciamiento y seguimiento al PAA y Mapa de riesgos en PLANIGAC.</t>
  </si>
  <si>
    <t>Se evidencia diligenciamiento y seguimiento al PAA y Mapa de riesgos en PLANIGAC y PAAC.</t>
  </si>
  <si>
    <t>Seguimiento de meta desde 4 trimestre.</t>
  </si>
  <si>
    <t>No se tiene programada actividad para este timestre.</t>
  </si>
  <si>
    <t>Para este trimestre no se cuenta con meta programada</t>
  </si>
  <si>
    <t>Seguimiento de cumplimiento de meta desde 2 trimestre 2021.</t>
  </si>
  <si>
    <t>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t>
  </si>
  <si>
    <t>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t>
  </si>
  <si>
    <t>No se tiene programada actividad para este timestre</t>
  </si>
  <si>
    <t>Con cronograma de actividades y su avance en actividades de mejora en el tema de regulación - FURAC, se evidencia la implemetación dela actividad</t>
  </si>
  <si>
    <t>Se evidencia con cronograma con cumplimiento de actividades.</t>
  </si>
  <si>
    <t>Se evidencia cronograma de actividades y su avance en actividades de mejora en el tema de regulación – FURAC.</t>
  </si>
  <si>
    <t>Gestión de Servicio al Ciudadano</t>
  </si>
  <si>
    <t>Gestión de Atención al Ciudadano</t>
  </si>
  <si>
    <t>Servicio al Ciudadano Fortalecido</t>
  </si>
  <si>
    <t>Elaborar estrategia de servicio al ciudadano e implementarla.</t>
  </si>
  <si>
    <t>Estrategia de Servicio y seguimiento del mismo</t>
  </si>
  <si>
    <t>Oficina de Relación con el Ciudadano</t>
  </si>
  <si>
    <t>Porcentaje de avance en la implementación de la estrategia  de servicio al ciudadano.</t>
  </si>
  <si>
    <t>La actividad está programada para el siguiente trimestre</t>
  </si>
  <si>
    <t>Durante el segundo trimestre se realiza un avance en la estrategia de servicio al ciudadano</t>
  </si>
  <si>
    <t>Durante el tercer trimestre se realiza diseño de la estrategia de servicio al ciudadano.</t>
  </si>
  <si>
    <t xml:space="preserve">Se evidencia avance en la elaboración del documento de Estrategia de Servicio al Ciudadano </t>
  </si>
  <si>
    <t>De acuerdo con las evidencias, se observa que durante el tercer trimestre se realizó la estrategia de servicio al ciudadano</t>
  </si>
  <si>
    <t>Se evidencia con el Informe "Estrategia de Servicio al Ciudadano 2021"_x000D_
_x000D_
Grupo Interno de Trabajo Servicio al Ciudadano_x000D_
_x000D_
2021</t>
  </si>
  <si>
    <t>De acuerdo al soporte entregado se evidencia que el avance reportado</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</si>
  <si>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</si>
  <si>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</si>
  <si>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</si>
  <si>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 xml:space="preserve">Se ha asistido a la feria los días 29 y 30 en Corrales Boyacá, ademas se realizó el acompañamiento de las piezas comunicativas para este feria </t>
  </si>
  <si>
    <t>Se realiza inscripción a la feria acércate de Dibulla, en el departamento de la Guajira la cual se realizará los días 14 y 15 de octubre. Se adjunta listado de entidades participantes en el evento, volantes diseñados para la publicidad y pieza comunicativa</t>
  </si>
  <si>
    <t>Se evidencia documentos que dan cuenta de la planeación, programación y realización de la feria de servicio al ciudadano en Corrales Boyacá.</t>
  </si>
  <si>
    <t>Se observan evidencias referentes a la feria acércate de Dibulla - La Guajira, a pesar de que no tiene meta asignada en el período,</t>
  </si>
  <si>
    <t>Se evidencia con la asistencia a la feria los días 29 y 30 en Corrales Boyacá.</t>
  </si>
  <si>
    <t>De acuerdo al soporte entregado se evidencia el avance reportado de la participación en el evento Feria Acércate a Dibulla.</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</si>
  <si>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</si>
  <si>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</si>
  <si>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</si>
  <si>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Desde el GIT de Servicio al Ciudadano se ha implementado el seguimiento al canal telefónico y se ha entregado informes.</t>
  </si>
  <si>
    <t>Durante el tercer trimestre se realizó informe de medición del canal telefónico con los resultados del III trimestre y la decisión del Call Center</t>
  </si>
  <si>
    <t xml:space="preserve">Se observa que desde el GIT de Servicio al Ciudadano se ha implementado un mecanismo de seguimiento al canal telefónico </t>
  </si>
  <si>
    <t>Para el segundo trimestre de 2021, se evidencian documentos que dan cuenta de  la implementación de un mecanismo de seguimiento al canal de atención telefónico.</t>
  </si>
  <si>
    <t>De acuerdo con las evidencias, se observa que durante el tercer trimestre trimestre se realizó informe de medición del canal telefónico con los resultados del II trimestre y la decisión del Call Center</t>
  </si>
  <si>
    <t xml:space="preserve">Se evidencia con  mecanismo de seguimiento al canal telefónico </t>
  </si>
  <si>
    <t>Se evidencia con implementación al canal telefónico, mediante informes protocolo atención-respuesta, correo del 2 de junio de 2021.</t>
  </si>
  <si>
    <t>De acuerdo al soporte entregado, informe sobre las llamadas recibidas y su gestión,  se evidencia el avance reportado.</t>
  </si>
  <si>
    <t>Realizar documento Diagnóstico de la funcionalidad de los asignadores de turno en las direcciones territoriales y sede central a fin de establecer las necesidades y  solución para la operación del sistema.</t>
  </si>
  <si>
    <t>Documento Diagnostico</t>
  </si>
  <si>
    <t xml:space="preserve">Se elaboró el documento de Diagnóstico de la funcionalidad de los asignadores de turno </t>
  </si>
  <si>
    <t>Esta actividad se desarrollo en el segundo trimestre</t>
  </si>
  <si>
    <t xml:space="preserve">Se evidencian documentos que dan cuenta de la elaboración de Diagnóstico de la funcionalidad de asignación de turnos, en los cuales se relacionan los elementos con los que cuenta cada territorial y las correspondientes observaciones frente a su funcionamiento. </t>
  </si>
  <si>
    <t>Se evidenciacon informe digiturno de abril de 2021.</t>
  </si>
  <si>
    <t>Construcción ficha técnica para realizar ejercicio de cliente incógnito telefónico y aplicarla en el IGAC</t>
  </si>
  <si>
    <t>Ficha técnica para realizar ejercicio de cliente incógnito telefónico</t>
  </si>
  <si>
    <t>Se estableció la ficha técnica para realizar ejercicio de cliente incógnito telefónico y así poder ser aplicada en el IGAC</t>
  </si>
  <si>
    <t>Los días 28, 29 y 30 de junio se realizó el ejercicio de Cliente Incognito</t>
  </si>
  <si>
    <t>Se realiza informe con el ejercicio de cliente incognito realizado el 27 de septiembre.</t>
  </si>
  <si>
    <t xml:space="preserve">Se observa que se estableció la ficha técnica para realizar ejercicio de cliente incógnito telefónico </t>
  </si>
  <si>
    <t>Se evidencia informe de la realización de ejercicio de cliente oculto durante los días 28, 29 y 30 de junio de 2021.</t>
  </si>
  <si>
    <t>De acuerdo con las evidencias, se observa que el 27 de septiembre se realizó ejercicio de cliente incognito telefónico</t>
  </si>
  <si>
    <t xml:space="preserve">se evidencia mediante ficha técnica de marzo para realizar ejercicio de cliente incógnito telefónico </t>
  </si>
  <si>
    <t>Se evidencia ejercicio cliente incógnito realizado el 28, 29 y 30 de junio del corriente año.</t>
  </si>
  <si>
    <t>De acuerdo al soporte entregado, informe cliente incógnito telefónico,  ejercicio realizado el 27 de septiembre, se evidencia el avance reportado.</t>
  </si>
  <si>
    <t xml:space="preserve">Realizar Caracterización de grupos de valor y/o grupos de interés. </t>
  </si>
  <si>
    <t>Caracterización de grupos de valor y/o grupos de interés.</t>
  </si>
  <si>
    <t>La actividad está programada para el cuarto trimestre, pero el GIT de Servicio al Ciudadano ha empezado a realizar reuniones y generar propuestas para la caracterización del año 2021</t>
  </si>
  <si>
    <t>Esta actividad está programada para el cuarto trimestre</t>
  </si>
  <si>
    <t>Sin meta asignada para este periodo</t>
  </si>
  <si>
    <t xml:space="preserve">Habilidades de servidores públicos fortalecidos en la atención de grupos de valor y/o Interés </t>
  </si>
  <si>
    <t>Realizar el 4to encuentro nacional de servicio al ciudadano del IGAC</t>
  </si>
  <si>
    <t>Asistencia, imágenes, pieza del encuentro</t>
  </si>
  <si>
    <t>Número de cursos y/o talleres fomentados para la participación de los servidores</t>
  </si>
  <si>
    <t>Aunque la actividad esta para desarrollarse en el tercer trimestre el GIT de Servicio al ciudadano ha desarrollado diferentes reuniones internas para realizar la planeación del 4° Encuentro nacional de servicio al ciudadano del IGAC</t>
  </si>
  <si>
    <t>Se realizó el 4to Encuentro Nacional de Servicio al Ciudadano los días 9 y 10 de septiembre</t>
  </si>
  <si>
    <t xml:space="preserve">De acuerdo con las evidencias, se observa que los días 9 y 10 de septiembre se realizó el 4to Encuentro Nacional de Servicio al Ciudadano. </t>
  </si>
  <si>
    <t>De acuerdo al soporte entregado, Cuarto Encuentro Nacional de Servicio al Ciudadano, realizado el 9 y 10 de septiembre, se evidencia el avance reportado.</t>
  </si>
  <si>
    <t>Promover la participación de los Servidores Públicos en los talleres y cursos virtuales de lenguaje claro, ofrecidos por el Programa Nacional de Servicio al Ciudadano del DNP.</t>
  </si>
  <si>
    <t>Correos, reuniones, participaciones a los cursos y/o talleres</t>
  </si>
  <si>
    <t>EL GIT de Servicio al Ciudadano promovio la participación del curso de lenguaje claro.</t>
  </si>
  <si>
    <t>EL GIT de Servicio al Ciudadano promovio la participación de los cursos generados para este segundo trimestre</t>
  </si>
  <si>
    <t>La Oficina de Relación con el Ciudadano durante el tercer trimestre reenvió a los Directores Territoriales la invitación a participar en el curs de lenguaje claro.</t>
  </si>
  <si>
    <t>Se observa que eL GIT de Servicio al Ciudadano promovió la participación del curso de lenguaje claro.</t>
  </si>
  <si>
    <t>Se observa que eL GIT de Servicio al Ciudadano promovió la participación del curso de lenguaje claro y consolidó la información de la realización de dicho curso por parte de las diferentes territoriales del IGAC.</t>
  </si>
  <si>
    <t>De acuerdo con las evidencias, se observa que durante el tercer trimestre se reenvió a los Directores Territoriales la invitación a participar en el curso de lenguaje claro.</t>
  </si>
  <si>
    <t>Se evidencia mediante "INFORME DE ACTIVIDADES DESARROLLADAS DURANTE EL PERIODO COMPRENDIDO ENTRE EL 18 AL 31 DE ENERO DE 2021_1"_x000D_
A</t>
  </si>
  <si>
    <t xml:space="preserve">Se evidencia con  tip de promoción del cuarso de lenguaje claro y realización de éste. </t>
  </si>
  <si>
    <t>De acuerdo los soportes entregados, se evidencia el avance reportado.</t>
  </si>
  <si>
    <t>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t>
  </si>
  <si>
    <t>Correos electrónicos solicitando las piezas publicitarias, las piezas publicitarias</t>
  </si>
  <si>
    <t>El GIT de Servicio al Ciudadano con la compañia de la OAJ realizaron afiche sobre la protección de datos</t>
  </si>
  <si>
    <t xml:space="preserve">Se envía mediante correo electrónico a todos los servidores públicos del IGAC pieza el día 14 de septiembre ¿sabías que podemos expresar fácilmente nuestro estado de ánimo en una llamada? Y el 13 de septiembre se construye pieza "Construye una conexión con el ciudadano" </t>
  </si>
  <si>
    <t>Se evidencia la elaboración de piezas de comunicación relacionada con  Tratamiento de Datos Personales y con los trámites y servicios del instituto.</t>
  </si>
  <si>
    <t xml:space="preserve">De acuerdo con las evidencias, se observa que 14 de septiembre se envía correo electrónico a los servidores "¿sabías que podemos expresar fácilmente nuestro estado de ánimo en una llamada Y el 13 de septiembre se construye pieza "Construye una conexión con el ciudadano" </t>
  </si>
  <si>
    <t>Se valida con afiche de protección de datos</t>
  </si>
  <si>
    <t>De acuerdo los soportes entregados, pieza “¿sabías que podemos expresar fácilmente nuestro estado de ánimo en una llamada?” y  “¡Se empático con los ciudadanos!, se evidencia el avance reportado.</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</si>
  <si>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</si>
  <si>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</si>
  <si>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 xml:space="preserve">Durante el segundo trimeste de 2021 se realizó la herramento de consulta que permite unificar la información que se entrega a la ciudadania </t>
  </si>
  <si>
    <t>Esta actividad fue desarrollada en el segundo trimestre</t>
  </si>
  <si>
    <t>Se observa la elaboración del documento "Guía de de Atención al Ciudadano" la cual se definió como herramienta de consulta que permite unificar la información que se entrega a la_x000D_
ciudadanía, a través de los diferentes canales de atención.</t>
  </si>
  <si>
    <t>Se evidencia con correo del 4 de junio de 2021, Guía atención al ciudadano.</t>
  </si>
  <si>
    <t>No hay meta programada para este trimestre</t>
  </si>
  <si>
    <t>Publicar y difundir en la pagina web e igacnet la Caracterización de grupos de valor y/o grupos de interés</t>
  </si>
  <si>
    <t>Link Caracterización de grupos de valor y/o grupos de interés.</t>
  </si>
  <si>
    <t>La actividad está programada para el cuarto trimestre.</t>
  </si>
  <si>
    <t xml:space="preserve">Trámites y OPAS </t>
  </si>
  <si>
    <t>Mantener actualizado los trámites y OPAS de cara al ciudadano en el Sistema Único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</si>
  <si>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</si>
  <si>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</si>
  <si>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</si>
  <si>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t>
  </si>
  <si>
    <t xml:space="preserve">Se valida que el GIT de Servicio al Ciudadano  mantiene actualizados los formatos integrados de los trámites y OPAS de cara al ciudadano en el Sistema Único de Trámites SUIT </t>
  </si>
  <si>
    <t>De acuerdo con las evidencias, se observa que durante el tercer trimestre se adelantaron actividades para mantener actualizado los trámites y OPAS de cara al ciudadano en el Sistema Único de Trámites SUIT</t>
  </si>
  <si>
    <t xml:space="preserve">Se evidencia actualizados los formatos integrados de los trámites y OPAS, en el Sistema Único de Trámites SUIT </t>
  </si>
  <si>
    <t xml:space="preserve">Se evidencia con cuadro control de OPAS.Registro datos de operación SUIT en excel. </t>
  </si>
  <si>
    <t>De acuerdo los soportes entregados, seguimiento a la actualización de los tramites y OPAS en el SUIT, se evidencia el avance reportado.</t>
  </si>
  <si>
    <t>PQRSD atendidas dentro del término de ley</t>
  </si>
  <si>
    <t>Realizar seguimiento al indicador de oportunidad de respuesta a las PQRDS en Sede Central y Direcciones Territoriales.</t>
  </si>
  <si>
    <t>Seguimiento a las PQRS</t>
  </si>
  <si>
    <t>(Número) Porcentaje de PQRD atendidas con oportunidad</t>
  </si>
  <si>
    <t>Durante el primer trimestre del año el GIT de servicio al Ciudadano ha realizado reportes mensuales del estado y/o respuesta a PQRDS.</t>
  </si>
  <si>
    <t>Durante el segundo trimestre del año el GIT de servicio al Ciudadano ha realizado reportes mensuales del estado y/o respuesta a PQRDS.</t>
  </si>
  <si>
    <t>Durante el tercer trimestre del año la Ofician de Relación con el Ciudadano ha realizado reportes mensuales del estado y/o respuesta a PQRDS.</t>
  </si>
  <si>
    <t>Se observa que el GIT de servicio al Ciudadano ha realizado reportes mensuales del estado y/o respuesta a PQRDS.</t>
  </si>
  <si>
    <t>Se evidencia la existencia de reportes mensuales que dan cuenta del seguimiento realizado al estado y/o respuesta a PQRDS</t>
  </si>
  <si>
    <t>De acuerdo con las evidencias, se observa que durante el tercer trimestre se realizaron reportes mensuales del estado y/o respuesta a PQRDS.</t>
  </si>
  <si>
    <t>Se evidencia con relación de peticiones virtuales de febrero de 2020 y correo electrónico del 8 de enero de 2021 en la cual se realiza seguimiento a las PQRDS de la Dirección territorial de Boyacá.</t>
  </si>
  <si>
    <t xml:space="preserve">Se evidencia con reportes de abril, mayo y junio del corriente año de PQRDS. </t>
  </si>
  <si>
    <t>De acuerdo los soportes entregados, reportes mensuales del estado PQRDS, se evidencia el avance reportado.</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</si>
  <si>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</si>
  <si>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</si>
  <si>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</si>
  <si>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Durante el segundo trimestre del año el GIT de servicio al Ciudadano ha realizado reporte mensual del estado y/o respuesta a PQRDS para entregar a Dirección General.</t>
  </si>
  <si>
    <t>Durante el tercer trimestre del año la Oficina de Relación con el  Ciudadano ha realizado reporte mensual del estado y/o respuesta a PQRDS para entregar a Dirección General.</t>
  </si>
  <si>
    <t>Se observa que el GIT de servicio al Ciudadano ha realizado reporte mensual del estado y/o respuesta a PQRDS para entregar a Dirección General.</t>
  </si>
  <si>
    <t>Se evidencia que el GIT de servicio al Ciudadano ha realizado reporte mensual del estado y/o respuesta a PQRDS para entregar a Dirección General.</t>
  </si>
  <si>
    <t>De acuerdo con las evidencias, se observa que durante el tercer trimestre se realizó el reporte mensual del estado y/o respuesta a PQRDS para entregar a Dirección General</t>
  </si>
  <si>
    <t xml:space="preserve">Se evidencia con correo electrónico del 19 de marzo de 2020, mediante el cual se realia seguimiento a las PQRDS  de la Dirección territorial de Boyacá. </t>
  </si>
  <si>
    <t>Se evidencia con cuadro control en excel del estado y respuesta de las PQRD, correo electrónico del 9 de junio de 2021.</t>
  </si>
  <si>
    <t>De acuerdo los soportes entregados, reportes mensuales para Dirección General del estado PQRDS, se evidencia el avance reportado.</t>
  </si>
  <si>
    <t>Orientación al Servicio y Participación</t>
  </si>
  <si>
    <t>Participación ciudadana y rendición de cuentas</t>
  </si>
  <si>
    <t>Garantizar la rendición de cuentas permanente para la ciudadanía</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</si>
  <si>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</si>
  <si>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</si>
  <si>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</si>
  <si>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Esta actividad ya fue realizada en el primer trimestre</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</si>
  <si>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</si>
  <si>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</si>
  <si>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 xml:space="preserve">Publicar a consulta ciudadana el cronograma de participación ciudadana y rendición de cuentas </t>
  </si>
  <si>
    <t>Publicación en la Pagina WEB del IGAC</t>
  </si>
  <si>
    <t>El cronograma de participación ciudadana y rendición de cuentas se encuentra en aprobación del equipo líder de participación y rendición de cuentas por lo tanto no ha podido ser publicada</t>
  </si>
  <si>
    <t>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t>
  </si>
  <si>
    <t>No se evidencia el cumplimiento de esta actividad.</t>
  </si>
  <si>
    <t xml:space="preserve">De acuerdo con los enlaces citados se observa que se publicaron a consulta ciudadana el cronograma de rendición de cuentas y la estrategia de participación ciudadana. </t>
  </si>
  <si>
    <t>De acuerdo los soportes entregados, enlaces donde se publicó para consulta ciudadana el cronograma de rendición de cuentas y estrategia de participación ciudadana, se evidencia el avance reportado.</t>
  </si>
  <si>
    <t xml:space="preserve">Realizar 3 informes del avance  del cronograma de participación ciudadana y rendición de cuentas del IGAC </t>
  </si>
  <si>
    <t>Informes sobre el avance del cronograma</t>
  </si>
  <si>
    <t xml:space="preserve">Durante el segundo trimestre se realizá informe del avance  del cronograma de participación ciudadana y rendición de cuentas del IGAC </t>
  </si>
  <si>
    <t>Se realiza informe del periodo julio- septiembre de participación ciudadana y Rendición de cuentas.</t>
  </si>
  <si>
    <t xml:space="preserve">Se evidencia la elaboración y validación de informe del avance  del cronograma de participación ciudadana y rendición de cuentas del IGAC </t>
  </si>
  <si>
    <t>De acuerdo con las evidencias, se observa que se realizó informe del periodo julio- septiembre de participación ciudadana y Rendición de cuentas</t>
  </si>
  <si>
    <t xml:space="preserve">Se evidencia con el informe del avance  del cronograma de participación ciudadana y rendición de cuentas del IGAC </t>
  </si>
  <si>
    <t>De acuerdo los soportes entregados, Segundo Informe de participación Ciudadana y Rendición de Cuentas periodo julio – septiembre de 2021, se evidencia el avance reportado.</t>
  </si>
  <si>
    <t xml:space="preserve">Publicar  en pagina web 3 Informes de avance del cronograma del participación ciudadana y rendición de cuentas del IGAC </t>
  </si>
  <si>
    <t>Evidencia publicación en pagina WEB</t>
  </si>
  <si>
    <t>Se realizó la publicación del informe (https://www.igac.gov.co/sites/igac.gov.co/files/informe_validado_avance_cronograma_participacion_y_rendicion_de_cuentas.pdf)</t>
  </si>
  <si>
    <t>En el mes de julio se publicó el informe del I semestre del avance de Participación Ciudadana y Rendición de Cuentas  en la pagina web. https://www.igac.gov.co/sites/igac.gov.co/files/informe_validado_avance_cronograma_participacion_y_rendicion_de_cuentas.pdf</t>
  </si>
  <si>
    <t>Se evidencia publicación del infrome 3 Informes de avance del cronograma del participación ciudadana y rendición de cuentas del IGAC en el espacio de participación ciudadana de la página Web del IGAC.</t>
  </si>
  <si>
    <t xml:space="preserve">Revisado el enlace citado, se observa que aparece  publicado el informe del I semestre del avance de Participación Ciudadana y Rendición de Cuentas  en la pagina web. </t>
  </si>
  <si>
    <t xml:space="preserve">Se evidencias 3 informes del avance del cronograma de participación ciudadana en la pagina web del Instituto. </t>
  </si>
  <si>
    <t>De acuerdo al soporte entregado, y revisado el enlace donde se publicó el informe del I semestre del avance de participación ciudadana y rendición de cuentas, se evidencia el avance reportado.</t>
  </si>
  <si>
    <t>La actividad está programada para el tercer trimestre</t>
  </si>
  <si>
    <t xml:space="preserve">En el mes de septiembre se llevó acabo una mesa de trabajo con la OAP en la cual se denifió el cronograma de actualización de  la información documentada del SGI del proceso. </t>
  </si>
  <si>
    <t xml:space="preserve">De acuerdo con las evidencias, se observa que en el mes de septiembre se llevó a cabo una mesa de trabajo con la OAP en la cual se denifió el cronograma de actualización de  la información documentada del SGI del proceso. _x000D_
</t>
  </si>
  <si>
    <t>De acuerdo al soporte entregado, registro asistencia a la reunión con la Oficina Asesora de Planeación, se evidencia el avance reportado.</t>
  </si>
  <si>
    <t xml:space="preserve">Se desarrollaron las actividades contempladas en el plan anticorrupción a cargo del proceso. </t>
  </si>
  <si>
    <t xml:space="preserve">Se desarrollaron las actividades contempladas en el plan anticorrupción y las actividaes del Plan de Acción Anual del tercere trimestre, a cargo del proceso. </t>
  </si>
  <si>
    <t>Se observa que se desarrollaron las actividades contempladas en el plan anticorrupción a cargo del proceso</t>
  </si>
  <si>
    <t>De acuerdo con la evidencia aportada y con la consulta realizada a la página web del IGAC se observa que se desarrollaron las actividades contempladas en el plan anticorrupción a cargo del proceso.</t>
  </si>
  <si>
    <t xml:space="preserve">De acuerdo con las evidencias, se observa que durante el tercer trimestre se desarrollaron las actividades contempladas en el plan anticorrupción y el  Plan de Acción Anual 
</t>
  </si>
  <si>
    <t>Se evidencia con reporte correo del 14 de abril de 2021, meidante el cua envían el Seguimiento al Plan anticorrupción y de atención al ciudadano - 1er trimestre 2021</t>
  </si>
  <si>
    <t xml:space="preserve">Se evidencia con Plan Anticorrupción página web Instituto. </t>
  </si>
  <si>
    <t>De acuerdo a los soportes entregados, actividades desarrolladas, se evidencia el avance reportado.</t>
  </si>
  <si>
    <t>Los días 16,23 y 24 se participó en reuniones con la OAP para validar los resultados del FURAG y evaluar las acciones de mejora del FURAG</t>
  </si>
  <si>
    <t xml:space="preserve">Esta actividad se llevó acabo en el segundo trimestre </t>
  </si>
  <si>
    <t xml:space="preserve">Se evidencia registros que dan cuenta de la realización de reuniones con la OAP en la que se realizó retroalimentación frente a los resultados del Índice de Desarrollo Institucional del FURAG y identificaron acciones de mejora relacionadas con dicha medición. </t>
  </si>
  <si>
    <t xml:space="preserve">Se evidencia con resultados en FURAG a nivel Institucional en la página web del Instituto. </t>
  </si>
  <si>
    <t>Se implementarán desde el tercer trimestre</t>
  </si>
  <si>
    <t>Durante el tercer trimestre se han venido desarrollando las oportunidades de mejora relacionadas al cumplimiento del FURAG que apliquen al proceso.</t>
  </si>
  <si>
    <t>De acuerdo con las evidencias, se observa que durante el tercer trimestre se realizó seguimiento a las oportunidades de mejora relacionadas al cumplimiento del FURAG que aplican al proceso</t>
  </si>
  <si>
    <t>De acuerdo a los soportes entregados, seguimiento a las oportunidades de mejoras con relación al cumplimiento del FURAC, se evidencia el avance reportado.</t>
  </si>
  <si>
    <t>Esta actividad es reprogramada por la OAP para el cuarto trimestre</t>
  </si>
  <si>
    <t>Gestión de Sistemas de Información e Infraestructura</t>
  </si>
  <si>
    <t>Gestión de la Infraestructura</t>
  </si>
  <si>
    <t>Marco estratégico de TI</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</si>
  <si>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</si>
  <si>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</si>
  <si>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</si>
  <si>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electrónicos</t>
  </si>
  <si>
    <t>Subdirección de Infraestructura Tecnológica</t>
  </si>
  <si>
    <t>Porcentaje de implementación del marco estratégico de TI</t>
  </si>
  <si>
    <t>Se realizaron dos sensibilizaciones a través de correos electrónicos del 17/02/2021 y del 24/3/2021:  Tip de seguridad suplantación de identidad y Tip de seguridad: Participación Jornada Seguridad Digital.</t>
  </si>
  <si>
    <t xml:space="preserve">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
</t>
  </si>
  <si>
    <t>Se realizan tres actividades de remisión de tips e información de seguridad: 1.Charla que es la Ciberseguridad 2. Sensibilización en Buenas Prácticas en Seguridad de la Información. 3. Se remite un tip de seguridad: Alerta de seguridad de la información - No caigas en la trampa</t>
  </si>
  <si>
    <t>Se verifica el seguimiento y la evidencia aportada, al ser coincidentes se aprueba el seguimiento</t>
  </si>
  <si>
    <t>Se valida el seguimiento y la evidencia aportada: correos y material de la socialización, al ser coincidentes se aprueba el seguimiento.</t>
  </si>
  <si>
    <t>Se valida el seguimiento y la evidencia aportada: correos de la socialización,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</si>
  <si>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</si>
  <si>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Se evidencia actividades de remisión de tips e información de seguridad tales como 1. Boletín informativo alerta de malware 2. Piensa antes de dar click. 3. Se socializan al interior de la Oficina de Informática y Telecomunicaciones, se valida el seguimiento </t>
  </si>
  <si>
    <t>Se evidencia actividades de remisión de tips e información de seguridad por medio de correos de las socializaciones, se valida el seguimiento</t>
  </si>
  <si>
    <t>Plan Estratégico de Tecnologías de la Información y las Comunicaciones PETI</t>
  </si>
  <si>
    <t xml:space="preserve">Actualización de la política Seguridad de la Información </t>
  </si>
  <si>
    <t>Política de seguridad de la información actualizada</t>
  </si>
  <si>
    <t xml:space="preserve">Se realizó actualización  a la política de Seguridad de la Información  alineada a la pólitica del Sistema de Gestión Integrada </t>
  </si>
  <si>
    <t>La actividad se realizó en el primer trimestre</t>
  </si>
  <si>
    <t>La actividad se realizó en el primer trimestre, no obstante con la modernización de la entidad  se tiene pendiente actualizar la política con la nueva cadena de valor, actividad que se realizará  en el último trimestre.</t>
  </si>
  <si>
    <t>Sin meta programada</t>
  </si>
  <si>
    <t>La actividad se cumplio en el primer trimestre</t>
  </si>
  <si>
    <t>Se evidencia política de Seguridad de la Información  actualizada y alineada a la pólitica del Sistema de Gestión Integrado.</t>
  </si>
  <si>
    <t xml:space="preserve">Sin meta programada </t>
  </si>
  <si>
    <t xml:space="preserve">Jornadas de Uso y apropiación - Política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</si>
  <si>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</si>
  <si>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 xml:space="preserve">Se realizan tres  jornadas de uso y apropiación de la política de protección de datos personales que hace parte de la política de seguridad de la información: _x000D_
1.	Apropiación de plan de trabajo para implementar la Ley 1581 de Protección de Datos Personales 2021, reunión realizada el día 5/25/2021 con el GIT Gestión Documental _x000D_
2.	Apropiación de plan de trabajo para implementar la Ley 1581 de Protección de Datos Personales 2021, reunión realizada el día 5/25/2021 con el GIT Gestión de Comunicaciones y Mercadeo_x000D_
3.	Apropiación de plan de trabajo para implementar la Ley 1581 de Protección de Datos Personales 2021, reunión realizada el día 6/02/2021 con el GIT Servicio al Ciudadano _x000D_
_x000D_
</t>
  </si>
  <si>
    <t xml:space="preserve">Se realizan tres  jornadas de uso y apropiación de la política de protección de datos personales que hace parte de la política de seguridad de la información: _x000D_
1. Tendencias, aseguramiento y riesgo._x000D_
2. Charlas tendencias en seguridad y privacidad de la información IGAC Alta Dirección_x000D_
3. Sensibilización en Buenas Prácticas en Seguridad de la Información_x000D_
</t>
  </si>
  <si>
    <t>Se valida la evidencia aportada: Correos electrónicos de las reuniones para socialización de la política de tratamiento de datos personales, al ser coincidentes se aprueba el seguimiento</t>
  </si>
  <si>
    <t>Se valida el seguimiento y la evidencia aportada: Correos de socialización y material de socialización al ser coincidentes se aprueba el seguimiento</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</si>
  <si>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</si>
  <si>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Se evidencia correos electrónicos de las reuniones para socialización de la política de tratamiento de datos personales, se valida la evidencia aportada.No se evidencia observaciones de autoseguimiento por parte el proceso </t>
  </si>
  <si>
    <t>Se evidencia correos de socialización y material de socialización, se valida la evidencia aportada.</t>
  </si>
  <si>
    <t xml:space="preserve">Apoyar a los procesos que cuentan con activos de información actualizados en la identificación, valoración y  tratamiento de riesgos de seguridad de la información </t>
  </si>
  <si>
    <t xml:space="preserve">Riesgos actualizados </t>
  </si>
  <si>
    <t xml:space="preserve">Sin meta programada para este periodo </t>
  </si>
  <si>
    <t xml:space="preserve">Se inicia la identificación de riesgos de seguridad digital con base en la identificación y clasificación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_x000D_
</t>
  </si>
  <si>
    <t xml:space="preserve">Se verifica la información con la evidencia aportada: Matrices de activos de información, al ser coincidentes se valida el seguimiento. </t>
  </si>
  <si>
    <t>No hay meta programada para el trimestre</t>
  </si>
  <si>
    <t xml:space="preserve">Sin meta programada para el periodo </t>
  </si>
  <si>
    <t>Conforme con la evidencia aportada se observa matrices de archivos de informacion y la identificación de riesgos de seguridad digital con base en la identificación y clasificación de los activos de información.</t>
  </si>
  <si>
    <t xml:space="preserve">Apoyar a los procesos en la  actualización del inventario de activos de información </t>
  </si>
  <si>
    <t>Matriz de inventarios de activos</t>
  </si>
  <si>
    <t xml:space="preserve">Se realiza la identificación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t>
  </si>
  <si>
    <t>Sin meta programada para este periodo</t>
  </si>
  <si>
    <t>Se verifica la información con la evidencia aportada: Matrices de activos de información, al ser coincidentes se valida el seguimiento</t>
  </si>
  <si>
    <t>Se evidencia matrices de activos de informacion, se valida el seguimiento</t>
  </si>
  <si>
    <t xml:space="preserve">Implementar controles de seguridad de la información </t>
  </si>
  <si>
    <t>Controles implementados</t>
  </si>
  <si>
    <t xml:space="preserve">Se realiza la implementación del control : Control A.11.2.4 Mantenimiento de equipos_x000D_
</t>
  </si>
  <si>
    <t xml:space="preserve">Se realiza la implementación de los controles: _x000D_
Control A.10.1.1  y A.10.1.2 Definir e implementar estándares para la aplicación de controles criptográficos._x000D_
</t>
  </si>
  <si>
    <t xml:space="preserve">Se valida el seguimiento y la evidencia aportada: Check list de mantenimiento, registro de los mantenimientos realizados, socializaciones de los mantenimientos. Al ser coincidentes se aprueba el seguimiento. </t>
  </si>
  <si>
    <t xml:space="preserve">Se aporta como evidencia entrega de un instructivo que no cuenta con aprobación por tanto no se puede evidenciar la implementación de los controles mencionados. </t>
  </si>
  <si>
    <t>Se evidencia Check list de mantenimiento, registro de los mantenimientos realizados, socializaciones de los mantenimientos, se valida la evidencia aportada.</t>
  </si>
  <si>
    <t>Se evidencia el instructivo para la utilizacion de controles criptograficos para la implementacion de controles de la informacion , sien embargo no se observa la aprobacion.</t>
  </si>
  <si>
    <t>Gestión de Tecnologías de Información</t>
  </si>
  <si>
    <t>Actualizar el PETIC de acuerdo con el marco de referencia de arquitectura empresarial</t>
  </si>
  <si>
    <t>PETIC</t>
  </si>
  <si>
    <t>Dirección de Tecnologías de la Información y Comunicaciones</t>
  </si>
  <si>
    <t xml:space="preserve">Sin  meta programada </t>
  </si>
  <si>
    <t xml:space="preserve">Sin meta para el periodo </t>
  </si>
  <si>
    <t xml:space="preserve">Actualizar el Portafolio Servicios Tecnológicos </t>
  </si>
  <si>
    <t>Portafolio de servicios tecnológicos</t>
  </si>
  <si>
    <t xml:space="preserve">Sin meta programda para este periodo </t>
  </si>
  <si>
    <t xml:space="preserve">Esta actividad se realizará el próximo trimestre. </t>
  </si>
  <si>
    <t>Actividad re programada para el proximo trimestre</t>
  </si>
  <si>
    <t xml:space="preserve">Sin evidencias que acrediten  la meta </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</si>
  <si>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</si>
  <si>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</si>
  <si>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 xml:space="preserve">Para el correcto funcionamiento  de la  interoperabilidad fue necesario la actualización  de la versión a 6.25 proceso que finalizó con éxito en los ambientes de pruebas, preproducción y producción </t>
  </si>
  <si>
    <t>Se valida el seguimiento y la evidencia aportada: pantallazo de servicio de interoperabilidad, al ser coincidentes se aprueba el seguimiento.</t>
  </si>
  <si>
    <t>Como evidencia para este trimestre se aporta pantallazo de servicio de interoperabilidad, se valida la evidencia aportada.</t>
  </si>
  <si>
    <t>Mejoramiento del servicio de datos abiertos</t>
  </si>
  <si>
    <t>Ampliación de los niveles de información publicados y de uso</t>
  </si>
  <si>
    <t>Conjunto de datos abiertos</t>
  </si>
  <si>
    <t xml:space="preserve">Subdirección de Información </t>
  </si>
  <si>
    <t>Sin meta programada para este periodo.</t>
  </si>
  <si>
    <t xml:space="preserve">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
La Dirección TIC, a través de la Subdirección de Información se encuentra en proceso de contratación de un consultor para el desarrollo de la estrategia de datos abiertos. Se espera iniciar dicha labor en el mes de noviembre._x000D_
</t>
  </si>
  <si>
    <t xml:space="preserve">Se valida el seguimiento y la evidencia aportada: Términos de referencia y plan de apertura de datos. Al ser coincidentes se aprueba el seguimiento. </t>
  </si>
  <si>
    <t>Como evidencia para este trimestre se observa los  términos de referencia y plan de apertura de datos, se valida el seguimiento</t>
  </si>
  <si>
    <t xml:space="preserve">Aplicar la arquitectura empresarial a  un proceso misional </t>
  </si>
  <si>
    <t xml:space="preserve">Documento  con descripción de la Arquitectura </t>
  </si>
  <si>
    <t>Diseño y Desarrollo de Sistemas de Información</t>
  </si>
  <si>
    <t>Fortalecimiento tecnológico para la implementación del SINIC/RMD</t>
  </si>
  <si>
    <t>Implementación del SINIC (Sistema Nacional de Información de Catastro Multipropósito)</t>
  </si>
  <si>
    <t>Desarrollo  del SINIC</t>
  </si>
  <si>
    <t>Pantallazo del código fuente que se encuentra  versionado en el GITLAB.</t>
  </si>
  <si>
    <t>Subdirección de Sistemas de Información</t>
  </si>
  <si>
    <t>Porcentaje implementación SINIC</t>
  </si>
  <si>
    <t>Se encuentra en proceso de  selección y contratación de la fábrica de software y Se realizaron reuniones con  los Gestores Castastrales, SNR y DNP;  con el propósito de definir el alcance del  SINIC.</t>
  </si>
  <si>
    <t>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t>
  </si>
  <si>
    <t xml:space="preserve">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
_x000D_
Se dio por terminado  el proceso de estructuración de los términos de Referencia (TDR) para la  selección y contratación de los consultores individuales, los cuales desarrollarán actividades previas y/o complementarias a la llegada de la Fábrica de Software. </t>
  </si>
  <si>
    <t xml:space="preserve">Se valida el seguimiento y la evidencia aportada: estudio de mercado para la contratación de la fabrica de software y detalles de las reuniones realizadas. Al ser coincidentes se valida el seguimiento </t>
  </si>
  <si>
    <t xml:space="preserve">Se verifica la información con la evidencia aportada: Términos de referencia, al ser coincidentes se aprueba el seguimiento. </t>
  </si>
  <si>
    <t>Aunque no hay meta asignada para el trimestre, se reporta la realización de reuniones con  los Gestores Castastrales, SNR y DNP;  con el propósito de definir el alcance del  SINIC.</t>
  </si>
  <si>
    <t xml:space="preserve">Como evidencia para este trimestre se aporta estudio de mercado para la contratación de la fábrica de software y detalles de las reuniones realizadas, sin embargo no se evidencia meta para este periodo </t>
  </si>
  <si>
    <t xml:space="preserve">Como evidencia para este tercer trimestre se aporta los términos de Referencia (TDR) como actividades previas y/o complementarias a la llegada de la Fábrica de Software. </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</si>
  <si>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</si>
  <si>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</si>
  <si>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</si>
  <si>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</si>
  <si>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</si>
  <si>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Se encuentran pendientes las especificaciones técnicas del Repositorio de Datos Maestros - RDM , las cuales deben ser entregadas  por parte del Departamento Nacional de Planeación al Instituto Geográfico Agustín Codazzi</t>
  </si>
  <si>
    <t>Se desarrolló la entrega oficial  de los documentos de arquitectura (5 documentos) preparados por el DNP, dichos documentos componen la arquitectura de alto nivel para “El Repositorio de Datos Maestros” – RDM y el SINIC.</t>
  </si>
  <si>
    <t xml:space="preserve">Se verifica el seguimiento con la evidencia aportada: Documentos de arquitectura, al ser coincidentes se aprueba el seguimiento. </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</si>
  <si>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</si>
  <si>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 xml:space="preserve">Se evidencia los  documentos de arquitectura para el El Repositorio de Datos Maestros” – RDM y el SINIC, se valida  el seguimiento </t>
  </si>
  <si>
    <t>Publicación y verificación del repositorio de datos maestros en ambiente controlado de acuerdo a las entregas del DNP</t>
  </si>
  <si>
    <t xml:space="preserve">Sin meta asignada para este periodo </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</si>
  <si>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</si>
  <si>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</si>
  <si>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</si>
  <si>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</si>
  <si>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</si>
  <si>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Se cuenta con historias de Usuario revisadas   y definición de los procesos ETL</t>
  </si>
  <si>
    <t xml:space="preserve">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t>
  </si>
  <si>
    <t xml:space="preserve">Se valida el seguimiento y la evidencia aportada: ETL, documento de pruebas. Al ser coincidentes se valida el seguimiento. </t>
  </si>
  <si>
    <t xml:space="preserve">Se verifica la información con la evidencia aportada: Pantallazos del sistema al ser coincidentes se aprueba el seguimiento. </t>
  </si>
  <si>
    <t xml:space="preserve">No hay meta programada para el trimestre. Se informa que se están definiendo  las especificaciones funcionales </t>
  </si>
  <si>
    <t xml:space="preserve">Se evidencia documentos:  epica metodo autodeclarativo ,homologacion de variables, propotipo, mape y protopipo ETL , sin embargo para este peridodo no se registra meta. </t>
  </si>
  <si>
    <t xml:space="preserve">No hay meta programada para el trimestre, sin embargo se evidencia pantallazos del sistema Sistema Nacional Catastral bajo el estándar LADM-COL .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</si>
  <si>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</si>
  <si>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</si>
  <si>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</si>
  <si>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</si>
  <si>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</si>
  <si>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 xml:space="preserve">Se migró el departamento de Amazonas, el municipio de Popayán y está en proceso de migración las territoriales Bolivar, Tolima y Cundinamarca </t>
  </si>
  <si>
    <t xml:space="preserve">Se construyó un nuevo plan de trabajo, mediante  el cual se permite abordar los municipios pendientes por migración.  (Se anexa  cuadro resumen de municipios pendientes  y cronograma) </t>
  </si>
  <si>
    <t xml:space="preserve">Se valida el seguimiento y la evidencia aportada: Actas de migración al ser coincidentes se valida el seguimiento. </t>
  </si>
  <si>
    <t xml:space="preserve">Se verifica la información con la evidencia aportada: Cronograma de trabajo, al ser coincidentes se aprueba el seguimiento. </t>
  </si>
  <si>
    <t>No hay meta asignada para el periodo. Se evidencia cronograma para migración al SNC</t>
  </si>
  <si>
    <t xml:space="preserve">No hay meta asignada para el periodo, se evidencia actas de migracion </t>
  </si>
  <si>
    <t xml:space="preserve">Sin meta asignada en el periodo, sin embargo se observa cronograma de trabajo para la migracion de la informacion </t>
  </si>
  <si>
    <t>Desarrollo Implementación de  un piloto de Chatbot para la mesa de ayuda</t>
  </si>
  <si>
    <t xml:space="preserve">Se activaron las licencias de Power Virtual Agent. para el chatbot con una disponibilidad de 2000 sesiones al mes. Se anexa pantallazo del Chatbot en teams listo para pruebas </t>
  </si>
  <si>
    <t xml:space="preserve">Se verifica la información con la evidencia aportada: Pantallazos del chat bot, al ser coincidentes se aprueba el seguimiento. </t>
  </si>
  <si>
    <t>No hay meta asignada para el periodo</t>
  </si>
  <si>
    <t xml:space="preserve">Se evidencia pantallazo del Chatbot en teams listo para pruebas como desarrollo a la implementacion, se valida el seguimiento </t>
  </si>
  <si>
    <t>Realizar la puesta  en producción  de la implementación de  un piloto de Chatbot para la mesa de ayuda</t>
  </si>
  <si>
    <t>Piloto interoperabilidad Catastro - Registro sobre  base de datos no relacionales</t>
  </si>
  <si>
    <t xml:space="preserve">Evidencia de que el  código fuente se encuentra  versionado en el GITLAB.
Pantallazo del código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</si>
  <si>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</si>
  <si>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</si>
  <si>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autenticación de los componentes de la entidad</t>
  </si>
  <si>
    <t>sistema de autenticación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</si>
  <si>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</si>
  <si>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</si>
  <si>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autenticación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</si>
  <si>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</si>
  <si>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</si>
  <si>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Sin  meta asignada para el periodo</t>
  </si>
  <si>
    <t>Automatización y Simplificación de trámites</t>
  </si>
  <si>
    <t>Se realizó  la  Implementación Ventanilla de Trámites - Simplificación de trámites</t>
  </si>
  <si>
    <t xml:space="preserve">La actividad se realizó en el primer trimestre </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</si>
  <si>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</si>
  <si>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</si>
  <si>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</si>
  <si>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</si>
  <si>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Se llevó a cabo con la Oficina Asesora de Planeación la reunión para establecler el cronograma de la actualización documental.</t>
  </si>
  <si>
    <t>No se presenta avance en cuanto a la meta</t>
  </si>
  <si>
    <t>No se observan cargue de evidencias para esta actividad.</t>
  </si>
  <si>
    <t>Se realizó  seguimiento a los controles de los riesgos,  las evidencias  se encuentran en el respectivo OneDrive.</t>
  </si>
  <si>
    <t>Se valida el seguimiento y la evidencia aportada: herramienta planigac diligenciada al ser coincidentes se aprueba el seguimiento.</t>
  </si>
  <si>
    <t xml:space="preserve">Se verifica la información con la evidencia aportada: Planigac diligenciado, al ser coincidentes se aprueba el seguimiento. </t>
  </si>
  <si>
    <t>Se evidencia archivo Planigac con seguimiento a los controles de los riesgos del proceso gestión informática de soporte correspondiente al primer trimestre de 2021</t>
  </si>
  <si>
    <t>Se evidencia como soporte la  herramienta planigac, se valida el seguimiento</t>
  </si>
  <si>
    <t xml:space="preserve">Se evidencia como soporte Planigac dilingeciado, se valida el seguimiento </t>
  </si>
  <si>
    <t>Realizó  las actividades contempladas en el plan de acción anual y en el plan anticorrupción.</t>
  </si>
  <si>
    <t>Se realizó  las actividades contempladas en el plan de acción anual y en el plan anticorrupción,  las evidencias se encuentran en el respectivo OneDrive.</t>
  </si>
  <si>
    <t xml:space="preserve">Se verifica la información y la evidencia aportada: Plan de acción con seguimiento y plan anticorrupción, al ser coincidentes se aprueba el seguimiento. </t>
  </si>
  <si>
    <t>Se evidencia archivo Planigac con seguimiento a las actividades del plan de acción anual del proceso gestión informática de soporte, correspondiente al primer trimestre de 2021</t>
  </si>
  <si>
    <t xml:space="preserve">Se evidencia como soporte herramienta planigac, se valida el segumiento </t>
  </si>
  <si>
    <t>Se evidencia como soporte Plan de accion con seguimiento y plan anticorrupcion, se valida el seguimiento</t>
  </si>
  <si>
    <t>Sin meta programda para este periodo</t>
  </si>
  <si>
    <t>Se realizaron dos actividades para identificar e implementar oportunidades de mejora relacionadas al cumplimiento del FURAG que apliquen al proceso.</t>
  </si>
  <si>
    <t>Se realizó  seguimiento   y se evidenció el avance en la implementación de las oportunidades de mejora relacionadas con el cumplimiento del FURAG que aplican al proceso</t>
  </si>
  <si>
    <t>Se valida el seguimiento y la evidencia aportada: formulario FURAG, correo electrónico, detalle de la reunión realizada, al ser coincidentes se aprueba el seguimiento.</t>
  </si>
  <si>
    <t xml:space="preserve">Se verifica la información y evidencia aportada: Matriz de seguimiento FURAG al ser coincidentes se aprueba el seguimiento. </t>
  </si>
  <si>
    <t xml:space="preserve">Para este trimestre se evidencia : formulario FURAG, correo electrónico y   reunión , se valida el seguimiento </t>
  </si>
  <si>
    <t>Para este tercer trimestre se evidencia la matriz de seguimiento FURAG, se valida el seguimiento</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</si>
  <si>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</si>
  <si>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</si>
  <si>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</si>
  <si>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</si>
  <si>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</si>
  <si>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</si>
  <si>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</si>
  <si>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Se realizó la configuración del servicio de geocodificación de direcciones a nivel público para su integración con Colombia en Mapas, el servicio se encuentra en producción y a la espera de su integración por parte de la Subdirección de Cartografía.</t>
  </si>
  <si>
    <t xml:space="preserve">Se realizó el diseño e implementación de tres funcionalidades:_x000D_
1.Servicio de Geocodificación._x000D_
2.Buscador de texto abierto._x000D_
3.Consulta/Descarga de Hojas Cartográficas_x000D_
</t>
  </si>
  <si>
    <t xml:space="preserve">Actividad programada para el mes de abril </t>
  </si>
  <si>
    <t xml:space="preserve">Se valida el seguimiento y la evidencia aportada: Manual de usuario del servicio de geocodificación, al ser coincidentes se aprueba el seguimiento. </t>
  </si>
  <si>
    <t xml:space="preserve">Se verifica la información con la evidencia aportada: Documentos de funcionalidades desarrolladas, al ser coincidentes se aprueba el seguimiento. </t>
  </si>
  <si>
    <t>Se verifica ejecución de la actividad mediante el Manual de Servicio de Geocodificación IGAC Versión 1.0, que será integrado con Colombia en Mapas.</t>
  </si>
  <si>
    <t xml:space="preserve">Se verifica ejecución de la actividad con los documentos de funcionalidades desarrollada, se valida el seguimiento </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</si>
  <si>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</si>
  <si>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</si>
  <si>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</si>
  <si>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</si>
  <si>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t>
  </si>
  <si>
    <t>Se realizó el monitoreo automático de 465 geoservicios los cuales se encuentran operando plenamente, se restableció la conexión de 10 geoservicios y se  realizó la gestión e incorporación de 64 nuevos geoservicios.  En total se tienen 539 geoservicios publicados y disponibles.</t>
  </si>
  <si>
    <t>Se valida el seguimiento y la evidencia aportada: reporte de monitoreo de servicios, al ser coincidentes se aprueba el seguimiento.</t>
  </si>
  <si>
    <t xml:space="preserve">Se verifica la información con la evidencia aportada: Documentos de monitoreo de geoservicios, al ser coincidentes se aprueba el seguimiento. </t>
  </si>
  <si>
    <t>Aunque no se reporta avance cuantitativo para el trimestre, Sí se reporta avance en el autoseguimiento. Se evidencia reporte de monitoreo de los geoservicios mediante la herramienta HeoHealthCheck de 372 geoservicios.</t>
  </si>
  <si>
    <t xml:space="preserve">Se observa ejecución de la actividad mediante excel monitoreo de geoservicios adelantado en el segundo trimestre 2021. Se incorporan 93 nuevos geoservicios y se monitorearon los 372 que se tenian publicados, para un total de 465 disponibles.  </t>
  </si>
  <si>
    <t>Se observa ejecución de la actividad mediante monitoreo de  geoservicios los cuales se encuentran operando plenamente.  En total se tienen 539 geoservicios publicados y disponibles. Se valida el seguimiento</t>
  </si>
  <si>
    <t>ICDE</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</si>
  <si>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</si>
  <si>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</si>
  <si>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</si>
  <si>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</si>
  <si>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</si>
  <si>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</si>
  <si>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
Se inició el diseño de la nueva plataforma tecnológica con parte del equipo de consultores de tecnología. Se avanza en la captura de requerimientos mediante talleres. (Metodología Tanques de Pensamiento).</t>
  </si>
  <si>
    <t>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t>
  </si>
  <si>
    <t>Se valida el seguimiento y la evidencia aportada: términos de referencia de los consultores y documentos de avances del proyecto, al ser coincidentes se aprueba el seguimiento.</t>
  </si>
  <si>
    <t xml:space="preserve">Se verifica la información y la evidencia aportada: Correo de lanzamiento de la plataforma ICDE al ser coincidentes se aprueba el seguimiento. </t>
  </si>
  <si>
    <t xml:space="preserve">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t>
  </si>
  <si>
    <t>Se observa ejecución de la actividad mediante el  Correo de lanzamiento de la plataforma ICDE , se valida el seguimiento</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</si>
  <si>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</si>
  <si>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</si>
  <si>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</si>
  <si>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 xml:space="preserve">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t>
  </si>
  <si>
    <t>Se desarrolló y puso a disposición el servicio tecnológico de geocodificación de direcciones en su versión 1.0.</t>
  </si>
  <si>
    <t>Se valida el seguimiento y la evidencia aportada: documento técnico del desarrollo del servicio, correos electrónicos de avance y términos de referencia del consultor para desarrollar el proyecto, al ser coincidentes se aprueba el seguimiento.</t>
  </si>
  <si>
    <t xml:space="preserve">Se verifica la información y la evidencia aportada: Documento con el link de ubicación del servicio, al ser coincidentes se aprueba el seguimiento. </t>
  </si>
  <si>
    <t xml:space="preserve">Se verifica ejecución de la actividad con Informe de Evaluación CO-IGAC-221831-CS-INDV, Informe de Evaluación 3 H.V. CO-IGAC-223157-CS-INDV, Documento 26/04/2021 Servicio Geocodificaciön Versión 1.0 y Terminos de Referencia. </t>
  </si>
  <si>
    <t>Se verifica ejecución de la actividad con  documento con el link de ubicación del servicio, se valida el seguimiento</t>
  </si>
  <si>
    <t>Datos geográficos integrados y dispuestos en la plataforma ICDE como apoyo al catastro multipropósito y a la administración del territorio</t>
  </si>
  <si>
    <t>Disponer los datos fundamentales identificados en la matriz de insumos como soporte a la implementación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</si>
  <si>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</si>
  <si>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</si>
  <si>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</si>
  <si>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t>
  </si>
  <si>
    <t xml:space="preserve">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
_x000D_
El objeto territorial Zonas de Protección Patrimonial Geológica y Paleontológica del Servicio Geológico Colombiano (SGC) se encuentra en proceso de revisión conjunta de los atributos que harán parte del modelo._x000D_
_x000D_
Se inició gestión con DNP para iniciar sesiones temáticas con otras entidades como ANM, ANH, ANT, UPME y DIMAR._x000D_
</t>
  </si>
  <si>
    <t>Se valida el seguimiento y la evidencia aportada: lineamientos del modelo de objetos territoriales, lineamientos del inventario de objetos territoriales, documento de presentación al DANE, al ser coincidentes se aprueba el seguimiento.</t>
  </si>
  <si>
    <t>Se verifica la información y la evidencia aportada: Documento modelo de paramos, al ser coincidentes se aprueba el seguimiento.</t>
  </si>
  <si>
    <t>No se reporta avance cuantitativo. Se informa de avances en el modelamiento LADM de algunos objetos y de Entidades territoriales.</t>
  </si>
  <si>
    <t xml:space="preserve">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t>
  </si>
  <si>
    <t>Se observa ejecución de la actividad mediante evidencia aportada Documento modelo de paramos, se valida el seguimiento</t>
  </si>
  <si>
    <t>Establecer la arquitectura de los datos fundamentales complementarios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</si>
  <si>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</si>
  <si>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t>
  </si>
  <si>
    <t>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t>
  </si>
  <si>
    <t>Actividad programada para el mes de abril</t>
  </si>
  <si>
    <t xml:space="preserve">No se cumplió la meta </t>
  </si>
  <si>
    <t xml:space="preserve">Se verifica la información y evidencia aportada: Documento con link de acceso a los datos fundamentales, al ser coincidentes se aprueba el seguimiento. </t>
  </si>
  <si>
    <t>Se incumplió la meta.</t>
  </si>
  <si>
    <t>Como soporte de evidencia para el seguimiento se observa Documentos con link de acceso a datos fundamentales de las entidades  de Ministerio de Ambiente y Desarrollo Sostenible , Dirección General Marítima (DIMAR), Instituto Geográfico Agustín Codazzi (IGAC) y DANE , se valida el seguimiento</t>
  </si>
  <si>
    <t>Gestionar y disponer datos de observación de la tierra y otros datos geográficos para la gestión territorial</t>
  </si>
  <si>
    <t>Conjuntos de datos de Observación de la Tierra y otros datos geográficos dispuestos</t>
  </si>
  <si>
    <t>Se elaboró términos de referencia para la contratación de dos consultores en gestión de datos geográficos. Se realizó sesión de trabajo con proveedores de tecnologías de observación de la tierra para explorar el estado del arte del mercado (ocho empresas).</t>
  </si>
  <si>
    <t>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t>
  </si>
  <si>
    <t>Se valida el seguimiento y la evidencia aportada: términos de referencia y correos de exploración de mercado, al ser coincidentes se aprueba el seguimiento.</t>
  </si>
  <si>
    <t xml:space="preserve">Se verifica la información y la evidencia aportada: Documentos de contratación, al ser coincidentes se aprueba el seguimiento. </t>
  </si>
  <si>
    <t xml:space="preserve">Se observa ejecución de la actividad a través de la evidencia aportada (Excel contactos empresariales, correo de exploración mercado junio 2021, invitación 17/06/2021, Términos de referencia Gestión Información-1y2-BID 02/06/2021). </t>
  </si>
  <si>
    <t>Se observa ejecución de la actividad a través de la evidencia aportada como documentos del proceso de  contratacion, se valida el seguimiento</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</si>
  <si>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</si>
  <si>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</si>
  <si>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</si>
  <si>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</si>
  <si>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</si>
  <si>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t>
  </si>
  <si>
    <t>Con el lanzamiento de la Plataforma ICDE, se actualizó y publicó el nuevo Marco de Referencia Geoespacial, al presente corte se da por cumplida la meta.</t>
  </si>
  <si>
    <t>Se valida el seguimiento y la evidencia aportada: plenaria de la ICDE, actas de reunión, registros de asistencia y presentaciones, al ser coincidentes se aprueba el seguimiento.</t>
  </si>
  <si>
    <t xml:space="preserve">Se verifica la información y la evidencia aportada: Documento con link al marco de referencia de la ICDE, al ser coincidentes se aprueba el seguimiento. </t>
  </si>
  <si>
    <t xml:space="preserve">No se reporta avance cuantitativo. Se evidencia documento de lineamientos del marco de referencia geoespacial para siete rutas estratégicas </t>
  </si>
  <si>
    <t>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t>
  </si>
  <si>
    <t>Se verifica ejecución de la actividad mediante el lanzamiento de la Plataforma y  el nuevo Marco de Referencia Geoespacial, se valida el seguimiento</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</si>
  <si>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</si>
  <si>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</si>
  <si>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</si>
  <si>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</si>
  <si>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t>
  </si>
  <si>
    <t>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t>
  </si>
  <si>
    <t xml:space="preserve">Se verifica la información y la evidencia aportada: Informe de seguimiento, al ser coincidentes se aprueba el seguimiento. </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</si>
  <si>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</si>
  <si>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No se cumplió la meta.</t>
  </si>
  <si>
    <t>Se verifica ejecución de la actividad mediante el  Informe de seguimiento para fortalecimiento en el uso y aprovechamiento de la información geoespacial dispuesta a través de la ICDE, se valida el seguimiento</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</si>
  <si>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</si>
  <si>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</si>
  <si>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</si>
  <si>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</si>
  <si>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</si>
  <si>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atendieron 784 solicitudes (Requerimientos 704 e Incidencias 80), de los cuales se resolvieron 730 casos, atendiendo en un  92%  los casos registrados por los usuarios</t>
  </si>
  <si>
    <t>Se atendieron 925 solicitudes (Requerimientos 808  e Incidencias 117), de los cuales se resolvieron 834 casos, atendiendo en un  90%  los casos registrados por los usuarios</t>
  </si>
  <si>
    <t>Se valida el seguimiento y la evidencia aportada: Reportes de solicitudes atendidas, al ser coincidentes se aprueba el seguimiento</t>
  </si>
  <si>
    <t xml:space="preserve">Se verifica la información y la evidencia aportada: Reportes de solicitudes atendidas, al ser coincidentes se aprueba el seguimiento. </t>
  </si>
  <si>
    <t>Se evidencian archivos Excel con la relación de casos atendudis en la herramienta GLPI durante el primer trimestre del año 2021</t>
  </si>
  <si>
    <t xml:space="preserve">Para este trimestre se evidencia los reportes de solicitudes atendidas , se valida el seguimiento </t>
  </si>
  <si>
    <t>Se evidencian archivos Excel con la relación de casos atendidos  en la herramienta GLPI durante el tercer trimestre del año 2021</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</si>
  <si>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</si>
  <si>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</si>
  <si>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</si>
  <si>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Se resolvieron 2084 de 2239 de solicitudes, donde se evidencia un índice de cumplimiento del 93%</t>
  </si>
  <si>
    <t>Se resolvieron 2839 de 3051 de solicitudes, donde se evidencia un índice de cumplimiento del 93%</t>
  </si>
  <si>
    <t>Se valida el seguimiento y la evidencia aportada: Reporte de las solicitudes relacionadas con sistemas de información atendidas</t>
  </si>
  <si>
    <t xml:space="preserve">Se verifica la información y la evidencia aportada: Reportes de atención de solicitudes, al ser coincidentes se aprueba el seguimiento. </t>
  </si>
  <si>
    <t xml:space="preserve">Se evidencian archivos con la relación de requerimientos del SNC atendidos en GLPI </t>
  </si>
  <si>
    <t xml:space="preserve">Se evidencia el reporte de las solicitudes relacionadas con sistemas de información atendidas, se valida el seguimiento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</si>
  <si>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</si>
  <si>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</si>
  <si>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</si>
  <si>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atendieron 1776  solicitudes (Requerimientos 1627 e Incidencias 149), de los cuales se resolvieron 1568 casos, atendiendo en un  89%  los casos registrados por los usuarios</t>
  </si>
  <si>
    <t>Se atendieron 2460 solicitudes (Requerimientos 2190 e Incidencias 270), de los cuales se resolvieron 2327 casos, atendiendo en un  95%  los casos registrados por los usuarios</t>
  </si>
  <si>
    <t>Se valida el seguimiento y la evidencia aportada: Reportes de solicitudes atendidas de TI, al ser coincidentes se aprueba el seguimiento</t>
  </si>
  <si>
    <t>Se evidencia registro de atención de incidencias y requerimientos por parte de la mesa de servicios TI</t>
  </si>
  <si>
    <t xml:space="preserve">Para este trimestre se evidencia los reportes de solicitudes atendidas de TI, se valida el seguimiento </t>
  </si>
  <si>
    <t xml:space="preserve">Para este tercer  trimestre se evidencia los reportes de solicitudes atendidas de TI, se valida el seguimiento </t>
  </si>
  <si>
    <t>Servicios Tecnológicos</t>
  </si>
  <si>
    <t>Renovación plataforma de Comunicaciones</t>
  </si>
  <si>
    <t xml:space="preserve">Informe de Configuración </t>
  </si>
  <si>
    <t>índice de capacidad en la prestación de servicios de tecnología</t>
  </si>
  <si>
    <t>Se encuentra en  proceso de contratación (Estudio de Mercado)</t>
  </si>
  <si>
    <t>Continua en proceso de contratación:  Se finalizó  el estudio de Mercado y el documento de ofertas. Adicional, se viene adelantado el trámite de solicitud de Vigencias Futuras</t>
  </si>
  <si>
    <t xml:space="preserve">Se dio apertura al proceso de selección y se está dando respuesta a la inquietudes generadas al proceso por cada uno de los interesados. Se anexa pantallazo publicación de proceso. </t>
  </si>
  <si>
    <t>Se valida el seguimiento y la evidencia aportados: Estudio de mercado y justificación de vigencias futuras para networking, al ser coincidentes se aprueba el seguimiento.</t>
  </si>
  <si>
    <t xml:space="preserve">Se verifica la información y la evidencia aportada: Documento de publicación en SECOP, al ser coincidentes se aprueba el seguimiento. </t>
  </si>
  <si>
    <t xml:space="preserve">Se evidencia el  estudio de mercado y justificación de vigencias futuras para networking, sin embargo para este periodo no se registra meta </t>
  </si>
  <si>
    <t xml:space="preserve">Se evidencia para el tercer trimestre documento de publicacion en el SECOP,  se valida el seguimiento </t>
  </si>
  <si>
    <t>Automatización de Copias de respaldo y gestión de datos de la entidad</t>
  </si>
  <si>
    <t>Se encuentra  en proceso de contratación ( Elaboración Ficha Técnica)</t>
  </si>
  <si>
    <t>Continua en proceso de contratación: Se finalizó  el estudio de Mercado y el documento de ofertas. Adicional, se viene adelantado el trámite de solicitud de Vigencias Futuras</t>
  </si>
  <si>
    <t xml:space="preserve">Se valida el seguimiento y la evidencia aportados: Estudio de mercado y justificación de vigencias futuras para la automatización de copias de respaldo, al ser coincidentes se aprueba el seguimiento. </t>
  </si>
  <si>
    <t xml:space="preserve">Se verifica la información y la evidencia aportada: Pantallazo publicación SECOP, al ser coincidentes se aprueba el seguimiento. </t>
  </si>
  <si>
    <t>Se evidencia el  estudio de mercado y justificación de vigencias futuras para la automatización de copias de respaldo, sin embargo para este trimestre no hay asignacion de meta.</t>
  </si>
  <si>
    <t>Se evidencia para el tercer trimestre pantallazos de publicacion en el SECOP, se valida el seguimiento</t>
  </si>
  <si>
    <t>Implementación de estrategias de Seguridad y Monitoreo  de servicios Web y Nube</t>
  </si>
  <si>
    <t xml:space="preserve">Informe de Monitoreo </t>
  </si>
  <si>
    <t xml:space="preserve">Se finalizó  la Implementación  de la plagtaforma  para llevar a cabo la estrategias de Seguridad y Monitoreo de servicios Web y Nube </t>
  </si>
  <si>
    <t xml:space="preserve">Esta actividad se cumplió en el segundo trimestre. </t>
  </si>
  <si>
    <t>Se valida el seguimiento y la evidencia aportada: Informe de seguimiento de la implementación de la estrategia de seguridad y monitoreo de servicios web y nube, al ser coincidentes se aprueba el seguimiento</t>
  </si>
  <si>
    <t xml:space="preserve">No se reporta avance cuantitativo. Se informa que se realizó la implementación  de la plagtaforma  para llevar a cabo la estrategias de Seguridad y Monitoreo de servicios Web y Nube </t>
  </si>
  <si>
    <t xml:space="preserve">Se evidencia el  informe de seguimiento de la implementación de la estrategia de seguridad y monitoreo de servicios web y nube, se valida el seguimiento </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</si>
  <si>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</si>
  <si>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</si>
  <si>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</si>
  <si>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</si>
  <si>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Se culminó la instalación de la UPS y Aire acondicionado y se continúa  con los mantenimientos de rutina establecidos dentro del contrato.</t>
  </si>
  <si>
    <t xml:space="preserve">Se verifica la información y la evidencia aportada: Informe de instalación de equipos, al ser coincidentes se aprueba el seguimiento. </t>
  </si>
  <si>
    <t xml:space="preserve">Se evidencia contrato para Realizar la adecuación, soporte y mantenimiento de los componentes eléctricos, sistemas auxiliares y aires acondicionados requeridos para el correcto funcionamiento del centro de datos del instituto. </t>
  </si>
  <si>
    <t>Se evidencia para el tercer trimestre informe de instacion de equipos, sevalida el seguimiento</t>
  </si>
  <si>
    <t>Gestión del Talento Humano</t>
  </si>
  <si>
    <t>Provisión de Empleo y Compensación</t>
  </si>
  <si>
    <t>Rediseño y modernización institucional</t>
  </si>
  <si>
    <t>Rediseño del IGAC y modernización basada en procesos</t>
  </si>
  <si>
    <t>Avance en la implementación del rediseño y modernización institucional</t>
  </si>
  <si>
    <t>Plan de trabajo etapa de rediseño</t>
  </si>
  <si>
    <t>Subdirección de Talento Humano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</si>
  <si>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</si>
  <si>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</si>
  <si>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Durante el segundo trimestre se han desarrollado mesas de trabajo con DAFP y Presidencia para generar los decretos de estructura y de planta finales</t>
  </si>
  <si>
    <t>Durante el tercer trimestre se han realizado 13 actividades de 26 programads para la implementaciòn del rediseño y modernización</t>
  </si>
  <si>
    <t>No se programo meta para este periodo, aunque se realizaron actividades en ppro de la meta.</t>
  </si>
  <si>
    <t xml:space="preserve">Lla meta esta programada para  el cuarto trimestre </t>
  </si>
  <si>
    <t>Se evidencia plan de trabajo modernización</t>
  </si>
  <si>
    <t>Sin meta asignada para el periodo, sin embargo no se encuentran evidencias de las actividades desarrolladas.</t>
  </si>
  <si>
    <t>Se verifica avance en la ejecución de la actividad a través del Plan de Trabajo Modernización.</t>
  </si>
  <si>
    <t>Plan Anual de vacantes</t>
  </si>
  <si>
    <t>Aprobar, adoptar y  publicar el Plan Anual de Vacantes</t>
  </si>
  <si>
    <t>Plan Anual de Vacantes</t>
  </si>
  <si>
    <t>Cumplimiento de Actividades propuestas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</si>
  <si>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</si>
  <si>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Esta actividad fue ejecutada en el primer trimestre</t>
  </si>
  <si>
    <t>Con el plan Anual de Vacantes,  Res. No. 99 de 2021,  y  Comunicación Interna el 17 de febrero de 2021 se evidencia el cumplimento  de la meta.</t>
  </si>
  <si>
    <t>Ya se ejecuto la actividad y se logro la meta en el primer trimetre</t>
  </si>
  <si>
    <t>El plan anual de Vacantes fue aprobado y adoptado mediante la Resolución 99 de 2021, así mismo fue comunicado mediante correo electrónico del 17 de febrero de 2021, por lo tanto se observa la ejecución de la actividad.</t>
  </si>
  <si>
    <t>Actividad ejecutada en el primer trimestre de la vigencia.</t>
  </si>
  <si>
    <t>La actividad se adelantó en el primer trimeste.</t>
  </si>
  <si>
    <t>Ejecutar el Plan de Trabajo anual de vacantes en el año 2021</t>
  </si>
  <si>
    <t>Informe, listas de asistencias, ejecución del plan</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</si>
  <si>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</si>
  <si>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 xml:space="preserve">De 18 actividades programadas para el trimestre, se dio cumplimiento a 16 actividades, quedando pendiente "Realizar las acciones correspondientes con la Comisión Nacional del Servicio Civil para estructurar el concurso abierto y el concurso de ascenso", esto debido a que se encuentra sujeto a rediseño institucional (correspondiente al mes de abril y junio).                                                        _x000D_
Adicionalmente en este  trimestre se reporta una actividad  pendiente del primer trimestre:  " Realizar las acciones correspondientes para la provisión de las vacantes definitivas de carrera administrativa(encargos y nombramientos".  _x000D_
</t>
  </si>
  <si>
    <t>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t>
  </si>
  <si>
    <t>Se evidencia el cumplimiento de 7 actividades de 9 las dos faltantes dependen del rediseño Institucional</t>
  </si>
  <si>
    <t>De 18 actividades programadas se falta por ejecuatarse las que  se encuentra sujeto a rediseño institucional , se evidencia ejecución de actividad entre otros,  informe de seguimiento mensual al plan.</t>
  </si>
  <si>
    <t>El plan anual de vacantes ha desarrollado algunas actividades, sin embargo otras no se han podido ejecutar debido a que se encuentran sujetas a la reestructuración Institucional.</t>
  </si>
  <si>
    <t xml:space="preserve">De acuerdo con las evidencias suministradas se observa la ejecución del plan anual de vacantes para el año 2021, en donde a junio Se ofertaron 139 vacantes de empleos de carrera administrativa, de las cuales:_x000D_
68 corresponden a vacantes definitivas._x000D_
71 corresponden a vacantes temporales._x000D_
De las vacantes ofertadas, 32 funcionarios fueron encargados de los cuales 10  empleos corresponden a vacancias definitivas y se proyectaron los actos administrativos._x000D_
Durante junio de 2021 se proyectaron 62 actos administrativos para nombramientos provisionales, de los cuales 36 corresponden a nombramientos en empleos en vacancia definitiva._x000D_
</t>
  </si>
  <si>
    <t xml:space="preserve">Se observan Informes mensuales de seguimiento Plan de Vacantes de julio, agosto y septiembre de 2021 y sus evidencias. </t>
  </si>
  <si>
    <t>Plan de Previsión de Recursos Humanos</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</si>
  <si>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</si>
  <si>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</si>
  <si>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La actividad  fue implementada en el primer periodo</t>
  </si>
  <si>
    <t>El plan de previsión de Recursos Humanos fue aprobado y adoptado mediante la Resolución 99 de 2021, así mismo fue comunicado mediante correo electrónico del 17 de febrero de 2021, por lo tanto se observa la ejecución de la actividad.</t>
  </si>
  <si>
    <t>Sin meta asignada para el periodo dado que fue ejecutada durante el primer trimestre.</t>
  </si>
  <si>
    <t>Actividad realizada en el primer trimestre.</t>
  </si>
  <si>
    <t>Ejecutar el Plan de Trabajo de previsión del recurso humano en el año 2021</t>
  </si>
  <si>
    <t>Durante el primer trimestre se ejecutaron las 5 actividades programadas en el plan de trabajo.</t>
  </si>
  <si>
    <t>Durante el segundo trimestre se ejecutaron las 9 actividades programadas en el plan de trabajo.</t>
  </si>
  <si>
    <t>Durante el tercer trimestre se ejecutaron las 9 actividades programadas en el plan de trabajo.</t>
  </si>
  <si>
    <t>Se cumplio la meta programada se evidencia en los informes repportados</t>
  </si>
  <si>
    <t>Las 9 actividades programadas fueron ejecutadas, se evidencia ejecución de actividad con  informe de seguimiento mensual al plan y matriz procesos de calidad.</t>
  </si>
  <si>
    <t>Las evidencias aportadas corresponden</t>
  </si>
  <si>
    <t>De acuerdo con las evidencias suministradas y el documento "Informe de mensual de seguimiento plan de previsión RH" de los meses de enero, febrero y marzo se observa el seguimiento realizado por parte del GIT gestión del Talento Humano.</t>
  </si>
  <si>
    <t xml:space="preserve">De acuerdo con las evidencias suministradas y el documento " Informe mensual de seguimiento plan de previsión RH" a 30 de junio se habian realizado las siguientes gestiones:                                            Empleos provistos en propiedad	 483	_x000D_
Vacantes definitivas provistas mediante comisión	1_x000D_
Vacantes definitivas provistas mediante encargo	107	_x000D_
Vacantes definitivas provistas mediante nombramiento provisional	211_x000D_
Vacantes temporales provistas mediante encargo	49	_x000D_
Vacantes temporales provistas mediante nombramiento provisional	49_x000D_
Vacantes temporales sin proveer	79	_x000D_
Vacantes definitivas sin proveer	75_x000D_
Planta IGAC-provista	900	_x000D_
Empleos vacantes IGAC sin proveer	154_x000D_
</t>
  </si>
  <si>
    <t xml:space="preserve">Se verifica ejecución mediante el Informe mensual de seguimiento Plan de Previsión del RH de julio, agosto y septiembre de 2021 y Matriz procesos de calidad TH Plan de Vacantes-Plan Previsión RH2021. </t>
  </si>
  <si>
    <t>Formación y Gestión del Desempeño</t>
  </si>
  <si>
    <t>Plan Estratégico del Talento Humano</t>
  </si>
  <si>
    <t>Aprobar, adoptar y  publicar el Plan Estratégico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</si>
  <si>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</si>
  <si>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</si>
  <si>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Meta programada y ejecutada en el primer trimestre</t>
  </si>
  <si>
    <t>El estratégico de Talento Humano  fue aprobado y adoptado mediante la Resolución 99 de 2021, así mismo fue comunicado mediante correo electrónico del 17 de febrero de 2021, por lo tanto se observa la ejecución de la actividad.</t>
  </si>
  <si>
    <t>Actividad realizada en primer trimestre.</t>
  </si>
  <si>
    <t>Plan Estratégico de Talento Humano</t>
  </si>
  <si>
    <t>Ejecutar el Plan de Trabajo 2021 de Evaluación de Desempeño para funcionarios de carrera y provisionalidad.</t>
  </si>
  <si>
    <t>Durante el primer trimestre se ejecutaron las 9 actividades programadas en el plan de trabajo.</t>
  </si>
  <si>
    <t>Durante el segundo trimestre se ejecutaron las 18 actividades programadas en el plan de trabajo.</t>
  </si>
  <si>
    <t>Durante el tercer trimestre se ejecutaron las 18 actividades programadas en el plan de trabajo.</t>
  </si>
  <si>
    <t>Se evidencia la ejecución de las 9 actividades programadas repportadas en los informes de enero, febreo y marzo.</t>
  </si>
  <si>
    <t>La ejecucion de  las  actividades programadas se evidencian con: capacitaciones, asesorias, plan de mejoramientoy  solicitudes</t>
  </si>
  <si>
    <t>Las evidencias corresponden</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</si>
  <si>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</si>
  <si>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De acuerdo con las evidencias suministradas se observa el seguimiento realizado por parte del GIT Gestión del Talento Humano al proceso de evaluación del desempeño, mediante la herramienta EDL, analizando y reportando los casos que presentan inconvenientes.</t>
  </si>
  <si>
    <t>Se observa ejecución de la actividad a través de los Informes de Gestión de Evaluación del Desempeño Laboral de julio, agosto y septiembre de 2021 y sus evidencias.</t>
  </si>
  <si>
    <t>Realizar el acompañamiento técnico de los acuerdos de gestión y la evaluación comportamental de los gerentes públicos.</t>
  </si>
  <si>
    <t>Informe, listas de asistencias, acuerdos de gestión</t>
  </si>
  <si>
    <t>De las 6 actividades programadas en el primer trimestre, se ejecutaron 5, la actividad faltante es debido a que están pendientes 6 concertaciones por remitir al área.</t>
  </si>
  <si>
    <t xml:space="preserve">Para este periodo no se cuenta con meta </t>
  </si>
  <si>
    <t>Durante el tercer trimestre se realizaron las actividades programadas y se terminó de realizar las concertaciones faltantes en el primer trimestre</t>
  </si>
  <si>
    <t>DE 6 actividades programadas se realizaron 5, se verifica su ejecucion en los informes de los meses enero, febrero y marzo.</t>
  </si>
  <si>
    <t>Para este periodo no sedetermino meta.</t>
  </si>
  <si>
    <t>LAs evidencas son corcordantes con las actividades propuestas</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</si>
  <si>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</si>
  <si>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Sin meta asignada para el periodo, sin evidencias de ejecución de la actividad.</t>
  </si>
  <si>
    <t xml:space="preserve">Se verifica ejecución de la acividad mediante el Informe acuerdos de gestión julio 2021 y correos de envío discriminado calificaciones a Directores Territoriales 06/07/2021. </t>
  </si>
  <si>
    <t xml:space="preserve"> Ejecutar el proceso de nómina.</t>
  </si>
  <si>
    <t>Archivo de nomina</t>
  </si>
  <si>
    <t>Durante el primer trimestre de 2021 se ha llevado a cabo el proceso de nómina sin novedad.</t>
  </si>
  <si>
    <t>Durante el segundo trimestre de 2021 se ha llevado a cabo el proceso de nómina sin novedad.</t>
  </si>
  <si>
    <t>Durante el tercer trimestre de 2021 se ha llevado a cabo el proceso de nómina sin novedad.</t>
  </si>
  <si>
    <t>Con las evidencias aportadas se evidencia el cumplimiento del proceso de nomina.</t>
  </si>
  <si>
    <t>El proceso de nomina para el periodo  ha ejecutado sin contra tiempos y con el respectivo seguimiento elproceso. Evidencia su ejecucion  con registros Ra 10 primas semetrrales, Ra 11 nomina de junio, reporte de junio e  el informe mensual de seguimiento, entre otros</t>
  </si>
  <si>
    <t>Se validan procesos de nomina del trimestre</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</si>
  <si>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</si>
  <si>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De acuerdo con las evidencias suministradas se observa que el GIT Gestión del Talento Humano ha realizado seguimiento al proceso de nómina, para los meses de abril, mayo y junio y el documento "Informe mensual de seguimiento proceso nómina" en donde se presenta de forma detallada el proceso realizado.</t>
  </si>
  <si>
    <t>Se verifica la ejecución del proceso de nómina mediante Informe mensual de seguimiento proceso de nómina de julio, agosto y septiembre 2021.</t>
  </si>
  <si>
    <t>Realizar la política del conocimiento</t>
  </si>
  <si>
    <t>Documento con la Política</t>
  </si>
  <si>
    <t>Esta actividad se encuentra programada para el siguiente Trimestre</t>
  </si>
  <si>
    <t>Se validó que se cuenta con la política de conocimiento e innovación</t>
  </si>
  <si>
    <t>Esta actividad se ejecutó en el segundo trimestre</t>
  </si>
  <si>
    <t>En este periodo no tiene programacion de actividad</t>
  </si>
  <si>
    <t>Con evidencias: Análisis experiencias entidades externas _ Transferencia del Conocimiento. Registro de documentos y páginas  consultadas.  y con   la     PL-DEP-07  GESTION DEL CONOCIMIENTO Y LA INNOVACIÓN se  verifico la existenca de la politica en elIGAC</t>
  </si>
  <si>
    <t>De acuerdo con las evidencias suministradas y los documentos: "Análisis experiencias entidades externas _ Transferencia del Conocimiento" y el Código: PL-DEP-07 Gestión del concimiento y la innovación se observa que se establecen lineamientos respecto a la política de gestión del conocimiento.</t>
  </si>
  <si>
    <t>Actividad adelantada en segundo trimestre.</t>
  </si>
  <si>
    <t>Plan Institucional de Capacitación</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</si>
  <si>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</si>
  <si>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</si>
  <si>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</si>
  <si>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La meta fue ejecutada en ellprimer periodo</t>
  </si>
  <si>
    <t>El plan Institucional de Capacitación fue aprobado y adoptado mediante la Resolución 99 de 2021, así mismo fue comunicado mediante correo electrónico del 17 de febrero de 2021, por lo tanto se observa la ejecución de la actividad.</t>
  </si>
  <si>
    <t>Actividad ejecutada en el primert trimestre.</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</si>
  <si>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</si>
  <si>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</si>
  <si>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
Adicionalmente en este trimestre se reporta dos actividades pendientes del primer trimestre: 1. Normatividad procesos de Talento Humano. 2. Lenguaje Claro._x000D_
</t>
  </si>
  <si>
    <t>Durante el tercer trimestre se realizaron 26 actividades de las 30 programadas, las actividades programadas pendientes son: Gobierno TI_x000D_
_x000D_
Manejo de software que permita la captura, edición, análisis, tratamiento, diseño, publicación e impresión de información geográfica (se cancela)_x000D_
_x000D_
Sistema Nacional Catastral (cancelada)_x000D_
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t>
  </si>
  <si>
    <t xml:space="preserve">Con las evidencias cargadas en la carpeta compartida se indican las actividades programadas, ejecutas y pendientes, las cuáles serán reprogramadas para el próximo trimestre. </t>
  </si>
  <si>
    <t>Se evidencia la ejecución de la meta con base de datos PIC, matriz de seguimientos, convocatorias,  y registros  de cada una de las actividades, pudiendose comprobar laimplementación de laactividad</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</si>
  <si>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</si>
  <si>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 xml:space="preserve">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
</t>
  </si>
  <si>
    <t>Se verifica su ejecución mediante los Informes de Gestión del Plan Institucional de Capacitación de los meses de julio, agosto y septiembre de 2021.</t>
  </si>
  <si>
    <t>Bienestar y Sistema de Gestión de Seguridad y Salud en el Trabajo</t>
  </si>
  <si>
    <t>Plan de Incentivos Institucionales</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</si>
  <si>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</si>
  <si>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</si>
  <si>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</si>
  <si>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No se cuenta con meta, ya  que la actividad fue ejecutada en su totalidad en el primer periodo</t>
  </si>
  <si>
    <t>El plan de Incentivos Institucionales 2021 fue aprobado y adoptado mediante la Resolución 99 de 2021, así mismo fue comunicado mediante correo electrónico del 17 de febrero de 2021, por lo tanto se observa la ejecución de la actividad.</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</si>
  <si>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</si>
  <si>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</si>
  <si>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 xml:space="preserve">De 4 actividades programadas para el trimestre, se dio cumplimiento a 3 actividades, quedando pendiente una actividad:  "Mejor gerente público", debido a la entrega por parte de la oficina de planeación del listado de evaluaciones definitivas del periodo 2020._x000D_
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
</t>
  </si>
  <si>
    <t>Durante el tercer trimestre se realizaron 2 actividades de los trimestres anteriores, 1 actividad de este trimestre y 1 actividad del cuarto trimestre. Queda pendiente la actividad: Mejor Gerente Público.</t>
  </si>
  <si>
    <t>Se evidencia el cumplimiento parcial el desarrollo de las actividades programadas</t>
  </si>
  <si>
    <t>Con resolucion N° 295 de 2021, convocaatorias,  reporte mejor equipo de trabajo, informe - Incentivos, entre otros, se evidencia elcumplimiento del plan de trabajo</t>
  </si>
  <si>
    <t>Las evidencas corresponden</t>
  </si>
  <si>
    <t>No se presentan evidencias que den cuenta de la ejecución de las actividades que hacen parte del Plan de Incentivos Institucionales 2021</t>
  </si>
  <si>
    <t>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t>
  </si>
  <si>
    <t>Se verifica la ejecución de la actividad con los Informes Plan de Incentivos correspondientes a los meses de agosto y septiembre de 2021 y sus evidencias.</t>
  </si>
  <si>
    <t>Plan de Bienestar Institucional</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</si>
  <si>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</si>
  <si>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</si>
  <si>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</si>
  <si>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Meta obtenida en el primer trimestre</t>
  </si>
  <si>
    <t>El plan de Bienestar Institucional fue aprobado y adoptado mediante la Resolución 99 de 2021, así mismo fue comunicado mediante correo electrónico del 17 de febrero de 2021, por lo tanto se observa la ejecución de la actividad.</t>
  </si>
  <si>
    <t>Actividad efectuada en el primer trimestre</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</si>
  <si>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</si>
  <si>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</si>
  <si>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 xml:space="preserve">De 29 actividades programadas para el trimestre se dio cumplimiento a 27 actividades, quedan pendiente 2 actividades:  1.  Caminatas. 2. Rincón de la lectura._x000D_
Adicionalmente en este trimestre se reporta dos actividades pendientes del primer trimestre: 1. caminatas. 2. Taller de artesanias._x000D_
</t>
  </si>
  <si>
    <t>Durante el tercer trimestre se realizaron las 22 actividades programadas, y se realizó una actividad que se tenia pendiente del primer trimestre, queda pendiente la actividad: Olimpiadas</t>
  </si>
  <si>
    <t>las 2 activideas no implementadas de 16 no fueron ejecutadas por falta de presupuesto y fueron reproramadas</t>
  </si>
  <si>
    <t>Se evidencia el cumplimiento del  plan de trabaj y de dos actividades pendientes con: convocatorias a los diferentes eventos, reportes de vacantes, solicitudes de cancelación RPCA, informes mensuales de seguimiento, matriz de pprocesos de calidad TH plan, entre otros</t>
  </si>
  <si>
    <t>Se evidencias 22 actividades que dan cumplimiento</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</si>
  <si>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</si>
  <si>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 xml:space="preserve">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
</t>
  </si>
  <si>
    <t>Se evidencia ejecución de la actividad mediate los Informes del Plan de Bienestar Laboral de julio, agosto y septiembre de 2021.</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</si>
  <si>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</si>
  <si>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</si>
  <si>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</si>
  <si>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Actividadejecutada en el primer trimestre</t>
  </si>
  <si>
    <t>El plan de trabajo anual en seguridad y salud en el trabajo fue aprobado y adoptado mediante la Resolución 99 de 2021, así mismo fue comunicado mediante correo electrónico del 17 de febrero de 2021, por lo tanto se observa la ejecución de la actividad.</t>
  </si>
  <si>
    <t>Sin meta asignada para el Trimestre.</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</si>
  <si>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</si>
  <si>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</si>
  <si>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 xml:space="preserve">De las  60 actividades programadas para el trimestre se dio cumplimiento a 59 actividades. _x000D_
Adicional se ejectuo de los meses anteriores la actividad: " Ejecutar las inspecciones de botiquines, extintores, camillas de emergencias e infraestructura a nivel nacional, y levantar la matriz de necesidades._x000D_
</t>
  </si>
  <si>
    <t>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t>
  </si>
  <si>
    <t>De 69 actividades programas se ejecutaron 60, lo cual se evidencia en los arcivos en el Drive</t>
  </si>
  <si>
    <t xml:space="preserve">Aporta evidencias que demuestran  la ejecución del plan(inspecciones de botiquines, extintores, camillas de emergencias e infraestructura a nivel nacional, y levantar la matriz de necesidades.)_x000D_
</t>
  </si>
  <si>
    <t>Se validan las evidencias aportadas</t>
  </si>
  <si>
    <t>De acuerdo con las evidencias suministradas y el documento "Informe de gestión seguridad y salud en el trabajo" de los meses  de enero, febrero y marzo y las respectivas evidencias que lo soportan se observa la ejecución de las actividades establecidas en el plan.</t>
  </si>
  <si>
    <t>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t>
  </si>
  <si>
    <t>Se observa avance de la actividad a través de los informes de gestión de Seguridad y Salud en el Trabajo correspondientes a los meses de julio, agosto y septiembre de 2021.</t>
  </si>
  <si>
    <t>Esta actividad esta programada para el siguiente trimestre</t>
  </si>
  <si>
    <t>Esta actividad se desarrollara en el tercer y cuarto trimestre</t>
  </si>
  <si>
    <t>Durante el tercer trimestre se dasarrollo el cronograma de actualización de los documentos del SGI del proceso</t>
  </si>
  <si>
    <t>Para ete periodo no tiene determinada meta</t>
  </si>
  <si>
    <t>Se valida con cronograma</t>
  </si>
  <si>
    <t>Sin meta asignada para el trimestre, sin evidencias de ejecución de las actividades.</t>
  </si>
  <si>
    <t>Se verifica la actividad con el Cronograma Documental de Talento Humano.</t>
  </si>
  <si>
    <t>Se realizó el reporte de las actividades del Plan Anticorrupción</t>
  </si>
  <si>
    <t>Se realizó el reporte de las actividades del Plan Anticorrupción y Plan de Acciòn</t>
  </si>
  <si>
    <t>Se cumplio  con las actividades determinadas en el plan anticorrupción evidenciandose en reporte, informes y en la herramienta Planigac, seguimiento trimestral al Plan Anticorrupcion</t>
  </si>
  <si>
    <t>Se evidencia la ejecución de la actividad en, reporte e  informes en la herramienta Planigac, seguimiento trimestral al Plan Anticorrupcion</t>
  </si>
  <si>
    <t>Se evidencias las actividades de PAA Y RIESGOS</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</si>
  <si>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</si>
  <si>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De acuerdo con las evidencias suministradas se observa seguimiento en el archivo denominado "Seguimiento_segundo_trimestre_Plan_anticorrupcion_y_de_atencion_al_ciudadano_2021_v2"</t>
  </si>
  <si>
    <t>Se evidencia ejecución de actividades en Planigac PAA y Riesgos.</t>
  </si>
  <si>
    <t>Esta actividad esta programada para tercer trimestre</t>
  </si>
  <si>
    <t xml:space="preserve">Esta actividad se desarrollará en el tercer trimestre </t>
  </si>
  <si>
    <t>Durante el trimestre se desarrollo mesa de trabajo con la OAP para identificar las acciones de mejora relaciona al cumplimiento del FURAG</t>
  </si>
  <si>
    <t>No se determmino meta para el primer trimestre</t>
  </si>
  <si>
    <t>No se determmino meta para el segndo trimestre</t>
  </si>
  <si>
    <t>La evidencia corresponde a la actividad propuesta</t>
  </si>
  <si>
    <t xml:space="preserve">Se observa ejecución de la actividad mediante correo del 13/07/2021 sobre preparación FURAG remisión formato de preguntas y respuestas. </t>
  </si>
  <si>
    <t>Esta actividad esta programada para el tercer trimestre</t>
  </si>
  <si>
    <t>Se han realizado la implementación de las acciones de mejora relacionadas al cumplimiento del FURAG</t>
  </si>
  <si>
    <t>Meta pprogramada para el tercer trimestre</t>
  </si>
  <si>
    <t>Se evidencia ejecución de la actividad mediante excel de preparación FURAG que contiene las acciones relacionadas.</t>
  </si>
  <si>
    <t>Esta actividad se reprogramo para el cuarto trimestre</t>
  </si>
  <si>
    <t>Meta programada para el siguiente trimestre</t>
  </si>
  <si>
    <t>No se programó meta para tercer trimestre.</t>
  </si>
  <si>
    <t>Gestión Disciplinaria</t>
  </si>
  <si>
    <t>Procesos disciplinarios en curso</t>
  </si>
  <si>
    <t>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</si>
  <si>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</si>
  <si>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</si>
  <si>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Oficina de Control Interno Disciplinario</t>
  </si>
  <si>
    <t>Porcentaje procesos disciplinarios tramitados</t>
  </si>
  <si>
    <t>Durante el primer trimestre se profirieron los actos administrativos necesarios para impulsar y adoptar decisiones de fondo en curso de los procesos de competencia</t>
  </si>
  <si>
    <t>Durante el segundo trimestre se profirieron los actos administrativos necesarios para impulsar y adoptar decisiones de fondo en curso de los procesos de competencia</t>
  </si>
  <si>
    <t>Durante el tercer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</si>
  <si>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</si>
  <si>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se verificaron los archivos: cuadro de procesos, informe general de proceso disciplinarios y relación de autos proferidos junio en cumplimiento del resumen de los procesos disciplinarios en curso</t>
  </si>
  <si>
    <t xml:space="preserve">Concepto Favorable </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</si>
  <si>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</si>
  <si>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De acuerdo con las evidencias presentadas: "cuadro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t>
  </si>
  <si>
    <t>De acuerdo con las evidencias suministradas, "Autos julio, agosto, septiembre" se observa que durante el trimestre se profireron autos de inicio, pruebas y cierre distribuidos de la siguiente manera 26 en julio, 17 en agosto y 31 en septiembre.</t>
  </si>
  <si>
    <t xml:space="preserve">Practicar las pruebas y diligencias ordenadas en curso de los procesos de competencia del GIT Control Disciplinario. </t>
  </si>
  <si>
    <t>Cuadro resumen de pruebas practicadas, según el expediente</t>
  </si>
  <si>
    <t xml:space="preserve">Durante el primer trimestre se practicaron las pruebas y diligencias ordenadas en curso de los procesos de competencia </t>
  </si>
  <si>
    <t xml:space="preserve">Durante el segundo trimestre se practicaron las pruebas y diligencias ordenadas en curso de los procesos de competencia </t>
  </si>
  <si>
    <t xml:space="preserve">Durante el tercer trimestre se practicaron las pruebas y diligencias ordenadas en curso de los procesos de competencia </t>
  </si>
  <si>
    <t>Se verifico el archivo pruebas practicadas primer trimestre.</t>
  </si>
  <si>
    <t>se verificaron los archivos: solicitud pruebas 2021 corte abril, solicitud pruebas corte mayo, solicitudes de pruebas a junio en cumplimiento del Cuadro resumen de pruebas practicadas, según el expediente.</t>
  </si>
  <si>
    <t>De acuerdo con el archivo pruebas practicadas para el primer trimestre se han realizado 55 pruebas tanto a las diferentes territoriales como a la sede central, atendiendo los terminos fijados en la ley.</t>
  </si>
  <si>
    <t>De acuerdo con las evidencias suministradas se presenta herramienta de monitoreo y seguimiento denominada"Solicitud pruebas" de los meses de abril, mayo y junio en donde se registra las actividades realizadas  respecto a las pruebas y diligencias de los procesos en curso.</t>
  </si>
  <si>
    <t>De acuerdo con las evidencias suministradas,"diligencias practicadas julio-agosto, solicitud pruebas julio-agosto, septiembre" se observa que se realizaron 9 diligencias y se solicitaron pruebas en 68 oportunidades.</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</si>
  <si>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</si>
  <si>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</si>
  <si>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</si>
  <si>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Durante el segundo trimestre se realizó seguimiento vía telefonica y por correo electrónico al impulso dado a los procesos disciplinarios que son adelantados en las Direcciones Territoriales.</t>
  </si>
  <si>
    <t>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t>
  </si>
  <si>
    <t>se verificaron 10 archivos con correos enviados a las territoriales con correos electrónicos de seguimiento a los procesos disciplinarios.</t>
  </si>
  <si>
    <t>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t>
  </si>
  <si>
    <t>De acuerdo con los soportes emtregados se observan correos de seguimiento a los procesos en curso de las direcciones territoriales : Cundinamarca, Norte de Santander, Risaralda, Cauca, Tolima, los cuales fueron enviados en los meses de febrero y marzo.</t>
  </si>
  <si>
    <t>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t>
  </si>
  <si>
    <t>De acuerdo con las evidencias suministradas," seguimiento septiembre Norte de Santander, Seguimiento septiembre Tolima" se observa el monitoreo realizado a estas direcciones territoriales ejecutando la actividad.</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</si>
  <si>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</si>
  <si>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</si>
  <si>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</si>
  <si>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</si>
  <si>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</si>
  <si>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 xml:space="preserve">Durante el segundo trimestre se se realizaron 3 piezas de sensibilización a servidores públicos y contratistas vinculados al IGAC </t>
  </si>
  <si>
    <t>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t>
  </si>
  <si>
    <t>Verificado el cargue de evidencias</t>
  </si>
  <si>
    <t>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t>
  </si>
  <si>
    <t>se verificó que en los trimestres anteriores se realizaron actividades de más. Se recomienda al proceso completar la actividad según la programación establecida.</t>
  </si>
  <si>
    <t>De acuerdo con los soportes se observan 3 piezas de sensibilización remitidas a los servidores de la entidad mediante correos 04 de febrero, 22 de febrero y 01 de marzo.</t>
  </si>
  <si>
    <t>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t>
  </si>
  <si>
    <t>No se presentan evidencias de ejecución de la actividad durante el trimestre</t>
  </si>
  <si>
    <t>Esta actividad se desarrollará en los siguientes trimestres</t>
  </si>
  <si>
    <t>Esta actividad se desarrollará en tercer trimestre</t>
  </si>
  <si>
    <t xml:space="preserve">Mediante mesa de trabajo con la OAP se realizó un cronograma de actualización de la información documentada del SGI del proceso. </t>
  </si>
  <si>
    <t>no programada para el primer trimestre</t>
  </si>
  <si>
    <t>Sin meta asignada para el trimestre, sin evidencias de desarrollo de la actividad.</t>
  </si>
  <si>
    <t>De acuerdo con las evidencias suministradas, "cronograma de actualización de la documentación del proceso se observar el avance de la actividad.</t>
  </si>
  <si>
    <t xml:space="preserve">Mediante el diligenciamiento de PLANIGAC para el primer trimestre se realiza el seguimiento a los controles de los riesgos del proceso </t>
  </si>
  <si>
    <t xml:space="preserve">Mediante el diligenciamiento de PLANIGAC para el segundo trimestre se realiza el seguimiento a los controles de los riesgos del proceso </t>
  </si>
  <si>
    <t xml:space="preserve">Mediante el diligenciamiento de PLANIGAC para el tercer trimestre se realiza el seguimiento a los controles de los riesgos del proceso </t>
  </si>
  <si>
    <t>Se recibió en los tiempos establecidos la herramienta diligenciada y las evidencias.</t>
  </si>
  <si>
    <t>se verifica el archivo: PLANIGAC - Control Disciplinario, en cumplimiento del seguimiento en la Herramienta Planigac</t>
  </si>
  <si>
    <t>Se observa el seguimiento a los riesgos del proceso de control disciplinario, mediante la herramienta PLANIGAC, reportada en los tiempos establecidos.</t>
  </si>
  <si>
    <t>Se observa el seguimiento a los riesgos del proceso de control disciplinario, mediante la herramienta PLANIGAC.</t>
  </si>
  <si>
    <t>De acuerdo con las evidencias suministradas, correo electrónico de fecha 14 de octubre se observa la entrega del seguimiento realizado a los controles de los riesgos del proceso de Gestión Disciplinaria.</t>
  </si>
  <si>
    <t>Mediante el diligenciamiento de PLANIGAC para el primer trimestre se realiza el seguimiento a las actividades contempladas en el plan de acción anual y se envía avance del plan anticorrupción del proceso</t>
  </si>
  <si>
    <t>Mediante el diligenciamiento de PLANIGAC para el segundo trimestre se realiza el seguimiento a las actividades contempladas en el plan de acción anual y se envía avance del plan anticorrupción del proceso</t>
  </si>
  <si>
    <t>Mediante el diligenciamiento de PLANIGAC para el tercer trimestre se realiza el seguimiento a las actividades contempladas en el plan de acción anual y se envía avance del plan anticorrupción del proceso</t>
  </si>
  <si>
    <t>se verifica el archivo: PLANIGAC - Control Disciplinario, en cumplimiento de Herramienta Planigac y Matriz PAAC.</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</si>
  <si>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</si>
  <si>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Se observa el seguimiento al Plan de Acción del proceso de control disciplinario, mediante la herramienta PLANIGAC.</t>
  </si>
  <si>
    <t>De acuerdo con las evidencias suministradas, correo electrónico de fecha 14 de octbre se observa el seguimiento realizado al Plan de acción anual y Plan Anticorrupción y atención al ciudadano por parte del proceso Gestión Disciplinaria.</t>
  </si>
  <si>
    <t>El GIT de Control Disciplinario realizó la revisión del FURAG y no cuenta con preguntas que le correspondan contestar al proceso</t>
  </si>
  <si>
    <t>Se verifica que el proceso no tiene acciones de mejora pendientes por realizar.</t>
  </si>
  <si>
    <t>De acuerdo con las evidencias suministradas "Resumen FURAG 2021" no se identifican acciones de mejora relacionas con control disciplinario.</t>
  </si>
  <si>
    <t>De acuerdo con las evidencias suministradas, "resumen FURAG" se observa que el procceso ha venido realizando análisis de las oportunidades de mejora que se pueden implementar.</t>
  </si>
  <si>
    <t>Gestión Documental</t>
  </si>
  <si>
    <t>Gestión de Archivo</t>
  </si>
  <si>
    <t>Instrumentos archivísticos y de gestión de la información pública actualizados</t>
  </si>
  <si>
    <t>Gestión documental</t>
  </si>
  <si>
    <t>Seguimiento a la convalidación de las Tablas de Retención Documental (TRD) presentadas al AGN (Estructura Orgánica Vigencia 2020)</t>
  </si>
  <si>
    <t>Listas de asistencia a reuniones, documento ajuste a tablas de convalidación</t>
  </si>
  <si>
    <t xml:space="preserve">Número de Instrumentos archivísticos actualizados </t>
  </si>
  <si>
    <t xml:space="preserve">En el mes de enero se realizó la radicación de las TRD al AGN para su convalidación, a la fecha no se ha recibido observaciones </t>
  </si>
  <si>
    <t>En el segundo trimestre se recibieron observaciones a la solicitud de convalidadción de las TRD las cuales se encuentran realizando los ajustes para remitir en el tercer trimestre al AGN</t>
  </si>
  <si>
    <t>En el mes de julio se remitieron al AGN los ajustes de la solicitud de convalidadción de las TRD</t>
  </si>
  <si>
    <t>Se evidencia con caso 22451 del 3 de febrero de 2021.</t>
  </si>
  <si>
    <t>Se evidencia con el Concepto  técnico  de  evaluación  y  convalidación  Tablas  de Retención Documental -TRD. del 10 de junio de 2021.</t>
  </si>
  <si>
    <t>De acuerdo con las evidencias suministras, Comunicación con radicado número 2000-2021-00099-04-EE-001 de fecha 27 de julio y correo electrónico del 28 de julio se hace entrega de las TRD con los ajustes sugeridos.</t>
  </si>
  <si>
    <t>Plan Institucional de Archivos de la Entidad -PINAR</t>
  </si>
  <si>
    <t>Actualizar el diagnostico integral de archivos con el objetivo de obtener un mapa general de la implementación de la gestión documental</t>
  </si>
  <si>
    <t xml:space="preserve">Diagnostico integral de archivos </t>
  </si>
  <si>
    <t>Esta actividad se realizará en el siguiente trimestre</t>
  </si>
  <si>
    <t>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t>
  </si>
  <si>
    <t>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t>
  </si>
  <si>
    <t>esta actividad se desarrolla en el siguiente periodo</t>
  </si>
  <si>
    <t xml:space="preserve">Se evidencia con la presentación de la propuesta de la  metodología del trabajo para el levantamiento y presentación del diagnostico </t>
  </si>
  <si>
    <t>De acuerdo con las evidencias suministras, Encuestas de diagnóstico se presenta la aplicación del instrumento a 10 áreas del Instituto.</t>
  </si>
  <si>
    <t>Actualizar el programa de gestión documental PGD</t>
  </si>
  <si>
    <t>Programa de gestión documental PGD</t>
  </si>
  <si>
    <t>Esta actividad se realizará en el último trimestre</t>
  </si>
  <si>
    <t>Esta actividad esta programada para el cuarto trimestre</t>
  </si>
  <si>
    <t>se realizara en otro periodo</t>
  </si>
  <si>
    <t>se realiza en ultimo periodo</t>
  </si>
  <si>
    <t>Acervo documental organizado </t>
  </si>
  <si>
    <t xml:space="preserve">Realizar la intervención documental a 30 metros lineales </t>
  </si>
  <si>
    <t>Metros lineales del acervo documental organizado</t>
  </si>
  <si>
    <t>Durante el primer trimestre se ha podido intervenir 7.5 metro lineales</t>
  </si>
  <si>
    <t>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t>
  </si>
  <si>
    <t>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t>
  </si>
  <si>
    <t>se revisan evidencias, se encuentra acorde con el producto esperado</t>
  </si>
  <si>
    <t xml:space="preserve">Se evidencia con inventario documental de sede central. </t>
  </si>
  <si>
    <t xml:space="preserve">Se presenta en excel control del metraje gestionado documentalmente en abril, mayo y junio del corriente año. </t>
  </si>
  <si>
    <t>De acuerdo con as evidencias suministradas, inventarios y resoluciones de los meses de julio,agosto, septiembre se observa el desarrollo de la actividad.</t>
  </si>
  <si>
    <t>Levantar el inventario documental de los 30 metros lineales intervenidos</t>
  </si>
  <si>
    <t>Inventario levantado</t>
  </si>
  <si>
    <t>Durante el primer trimestre se ha podido levantar el inventario de  7.5 metro lineales</t>
  </si>
  <si>
    <t>se revisan evidencias, acordes al producto esperado</t>
  </si>
  <si>
    <t xml:space="preserve">Se evidencia con FUID de abril, mayo y junio del corriene año. </t>
  </si>
  <si>
    <t>Realizar seguimiento a la implementación del proceso de gestión documental de la entidad en temas relacionados a la gestión de archivos</t>
  </si>
  <si>
    <t>Correos, reuniones, listas de asistencias</t>
  </si>
  <si>
    <t>Durante el primer trimestre se realizó el seguimiento a la implementación del proceso de gestión documental de la entidad</t>
  </si>
  <si>
    <t>Durante el segundo trimestre se realizó el seguimiento a la implementación del proceso de gestión documental de la entidad</t>
  </si>
  <si>
    <t>Durante el tercer trimestre se realizó el seguimiento a la implementación del proceso de gestión documental de la entidad</t>
  </si>
  <si>
    <t>Se evidencia con acompañamiento realizado al GIT geodesia del 3 de febrero de 2021.</t>
  </si>
  <si>
    <t xml:space="preserve">Se evidencia con diagnóstico y avance documental realizado en Palmira, Huila, Armenia y Tulua. </t>
  </si>
  <si>
    <t>De acuerdo con las evidencias suministradas, reuniones por teams y mesas de trabajo con los grupos de avalúos, secretaría general, gestión contractual, Tesorería se observa el desarrollo de la actividad.</t>
  </si>
  <si>
    <t>Gestión de Correspondencia</t>
  </si>
  <si>
    <t>Realizar seguimiento a la implementación del proceso de gestión documental de la entidad en temas relacionados a la gestión de correspondencia</t>
  </si>
  <si>
    <t>Esta actividad se realizará en los siguientes trimestres</t>
  </si>
  <si>
    <t>Esta actividad se realizará en el tercer y cuarto trimestre</t>
  </si>
  <si>
    <t>Durante el tercer trimestre se realizó el cronograma de actualización de la información documentada del SGI del proceso</t>
  </si>
  <si>
    <t>se realizara en los proximos periodos</t>
  </si>
  <si>
    <t>meta pendiente para el 3er y 4to periodo</t>
  </si>
  <si>
    <t>sin meta programada</t>
  </si>
  <si>
    <t>De acuerdo con las evidencias suministradas, Cronograma Gestión documental se estabecen los tiempos para la actualización de la documentación del proceso.</t>
  </si>
  <si>
    <t xml:space="preserve">Durante el primer trimestre se realizó el seguimiento a los controles de los riesgos del proceso </t>
  </si>
  <si>
    <t xml:space="preserve">Durante el segundo trimestre se realizó el seguimiento a los controles de los riesgos del proceso </t>
  </si>
  <si>
    <t xml:space="preserve">Durante el tercer trimestre se realizó el seguimiento a los controles de los riesgos del proceso </t>
  </si>
  <si>
    <t>Se evidencia mediante correo electrónico del 14 de abril de 2021.</t>
  </si>
  <si>
    <t xml:space="preserve">Se evidencia en PLANIGAC el proceso a los controles de riesgos. </t>
  </si>
  <si>
    <t>De acuerdo con las evidencias suministradas, correo electrónico del 14 de octubre se realiza envío del seguimiento a los riesgos del proceso de gestión documental.</t>
  </si>
  <si>
    <t>se realiza en los siguientes periodos</t>
  </si>
  <si>
    <t>pendiente para 4to periodo</t>
  </si>
  <si>
    <t>Durante el primer trimestre se realizó el seguimiento a las actividades contempladas en el plan de acción anual y en el plan anticorrupción a cargo del proceso</t>
  </si>
  <si>
    <t>Durante el segundo trimestre se realizó el seguimiento a las actividades contempladas en el plan de acción anual y en el plan anticorrupción a cargo del proceso</t>
  </si>
  <si>
    <t>Durante el tercer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</si>
  <si>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</si>
  <si>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 xml:space="preserve">Se valida el seguimiento a las actividades contempladas en el plan de acción anual y en el plan anticorrupción a cargo del proceso, mediante PLANIGAC. </t>
  </si>
  <si>
    <t>De acuerdo con las evidencias suministradas, correo electrónico del 14 de octubre se realiza envío del seguimiento al las actividades del plan de acción y plan anticorrupción del proceso de gestión documental.</t>
  </si>
  <si>
    <t>Durante el segundo trimestre la OAP no citó reunión para validar las preguntas del FURAG y así determinar las oportunidades de mejora</t>
  </si>
  <si>
    <t>En el mes de septiembre se realizó mesa de trabajo con la OAP en donde se indentificaron las oportunidades de mejora relacionadas al cumplimiento del FURAG que apliquen al proceso.</t>
  </si>
  <si>
    <t>De acuerdo con las evidencias suministradas, correo electrónico del 28 de septiembre se presenta mesa de trabajo para identificar las oportunidades de mejora del formulario FURAG.</t>
  </si>
  <si>
    <t>Gestión Financiera</t>
  </si>
  <si>
    <t>Gestión Presupuestal</t>
  </si>
  <si>
    <t>Gastos gestionados en la ejecución presupuestal por productos</t>
  </si>
  <si>
    <t>Realizar la desagregación del presupuesto</t>
  </si>
  <si>
    <t>Memorando desagregación, fichas y ejecución inicial</t>
  </si>
  <si>
    <t>Porcentaje de gastos gestionados</t>
  </si>
  <si>
    <t>El GIT realizó la desagregación del presupuesto</t>
  </si>
  <si>
    <t>La actividad fue realizada en el primer trimestre</t>
  </si>
  <si>
    <t>Se evidencia la desagregacion del presupuesto de inversion y funcionamiento</t>
  </si>
  <si>
    <t>La actividad fue cumplida en el primer trimestre</t>
  </si>
  <si>
    <t>Se evidencia con desagregación presupuestal de inversión-2021</t>
  </si>
  <si>
    <t>Expedir Certificados de disponibilidad presupuestal  (CDP) y Registros presupuestales</t>
  </si>
  <si>
    <t>Listado de CDP´S y RP´S del periodo muestra de (solicitud de cdp con cdp) (soporte para registro del rp con el rp)</t>
  </si>
  <si>
    <t>ELGIT de Presupuesto durante el primer trimestre expeidio los Certificados de disponibilidad presupuestal  (CDP) y Registros presupuestales solicitados</t>
  </si>
  <si>
    <t>ELGIT de Presupuesto durante el segundo trimestre expeidio los Certificados de disponibilidad presupuestal  (CDP) y Registros presupuestales solicitados</t>
  </si>
  <si>
    <t>El proceso de Presupuesto durante el tercer trimestre expeidio los Certificados de disponibilidad presupuestal  (CDP) y Registros presupuestales solicitados</t>
  </si>
  <si>
    <t>Se obsera el reporte de los cdp´s y rp´s de los meses de enero, febrero y marzo</t>
  </si>
  <si>
    <t>Se verifica la información y la evidencia aportada: Listados de CDPS, al ser coincidentes se aprueba el seguimiento.</t>
  </si>
  <si>
    <t>Se evidencia con  reporte de los cdp´s y rp´s de los meses de enero, febrero y marzo de 2021</t>
  </si>
  <si>
    <t>Se valida con listados de cdp y crps de abril, mayo y junio de 2021.</t>
  </si>
  <si>
    <t>De acuerdo con las evidencias suministradas, listados de Certificados de disponibilidad Presupuestal CDP, listados de Registros presupuestales RP de los meses de julio, agosto, septiembre, se observa el desarrollo de la actividad.</t>
  </si>
  <si>
    <t>Gestión Contable</t>
  </si>
  <si>
    <t>Elaborar las cuentas por pagar y las obligaciones derivadas de los compromisos del Instituto</t>
  </si>
  <si>
    <t>Lista de obligaciones del aplicativo SIIF Nación mensualmente</t>
  </si>
  <si>
    <t>Durante el primer trimestre se elaboraron las cuentas por pagar y las obligaciones derivadas de los compromisos del Instituto</t>
  </si>
  <si>
    <t>Durante el segundo trimestre se elaboraron las cuentas por pagar y las obligaciones derivadas de los compromisos del Instituto</t>
  </si>
  <si>
    <t>Durante el tercer trimestre se elaboraron las cuentas por pagar y las obligaciones derivadas de los compromisos del Instituto, a la fecha se esta consolidando la informaciòn del mes de septiembre</t>
  </si>
  <si>
    <t>Estan cargadas las evidencias correspondientes</t>
  </si>
  <si>
    <t>Se verifica la información y la evidencia aportada: Listado de obligaciones, al ser coincidentes se aprueba el seguimiento.</t>
  </si>
  <si>
    <t>Se evidencia con reportes de SIIF NACION del primer trimestre de 2021.</t>
  </si>
  <si>
    <t xml:space="preserve">Se validan listados de obligaciones de abril, mayo y junio del corriente año. </t>
  </si>
  <si>
    <t>De acuerdo con las evidencias suministradas, lista de obligaciones de los meses de julio y agosto, se observa el desarrollo de la actividad.</t>
  </si>
  <si>
    <t>Gestión de Tesorería</t>
  </si>
  <si>
    <t>Realizar los pagos de las obligaciones derivadas de los compromisos presupuestales sujetos a la disponibilidad del PAC</t>
  </si>
  <si>
    <t>Listado de ordenes de pagos (actual, reservas y cuentas x pagar)</t>
  </si>
  <si>
    <t>Durante el primer trimestre se realizarón los pagos de las obligaciones derivadas de los compromisos presupuestales sujetos a la disponibildad del PAC</t>
  </si>
  <si>
    <t>Durante el segundo trimestre se realizarón los pagos de las obligaciones derivadas de los compromisos presupuestales sujetos a la disponibildad del PAC</t>
  </si>
  <si>
    <t>Durante el tercer trimestre se realizarón los pagos de las obligaciones derivadas de los compromisos presupuestales sujetos a la disponibildad del PAC</t>
  </si>
  <si>
    <t xml:space="preserve">Estan cargadas las evidencias correspondientes </t>
  </si>
  <si>
    <t>Se verifica la información y la evidencia aportada: Listados de ordenes de pago, al ser coincidentes se aprueba el seguimiento.</t>
  </si>
  <si>
    <t>Se valida listados de SIIF NACION del primer trimestre 2021.</t>
  </si>
  <si>
    <t xml:space="preserve">Se validan listados de OPS del trimestre abril,mayo y junio del corriente año, </t>
  </si>
  <si>
    <t>De acuerdo con las evidencias suministradas, listado de ordenes de pago e los meses de julio, agosto y septiembre se observa el desarrollo de la actividad.</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</si>
  <si>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</si>
  <si>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</si>
  <si>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</si>
  <si>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EL GIT de Presupuesto realizó durante el segundo trimestre los reintegros presupuestales y la depuración de Registros  y CDPs.</t>
  </si>
  <si>
    <t>Se realizó durante el tercer trimestre los reintegros presupuestales y la depuración de Registros  y CDPs.</t>
  </si>
  <si>
    <t>estan cargadsa las evidencias correspondientes</t>
  </si>
  <si>
    <t>Se verifica la información y la evidencia aportada: Listado de reintegros, al ser coincidentes se aprueba el seguimiento.</t>
  </si>
  <si>
    <t xml:space="preserve">Se validan reintegros presupuestales realizados en el primner trimestre de 2021-SIIF NACION. </t>
  </si>
  <si>
    <t xml:space="preserve">Se evidencia reintegro 11621 del 10 de mayo de 2021, 8521 DEL DEL 12 DE MAYO DE 2120. </t>
  </si>
  <si>
    <t>De acuerdo con las evidencias suministradas, Comprobantes de reintegro de fechas 14,26,27 y 30 de julio, 23,24 y 27 de agosto, 7,25 y 27 de septiembre se observa el desarrollo de la actividad.</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</si>
  <si>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</si>
  <si>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</si>
  <si>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</si>
  <si>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El GIT de Presupuesto elaboró informes y generar alertas de la ejecución presupuestal de la vigencia y reserva durante el segundo trimestre</t>
  </si>
  <si>
    <t>Se elaboró informes y generar alertas de la ejecución presupuestal de la vigencia y reserva durante el tercer trimestre</t>
  </si>
  <si>
    <t xml:space="preserve">Se puede evidenciar que estan cargadas las ejecuciones presupuestales de los 3 primeros meses </t>
  </si>
  <si>
    <t>Se verifica la información y la evidencia aportada: ejecuciones presupuestales, al ser coincidentes se aprueba el seguimiento.</t>
  </si>
  <si>
    <t>Se valida con ejecuciónes  presupuestales del primer trimestre 2021.</t>
  </si>
  <si>
    <t xml:space="preserve">Se evidencia con ejecuciones presupuestales de abril, mayo y junio del corriente año. </t>
  </si>
  <si>
    <t>De acuerdo con las evidencias suministradas, ejecución presupuestal decreto y desagregada de los meses de julio, agosto, septiembre, además de la ejecución de reservas presupuestales de los meses de julio, agosto, septiembre se observa el desarrollo de la actividad.</t>
  </si>
  <si>
    <t>Ingresos institucionales gestionados</t>
  </si>
  <si>
    <t>Realizar la identificación y hacer seguimiento a las partidas conciliatorias</t>
  </si>
  <si>
    <t>Correo electrónico (Verificación Partidas)</t>
  </si>
  <si>
    <t>Porcentaje de ingresos elaborados y depurados</t>
  </si>
  <si>
    <t>Durante el primer trimestre se identificó y se realizó seguimiento a las partidas conciliatorias</t>
  </si>
  <si>
    <t>Durante el segundo trimestre se identificó y se realizó seguimiento a las partidas conciliatorias</t>
  </si>
  <si>
    <t>Durante el tercer trimestre se identificó y se realizó seguimiento a las partidas conciliatorias</t>
  </si>
  <si>
    <t xml:space="preserve">Se valida con correo del 14 de abril,  Envío formulario y recibo de pago ica noviembre diciembre de 2020._x000D_
_x000D_
</t>
  </si>
  <si>
    <t>Se valida la gestión realizada a través de los correos electrónicos de fecha: 3 de mayo 2021, 18 de mayo 2021, 31 de mayo 2021, 20 de abril 2021, 26 de abril 2021, 10 de junio 2021 y 28 de junio 2021.</t>
  </si>
  <si>
    <t>De acuerdo con las evidencias suministradas correos electrónicos de fechas: 13,15,19, 23 y 29 de julio, 02,11,18 y 31 de agosto, 14,17 y 20 de septiembre, se observa el desarrollo de la actividad.</t>
  </si>
  <si>
    <t>Consolidar y registrar en el sistema SIIF Nación la solicitudes de PAC</t>
  </si>
  <si>
    <t>Reporte SIIF - Solicitud de PAC</t>
  </si>
  <si>
    <t>El GIT de Tesorería consolidó y registró en el SIIF Nación las solicitudes del PAC durante el primer trimestre</t>
  </si>
  <si>
    <t>El GIT de Tesorería consolidó y registró en el SIIF Nación las solicitudes del PAC durante el segundo trimestre</t>
  </si>
  <si>
    <t>El Proceso de Tesorería consolidó y registró en el SIIF Nación las solicitudes del PAC durante el tercer trimestre</t>
  </si>
  <si>
    <t>Se verifica la información y la evidencia aportada: Documentos de PAC, al ser coincidentes se aprueba el seguimiento.</t>
  </si>
  <si>
    <t>Se evidencia con informe Justificación PAC ENERO - FEBRERO (pantallazos SIIF NACION)</t>
  </si>
  <si>
    <t xml:space="preserve">Se valida con el PAC A NIVEL NACIONAL consolidado en SIIF nación durante el trimestre.  Anticipo PAC 11 de febrero de 2021.  Pac Catastro Multipropósito. </t>
  </si>
  <si>
    <t>De acuerdo con las evidencias suministradas, PAC Julio, agosto, septiembre y los respectivos pantallazos de registro en el SIIF - NACION para cada uno de los meses del trimestre se observa el desarrollo de la actividad.</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</si>
  <si>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</si>
  <si>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</si>
  <si>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</si>
  <si>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Esta actividad durante el segundo trimestre desarrolló generando el informe del primer trimestre.</t>
  </si>
  <si>
    <t>Se generó el informe del segundo trimestre de cartera por edades</t>
  </si>
  <si>
    <t xml:space="preserve">Se evidencia la circular de la Contaduria general de la nacion donde establece la fecha de 30 de abriel para reportar el primer trimestre de 2021 </t>
  </si>
  <si>
    <t>Se verifica la información y la evidencia aportada: Documento de cartera por edades, al ser coincidentes se aprueba el seguimiento.</t>
  </si>
  <si>
    <t>Se valida con el consolidado de la cartera por edades a mayo de 2021.</t>
  </si>
  <si>
    <t>De acuerdo con las evidencias suministradas, Cartera por edades con corte a 30 de junio, no es posible evidenciar el desarrollo de esta actividad para el trimestre.</t>
  </si>
  <si>
    <t xml:space="preserve">Realizar la identificación y causación de los recaudos </t>
  </si>
  <si>
    <t>Informes de ventas, correos electrónicos de identificación de partidas solicitados por las áreas.</t>
  </si>
  <si>
    <t>Durante el primer trimestre se realizó la identificación y causación de los recursos</t>
  </si>
  <si>
    <t>Durante el segundo trimestre se realizó la identificación y causación de los recursos</t>
  </si>
  <si>
    <t>Durante el tercer trimestre se realizó la identificación y causación de los recursos</t>
  </si>
  <si>
    <t>Se verifica la información y la evidencia aportada: documentos de ventas y correos electronicos, al ser coincidentes se aprueba el seguimiento.</t>
  </si>
  <si>
    <t>Se valida con correo electrónico del 5 de enero de 2021, mediante la cual se realizó la identificación y causación de los recursos.</t>
  </si>
  <si>
    <t xml:space="preserve">Se valida con informes de ventas del trimestre abril, mayo y junio del presente año. </t>
  </si>
  <si>
    <t>De acuerdo con las evidencias suministradas; relación de ventas de contado, relación de ingresos de contado comercio electrónico, correos electronicos de verificación de pagos para los meses de julio, agosto, septiembre, se observa el desarrollo de la actividad.</t>
  </si>
  <si>
    <t>Realizar la depuración de los documentos de recaudo por clasificar</t>
  </si>
  <si>
    <t>Listado de DRXC con el índice de porcentual de depuración.</t>
  </si>
  <si>
    <t>El GIT de Tesoreria ralizó la depuración de los documentos de recaudo por clasificar</t>
  </si>
  <si>
    <t>El Proceso de Tesoreria ralizó la depuración de los documentos de recaudo por clasificar</t>
  </si>
  <si>
    <t>Se evidencia con correo electrónico del 10 de marzo de 2021, mediante la cual se da instrucciona a direcciones territoriales para realizar depuración de recaudos.</t>
  </si>
  <si>
    <t xml:space="preserve">Se evidencia con listados de documentos de recaudos por clasificaar del trimestre abril, mayo y junio del corriente año. </t>
  </si>
  <si>
    <t>De acuerdo con las evidencias suministradas, Listado DRX-ENE- SEPT,correos electrónicos de reintegros, asignaciones e incapacidades, se observa el desarrollo de la actividad.</t>
  </si>
  <si>
    <t>Expedir certificados factores salariales y tributarios</t>
  </si>
  <si>
    <t>Reporte Cetil de certificaciones revisadas, pdf certificaciones Cetil, correo electrónico dirigido a talento humano (coordinador) de la revisión de la solicitud</t>
  </si>
  <si>
    <t xml:space="preserve">Durante el primer trimestre se expidideron los certificados solicitados </t>
  </si>
  <si>
    <t xml:space="preserve">Durante el segundo trimestre se expidideron los certificados solicitados </t>
  </si>
  <si>
    <t xml:space="preserve">Durante el tercer trimestre se expidideron los certificados solicitados </t>
  </si>
  <si>
    <t>Se verifica la información y la evidencia aportada: correos electronicos y certificaciones, al ser coincidentes se aprueba el seguimiento.</t>
  </si>
  <si>
    <t>Se evidencia con correos erlectrónicos del 26, 28 y 29 de enerod e 2021.</t>
  </si>
  <si>
    <t xml:space="preserve">Se valida con solicitud cetil del 19 de abril de 2021, consolidado certificados CETIl de abril, mayo y junio del corriente año. </t>
  </si>
  <si>
    <t>De acuerdo con las evidencias suministradas, certificados generados de acuerdo con solicitudes, certificación CETIL, certificados de ingresos y retenciones para los meses de julio, agosto, septiembre se observa el desarrollo de la actividad.</t>
  </si>
  <si>
    <t>Elaborar Informes y generar alerta mensual de ingresos de recursos propios</t>
  </si>
  <si>
    <t>Informe de ingresos (mes vencido), correos electrónicos del movimiento de bancos</t>
  </si>
  <si>
    <t>Durante el primer trimestre se elaboraron los informes de ingresos de recursos propios</t>
  </si>
  <si>
    <t>Durante el segundo trimestre se elaboraron los informes de ingresos de recursos propios</t>
  </si>
  <si>
    <t>Durante el tercer trimestre se elaboraron los informes de ingresos de recursos propios</t>
  </si>
  <si>
    <t>Se verifica la información y la evidencia aportada: correos electronicos, documentos de movimientos, al ser coincidentes se aprueba el seguimiento.</t>
  </si>
  <si>
    <t>Se evidencia con MOVIMIENTOS MES DE FEBRERO DE 2021.xlsx; COSTOS DATAFONOS CONSOLIDADO 2021.xlsx; COSTOS DATAFONOS DETALLADO 2021.xlsx;</t>
  </si>
  <si>
    <t xml:space="preserve">Se valida con informes de recursos propios del trimestre en SIIF NACION. </t>
  </si>
  <si>
    <t>De acuerdo con las evidencias suministradas; correo movimientos de bancos, costos datafonos de los meses de julio, agosto y septiembre se observa el desarrollo de la actividad.</t>
  </si>
  <si>
    <t>Viáticos y legalizaciones tramitadas</t>
  </si>
  <si>
    <t>Elaborar, verificar y autorizar las órdenes de comisión y resoluciones de gasto a nivel nacional</t>
  </si>
  <si>
    <t>Listado de ejecución de viáticos por tercero del SIIF - NACIÓN</t>
  </si>
  <si>
    <t>Porcentaje de Ordenes de viáticos  y legalizaciones tramitadas</t>
  </si>
  <si>
    <t>Durante el primer trimestre se elaboró, verificó y autorizó las órdenes de comisión y resoluciones de gasto a nivel nacional</t>
  </si>
  <si>
    <t>Durante el segundo trimestre se elaboró, verificó y autorizó las órdenes de comisión y resoluciones de gasto a nivel nacional</t>
  </si>
  <si>
    <t>Durante el tercer trimestre se elaboró, verificó y autorizó las órdenes de comisión y resoluciones de gasto a nivel nacional</t>
  </si>
  <si>
    <t>Se verifica la información y la evidencia aportada: Listados de ordenes de comisión, al ser coincidentes se aprueba el seguimiento.</t>
  </si>
  <si>
    <t>Se validan listados de SIIF NACION de ordenes de comisión pagados en el primner trimestre de 2021.</t>
  </si>
  <si>
    <t>Se evidencia con informe consolidado de ordenes de comisión a junio de 2021.</t>
  </si>
  <si>
    <t>De acuerdo con las evidencias suministradas: Listado ordenes de comisión elaboradas Sede Central y Territoriales, de los meses de julio, agosto y septiembre se observa el desarrollo de la actividad.</t>
  </si>
  <si>
    <t>Legalizar las órdenes de comisión y resoluciones de gastos de la Sede Central</t>
  </si>
  <si>
    <t>Listado de Ejecución de viáticos mensualizado y entregado al GIT - TALENTO HUMANO</t>
  </si>
  <si>
    <t>Se legalizarón las órdenes de comisión y resoluciones de gastos de la Sede Central</t>
  </si>
  <si>
    <t>Se verifica la información y la evidencia aportada: Listados de ordenes de comisión legalizadas, al ser coincidentes se aprueba el seguimiento.</t>
  </si>
  <si>
    <t>Se validan listados de ordenes de comiisón y resoluciones de gastos de la Sede Central legalizadas durante el primer trimestre de 2021.</t>
  </si>
  <si>
    <t>Se evidencia con control de viáticos de abril, mayo y junio de 2021.</t>
  </si>
  <si>
    <t>De acuerdo con las evidencias suministradas, ordenes de comisión legalizadas de los meses de julio, agosto y septiembre, se observa el desarrollo de la actividad.</t>
  </si>
  <si>
    <t>Elaborar informes mensuales de viáticos legalizados</t>
  </si>
  <si>
    <t>Informe mensualizado de viáticos entregado al GIT TALENTO HUMANO e informe de viáticos legalizados de conductores entregado al GIT - SERVICIOS ADMINISTRATIVOS.</t>
  </si>
  <si>
    <t>Se realizaron informe mensual de viátios legalizados durante el primer trimestre</t>
  </si>
  <si>
    <t>Se realizaron informe mensual de viátios legalizados durante el segundo trimestre</t>
  </si>
  <si>
    <t>Se realizaron informe mensual de viátios legalizados durante el tercer trimestre</t>
  </si>
  <si>
    <t>Se puede evidenciasr el reporte de legalizacion de viaticos</t>
  </si>
  <si>
    <t>Se verifica la información y la evidencia aportada: Informes de viaticos, al ser coincidentes se aprueba el seguimiento.</t>
  </si>
  <si>
    <t xml:space="preserve">Se valida con informes del primer trimestre 2021  de viátios legalizados en SIIF NACION. </t>
  </si>
  <si>
    <t>Se valida el informe mensual de viátios legalizados durante el segundo trimestre</t>
  </si>
  <si>
    <t>De acuerdo con las evidencias suministradas: Informe a Talento Humano, Informe a Servicios administrativos de los meses de julio, agosto y septiembre se observa el desarrollo de la actividad de informes mensuales de viaticos legalizados.</t>
  </si>
  <si>
    <t>Estados financieros presentados y publicados</t>
  </si>
  <si>
    <t>Elaborar las conciliaciones bancarias y contables</t>
  </si>
  <si>
    <t>Formato de conciliaciones bancarias mensualmente mes vencido.</t>
  </si>
  <si>
    <t>Número de Estados financieros presentados y publicados</t>
  </si>
  <si>
    <t>Durante este periodo el GIT de Contabilidad no realizó las conciliaciones bancarias</t>
  </si>
  <si>
    <t>Durante este periodo el GIT de Contabilidad  realizó las conciliaciones bancarias de los meses de febrero, marzo, abril y mayo</t>
  </si>
  <si>
    <t>Durante este periodo el GIT de Contabilidad  realizó las conciliaciones bancarias de los meses de junio, julio y agosto</t>
  </si>
  <si>
    <t>No se cumplio con la actividad programada</t>
  </si>
  <si>
    <t>Se verifica la información y la evidencia aportada: conciliaciones bancarias, al ser coincidentes se aprueba el seguimiento.</t>
  </si>
  <si>
    <t>Se validan las conciliaciones del primer trimestre de 2021.</t>
  </si>
  <si>
    <t>Se validan las conciliaciones bancarias de abril y mayo</t>
  </si>
  <si>
    <t>De acuerdo con las evidencias suministradas correos electrónicos de circularización, fuerza aerea,Sena, operaciones reciprocas se observa el desarrollo de la actividad.</t>
  </si>
  <si>
    <t>Realizar la conciliación operaciones reciprocas</t>
  </si>
  <si>
    <t xml:space="preserve">Formato para operaciones reciprocas del CHIP emitido por CGN trimestralmente atrasado, cuando se transmita la información. </t>
  </si>
  <si>
    <t>Durante este periodo el GIT de Contabilidad no realizó las conciliaciones operaciones reciprocas, esta actividad se encuentra para reportar en el segundo trimestre</t>
  </si>
  <si>
    <t>Para el segundo trimestre se adjunta los correos de circularización que se envían trimestralmente a las entidades y el reporte enviado a la CGN a través del CHIP</t>
  </si>
  <si>
    <t>Para el tercer trimestre se adjunta los correos de circularización que se envían trimestralmente a las entidades y el reporte enviado a la CGN a través del CHIP</t>
  </si>
  <si>
    <t>No hay programacion para el periodo</t>
  </si>
  <si>
    <t xml:space="preserve">Se evidencia con circularización a través de correos electrónicos del 8 de marzo,  y junio 9 del corriente año </t>
  </si>
  <si>
    <t>De acuerdo con las evidencias suministradas correos electrónicos de fechas 13 y 17 de septiembre enviados a otras entidades, fuerza aerea y sena, se observa el desarrollo de la actividad.</t>
  </si>
  <si>
    <t>Elaborar los registros contables en el sistema SIIF Nación y SIIF extendidos</t>
  </si>
  <si>
    <t>Registro de notas manuales en SIIF nación, archivos en EXCEL y correos de instrucciones a procesos adicionales</t>
  </si>
  <si>
    <t>EL GIT de Contabilidad elaboró los registros contables en el sistema SIIF Nación y SIIF extendidos</t>
  </si>
  <si>
    <t>EL GIT de Contabilidad elaboró los registros contables en el sistema SIIF Nación y SIIF extendidos, se encuentra en elaboración el informe del mes de septiembre</t>
  </si>
  <si>
    <t>Se verifica la información y la evidencia aportada: Documentos pasivos, al ser coincidentes se aprueba el seguimiento.</t>
  </si>
  <si>
    <t>Se vallida con estados balance a 31 de diciembre de 2021.</t>
  </si>
  <si>
    <t xml:space="preserve">Se validan registros contables en el sistema SIIF Nación y SIIF extendidos:  comoprobante manual 240 del 30 de abril, transacción contable 2550 del 29 de junio del corriente año. </t>
  </si>
  <si>
    <t>De acuerdo con las evidencias suministradas: reporte comprobante Contable SIIF Nación de los meses julio y agosto se observa el desarrollo de la actividad.</t>
  </si>
  <si>
    <t>Presentar las declaraciones tributarias mensual (Retefuente)</t>
  </si>
  <si>
    <t>Formato de la DIAN  con la presentación de la declaración en el aplicativo</t>
  </si>
  <si>
    <t>Durante el primer trimestre se presentó las declaraciones tributarias mensual (Retefuente)</t>
  </si>
  <si>
    <t>Durante el tercer trimestre se presentó las declaraciones tributarias el mes de julio y agosto (Retefuente)</t>
  </si>
  <si>
    <t>Se verifica la información y la evidencia aportada: Declaración retefuente, al ser coincidentes se aprueba el seguimiento.</t>
  </si>
  <si>
    <t>Se valida con formulario de declaración de retefuente de febrerod e 2021</t>
  </si>
  <si>
    <t xml:space="preserve">Presentación y pago de retefuente abril y mayo del presente año. </t>
  </si>
  <si>
    <t>De acuerdo con las evidencias suministradas: Declaración retefuente presentada julio y agosto se observa el desarrollo de la actividad.</t>
  </si>
  <si>
    <t>Presentar las declaraciones tributarias bimestral (IVA, ICA y ReteICA)</t>
  </si>
  <si>
    <t>Se presentó la declaración tributaria IVA del primer bimestral</t>
  </si>
  <si>
    <t>Se presentó la declaración tributaria IVA (Julio - Agosto) Reteica (Julio - Agosto) ICA (Mayo - Junio)</t>
  </si>
  <si>
    <t>Se verifica la información y la evidencia aportada: Declaración IVA y retefuente, al ser coincidentes se aprueba el seguimiento.</t>
  </si>
  <si>
    <t>Se valida formato de declaración de ica presentado el 24 de febrero de 2021.</t>
  </si>
  <si>
    <t>Se presentó y pagó la declaración tributaria IVA del segundo y tercer  bimestrde 2021.</t>
  </si>
  <si>
    <t>De acuerdo con las evidencias suministradas: Declaración de Iva Julio- Agosto, Declaración de Ica Mayo- Junio, Reteica Bogotá Julio- Agosto, se observa el desarrollo de la actividad.</t>
  </si>
  <si>
    <t>Elaborar los Informes y Estados Financieros presentados y publicados</t>
  </si>
  <si>
    <t>Presentar al Jefe inmediato los Estados Financieros para la firma y posterior publicación.</t>
  </si>
  <si>
    <t>Durante el primer trimestre se presentó los estados financieros del mes de Diciembre, adicionalmente la CGN ha generadó unas fechas para la presentación de los estados para este año</t>
  </si>
  <si>
    <t>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t>
  </si>
  <si>
    <t>Se presenraron los informes y Estados Financieros de los meses de abril y mayo, los estados financieros de junio, julio y agosto se encuentran en firma de la direcciòn general</t>
  </si>
  <si>
    <t>No hay progrmacion para el periodo</t>
  </si>
  <si>
    <t>Se verifica la información y la evidencia aportada: Estados financieros, al ser coincidentes se aprueba el seguimiento.</t>
  </si>
  <si>
    <t>Se evidencia con la presentación del iva del primer bimestre de 2021.</t>
  </si>
  <si>
    <t xml:space="preserve">Presentación de estados financieros de abril del presente año. </t>
  </si>
  <si>
    <t>De acuerdo con las evidencias suministradas, no es posible observar el desarrollo de la actividad dado que en los soportes presentan información con corte abril y mayo 2021.</t>
  </si>
  <si>
    <t>Esta actividad esta para desarrollar en el tercer trimestre</t>
  </si>
  <si>
    <t>Esta actividad se llevará acabo en el tercer y cuarto trimestre</t>
  </si>
  <si>
    <t xml:space="preserve">En el mes de septiembre se realizó mesa de trrabajo con la OAP y se estableció cronograma de actualizaciòn de la información documentada del SGI del proceso. </t>
  </si>
  <si>
    <t xml:space="preserve">Por instrucciones de la Oficina de Planeacion la actividad de reprograma para el 3 y 4 trimestre </t>
  </si>
  <si>
    <t>Sin avance para el periodo</t>
  </si>
  <si>
    <t>No se presentan evidencias que evidencien el desarrollo de la actividad.</t>
  </si>
  <si>
    <t>Se desarrollo el segumiento a los controles de los riesgos del proceso</t>
  </si>
  <si>
    <t>Se verifica la información y la evidencia aportada: Documento de riesgos con seguimiento, al ser coincidentes se aprueba el seguimiento.</t>
  </si>
  <si>
    <t>Se evidencia con correo del 14 de abril de 2021.</t>
  </si>
  <si>
    <t xml:space="preserve">Se valida cumplimiento matriz de riesgos. </t>
  </si>
  <si>
    <t>De acuerdo con las evidencias suministradas correo electrónico de fecha 14 de octubre se observa el seguimiento realizado a los controles de los riesgos del proceso</t>
  </si>
  <si>
    <t>Esta actividad esta para desarrollar en el cuarto trimestre</t>
  </si>
  <si>
    <t>Actividad programada para el 4 trimestre</t>
  </si>
  <si>
    <t xml:space="preserve">no hay progrmación de meta. </t>
  </si>
  <si>
    <t>Sin meta asiganada para el trimestre</t>
  </si>
  <si>
    <t>Se realizaron las actividades y se realizó seguimiento del PAA y el PAAC del primer trimestre</t>
  </si>
  <si>
    <t>Se realizaron las actividades y se realizó seguimiento del PAA y el PAAC del segundo trimestre</t>
  </si>
  <si>
    <t>Se realizaron las actividades y se realizó seguimiento del PAA y el PAAC del tercer trimestre</t>
  </si>
  <si>
    <t>Se verifica la información y la evidencia aportada: Documentos de plan de acción y plan anticorrupción con seguimiento, al ser coincidentes se aprueba el seguimiento.</t>
  </si>
  <si>
    <t>Se evidencia con correo electrónico del 14 de abril de 2021.</t>
  </si>
  <si>
    <t>Se evidencia seguimiento del PAA y el PAAC del segundo trimestre</t>
  </si>
  <si>
    <t>De acuerdo con las evidencias suministradas correo electrónico de fecha 14 de octubre se observa el seguimiento realizado al plan de acción anual y a las actividades del plan anticorrupción y atención al ciudadano.</t>
  </si>
  <si>
    <t>Actividad programada para el ultimo trimestre</t>
  </si>
  <si>
    <t>no hay programación de meta</t>
  </si>
  <si>
    <t>Esta actividad esta para desarrollar en el siguiente trimestre</t>
  </si>
  <si>
    <t>No se realizó la actividad de implementar oportunidades de mejora relacionadas al cumplimiento del FURAG que apliquen al proceso.</t>
  </si>
  <si>
    <t xml:space="preserve">El proceso no ha cargado acciones de mejora </t>
  </si>
  <si>
    <t xml:space="preserve">sin meta programada. </t>
  </si>
  <si>
    <t>No se presentan evidencias de avance de la actividad</t>
  </si>
  <si>
    <t>Gestión Jurídica</t>
  </si>
  <si>
    <t>Normativa</t>
  </si>
  <si>
    <t>Documentos de Lineamientos  Juridicos</t>
  </si>
  <si>
    <t>Defensa jurídica</t>
  </si>
  <si>
    <t>Generar directrices sobre actividades que tengan incidencia a nivel jurídico en la Entidad.  (Directrices, recomendaciones, circulares)</t>
  </si>
  <si>
    <t>Oficina Asesora Jurídica</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</si>
  <si>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</si>
  <si>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</si>
  <si>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t>
  </si>
  <si>
    <t>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t>
  </si>
  <si>
    <t>Con las circulares proyectadas con las directrices y enviadas a traves de correos electronicos se verifica el cumplimento cel control</t>
  </si>
  <si>
    <t>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t>
  </si>
  <si>
    <t>La evidencia concuerda</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</si>
  <si>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</si>
  <si>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t>
  </si>
  <si>
    <t xml:space="preserve">Se observa la generación de directrices, recomendaciones y circulares  con incidencia jurídica en los 29 soportes que se aportan como evidencias. </t>
  </si>
  <si>
    <t>Judicial</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</si>
  <si>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</si>
  <si>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</si>
  <si>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t>
  </si>
  <si>
    <t>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t>
  </si>
  <si>
    <t>Con la oficializacion del procedimiento de conciliación judicial y extrajudicial y su formato asociado y la realizacion de dos socializaciones, igualmente la realizacion de capacitaciones evidenciadas con registros se da cumplimiento a la meta.</t>
  </si>
  <si>
    <t xml:space="preserve">Con las evidencias  aportadas como: Presentación Capacitación derecho de Petición - OAJ- GIT servicio al ciudadano 2021,    Correos como del 28 de junio de 2021    remitiendo presentaciones de capacitaciones, certificado de  participación de Tatiana Andrea Vanegas Cortes al curso "Cómo afrontar con éxito el desafío de su primera audiencia, Participó y completó con éxito el curso virtual, _x000D_
Estrategias para Llegar a Acuerdos, Procedimiento  en versión Propuesta  de Procesos Judiciales._x000D_
Se comprueba el cumplimiento de la meta_x000D_
</t>
  </si>
  <si>
    <t>La evidencia concuerda con la actividad</t>
  </si>
  <si>
    <t>El 18 de marzo de 2021 mediante correo electrónico  se socializa el normograma de la institución,el 29 de marzo se realiza reunión por teams y se observan certificaciones de capacitaciones en defensa judicial.</t>
  </si>
  <si>
    <t xml:space="preserve">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t>
  </si>
  <si>
    <t>Se observa ejecución de la actividad mediante los 17 soportes que suministran como evidencias, entre los cuales estan 2 proyectos de procedimiento, 5 soportes capacitación, 3 socializaciones, caracterización de Gestión Jurídica, 5 certificados de capacitaciones de la ANDJE, entre otros.</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</si>
  <si>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</si>
  <si>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</si>
  <si>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Se realizó seguimiento a los indicadores de la política de prevención del daño antijurídico del GIT Contratación. Como soporte, 1 correo electrónico de remisión y 6 anexos en excel de asistencias a capacitaciones realizadas por el GIT Contractual para atender las causas.</t>
  </si>
  <si>
    <t>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t>
  </si>
  <si>
    <t>Con las evidencias aportadas de  la implementación de la Política de Prevención del Daño Antijurídico se evidencia la implementacion de la actividad.</t>
  </si>
  <si>
    <t>Con  correo electrónico de seguimiento ( remisiorio) de asunto, evidencias indicadores política de prevención del daño anti jurídico de la entidaddel (19 de mayo de 2021) se evidencia el cumplimiento dela meta.</t>
  </si>
  <si>
    <t>Mediante correo electrónico del 26 de febrero de 2021 se hace entrega del aplicativo y seguimiento a la política de prevención del daño antijuridico del Instituto.</t>
  </si>
  <si>
    <t xml:space="preserve">Se observó correo del 19/05/2021 sobre seguimiento a indicadores de la política de prevención del daño antijurídico y 6 registros de asistencia de capacitaciones dirigidas a los supervisores adelantadas durante el periodo, para evidenciar la ejecución de la actividad. </t>
  </si>
  <si>
    <t xml:space="preserve">Se verifica seguimiento a Política de Prevención del Daño Antijurídico mediante documento de 30/08/2021 y documento sobre capacitación de la ANDJE para formulación de la PPDA del 18/08/2021, entre otros. </t>
  </si>
  <si>
    <t>Servicios de Procesos Juridicos</t>
  </si>
  <si>
    <t>Publicar en la página WEB del IGAC y socializar los actos administrativos, conceptos, lineamientos e instrumentos producidos o revisados en la Oficina Asesora Jurídica.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</si>
  <si>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</si>
  <si>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t>
  </si>
  <si>
    <t>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</si>
  <si>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</si>
  <si>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En ellink  https://www.igac.gov.co/es/normograma. y con el reistro Consolidado normas cargadas a Junio 30 2021 se compueba el cumplimiento de la meta</t>
  </si>
  <si>
    <t>La evidencia cumple</t>
  </si>
  <si>
    <t>De acuerdo con las evidencias suministradas se observa como la Oficina Asesora Jurídica lídero la actualización del normograma de la entidad el cual se encuentra publicado en la página web.</t>
  </si>
  <si>
    <t xml:space="preserve">Mediante Consolidado Actualización Normograma a junio 30 de 2021 y el link https://www.igac.gov.co/es/normograma se verifica ejecución de la actividad. </t>
  </si>
  <si>
    <t>Se verifica ejecución de la actividad mediante formato excel Normograma a 30/09/2021, correos  electrónicos del 05/07/2021 03/08/2021 y 29/08/2021 sobre consolidado normograma, actualización normatividad y aclaración normograma, entre otros soportes.</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</si>
  <si>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</si>
  <si>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</si>
  <si>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t>
  </si>
  <si>
    <t xml:space="preserve">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
</t>
  </si>
  <si>
    <t>Con la evidencia de aseoria y acompañamiento asi como la proyeccion de respuestas  a actos administrativo, conceptos  y revision de contratos se da cumplimiento a la meta.</t>
  </si>
  <si>
    <t>Con correos electronicoa y convocatorias a asesorías en los cuales se evidencian las revisiones a la contratación, así como de los conceptos, consultas y actos administrativos revisados y proyectados por el proceso de gestión jurídica. evidenciando el logro de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</si>
  <si>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</si>
  <si>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 xml:space="preserve">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t>
  </si>
  <si>
    <t xml:space="preserve">Mediante los 31 soportes aportados por la OAJ se evidencia el acompañamiento brindado, la atención a las consultas, conceptos emitidos y actos administrativos proyectados o revisados. </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</si>
  <si>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</si>
  <si>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</si>
  <si>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t>
  </si>
  <si>
    <t>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</si>
  <si>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</si>
  <si>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</si>
  <si>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t>
  </si>
  <si>
    <t>Se verificó el seguimiento de la defensa judicial por parte de la OAJ mediante Informe de procesos judiciales con corte a 30/09/2021 y el formato Control de Procesos Judiciales de los expedientes 20170000601 y 20100294001 entre otros soportes.</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</si>
  <si>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</si>
  <si>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</si>
  <si>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t>
  </si>
  <si>
    <t>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t>
  </si>
  <si>
    <t>Con los sopoprtes, muestra de nueve correos electrónicos los cuales  evidencian el control de los préstamos de la documentación efectuada por el archivo de gestión de la dependencia.</t>
  </si>
  <si>
    <t>Se evidencian el logro de la meta en: 34 correos electrónicos mediante de préstamos de la documentación efectuados durante el periodo y archivo excel de inventario único documental de la OAJ  con corte a  30 de junio de 2021.</t>
  </si>
  <si>
    <t>Mediante correos del 30 de marzo de 2021 se observa el control ejercido en el préstamo de documentos (convenios) que hacen parte del archivo de la Oficina Asesora Jurídica.</t>
  </si>
  <si>
    <t xml:space="preserve">Se observa ejecución de la actividad a través de los 34 documentos correspondientes al segundo trimestre 2021 que registran como evidencia del control de préstamo de documentación y el archivo excel sobre Inventario único Documental de la Oficina Asesora Jurídica. </t>
  </si>
  <si>
    <t>Se verifica seguimiento y control sobre el prestamo de documentos del archivo de gestión a través del Inventario único documental de la OAJ y correo electrónico del 02/09/2021 entre otros.</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</si>
  <si>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</si>
  <si>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</si>
  <si>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t>
  </si>
  <si>
    <t>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t>
  </si>
  <si>
    <t>Con las evidencias aportadas de las actividades realizadas, se da cumpliieno de la Meta</t>
  </si>
  <si>
    <t>Con COPIA INFORME PRO JUD FINANCIERA DEL 1 DE ABRIL 2021 AL 30 DE JUNIO DE 2021  y los correos electronicos se  evidencias el logro de la meta.</t>
  </si>
  <si>
    <t>Se evidencia con 51 documentos PDF con correos electrónicos en PDF con requerimientos específicos a los abogados para actualización del sistema EKOGUI. 1 excel a 30 de septiembre de  2021 con el estado actualizado de los procesos en EKOGUI.</t>
  </si>
  <si>
    <t>De acuerdo con correos electrónicos se observa las solicitudes realizadas para la actualización del sistema EKOGUI, además se observan 9 sesiones de trabajo vía TEAMS para revisar temas de procesos judiciales.</t>
  </si>
  <si>
    <t xml:space="preserve">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t>
  </si>
  <si>
    <t xml:space="preserve">Se observa seguimiento a Ekogui con los 51 documentos aportados (requerimientos a abogados para actualización de datos en el sistema) y excel que contiene el Informe de los procesos judiciales a 30/09/2021. </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</si>
  <si>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</si>
  <si>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</si>
  <si>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Se llevaron a cabo los comités de conciliación requeridos para someter a decisión los asuntos de su competencia. Como anexo, se aportan siete actas, en las cuales obran las sesiones realizadas de abril a junio 30 de 2021.</t>
  </si>
  <si>
    <t>Se llevaron a cabo los comités de conciliación requeridos para someter a decisión los asuntos de su competencia. Como anexo, se aportan 7 actas, en las cuales obran las sesiones realizadas de julio a septiembre 30 de 2021.</t>
  </si>
  <si>
    <t>Con las seis actas que evidencian los comites de conciliación donde se someten a decisión los asuntos de su competencia, se evidencia el cumplimiento de la meta.</t>
  </si>
  <si>
    <t>Con las siete actas de sesiones de comités de conciliación realizadas de abril a junio 30 de 2021.se evidencia el cumplimiento de la actividad.</t>
  </si>
  <si>
    <t>Se evidencia con comités de conciliación requeridos para someter a decisión los asuntos de su competencia. Como anexo, se aportan 7 actas, en las cuales obran las sesiones realizadas de julio a septiembre 30 de 2021.</t>
  </si>
  <si>
    <t>De acuerdo con las actas de fecha 14-01-2021, 27-01-2021, 11-02-2021, 24-02-2021, 03-03-2021, 15-03-2021 se observa la realización del Comité de conciliación.</t>
  </si>
  <si>
    <t xml:space="preserve">Se verifica celebración de los comités de conciliación con la muestra conformada por 7 actas de las reuniones de comite adelantadas durante el segundo trimestre 2021. </t>
  </si>
  <si>
    <t>Se verifica cumplimiento en la celebración de los Comites de Conciliación a través de las 7 actas aportadas por la OAJ como evidencia.</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</si>
  <si>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</si>
  <si>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</si>
  <si>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t>
  </si>
  <si>
    <t>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</si>
  <si>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Con las 25 convocatorias a reuniones virtuales en PDF realizadas tendientes a articular la gestión de defensa judicial se evidencia la coordinacion de las actividades juridicas</t>
  </si>
  <si>
    <t>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t>
  </si>
  <si>
    <t>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</si>
  <si>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De acuerdo con los soportes suministrados se observa que se realizaron 23 sesiones de trabajo con las Direcciones Territoriales.</t>
  </si>
  <si>
    <t xml:space="preserve">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t>
  </si>
  <si>
    <t xml:space="preserve">Se verifica la coordinación ejercida por la OAJ sobre las actuaciones jurídicas desplegadas por las D.T. a través de los 25 soportes que aportaron. </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</si>
  <si>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</si>
  <si>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t>
  </si>
  <si>
    <t>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t>
  </si>
  <si>
    <t>Se oficializo la actualizacion del procedimiento de Conciliacion judicial y extrajudicial codigo PC-GJU-04 y sus formatos asociados codigo FO-GJU-PC04-01 y FO-GJU-PC04-02, y la publicacion en el listado maestro, se comprueba el cmplimiento de la meta.</t>
  </si>
  <si>
    <t>Con cronograma de actividades, archivos en word con procedimientos proyectados según cronograma y socialización de procedimiento Se evidencia cumplimiento de  la actividad</t>
  </si>
  <si>
    <t>Se evidencia con avamces del cronograma de la gestión jurídica</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</si>
  <si>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</si>
  <si>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t>
  </si>
  <si>
    <t xml:space="preserve">Se observa realización de la actividad mediante los 31 soportes suministrados por la OAJ de procedimientos y formatos según cronograma, excel con cronograma actualización documentos Gestión Jurídca y la caracterización de Gestión Jurídica final, entre otros soportes. .  </t>
  </si>
  <si>
    <t>Se reporta el seguimiento  los riesgos del proceso en la herramienta PLANIGAC para el periodo enero, febrero y marzo de 2021. Como evidencia, la presenta herramienta planigac diligenciada y sus soportes cargados en el drive correspondiente.</t>
  </si>
  <si>
    <t>Se reporta el seguimiento  los riesgos del proceso en la herramienta PLANIGAC para el período abril, mayo y junio de 2021. Como evidencia, la presenta herramienta planigac diligenciada y sus soportes cargados en el drive correspondiente.</t>
  </si>
  <si>
    <t>Se reporta el seguimiento a los riesgos del proceso en la herramienta PLANIGAC para el período julio a septiembre de 2021. Como evidencia, la presenta herramienta planigac diligenciada y sus soportes cargados en el drive correspondiente.</t>
  </si>
  <si>
    <t>Con los controles soportes cargados en el drive y en la herrammienta Planigac. se da poe cumplida la meta</t>
  </si>
  <si>
    <t>Con los soportes reportados en  el drive y en la herramienta Planigac. se da por cumplida la meta.</t>
  </si>
  <si>
    <t>Se  valida la evidencia con la herramienta planigac y sus soportes</t>
  </si>
  <si>
    <t>El 14 de abril se remite el seguimiento a los riesgos establecidos al proceso en PLANIGAC  a la Oficina asesora de planeación.</t>
  </si>
  <si>
    <t>Se observa ejecución con soportes en drive y herramienta planigac del segundo trimestre.</t>
  </si>
  <si>
    <t>Se verifica cumplimiento de la actividad con herramienta PLANIGAC y soportes durante el tercer trimestre.</t>
  </si>
  <si>
    <t>No aplica indicador  ya que esta programado para el cuarto trimestre</t>
  </si>
  <si>
    <t>No aplica indicador ya que está programado para el cuarto trimestre</t>
  </si>
  <si>
    <t>No aplica indicador  ya que esta actividad esta programado para el cuarto trimestre</t>
  </si>
  <si>
    <t>Sin meta asignada para el trimestre, sin evidencias de ejecución de la actividad.</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</si>
  <si>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</si>
  <si>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t>
  </si>
  <si>
    <t>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t>
  </si>
  <si>
    <t>Con los controles soportes cargados en el drive y en la herrammienta Planigac. se da por implementada  la actividad.</t>
  </si>
  <si>
    <t>Con el reporte del Plan de acción  anual, y el control a los riesgos en PLANIGAC. se cumple la meta</t>
  </si>
  <si>
    <t>Se valida seguimiento en Planigac del PAA Y RIESGOS</t>
  </si>
  <si>
    <t>El 14 de abril se entrega  el seguimiento al Plan de acción  anual, y a los riesgos establecidos al proceso de gestión jurídica en PLANIGAC, el cual se remite  a la Oficina asesora de planeación.</t>
  </si>
  <si>
    <t xml:space="preserve">Se ejecuta actividad con el reporte del Plan de Acción Anual y el control a riesgos en Planigac. </t>
  </si>
  <si>
    <t>Se verifica la ejecución de la actividad en PLANIGAC del PAA y Riesgos.</t>
  </si>
  <si>
    <t>No se tiene programada actividad para este período, esta programado para el cuarto período.</t>
  </si>
  <si>
    <t>No se tiene programada actividad para este período, está programado para el cuarto período.</t>
  </si>
  <si>
    <t>No se tiene programada actividad para este periodo, esta programado par el cuarto periodo</t>
  </si>
  <si>
    <t>Sin determinación de meta.</t>
  </si>
  <si>
    <t>No se definió meta para segundo trimestre.</t>
  </si>
  <si>
    <t>No se estableció meta para el tercer trimestre.</t>
  </si>
  <si>
    <t>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t>
  </si>
  <si>
    <t>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t>
  </si>
  <si>
    <t xml:space="preserve">Para este periodo no se tiene programada meta </t>
  </si>
  <si>
    <t>dando continuidad a las acciones de mejora descritas en cronograma y su identificación de avances, con seguimiento en rama judicial y EKOGUI,  actas de comité y  correo seguimiento PPDA. Se evidencia la ejecución de la actividad</t>
  </si>
  <si>
    <t>Las evidencias corresponden con las actividades propuestas</t>
  </si>
  <si>
    <t>Se observa ejecución de actividad a través de Informe de procesos judiciales del 01/04/2021 al 30/06/2021, 7 actas de los comités de conciliación adelantados durante el segundo semestre, correo de seguimiento al PPDA del 19/05/2021.</t>
  </si>
  <si>
    <t>Se verifica ejecución de la actividad con el cronograma de actualización de documentos de Gestión Jurídica 2021, reunión para revisión resultados matriz FURAG 29/09/2021 y correo del 28/08/2021 sobre preparación FURAG.</t>
  </si>
  <si>
    <t>Innovación y Gestión del Conocimiento Aplicado</t>
  </si>
  <si>
    <t>Laboratorio de Suelos</t>
  </si>
  <si>
    <t>Ejecutar análisis químico de suelos, aguas y tejido vegetal, producto de convenios y contratos</t>
  </si>
  <si>
    <t>Análisis</t>
  </si>
  <si>
    <t>Análisis químicos, físicos, mineralógicos y biológicos de suelos, aguas y tejido vegetal realizados</t>
  </si>
  <si>
    <t>Se avanzo en los analisis el proyecto CAR</t>
  </si>
  <si>
    <t>El cumplimiento de lo programado se ha visto afectado por el retraso en las salidas de campo debido a la pandemia, se espera programar las visitas para los próximos meses y así alcanzar las metas programas.</t>
  </si>
  <si>
    <t xml:space="preserve">No se dio cumplimiento a la meta para esta actividad toda vez que solo se realizó una comisión por parte de la Subdirección de Agrología    </t>
  </si>
  <si>
    <t>Se cumplió la meta programada para el primer trimestre. se sugiere describir para futuros reportes motivos por lo que se superó la meta programada.</t>
  </si>
  <si>
    <t>No se dió cumplimiento a la meta programada en el periodo. Se espera que se de alcance a la programación realizada por la dependencia en meses hacia adelante.</t>
  </si>
  <si>
    <t>No se dío cumplimiento con la meta esperada</t>
  </si>
  <si>
    <t>Se evidencia el archivo donde se describen los avances correspondientes al servicio de análisis de los suelos para los meses de enero, febrero y marzo de 2021.  Donde se informa que el avance consolidad a marzo es del 27.84%.</t>
  </si>
  <si>
    <t>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</si>
  <si>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45.40%.</t>
  </si>
  <si>
    <t>Ejecutar análisis físicos de suelos, producto de convenios y contratos</t>
  </si>
  <si>
    <t>Se avanzó en el procesamiento de muestras de suelo proyecto CAR</t>
  </si>
  <si>
    <t xml:space="preserve">No se dio cumplimiento a los 1.580 análisis proyectados ya que solo se recibieron muestras del contrato de la CAR que desarrollaba la Subdirección de Agrología  </t>
  </si>
  <si>
    <t>No se dió cumplimiento a la meta esperada en el período y la meta cuenta con rezago de periodos anteriores</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</si>
  <si>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</si>
  <si>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</si>
  <si>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67.97%.</t>
  </si>
  <si>
    <t>Ejecutar análisis mineralógicos y micro morfológicos de suelos, producto de convenios y contratos</t>
  </si>
  <si>
    <t xml:space="preserve">Solo se ejecutaron 243 análisis de los 505 proyectados debido a que no se recibieron más muestras de convenios y/o contratos de la Subdirección de Agrología   </t>
  </si>
  <si>
    <t>Se cumplió la meta programada para el primer trimestre. se sugiere describir para futuros reportes motivos por lo que se superó la meta programada</t>
  </si>
  <si>
    <t xml:space="preserve">No se dió cumplimiento a la meta programada en el periodo. Se espera que se de alcance a la programación realizada por la dependencia en meses hacia adelante. La evidencia debe ser de acuerdo al tipo de analisis de la actividad y no debe ser igual para varias actividades. </t>
  </si>
  <si>
    <t xml:space="preserve">No se dió cumplimiento con la meta esperada para el período, la meta cuenta con rezago de los periodos acumulados </t>
  </si>
  <si>
    <t>Para el análisis mineralógico se evidencia 10% de avance para clientes externos, correspondientes al primer trimestre del año. Información descrita en el documento en pdf del 31/03/2021.</t>
  </si>
  <si>
    <t>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</si>
  <si>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48.11%.</t>
  </si>
  <si>
    <t>Ejecutar análisis biológicos de suelos, producto de convenios y contratos</t>
  </si>
  <si>
    <t>Sumatoria de análisis químicos, físicos, mineralógicos y biológicos de suelos realizados</t>
  </si>
  <si>
    <t xml:space="preserve">Para este trimestre se superó en un 62% el valor programado, debido a la demanda de analisis._x000D_
</t>
  </si>
  <si>
    <t>No se ejecutó lo proyectado ya que no se contó con muestras por parte de la subdirección para los respectivos análisis.</t>
  </si>
  <si>
    <t>Se dió cumplimiento a la meta programada en el periodo. El soporte debeser exclusivo para esta actividad</t>
  </si>
  <si>
    <t>No se dió cumplimiento a la meta esperada.</t>
  </si>
  <si>
    <t>Para el análisis biológico de suelos se evidencia un avance del 5.24 para clientes internos y el 12.71% para clientes externos.  Se valida esta información por medio de pdf reporte avance suministrado por el área del día 31/03/2021.</t>
  </si>
  <si>
    <t>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t>
  </si>
  <si>
    <t>No se realizaron análisis biológicos.</t>
  </si>
  <si>
    <t>Ejecutar análisis químico de suelos, aguas y tejido vegetal, producto de la satisfacción a la demanda por ventanilla</t>
  </si>
  <si>
    <t xml:space="preserve">Demanda de clientes externos </t>
  </si>
  <si>
    <t>Para este trimestre se superó en un 96,78% el valor programado, debido a la demanda de los clientes.</t>
  </si>
  <si>
    <t>De los 15.000 análisis proyectados para este trimestre solo se ejecutaron 4.480 debido a la baja demanda en el mes de julio y a la falta de personal en el mes de septiembre.</t>
  </si>
  <si>
    <t>Se dió cumplimiento a la meta programada en el periodo. Se debe revisar el soporte de la actividad para que sea exclusivo para la misma.</t>
  </si>
  <si>
    <t>Aunque no se cumplió con la meta esperada, el valor acumulado de la meta permite reportar un avance acumulado satisfacto para el período.</t>
  </si>
  <si>
    <t>Se evidencia pdf reporte avance suministrado por el área el día 31/03/2021, donde se describe que para este trimestre se tiene un avance consolidado del 27.84 %.</t>
  </si>
  <si>
    <t xml:space="preserve">Se evidencia que se superó la meta programada para este segundo semestre del año 2021, por favor se recomienda entregar un reporte por separado para cada actividad de forma que facilite la revisión. </t>
  </si>
  <si>
    <t>Se evidencia el archivo donde se describen los avances correspondientes al servicio de análisis de los suelos para los meses de julio, agosto y septiembre de 2021.  Donde se informa que el avance para el tercer trimestre es del 29.86% de la meta programada.</t>
  </si>
  <si>
    <t>Ejecutar análisis físicos de suelos, producto de la satisfacción a la demanda por ventanilla</t>
  </si>
  <si>
    <t>Se alcanzó un cumplimiento del 68,73% de lo programado frente a la demanda de los clietes externos</t>
  </si>
  <si>
    <t xml:space="preserve">No se cumplió con lo proyectado debido a la baja demanda de clientes externos.  </t>
  </si>
  <si>
    <t>No se dió cumplimiento a la meta programada en el periodo. Se espera que se de alcance a la programación realizada por la dependencia en meses hacia adelante. Revisar el soporte, ya que éste incluye tramites internos.</t>
  </si>
  <si>
    <t>No se dió cumplimiento sobre la meta esperada para el período.</t>
  </si>
  <si>
    <t>Se evidencia pdf reporte avance suministrado por el área el día 31/03/2021, donde se describe que para este trimestre se tiene un avance consolidado del 27.84 %.  Sin embargo se evidencia que no se cumplió con la meta programada para el periodo.</t>
  </si>
  <si>
    <t>Se evidencia pdf reporte avance suministrado por el área, donde se describe que para este trimestre se tiene un avance consolidado del 68.73 %.  Sin embargo, se observa que no se cumplió con la meta programada para el periodo.</t>
  </si>
  <si>
    <t>Se evidencia el archivo donde se describen los avances correspondientes al servicio de análisis de los suelos para los meses de julio, agosto y septiembre de 2021.  Donde se informa que el avance para el tercer trimestre es del 19.52% de la meta programada.</t>
  </si>
  <si>
    <t>Ejecutar análisis mineralógicos y micro morfológicos de suelos, producto de la satisfacción a la demanda por ventanilla</t>
  </si>
  <si>
    <t>Se alcanzó un cumplimiento del 11,55% de lo programado frente a la demanda de los clientes externos</t>
  </si>
  <si>
    <t>No se dio cumplimiento a los 1.510 análisis proyectados debido a la baja demanda y a la falta de personal para la ejecución de los análisis</t>
  </si>
  <si>
    <t>No se dió cumplimiento a la meta programada en el periodo. Se espera que se de alcance a la programación realizada por la dependencia en meses hacia adelante. Revisar el soporte ya que no es especifico para la actividad.</t>
  </si>
  <si>
    <t>No se dió cumplimiento con la meta programada esperada para el período.</t>
  </si>
  <si>
    <t>Se evidencia que no se cumplió con la meta programada en el segundo trimestre del año 2021.</t>
  </si>
  <si>
    <t>Se evidencia el archivo donde se describen los avances correspondientes al servicio de análisis de los suelos para los meses de julio, agosto y septiembre de 2021.  Donde se informa que el avance para el tercer trimestre es del 6.29% de la meta programada.</t>
  </si>
  <si>
    <t>Ejecutar análisis biológicos de suelos, producto de la satisfacción a la demanda por ventanilla</t>
  </si>
  <si>
    <t>Para este trimestre se superó en un 2,13% el valor programado, debido a la demanda de los clientes.</t>
  </si>
  <si>
    <t xml:space="preserve">Se cumplió la meta proyectada de 280 análisis ejecutando 921 para este trimestre debido a la alta demanda de clientes externos. </t>
  </si>
  <si>
    <t>Se cumplió la meta programada para el primer trimestre. se sugiere describir para futuros reportes motivos por lo que se superó significativamente la meta programada.</t>
  </si>
  <si>
    <t>Si se dió cumplimiento a la meta programada en el periodo. Revisar el soporte de la actividad el cual debe ser específico para esta actividad.</t>
  </si>
  <si>
    <t>Se dió cumplimiento a la meta, sin embargo, se sobre ejecuta en mas de un 100% revisar programación de meta.</t>
  </si>
  <si>
    <t>Para esta actividad el GIT correspondiente dio cumplimiento a la meta programada, superándola.</t>
  </si>
  <si>
    <t>Se evidencia el archivo donde se describen los avances correspondientes al servicio de análisis de los suelos para los meses de julio, agosto y septiembre de 2021.  Donde se informa que el avance para el tercer trimestre es del 328.92% de la meta programada.</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</si>
  <si>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</si>
  <si>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</si>
  <si>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</si>
  <si>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</si>
  <si>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</si>
  <si>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revisaron y ajustaron los documentos el paquete Q-01. Que por as observaciones de la auditoria del IDEAM lo ameritaron</t>
  </si>
  <si>
    <t>Se alcanzo el avance proyectado del 25% esto con la revisión de documentos como el procedimiento de Carbón Orgánico</t>
  </si>
  <si>
    <t>Se dio cumplimiento a la meta programada</t>
  </si>
  <si>
    <t xml:space="preserve">Se dió cumplimiento a lo programado en la actividad. Se debe contar con documentos de verificación </t>
  </si>
  <si>
    <t>Se da cumplimiento a lo programado</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</si>
  <si>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</si>
  <si>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t>
  </si>
  <si>
    <t>Se evidencia avance en la actualización de documentos como el procedimiento de Carbón Orgánico</t>
  </si>
  <si>
    <t>Verificación a la ejecución de los controles de acuerdo a lo dispuesto en el aseguramiento de la calidad del LNS</t>
  </si>
  <si>
    <t>Se viene cumliendo con la aplicación de los controles</t>
  </si>
  <si>
    <t>Se aplican los controles requeridos</t>
  </si>
  <si>
    <t xml:space="preserve">En esta actividad se avanzó en un 12% más debido a que se realizó la actualización de cartas control, el monitoreo y seguimiento de los métodos y la actualización de las liberaciones del personal    </t>
  </si>
  <si>
    <t>Se dió cumplimiento a la meta programada, sin embargo no existen documentos de verificación asociados a la actividad.</t>
  </si>
  <si>
    <t>Se dió cumplimiento a lo programado y se supera en cumplimiento</t>
  </si>
  <si>
    <t>Se evidencia la actualización de cartas control, el monitoreo y seguimiento de los métodos y la actualización de las liberaciones del personal.</t>
  </si>
  <si>
    <t>Planificar determinaciones analíticas acreditar.</t>
  </si>
  <si>
    <t>Se esta definición de las nuevas determinaciones para ampliar el alcance</t>
  </si>
  <si>
    <t>Se han propuesto la determinaciones para la amplición del alcance y se inciia el proceso de validación</t>
  </si>
  <si>
    <t xml:space="preserve">Se avanzo un 20% de acuerdo al 0% proyectado ya que se definió con el personal del LNS las determinaciones que entraran en el nuevo proceso de acreditación.   </t>
  </si>
  <si>
    <t xml:space="preserve">No se cumplió la meta programada para el trimestre, por lo que se sugiere para próximos reportes describir los motivos por los cuales no fue posible alcanzar la meta programada.  </t>
  </si>
  <si>
    <t>Se dió cumplimiento a la meta programada, Sin embargo, se debe contar con soportes del desarrollo de la actividad.</t>
  </si>
  <si>
    <t>Se reporta avance que le aporta al avance acumulado de la meta y el rezago que viene de periodos anteriores</t>
  </si>
  <si>
    <t>No se cumplió con la meta programada para el periodo, ni se soportó con algún documento haciendo la debida explicación.</t>
  </si>
  <si>
    <t>Para el segundo trimestre del año se observa que se cumplió con la meta programada. Por favor soportar las actividades con el desarrollo de cada una.</t>
  </si>
  <si>
    <t>Se evidencia consolidado de paquetes analíticos propuestos con fines de acreditación.</t>
  </si>
  <si>
    <t>Validación de las determinaciones e informe.</t>
  </si>
  <si>
    <t>Se revisaron y ajustaron validaciones e informe de acuerdo a lo onsignado en el informe de auditoria</t>
  </si>
  <si>
    <t xml:space="preserve">Se dio cumplimiento al 35% proyectado para este trimestre ya que se realizó constante seguimiento a las determinaciones que se encuentran en proceso de acreditación para realizar los ajustes en caso de ser necesario.   </t>
  </si>
  <si>
    <t>Se da cumplimiento con  lo programado</t>
  </si>
  <si>
    <t>Se observa el mismo informe para el cumplimiento de varias actividades, se debe por favor ser más específico en la descripción y avance de cada una de ellas. Sin embargo, se avala el cumplimiento para el segundo trimestre del año.</t>
  </si>
  <si>
    <t>Se evidencia validaciones e informes que se encuentran en proceso de acreditación.</t>
  </si>
  <si>
    <t>Estimar la incertidumbre de la medición.</t>
  </si>
  <si>
    <t>Se han ajustado los datos de incertidumbre de las determinaciones del paquete Q01 acreditados.</t>
  </si>
  <si>
    <t xml:space="preserve">Se cumplió con el 35% proyectado para este trimestre realizando el control y ajuste a las incertidumbres de las determinaciones que se encuentran en proceso de acreditación.  </t>
  </si>
  <si>
    <t>Se da cumplimiento con lo programado</t>
  </si>
  <si>
    <t>Se evidencia archivo donde se realiza los ajustes a las incertidumbres de las determinaciones que se encuentran en proceso de acreditación.</t>
  </si>
  <si>
    <t>Tramitar ante el ente acreditador: solicitud, asignación y realización de visita</t>
  </si>
  <si>
    <t>Se esta preparando solicitud de visita de seguimiento y ampliación del alcance</t>
  </si>
  <si>
    <t xml:space="preserve">No se realizó ninguna acción con respecto a esta actividad   </t>
  </si>
  <si>
    <t>No se programó meta para este trimestre.</t>
  </si>
  <si>
    <t>Se dió cumplimiento con la meta programada. Se debe contar con soportes del desarrollo de la actividad y evidencias.</t>
  </si>
  <si>
    <t>La meta no cuenta con programación para el periodo</t>
  </si>
  <si>
    <t>Ejecución y seguimiento al programa de gestión ambiental y manejo de RESPEL</t>
  </si>
  <si>
    <t>SSe gestiona el manejo de los residuos peligrosos</t>
  </si>
  <si>
    <t>Se gestiono el manejo de los residuos peligrosos del Laboratorio Nacional de Suelos.</t>
  </si>
  <si>
    <t>Se dio cumplimiento al 27% proyectado para esta actividad toda vez que se ejecutó de manera correcta la recolección de residuos, así como la generación de certificados e informes correspondientes</t>
  </si>
  <si>
    <t>Se dió cumplimiento con la meta programada.  Se debe contar con soportes del desarrollo de la actividad y evidencias.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</si>
  <si>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</si>
  <si>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Se evidencia registros mensuales de generación de Respel de los meses de julio y agosto.</t>
  </si>
  <si>
    <t>Estudios e Investigaciones</t>
  </si>
  <si>
    <t>Observatorio Inmobiliario Nacional implementado</t>
  </si>
  <si>
    <t>Poner en producción la herramienta para la captura  y disposición de la información recopilada por el Observatorio Nacional Inmobiliario</t>
  </si>
  <si>
    <t>Reporte del observatorio</t>
  </si>
  <si>
    <t>Observatorio Inmobiliario</t>
  </si>
  <si>
    <t>Implementación del Observatorio Inmobiliario Nacional</t>
  </si>
  <si>
    <t xml:space="preserve">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
Se avanzó en la etapa preliminar para la gestión de convenios con CENIT, SAE y CAMACOL._x000D_
</t>
  </si>
  <si>
    <t xml:space="preserve">Sobre el diseño conceptual del Observatorio Inmobiliario Catastral, se elaboró documento de soporte donde se abordaron diferentes temas._x000D_
Respecto a la fase 1 de la implementación del Observatorio a través de herramientas tecnológicas, se inició la estructuración de un proyecto de analítica de datos con la elaboración de una propuesta "Determinación de los niveles de probabilidad de cambios físicos en el territorio".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
</t>
  </si>
  <si>
    <t>no hay meta para este periodo</t>
  </si>
  <si>
    <t>Se anexa cuadro de avance en la ejecución de actividades</t>
  </si>
  <si>
    <t>Se verifica la información y la evidencia aportada: Documentos del diseño conceptual del observatorio, al ser coincidentes se aprueba el seguimiento.</t>
  </si>
  <si>
    <t>Se evidencia cuadro con el avance de ejecución actividades.</t>
  </si>
  <si>
    <t>Se evidencia documentos como el de conceptualización del observatorio inmobiliario catastral, la elaboración de una propuesta "Determinación de los niveles de probabilidad de cambios físicos en el territorio" y el documento final de convenio para el intercambio de información a suscribir con SAE.</t>
  </si>
  <si>
    <t>Prospectiva</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</si>
  <si>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</si>
  <si>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</si>
  <si>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</si>
  <si>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</si>
  <si>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Dirección  de Investigación y Prospectiva</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</si>
  <si>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</si>
  <si>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</si>
  <si>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 xml:space="preserve">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t>
  </si>
  <si>
    <t>Se realizaron los siguientes evento técnico científicos: Foro "CATASTRO MULTIPROPÓSITO, NUEVOS RETOS, NUEVOS PROFESIONALES",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t>
  </si>
  <si>
    <t>Se valida el seguimiento y la evidencia aportada: registros de asistencia, contenidos de curso y correos de convocatoria, al ser coincidentes se aprueba el seguimiento</t>
  </si>
  <si>
    <t>Se verifica la información y la evidencia aportada: Eventos y Facebook live, al ser coincidentes se aprueba el seguimiento.</t>
  </si>
  <si>
    <t>No se reporta avance cuantitativo, pero en el autoseguimiento del proceso si se reporta la revision de 3 cursos gratuitos: Fundamentos de percepción remota, de SIG y de Cartografía. Se reporta la actualización de los documentos del curso Fundamentos IDE</t>
  </si>
  <si>
    <t xml:space="preserve">Se observa cumplimiento de la actividad con acta 01 del 28/04/2021 evento CONIDA, correo 03/05/2021 invitación conferencia virtual Sistema de Referencia Geodésica Nacional, Curso IDE y curso Fundamentos LADM en Telecentro. </t>
  </si>
  <si>
    <t>Se evidencia aportada: Eventos y Facebook live de Foro "CATASTRO MULTIPROPÓSITO, NUEVOS RETOS, NUEVOS PROFESIONALES".</t>
  </si>
  <si>
    <t>Proyectos de innovación e investigación aplicados para la optimización de procesos institucionales y/o uso de tecnologías geoespaciales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</si>
  <si>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</si>
  <si>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</si>
  <si>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</si>
  <si>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</si>
  <si>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 xml:space="preserve">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
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
</t>
  </si>
  <si>
    <t xml:space="preserve">Proyecto de Espectroradiometría:  Se consolidó el documento técnico "Teledetección, Espectroradiometría y Segmentación de Imágenes Multiespectrales a través de Autómatas Celulares”, con la participación de los pasantes de investigación de la Universidad Distrital Francisco José de Caldas. _x000D_
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
</t>
  </si>
  <si>
    <t xml:space="preserve">Se valida el seguimiento y la evidencia aportada: estado del arte y búsqueda bibliográfica, al ser coincidentes se aprueba el seguimiento. </t>
  </si>
  <si>
    <t>Se verifica la información y la evidencia aportada: Documentos de los proyectos desarrollados, al ser coincidentes se aprueba el seguimiento.</t>
  </si>
  <si>
    <t>No se reporta avance cuantitativo de la meta. Se reporta la realizción de reuniones y tareas preliminares para lograr el cumplimiento de la meta</t>
  </si>
  <si>
    <t>Se observa ejecución de la actividad mediante el Proyecto Espectroradiometria (Estado del arte, avance a mayo 2021 del proyecto, Bibliografía espectro V3, borrador reporte final) y del Proyecto IDI Agrología (Calidad Datos, Evaluación Temática y Mapeo de Suelos).</t>
  </si>
  <si>
    <t>Se evidencia informes de los proyectos: con el documento técnico "Teledetección, Espectroradiometría y Segmentación de Imágenes Multiespectrales a través de Autómatas Celulares” y “Control de la calidad de la información primaria generada en los levantamientos de suelos”.</t>
  </si>
  <si>
    <t>Reconocimiento como institución técnico científica parte del Sistema Nacional de Ciencia, Tecnología e Innovación</t>
  </si>
  <si>
    <t>Diseñar e implementar el plan de reconocimiento de la entidad como autoridad técnico científica</t>
  </si>
  <si>
    <t>Plan de reconocimiento de la entidad
Soportes de implementación del plan (artículos,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</si>
  <si>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</si>
  <si>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</si>
  <si>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
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t>
  </si>
  <si>
    <t xml:space="preserve">Reconocimiento Dirección de Investigación y Prospectiva: Se radicó ante MINCIENCIAS, la solicitud de reconocimiento de la DIP como Centro de Investigación, quedando pendientes de eventuales observaciones._x000D_
Reconocimiento de grupos: Se aplicó a la convocatoria MINCIENCIAS, de reconocimiento de Grupos de I+D+i e investigadores, con la participación de los siguientes grupos: Geomática; Estudios Territoriales; y Suelos y Ecología, quedando pendientes de eventuales observaciones._x000D_
</t>
  </si>
  <si>
    <t>Se valida el seguimiento y la evidencia aportada: plan de trabajo, informe de autoevaluación, plan de mejoramiento, inventario de producción científica y actas de reuniones, al ser coincidentes se aprueba el seguimiento.</t>
  </si>
  <si>
    <t>Se verifica la información y la evidencia aportada: Documentación para reconocimiento ante Minciencias, al ser coincidentes se aprueba el seguimiento.</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</si>
  <si>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</si>
  <si>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t>
  </si>
  <si>
    <t>Se evidencia la solicitud de reconocimiento de la DIP como Centro de Investigación y la inscripción de grupos de investigadores con la participación de los siguientes: Geomática; Estudios Territoriales; y Suelos y Ecología, quedando pendientes de eventuales observaciones.</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</si>
  <si>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</si>
  <si>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</si>
  <si>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</si>
  <si>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</si>
  <si>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</si>
  <si>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</si>
  <si>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</si>
  <si>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1. Etapa de Diseño: Se generó el documento de diseño de la base de datos del sistema incluyendo diccionario de datos y modelos conceptual, lógico y físico. _x000D_
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t>
  </si>
  <si>
    <t>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t>
  </si>
  <si>
    <t>Se valida el seguimiento y la evidencia aportada: documentos de diseño y bases de datos de desarrollo, al ser coincidentes se aprueba el seguimiento.</t>
  </si>
  <si>
    <t>Se verifica la información y la evidencia aportada: Documentos de desarrollo, al ser coincidentes se aprueba el seguimiento.</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</si>
  <si>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</si>
  <si>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Se valida ejecución con documentos de las etapas de diseño y desarrollo (SIG Indigena, solicitudes, Sig Indigena-RVA-V1.0 mayo 2021, Sig Indigena-CBD-SOL-V1.0 abril 2021 entre otros).</t>
  </si>
  <si>
    <t>Se valida la ejecución con documentos de la etapa desarrollo de la funcionalidad de registro de solicitudes de terrenos pretendidos por la Comisión Nacional de Territorios Indígenas – CNTI en el visor geográfico.</t>
  </si>
  <si>
    <t>Realizar la capacitación y/o entrenamiento del SIG a los grupos étnicos de acuerdo con los lineamientos de la Comisión Nacional de Territorios Indígenas - CNTI</t>
  </si>
  <si>
    <t>Registros de asistencia, material de apoyo.</t>
  </si>
  <si>
    <t xml:space="preserve">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
</t>
  </si>
  <si>
    <t>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t>
  </si>
  <si>
    <t>Se valida el seguimiento y la evidencia aportada: listado de inscritos y material del curso, al ser coincidentes se aprueba el seguimiento.</t>
  </si>
  <si>
    <t>Se verifica la información y la evidencia aportada: Documentos de los cursos realizados, al ser coincidentes se aprueba el seguimiento.</t>
  </si>
  <si>
    <t xml:space="preserve">Se valida ejecución de la actividad con la evidencia aportada (Lista de inscritos, 3 correos de 29/06/2021  indigenas, correo del23/06/2021 programas y formatos de inscripción y documento curso semipresencial). </t>
  </si>
  <si>
    <t>Se evidencia capacitación en administración (cargue de capas de información geográfica al sistema) y publicación de servicios web y el curso de Fundamentos IDE a los miembros definidos por la Comisión Nacional de Territorios Indígenas – CNTI a través de la plataforma Telecentro.</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</si>
  <si>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</si>
  <si>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</si>
  <si>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</si>
  <si>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realizó el soporte técnico a las diferentes incidencias que se presentaron en el uso y funcionamiento del SIG Indigenas.</t>
  </si>
  <si>
    <t>Se realizó soporte al Sistema de Información Geográfica -SIG Indígena validando los servicios de la Agencia Nacional de Tierras – ANT y del Ministerio del Interior para las herramientas de mapas temáticos e indicadores.</t>
  </si>
  <si>
    <t>Se valida el seguimiento y la evidencia aportada: bitácora de incidencias solucionadas, al ser coincidentes se aprueba el seguimiento.</t>
  </si>
  <si>
    <t>Se verifica la información y la evidencia aportada: Bitacora de incidencias, al ser coincidentes se aprueba el seguimiento.</t>
  </si>
  <si>
    <t>Se evidencian documentos de bitacoras de incidencias solucionadas de los meses de febrero y marzo de 2021, donde se informa que no hubo solicitud de soporte por parte de la CNTI en estos meses.</t>
  </si>
  <si>
    <t>Se evidencia soporte brindado mediante la evidencia suministrada, denominada Bitácora de Incidencias Solucionadas-SIG Indigena.</t>
  </si>
  <si>
    <t>Se evidencia soporte al Sistema de Información Geográfica -SIG Indígena en el mes de agosto.</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</si>
  <si>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</si>
  <si>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</si>
  <si>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</si>
  <si>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</si>
  <si>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</si>
  <si>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t>
  </si>
  <si>
    <t>Se realizaron dos propuestas técnico económicas, la primera para la construcción del SIG_Corpouraba fase I para la Corporación de Urabá y la segunda para la construcción de la IDE sectorial para el Ministerio de minas y energía.</t>
  </si>
  <si>
    <t>Se valida el seguimiento y la evidencia aportada: propuestas técnico económicas, al ser coincidentes se aprueba el seguimiento.</t>
  </si>
  <si>
    <t>Se verifica la información y la evidencia aportada: Propuestas tecnicas, al ser coincidentes se aprueba el seguimiento.</t>
  </si>
  <si>
    <t>Se evidencian documentos de propuestas tecnicas de de seis proyectos</t>
  </si>
  <si>
    <t>Se valida actividad con propuestas técnico económicas de SIGEO-CHIA junio 2021 y de SIG-CORPONARIÑO abril 2021.</t>
  </si>
  <si>
    <t>Se evidencia dos propuestas técnico económicas, la primera para la construcción del SIG_Corpouraba fase I para la Corporación de Urabá y la segunda para la construcción de la IDE sectorial para el Ministerio de minas y energía.</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</si>
  <si>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</si>
  <si>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</si>
  <si>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</si>
  <si>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Se avanza en la ejecución del convenio  Específico de Asociación 019 de 2020 - Patrimonio Natural/IDEAM/IGAC (RENARE); se realizó la entrega de los productos N° 3, 4, y 5 según esepecificaciones del convenio.</t>
  </si>
  <si>
    <t xml:space="preserve">Se avanza en la ejecución del convenio  Específico de Asociación 019 de 2020 - Patrimonio Natural/IDEAM/IGAC (RENARE); se realizó la entrega de los productos N°  6, 7 y 8 según especificaciones del convenio._x000D_
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
</t>
  </si>
  <si>
    <t>Se valida el seguimiento y la evidencia aportada: entregables de avance por cada producto del convenio RENARE y actas de reunión de los seguimientos realizados al convenio, al ser coincidentes se aprueba el seguimiento.</t>
  </si>
  <si>
    <t>Se verifica la información y la evidencia aportada: documentos CHIA y RENARE, al ser coincidentes se aprueba el seguimiento.</t>
  </si>
  <si>
    <t>No se reporta avance cuantitativo. Se evidencian documentos de interoperabilidad, actas y listados de asistencia a reuniones, informe de incidencias atendidas y estado actual del proyecto RENARE.</t>
  </si>
  <si>
    <t xml:space="preserve">Se observa ejecución de la actividad mediante entrega de los productos 3, 4 y 5 (formatos para puesta en producción, listado y actas de asistencia, informe estado actual de los proyectos, entre otros) y reuniones internas y externas realizadas en el segundo trimestre 2021. </t>
  </si>
  <si>
    <t>Se observa ejecución de la actividad mediante entrega de los productos 6, 7 y 8 (formatos para puesta en producción, listado y actas de asistencia, informe estado actual de los proyectos, entre otros) y reuniones internas y externas realizadas en el tercer trimestre 2021 para el proyecto (RENARE). Por otra parte se observa la firma del contrato interadministrativo IGAC- MUNICIPIO DE CHIA el cual ya se viene ejecutando en sus etapas de análisis, planificación y soporte técnico al sistema de información geográfico sigeo_chia.</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</si>
  <si>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</si>
  <si>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</si>
  <si>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t>
  </si>
  <si>
    <t>Se realizó la revisión de la documentación del proceso y se generó la derogación de algunos formatos y procedimientos que ya no aplican de acuerdo a la nueva estructura y actividades del proceso.</t>
  </si>
  <si>
    <t>Se valida el seguimiento y la evidencia aportada: correos de revisión, procedimiento, instructivos y formatos, al ser coincidentes se aprueba el seguimiento.</t>
  </si>
  <si>
    <t>Se evidencian documetos con ajustes al Procedimiento de Investigación, Desarrollo e Innovación, al Instructivo y a formatos. Tambien se presenta la remisión de estos documentos a la OAP para revisión y aprobación.</t>
  </si>
  <si>
    <t>Se verifica ejecución de la actividad mediante evidencias aportadas (correos de revisión y verificación, procedimientos, formatos e instructivos).</t>
  </si>
  <si>
    <t xml:space="preserve">Herramienta Planigac
</t>
  </si>
  <si>
    <t>Se realizó el seguimiento del primer trimestre a los controles de los riesgos del proceso de gestión del conocimiento, investigación e innovación.</t>
  </si>
  <si>
    <t>Se realizó el seguimiento del segundo trimestre a los controles de los riesgos del proceso de gestión del conocimiento, investigación e innovación.</t>
  </si>
  <si>
    <t>Se realizó el seguimiento del tercer trimestre a los controles de los riesgos del proceso de innovación y gestión del conocimiento aplicado</t>
  </si>
  <si>
    <t>Se valida el seguimiento y la evidencia aportada: herramienta PLANIGAC diligenciado y reporte de avances de riesgos, al ser coincidentes se aprueba el seguimiento.</t>
  </si>
  <si>
    <t>Se verifica la información y la evidencia aportada: Reportes de riesgos, al ser coincidentes se aprueba el seguimiento.</t>
  </si>
  <si>
    <t xml:space="preserve">Se evidencia archivo Planigac con el seguimiento a los controles de los riesgos del proceso de gestión del conocimiento, investigación e innovación, correspondiente al primer trimestre </t>
  </si>
  <si>
    <t>Se observa ejecución de la actividad en archivo Planigac con seguimiento a controles de riesgos del proceso.</t>
  </si>
  <si>
    <t>Esta actividad inicia a partir del mes de octubre</t>
  </si>
  <si>
    <t>Actividad programada para el mes de octubre</t>
  </si>
  <si>
    <t>Sin meta asignada para segundo trimestre.</t>
  </si>
  <si>
    <t>Se realizó seguimiento al cumplimiento del plan de acción anual del proceso de gestión del conocimiento, investigación e innovación para el primer trimestre del año 2021.</t>
  </si>
  <si>
    <t>Se realizó seguimiento al cumplimiento del plan de acción anual del proceso de gestión del conocimiento, investigación e innovación para el segundo trimestre del año 2021.</t>
  </si>
  <si>
    <t>Se realizó seguimiento al cumplimiento del plan de acción anual del proceso de gestión de innovación y gestión del conocimiento aplicado para el tercer trimestre del año 2021.</t>
  </si>
  <si>
    <t>Se valida el seguimiento y la evidencia aportada: herramienta PLANIGAC diligenciado, al ser coincidentes se aprueba el seguimiento.</t>
  </si>
  <si>
    <t>Se verifica la información y la evidencia aportada: Plan de acción del proceso con seguimiento, al ser coincidentes se aprueba el seguimiento.</t>
  </si>
  <si>
    <t>Se evidencia archivo Planigac con el seguimiento al plan de acción anual del proceso de gestión del conocimiento, investigación e innovación, correspondiente al primer trimestre de 2021</t>
  </si>
  <si>
    <t xml:space="preserve">Se observa ejecución de la actividad en la herramienta Planigac con seguimiento al Plan de Acción del proceso del segundo trimestre 2021.  </t>
  </si>
  <si>
    <t>Se observa ejecución de la actividad en la herramienta Planigac con seguimiento al Plan de Acción del proceso del tercer trimestre 2021.</t>
  </si>
  <si>
    <t>Esta actividad inicia a partir del mes de octubre.</t>
  </si>
  <si>
    <t>Sin meta asignada en este trimestre.</t>
  </si>
  <si>
    <t>Se realizó seguimiento a los productos y/o servicios ofrecidos por el proceso de gestión del conocimiento, investigación e innovación y se evidencia que para el primer trimestre del año no se presentó producto no conforme.</t>
  </si>
  <si>
    <t>Se realizó seguimiento a los productos y/o servicios ofrecidos por el proceso de gestión del conocimiento, investigación e innovación y se evidencia que para el segundo trimestre del año no se presentó producto no conforme.</t>
  </si>
  <si>
    <t>Se realizó seguimiento a los productos y/o servicios ofrecidos por el proceso de innovación y gestión del conocimiento aplicado y se evidencia que para el tercer trimestre del año no se presentó producto no conforme.</t>
  </si>
  <si>
    <t>Se valida el seguimiento y la evidencia aportada: correos con el seguimiento al producto no conforme, al ser coincidentes se aprueba el seguimiento.</t>
  </si>
  <si>
    <t>Se verifica la información y la evidencia aportada: Correos de seguimiento al producto no conforme, al ser coincidentes se aprueba el seguimiento.</t>
  </si>
  <si>
    <t>Se evidencian correos en los que se informa que durante el primer trimestre de 2021 no se han presentado productos y/o servicios no conformes.</t>
  </si>
  <si>
    <t>Según lo reporta el proceso, para este periodo no se presentó producto no conforme.</t>
  </si>
  <si>
    <t>Documento con las acciones implementadas</t>
  </si>
  <si>
    <t>Esta actividad inicia a partir del mes de junio.</t>
  </si>
  <si>
    <t>Se generó  matriz para identificar y establecer las actividades que se realizarán para fortalecer aquellas acciones que en la vigencia 2020 no tuvieron mayores avances, estas actividades se llevarán a cabo durante este segundo semestre y en la siguiente vigencia.</t>
  </si>
  <si>
    <t>Se realizó verificación de evidencias realizadas a la fecha para fortalecer aquellas acciones que en la vigencia 2020 no tuvieron mayores avances.</t>
  </si>
  <si>
    <t>Actividad programada para el mes de junio</t>
  </si>
  <si>
    <t>Se valida el seguimiento y la evidencia aportada: archivo preparación FURAG, al ser coincidentes se aprueba el seguimiento.</t>
  </si>
  <si>
    <t xml:space="preserve">Se valida ejecución de la actividad con documento excel sobre preparación de FURAG 2021 del CIAF (Respuestas, evidencias y enlaces de consulta).  </t>
  </si>
  <si>
    <t>Sin meta programada para el periodo.</t>
  </si>
  <si>
    <t>Seguimiento y Evaluación</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</si>
  <si>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</si>
  <si>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</si>
  <si>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</si>
  <si>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programados en el plan anual de auditorias, para el  trimestre.</t>
  </si>
  <si>
    <t>Se realiza las Auditorias programadas para el I trimestre 2021 (Auditoria de Seguimiento Direcion Territorial Magdalena y GIT Talento Humano)</t>
  </si>
  <si>
    <t>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t>
  </si>
  <si>
    <t xml:space="preserve">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
</t>
  </si>
  <si>
    <t>Se evidencian los informes de auditoria</t>
  </si>
  <si>
    <t>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t>
  </si>
  <si>
    <t>Se evidencia la actividad con la  realización de las Auditorias de la Direcion Territorial Magdalena y GIT Talento Humano)</t>
  </si>
  <si>
    <t>Se verifica la realización de las auditorias Integrales, de Seguimiento y Especiales  a los procesos de la entidad en las Direcciones Territoriales, Sede Central, definidas en el plan anual de auditorias.</t>
  </si>
  <si>
    <t>De acuerdo a los soportes entregados, cinco (5) informes de auditoría, Agrología, Nariño, Tolima, Continuidad de Operaciones durante pandemia y Manejo de la situación de emergencia sanitaria, se evidencia el avance reportado.</t>
  </si>
  <si>
    <t>Realizar informes de ley y otros informes ( Ejecutivo Anual, Control Interno Contable. Seguimientos: Plan Anticorrupción y Atención al Ciudadano, PMCGR,  PAA, PES, Plan de fortalecimiento, PLANNER, SNARIV), entre otros.</t>
  </si>
  <si>
    <t>Ejecuta los seguimientos de ley programados en el Plan de Auditorias I trimestre 2021</t>
  </si>
  <si>
    <t>Se ejecuto los 18 seguimientos programados en el Plan Anual de Auditorias.</t>
  </si>
  <si>
    <t>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t>
  </si>
  <si>
    <t>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t>
  </si>
  <si>
    <t>Se evidencia la ejecución de la actividad de los informes de Auditoria con certificados EKOGUI, Plan de Mejoramiento de la Contraloría, Control Interno Contable, Derechos de Autor, FURAG, Informes de Gestión, Radicados y correos entre otros.</t>
  </si>
  <si>
    <t>Se evidencian las actividades programadas para el periodo.</t>
  </si>
  <si>
    <t>De acuerdo a los soportes entregados, 16 informes entre los que se encuentran Sistema de Control Interno, Seguimiento Plan de Mejoramiento de la Contraloría General de la República, Peticiones, Quejas, Reclamos, Denuncias y Sugerencias,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se evidencia el avance reportado.</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</si>
  <si>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</si>
  <si>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</si>
  <si>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</si>
  <si>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</si>
  <si>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</si>
  <si>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Se cumplio con el Seguimiento de la cultura de autocontrol y eutoevaluación mediante la publicación de las Piezas en los medios de comunicación</t>
  </si>
  <si>
    <t>La Oficina de Control Interno solicitó la publicación de las piezas de comunicación que fomentan la cultura de autocontrol y autoevaluación.</t>
  </si>
  <si>
    <t>La actuvidad cuenta con la evidencia</t>
  </si>
  <si>
    <t xml:space="preserve">De acuerdo con las evidencias, se observa que el 6 de octubre la Oficina de Control Interno solicitó la publicación de las piezas de comunicación que fomentan la cultura de autocontrol y autoevaluación._x000D_
</t>
  </si>
  <si>
    <t>La actividad se valida con el envío de archivos a la Oficina de Comunicaciones y Mercadeo   y su publicación en el correo institucional.</t>
  </si>
  <si>
    <t>Se constató cumplimiento del seguimiento de la cultura de autocontrol y eutoevaluación a través de la publicación de las Piezas en los medios de comunicación.</t>
  </si>
  <si>
    <t>De acuerdo a los soportes entregados, solicitud y pieza grafica de fomento del autocontrol, se evidencia el avance reportado.</t>
  </si>
  <si>
    <t>Informe de revisión</t>
  </si>
  <si>
    <t>Número de revisiones de la información documentada del proceso</t>
  </si>
  <si>
    <t>Para este trimestre no se programa esta actividad</t>
  </si>
  <si>
    <t>Para este trimestre no se tiene programada esta actividad, se está programando para el último trimestre de la vigencia.</t>
  </si>
  <si>
    <t>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t>
  </si>
  <si>
    <t>Por instrucciones del la OAP la actividad se reprogramo para el tercer y cuarto trimestre</t>
  </si>
  <si>
    <t xml:space="preserve">De acuerdo con las evidencias, se observa que el 24 de septiembre se establece cronograma para la actualización de la información documentada del proceso de Seguimiento y evaluación, y el 30 de septiembre se aprueba la caracterización del proceso._x000D_
</t>
  </si>
  <si>
    <t>La actividad no se encuentra programada para el trimestre.</t>
  </si>
  <si>
    <t>De acuerdo a los soportes entregados, cronograma de actualización documentación del proceso y aprobación de la caracterización , se evidencia el avance reportado.</t>
  </si>
  <si>
    <t>Realizar el seguimiento de las actividades contempladas en el Plan Anticorrupción del proceso</t>
  </si>
  <si>
    <t>Informe de Seguimiento</t>
  </si>
  <si>
    <t>Avence en la actualización, implementación y seguimiento de las actividades de MIPG</t>
  </si>
  <si>
    <t>Se realiza seguimiento programado para el primer trimestre 2021</t>
  </si>
  <si>
    <t>Se cumple Seguimiento Plan Anticorrupción y Atención al Ciudadano I Trimestre mediante correo del 13 de mayo del 2021</t>
  </si>
  <si>
    <t>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t>
  </si>
  <si>
    <t>De acuerdo con las evidencias, se observa que durante el tercer trimestre la Oficina de Control Interno  remitió el seguimiento de las actividades contempladas en el Plan Anticorrupción del proceso y se realizó la publicación en la web</t>
  </si>
  <si>
    <t>Se constata la realización de la actividad durante el trimestre programado.</t>
  </si>
  <si>
    <t>Se evidenció cumplimiento con el Seguimiento Plan Anticorrupción y Atención al Ciudadano I Trimestre ( correo mayo del 2021).</t>
  </si>
  <si>
    <t>De acuerdo a los soportes entregados, seguimiento al plan anticorrupción, se evidencia el avance reportado.</t>
  </si>
  <si>
    <t>Revisiones ejecutadas / revisiones programadas</t>
  </si>
  <si>
    <t xml:space="preserve">No se programo seguimiento para esta actividad en el II trimestre </t>
  </si>
  <si>
    <t>Esta actividad se encuentra programada para realizarse en el cuarto trimestre.</t>
  </si>
  <si>
    <t>Si meta asignada en el periodo.</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</si>
  <si>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</si>
  <si>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</si>
  <si>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</si>
  <si>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</si>
  <si>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</si>
  <si>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</si>
  <si>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</si>
  <si>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</si>
  <si>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</si>
  <si>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</si>
  <si>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</si>
  <si>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</si>
  <si>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</si>
  <si>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</si>
  <si>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</si>
  <si>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</si>
  <si>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</si>
  <si>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</si>
  <si>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</si>
  <si>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</si>
  <si>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</si>
  <si>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</si>
  <si>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</si>
  <si>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4521</t>
  </si>
  <si>
    <t>2021-01-08 00:00:00</t>
  </si>
  <si>
    <t>2021-01-08 11:33:00</t>
  </si>
  <si>
    <t>Gasto</t>
  </si>
  <si>
    <t>Con Compromiso</t>
  </si>
  <si>
    <t>0200</t>
  </si>
  <si>
    <t>Sede Central</t>
  </si>
  <si>
    <t>OTROS RECURSOS DEL TESORO</t>
  </si>
  <si>
    <t>Prestación de servicios para la transmisión de datos, voz, video y acceso a internet a nivel nacional -VIGENCIAS FUTURAS</t>
  </si>
  <si>
    <t>4621</t>
  </si>
  <si>
    <t>2221, 33021</t>
  </si>
  <si>
    <t>261721</t>
  </si>
  <si>
    <t>362621, 574721, 575021</t>
  </si>
  <si>
    <t>215240121, 215254321, 216192721, 216195921, 220424521</t>
  </si>
  <si>
    <t>-0</t>
  </si>
  <si>
    <t>SECRETARIA GENERAL</t>
  </si>
  <si>
    <t>0500</t>
  </si>
  <si>
    <t>INGRESOS CORRIENTES</t>
  </si>
  <si>
    <t>CATASTRO ACTUALIZACION</t>
  </si>
  <si>
    <t>2021-01-08 19:07:00</t>
  </si>
  <si>
    <t>Generado</t>
  </si>
  <si>
    <t>0160</t>
  </si>
  <si>
    <t>Prestación de servicios profesionales para la programación, control y seguimiento del presupuesto de ingresos de la Entidad.</t>
  </si>
  <si>
    <t>5521</t>
  </si>
  <si>
    <t>MERCADEO</t>
  </si>
  <si>
    <t>4721</t>
  </si>
  <si>
    <t>2021-01-08 19:09:00</t>
  </si>
  <si>
    <t>Prestación de servicios personales para organizar y desarrollar las ferias, congresos, convenciones, conferencias y/o eventos tanto virtuales como presenciales requeridos por la entidad</t>
  </si>
  <si>
    <t>20921</t>
  </si>
  <si>
    <t>93021</t>
  </si>
  <si>
    <t>171421, 187221, 295521, 342521, 412721, 482621, 553021</t>
  </si>
  <si>
    <t>43291121, 58636821, 87717721, 112785321, 143011421, 174722221, 209919521</t>
  </si>
  <si>
    <t>4821</t>
  </si>
  <si>
    <t>2021-01-08 19:10:00</t>
  </si>
  <si>
    <t>Prestación de servicios profesionales para la diagramación, desarrollo, concepto gráfico, e ilustración de piezas de comunicación externa contempladas en el plan de comunicaciones de la entidad.</t>
  </si>
  <si>
    <t>21021</t>
  </si>
  <si>
    <t>75421</t>
  </si>
  <si>
    <t>153321, 166821, 188621, 280021, 343021, 410421, 475721, 553221</t>
  </si>
  <si>
    <t>34434921, 58638421, 83418421, 112825221, 141689421, 170365921, 210114521</t>
  </si>
  <si>
    <t>4921</t>
  </si>
  <si>
    <t>2021-01-08 19:12:00</t>
  </si>
  <si>
    <t>:
Solicitud de Certificado de Disponibilidad Presupuestal – Comprobante Usuario Solicitante: MHmlasso MARIO ALEJANDRO LASSO LEDESMA
Unidad ó Subunidad Ejecutora
Solicitante:
04-03-00-000 IGAC - GESTION GENERAL
Fecha y Hora Sistema: 2021-01-08-3:31 p.</t>
  </si>
  <si>
    <t>22621</t>
  </si>
  <si>
    <t>85921</t>
  </si>
  <si>
    <t>166021, 187521, 281721, 341821, 451121, 492321, 528921, 552921</t>
  </si>
  <si>
    <t>41188121, 58637121, 83431021, 112514721, 151993921, 176949821, 187312121, 209912621</t>
  </si>
  <si>
    <t>5021</t>
  </si>
  <si>
    <t>2021-01-08 19:14:00</t>
  </si>
  <si>
    <t>Prestación de servicios profesionales para desarrollar y ejecutar la estrategia de comunicaciones internas de la entidad, así como hacer control y seguimiento a los planes y estrategias del proceso de comunicaciones garantizando el
fortalecimiento de</t>
  </si>
  <si>
    <t>22721</t>
  </si>
  <si>
    <t>78121</t>
  </si>
  <si>
    <t>155721, 194621, 295221, 342921, 412321, 513221, 561421</t>
  </si>
  <si>
    <t>37169521, 61034021, 87716921, 112821921, 142392621, 182401721, 211723421</t>
  </si>
  <si>
    <t>5121</t>
  </si>
  <si>
    <t>2021-01-08 19:16:00</t>
  </si>
  <si>
    <t>Prestación de servicios profesionales para la realización y registro de productos audiovisuales en las actividades y eventos del IGAC.</t>
  </si>
  <si>
    <t>26221</t>
  </si>
  <si>
    <t>81621</t>
  </si>
  <si>
    <t>159921, 188821, 294321, 342421, 413421, 482521, 554821</t>
  </si>
  <si>
    <t>40732121, 58639321, 87714721, 112781621, 143040121, 174679421, 210156021</t>
  </si>
  <si>
    <t>5221</t>
  </si>
  <si>
    <t>2021-01-08 19:17:00</t>
  </si>
  <si>
    <t>Prestación de servicios profesionales para diagramar y producir las piezas de comunicación interna contempladas en el plan de comunicaciones de la entidad</t>
  </si>
  <si>
    <t>22521</t>
  </si>
  <si>
    <t>83721</t>
  </si>
  <si>
    <t>161421, 196321, 294821, 346821, 422621, 481321, 555821</t>
  </si>
  <si>
    <t>41113521, 61383821, 87716321, 114576821, 144915621, 173273121, 210293021</t>
  </si>
  <si>
    <t>5321</t>
  </si>
  <si>
    <t>2021-01-08 19:19:00</t>
  </si>
  <si>
    <t>Prestación de servicios profesionales para la permanente actualización de contenidos e información en la página web institucional, redacción y divulgación de las estrategias de comunicación interna y externa.</t>
  </si>
  <si>
    <t>5421</t>
  </si>
  <si>
    <t>22821</t>
  </si>
  <si>
    <t>77821</t>
  </si>
  <si>
    <t>155421, 188721, 280821, 343421, 410621, 497921, 555921</t>
  </si>
  <si>
    <t>36947321, 58639121, 84816721, 114355021, 141871621, 177659521, 210301321</t>
  </si>
  <si>
    <t>2021-01-08 19:20:00</t>
  </si>
  <si>
    <t>Prestación de servicios profesionales para gestionar la etapa preparatoria de las solicitudes de bienes, servicios y obras públicas incluyendo la proyección de estudios de mercado, condiciones de contratación y análisis del sector, así
como registro,</t>
  </si>
  <si>
    <t>5621</t>
  </si>
  <si>
    <t>20621</t>
  </si>
  <si>
    <t>104121</t>
  </si>
  <si>
    <t>180521, 192121, 280721, 346621, 412621, 478521, 555521</t>
  </si>
  <si>
    <t>51994421, 60939521, 84815121, 114581621, 143006921, 171800021, 210200721</t>
  </si>
  <si>
    <t>6321</t>
  </si>
  <si>
    <t>2021-01-12 00:00:00</t>
  </si>
  <si>
    <t>2021-01-12 09:10:00</t>
  </si>
  <si>
    <t>0300</t>
  </si>
  <si>
    <t>Exploración de estaciones de funcionamiento continuo GNSS de la red MAGNA-ECO (2 CORS)</t>
  </si>
  <si>
    <t>6121</t>
  </si>
  <si>
    <t>5421, 6421, 9821</t>
  </si>
  <si>
    <t>421, 1821, 3521</t>
  </si>
  <si>
    <t>421, 1821, 3221</t>
  </si>
  <si>
    <t>1321421, 1441521, 3276121</t>
  </si>
  <si>
    <t>621</t>
  </si>
  <si>
    <t>CARTOGRAFIA</t>
  </si>
  <si>
    <t>6421</t>
  </si>
  <si>
    <t>2021-01-12 09:12:00</t>
  </si>
  <si>
    <t>REALIZAR FOTOCONTROL Y PUNTOS DE VERIFICACÓN PARA ELABORACIONDE CARTOGRAFÍA VECTORIAL RURAL EN LOS DEPARTAMENTOS DE CESAR, BOLIVAR Y MAGDALENA</t>
  </si>
  <si>
    <t>6021</t>
  </si>
  <si>
    <t>5521, 5921, 6021, 6121</t>
  </si>
  <si>
    <t>521, 1021, 1121, 1221</t>
  </si>
  <si>
    <t>621, 1021, 1121, 1221</t>
  </si>
  <si>
    <t>1321921, 1432121, 1433121, 1435021</t>
  </si>
  <si>
    <t>1121, 1221, 1321</t>
  </si>
  <si>
    <t>6521</t>
  </si>
  <si>
    <t>2021-01-12 09:14:00</t>
  </si>
  <si>
    <t>REALIZAR FOTOCONTROL Y PUNTOS DE VERIFICACÓN PARA ELABORACIONDE CARTOGRAFÍA VECTORIAL RURAL EN EL DEPARTAMENTO DE CAQUETA Y CAUCA</t>
  </si>
  <si>
    <t>5821</t>
  </si>
  <si>
    <t>5721, 6821, 6921, 7021</t>
  </si>
  <si>
    <t>721, 1421, 1521, 1621</t>
  </si>
  <si>
    <t>921, 1421, 1521, 1621</t>
  </si>
  <si>
    <t>1322721, 1437621, 1438521, 1440921</t>
  </si>
  <si>
    <t>721, 821, 921</t>
  </si>
  <si>
    <t>6621</t>
  </si>
  <si>
    <t>2021-01-12 09:16:00</t>
  </si>
  <si>
    <t>Construcción de cerramiento y mantenimiento de la estacion de funcionamiento continúo GNSS de la red MAGNA-ECO (1 CORS) en Socha (Boyacá).</t>
  </si>
  <si>
    <t>5821, 6321</t>
  </si>
  <si>
    <t>321, 1721</t>
  </si>
  <si>
    <t>1320521, 1441121</t>
  </si>
  <si>
    <t>521</t>
  </si>
  <si>
    <t>6721</t>
  </si>
  <si>
    <t>2021-01-12 09:25:00</t>
  </si>
  <si>
    <t>REALIZAR FOTOCONTROL Y PUNTOS DE VERIFICACÓN PARA ELABORACIONDE CARTOGRAFÍA VECTORIAL RURAL EN EL DEPARTAMENTO DE CAUCA Y NARIÑO</t>
  </si>
  <si>
    <t>5921</t>
  </si>
  <si>
    <t>5621, 6521, 6621</t>
  </si>
  <si>
    <t>621, 1921, 2021</t>
  </si>
  <si>
    <t>821, 1921, 2021</t>
  </si>
  <si>
    <t>1322421, 1448721, 1450221</t>
  </si>
  <si>
    <t>1021</t>
  </si>
  <si>
    <t>6821</t>
  </si>
  <si>
    <t>2021-01-12 12:26:00</t>
  </si>
  <si>
    <t>REALIZAR TRABAJOS DE AEROFOTOGRAFIA CON AERONAVE NO TRIPULADA TIPO DRON EN LOS MUNICIPIOS DE SAN ANDRÉS DE TUMACO (NARIÑO) Y SANTANDER DE QUILICHAO (CAUCA)</t>
  </si>
  <si>
    <t>5721</t>
  </si>
  <si>
    <t>6221, 6721</t>
  </si>
  <si>
    <t>1321, 2121</t>
  </si>
  <si>
    <t>1437221, 1450621</t>
  </si>
  <si>
    <t>6921</t>
  </si>
  <si>
    <t>2021-01-12 13:35:00</t>
  </si>
  <si>
    <t>0140</t>
  </si>
  <si>
    <t>Prestación de servicios profesionales para realizar actividades de gestión requerida en el desarrollo del proyecto de inversión y actividades a cargo de la jefatura de la oficina CIAF.</t>
  </si>
  <si>
    <t>8521</t>
  </si>
  <si>
    <t>10421</t>
  </si>
  <si>
    <t>83521</t>
  </si>
  <si>
    <t>161221, 170621, 259721, 318721, 383321, 447421, 526821, 533321</t>
  </si>
  <si>
    <t>40881321, 42692121, 70415021, 95603021, 126834521, 150033321, 187310021, 192690821</t>
  </si>
  <si>
    <t>CIAF</t>
  </si>
  <si>
    <t>7021</t>
  </si>
  <si>
    <t>2021-01-12 13:36:00</t>
  </si>
  <si>
    <t>Prestación de servicios profesionales especializados en la planeación estratégica y ejecución de los proyectos de la oficina CIAF</t>
  </si>
  <si>
    <t>8421</t>
  </si>
  <si>
    <t>9521</t>
  </si>
  <si>
    <t>93421</t>
  </si>
  <si>
    <t>172721, 173121, 265521, 327021</t>
  </si>
  <si>
    <t>44126921, 44335621, 71633721, 99221921</t>
  </si>
  <si>
    <t>7121</t>
  </si>
  <si>
    <t>2021-01-12 13:37:00</t>
  </si>
  <si>
    <t>Prestación de servicios profesionales para formular, desarrollar y controlar proyectos relacionados con desarrollo de aplicaciones de tecnologías de información geográfica a cargo de la oficina CIAF.</t>
  </si>
  <si>
    <t>8621</t>
  </si>
  <si>
    <t>9721</t>
  </si>
  <si>
    <t>96321</t>
  </si>
  <si>
    <t>174121, 182021, 258921, 385121, 393421, 453521, 533221</t>
  </si>
  <si>
    <t>44471821, 53154321, 70939821, 127042521, 130365021, 152509621, 192689021</t>
  </si>
  <si>
    <t>7221</t>
  </si>
  <si>
    <t>2021-01-12 13:39:00</t>
  </si>
  <si>
    <t>Prestación de servicios profesionales para realizar la verificación, control, seguimiento y gestión de los proyectos de tecnologías de la información geográfica a cargo de la oficina CIAF</t>
  </si>
  <si>
    <t>8321</t>
  </si>
  <si>
    <t>9621</t>
  </si>
  <si>
    <t>88521</t>
  </si>
  <si>
    <t>167221, 168721, 261321, 303521, 381021, 457121, 528221, 604521</t>
  </si>
  <si>
    <t>41176121, 42517821, 70525021, 90750721, 124882021, 157480921, 187311421, 226214521</t>
  </si>
  <si>
    <t>7321</t>
  </si>
  <si>
    <t>2021-01-12 14:00:00</t>
  </si>
  <si>
    <t>Prestación de servicios profesionales para apoyar la formulación, actualización, control, seguimiento y programación financiera y presupuestal  de los proyectos de inversión del IGAC y la elaboración de los informes de gestión, en el marco del Modelo</t>
  </si>
  <si>
    <t>21921, 22021, 22121, 22921</t>
  </si>
  <si>
    <t>88121, 89421, 92521, 92721</t>
  </si>
  <si>
    <t>166121, 167721, 170721, 171121, 241121, 253421, 253621, 253921, 299321, 301921, 307721, 311521, 345821, 357021, 364721, 367921, 441121, 444321, 450521, 459221, 504921, 516121, 518121, 520221, 552121, 582621, 582921, 584221</t>
  </si>
  <si>
    <t>41190821, 41200321, 42713021, 43031121, 64444621, 69343021, 69358821, 69366321, 89057921, 90546721, 92623721, 92811821, 114442421, 117327321, 120567221, 121250821, 148327521, 149814821, 151986421, 157660021, 179773521, 183417821, 184179321, 184877721, 209505221, 219140821, 219166221, 219212821</t>
  </si>
  <si>
    <t>7421</t>
  </si>
  <si>
    <t>2021-01-12 14:02:00</t>
  </si>
  <si>
    <t>Prestación de servicios profesionales para apoyar la implementación del Modelo Integrado de Planeación y Gestión en el Instituto, con énfasis en la actualización documental.</t>
  </si>
  <si>
    <t>26321</t>
  </si>
  <si>
    <t>88721</t>
  </si>
  <si>
    <t>166921, 262021, 305521, 362721, 444421, 506121, 585821</t>
  </si>
  <si>
    <t>41007121, 70940221, 91013021, 118873521, 149820121, 180834521, 219756621</t>
  </si>
  <si>
    <t>7521</t>
  </si>
  <si>
    <t>2021-01-12 14:03:00</t>
  </si>
  <si>
    <t>Prestación de servicios profesionales para apoyar el proceso de direccionamiento estratégico y planeación, para apoyar la revisión y ajuste del Sistema Integrado de Gestión, así como realizar acciones tendientes al cumplimiento del plan para su imple</t>
  </si>
  <si>
    <t>21721</t>
  </si>
  <si>
    <t>81921</t>
  </si>
  <si>
    <t>159421, 199421, 322421, 389721, 459121, 522521, 581121</t>
  </si>
  <si>
    <t>41155821, 62678221, 98369821, 127422521, 157658221, 187305821, 219025421</t>
  </si>
  <si>
    <t>7621</t>
  </si>
  <si>
    <t>2021-01-12 14:05:00</t>
  </si>
  <si>
    <t>Prestación de servicios profesionales para apoyar el proceso de direccionamiento estratégico y planeación, por medio de la gestión de procesos de parametrización administración manejo y montaje de bases de datos.</t>
  </si>
  <si>
    <t>21821</t>
  </si>
  <si>
    <t>74221</t>
  </si>
  <si>
    <t>149821, 241221, 301821, 347621, 413621, 505221, 551821</t>
  </si>
  <si>
    <t>34437421, 64488321, 90080021, 114927021, 143040821, 179836321, 209481921</t>
  </si>
  <si>
    <t>7721</t>
  </si>
  <si>
    <t>2021-01-12 14:07:00</t>
  </si>
  <si>
    <t>Prestar servicios profesionales a la Oficina Asesora de Planeación para apoyar la implementación del Modelo Integrado de Planeación y Gestión (MIPG) en la entidad y realizar las acciones tendientes al cumplimiento de los requisitos, promoción y divul</t>
  </si>
  <si>
    <t>24321</t>
  </si>
  <si>
    <t>77621</t>
  </si>
  <si>
    <t>155321, 248521, 303821, 383621, 458821, 527221, 582521</t>
  </si>
  <si>
    <t>40629621, 67337621, 90797821, 126838421, 157652321, 187310421, 219137421</t>
  </si>
  <si>
    <t>7821</t>
  </si>
  <si>
    <t>2021-01-12 14:09:00</t>
  </si>
  <si>
    <t>Prestación de servicios profesionales para apoyar el proceso de direccionamiento estratégico y planeación, fortalecimiento del Modelo Integrado de Planeación y Gestión y apoyo en lo referente a cooperación internacional y los lineamientos nacionales</t>
  </si>
  <si>
    <t>39321</t>
  </si>
  <si>
    <t>135021</t>
  </si>
  <si>
    <t>246321, 264121, 310021, 385521, 458721, 516721, 552821</t>
  </si>
  <si>
    <t>67086321, 70862021, 92599421, 127055521, 157651721, 184245721, 209911621</t>
  </si>
  <si>
    <t>7921</t>
  </si>
  <si>
    <t>2021-01-12 14:10:00</t>
  </si>
  <si>
    <t>Prestación de servicios profesionales para apoyar la formulación, actualización y seguimiento físico y financiero de los planes, programas y proyectos de los procesos asignados en el marco del Modelo Integrado de Planeación y Gestión.</t>
  </si>
  <si>
    <t>22221, 22321, 22421</t>
  </si>
  <si>
    <t>74121, 74321, 78421</t>
  </si>
  <si>
    <t>149721, 152321, 157321, 241021, 246421, 247221, 298021, 300421, 305621, 345121, 346521, 347721, 411921, 439821, 444821, 498721, 505021, 513921, 552621, 554421, 556021</t>
  </si>
  <si>
    <t>37120721, 37854621, 40641721, 63933021, 67088121, 67132021, 89018721, 89652321, 91013921, 114573621, 114929321, 120568521, 142389021, 148215821, 149903521, 177776821, 179777821, 182462521, 209903221, 210204121, 210315321</t>
  </si>
  <si>
    <t>8021</t>
  </si>
  <si>
    <t>2021-01-12 14:12:00</t>
  </si>
  <si>
    <t>Prestación de servicios profesionales para realizar las actividades del sistema de gestión ambiental del instituto en el marco del modelo de planeación y gestión vigente para la nación</t>
  </si>
  <si>
    <t>20021</t>
  </si>
  <si>
    <t>83821</t>
  </si>
  <si>
    <t>161521, 262521, 302121, 361021, 449821, 521721, 554521</t>
  </si>
  <si>
    <t>40892121, 70769421, 90548421, 117964521, 151896121, 185201921, 210132121</t>
  </si>
  <si>
    <t>8121</t>
  </si>
  <si>
    <t>2021-01-12 15:47:00</t>
  </si>
  <si>
    <t>VIATICOS - OFICINA DE INFORMÁTICA</t>
  </si>
  <si>
    <t>8221</t>
  </si>
  <si>
    <t>7821, 7921, 8721, 10321, 12921, 117521, 127421, 127521, 129821, 131021, 131521, 134921</t>
  </si>
  <si>
    <t>2521, 2621, 2821, 3621, 5221, 380721, 442321, 442421, 452321, 455121, 455621, 490321</t>
  </si>
  <si>
    <t>2421, 2521, 2721, 3321, 47721, 477421, 537121, 537221, 544821, 548021, 548121, 579821</t>
  </si>
  <si>
    <t>1468221, 1471321, 2136121, 4502721, 7082321, 171536721, 195866121, 195866521, 204869221, 207797321, 208040321, 218079221</t>
  </si>
  <si>
    <t>21321, 21521</t>
  </si>
  <si>
    <t>8821</t>
  </si>
  <si>
    <t>2021-01-14 00:00:00</t>
  </si>
  <si>
    <t>2021-01-14 16:44:00</t>
  </si>
  <si>
    <t>Prestación de servicios personales para la organización de los archivos de gestión y archivo central, de acuerdo a las directrices de la entidad y las normas del Archivo General de la Nación.</t>
  </si>
  <si>
    <t>13621</t>
  </si>
  <si>
    <t>12521, 12621, 12721</t>
  </si>
  <si>
    <t>83221, 89221, 89321</t>
  </si>
  <si>
    <t>160921, 167521, 167621, 194721, 198821, 198921, 295621, 295721, 296921, 354021, 354821, 384221, 420221, 420421, 422721, 485721, 486221, 488821, 561221, 561321, 562421</t>
  </si>
  <si>
    <t>40748321, 41009321, 41434421, 61034921, 62521021, 62524921, 87717821, 87717921, 88165621, 116011921, 116670421, 126845621, 144402221, 144410421, 144917121, 174776421, 174781221, 176131221, 211714721, 211771121, 212054421</t>
  </si>
  <si>
    <t>8921</t>
  </si>
  <si>
    <t>2021-01-14 16:46:00</t>
  </si>
  <si>
    <t>Prestación de servicios personales para el acompañamiento y seguimiento de las actividades del procesos de gestión documental de la entidad de acuerdo a las normas vigentes.</t>
  </si>
  <si>
    <t>13521</t>
  </si>
  <si>
    <t>82821</t>
  </si>
  <si>
    <t>161321, 194921, 295821, 354921, 428221, 491521, 582821</t>
  </si>
  <si>
    <t>40890921, 61038021, 87718021, 116680321, 145921821, 176443221, 219155721</t>
  </si>
  <si>
    <t>9021</t>
  </si>
  <si>
    <t>2021-01-14 17:18:00</t>
  </si>
  <si>
    <t>Anulado</t>
  </si>
  <si>
    <t>Prestación de servicios para realizar actividades que promuevan la gestión y disposición de los datos geográficos, cartográficos y geodésicos.</t>
  </si>
  <si>
    <t>8721</t>
  </si>
  <si>
    <t>9121</t>
  </si>
  <si>
    <t>2021-01-14 17:20:00</t>
  </si>
  <si>
    <t>Prestación de servicios para apoyar la actualización de los procesos de la Subdirección de Geografía y Cartografía</t>
  </si>
  <si>
    <t>9221</t>
  </si>
  <si>
    <t>2021-01-14 17:21:00</t>
  </si>
  <si>
    <t>Prestación de servicios para la organización, administración y disposición de los productos cartográficos, geográficos y geodésicos de la subdirección de geografía y cartografía.</t>
  </si>
  <si>
    <t>9321</t>
  </si>
  <si>
    <t>2021-01-14 17:24:00</t>
  </si>
  <si>
    <t>Prestación de servicios profesionales para el acompañamiento y seguimiento a la ejecución de los proyectos y procesos de la Subdirección de Geografía y Cartografía</t>
  </si>
  <si>
    <t>9421</t>
  </si>
  <si>
    <t>2021-01-14 17:25:00</t>
  </si>
  <si>
    <t>Prestación de servicios para realizar la asignación , seguimiento y control de calidad de los procesos de producción cartográfica, de conformidad con las especificaciones técnicas y rendimientos establecidos.</t>
  </si>
  <si>
    <t>2021-01-14 17:26:00</t>
  </si>
  <si>
    <t>Prestación de servicios para realizar la edición, estructuración e integración de la cartografía básica, de conformidad con las especificaciones técnicas establecidas</t>
  </si>
  <si>
    <t>2021-01-14 17:36:00</t>
  </si>
  <si>
    <t>Prestación de servicios para realizar el proceso de aerotriangulación, de conformidad con las especificaciones técnicas y rendimientos establecidos</t>
  </si>
  <si>
    <t>2021-01-14 17:41:00</t>
  </si>
  <si>
    <t>Prestación de servicios para gestionar, organizar y procesar información geográfica requerida para los estudios e investigaciones asignadas</t>
  </si>
  <si>
    <t>13721</t>
  </si>
  <si>
    <t>54221, 54921</t>
  </si>
  <si>
    <t>144521, 160321</t>
  </si>
  <si>
    <t>257521, 268721, 286221, 315421, 345521, 347221, 405421, 407821, 499721, 508421, 553421, 553521</t>
  </si>
  <si>
    <t>70408321, 75606721, 85597521, 94349021, 114424721, 114890021, 139723521, 140826421, 177862521, 181505821, 210118421, 210118821</t>
  </si>
  <si>
    <t>9821</t>
  </si>
  <si>
    <t>2021-01-14 17:42:00</t>
  </si>
  <si>
    <t>Prestación de servicios para analizar y desarrollar el componente temático de los estudios y/o investigaciones geográficas asignadas, de conformidad con la metodología</t>
  </si>
  <si>
    <t>13821</t>
  </si>
  <si>
    <t>48721, 48821, 48921, 49021</t>
  </si>
  <si>
    <t>135621, 137721, 145021, 160421</t>
  </si>
  <si>
    <t>247121, 247621, 258121, 268821, 311721, 311821, 317721, 317821, 348921, 349121, 352821, 358121, 439321, 441321, 441921, 446621, 482821, 482921, 487621, 487821, 549621, 549721, 551321, 554621</t>
  </si>
  <si>
    <t>67122821, 67155921, 70411421, 75621121, 92821821, 92823121, 95523621, 95630721, 115485421, 115488321, 115992421, 117466621, 147846921, 148330721, 148353221, 150008721, 174725321, 174731321, 175399121, 175467421, 209315521, 209319821, 209425321, 210147921</t>
  </si>
  <si>
    <t>9921</t>
  </si>
  <si>
    <t>2021-01-14 17:49:00</t>
  </si>
  <si>
    <t>Prestación de servicios para realizar de apoyo a la gestión administrativa de los procesos y proyectos misionales de la Subdirección de Geografía y Cartografía</t>
  </si>
  <si>
    <t>13921</t>
  </si>
  <si>
    <t>10021</t>
  </si>
  <si>
    <t>2021-01-14 17:51:00</t>
  </si>
  <si>
    <t>Prestación de servicios para el control y seguimiento de las actividades de fronteras y límites de entidades territoriales</t>
  </si>
  <si>
    <t>14021</t>
  </si>
  <si>
    <t>10121</t>
  </si>
  <si>
    <t>2021-01-14 17:52:00</t>
  </si>
  <si>
    <t>Prestación de servicios para analizar, consolidar e integrar los documentos técnicos de los estudios e investigaciones geográficas, de conformidad con la metodología establecida</t>
  </si>
  <si>
    <t>14121</t>
  </si>
  <si>
    <t>54321, 54421, 54521</t>
  </si>
  <si>
    <t>156421, 160021, 160121</t>
  </si>
  <si>
    <t>268521, 268621, 269121, 310721, 318521, 320421, 341021, 341221, 341621, 423221, 429921, 430721, 487421, 489921, 530721, 541621, 560021, 560821, 593521</t>
  </si>
  <si>
    <t>75427321, 75433421, 75721021, 92605421, 95612721, 96626721, 112501421, 112509221, 112510421, 144939621, 146553121, 146593721, 175395721, 176265821, 188286321, 200022521, 211376621, 211491021, 222213921</t>
  </si>
  <si>
    <t>10221</t>
  </si>
  <si>
    <t>2021-01-14 17:53:00</t>
  </si>
  <si>
    <t>Prestación de servicios profesionales para gestión de proyectos y atención a los requerimientos de la cancillería, en el marco de la demarcación de las fronteras del país</t>
  </si>
  <si>
    <t>14221</t>
  </si>
  <si>
    <t>23721</t>
  </si>
  <si>
    <t>83921</t>
  </si>
  <si>
    <t>161621, 242021, 297421, 367721, 425521, 502021, 588121</t>
  </si>
  <si>
    <t>40893521, 65481921, 88169621, 120822421, 145825821, 179449721, 220743321</t>
  </si>
  <si>
    <t>10321</t>
  </si>
  <si>
    <t>2021-01-14 17:57:00</t>
  </si>
  <si>
    <t>Prestación de servicios profesionales para la gestión, análisis y respuesta oportuna asociada con los procesos y proyectos de la Subdirección</t>
  </si>
  <si>
    <t>14821</t>
  </si>
  <si>
    <t>2021-01-14 17:58:00</t>
  </si>
  <si>
    <t>Prestación de servicios para apoyar la implementación de métodos estadísticos en la subdirección y generación de nuevos productos.</t>
  </si>
  <si>
    <t>14921</t>
  </si>
  <si>
    <t>12321</t>
  </si>
  <si>
    <t>133421</t>
  </si>
  <si>
    <t>244821, 244921, 319821, 356021, 418921, 480221, 556421</t>
  </si>
  <si>
    <t>65965321, 65990621, 96371221, 117271321, 144387221, 173237621, 210800121</t>
  </si>
  <si>
    <t>10521</t>
  </si>
  <si>
    <t>2021-01-14 18:00:00</t>
  </si>
  <si>
    <t>Prestación de servicios para la gestión e integración de productos y aplicaciones de la subdirección de geografía y cartografía</t>
  </si>
  <si>
    <t>15121</t>
  </si>
  <si>
    <t>12221</t>
  </si>
  <si>
    <t>96121</t>
  </si>
  <si>
    <t>173921, 245321, 298821, 357521, 422321, 482321, 563721</t>
  </si>
  <si>
    <t>44434021, 66131121, 66171521, 89037721, 117439421, 144691921, 174654521, 212771721</t>
  </si>
  <si>
    <t>10621</t>
  </si>
  <si>
    <t>2021-01-14 18:01:00</t>
  </si>
  <si>
    <t>Prestación de servicios para el fortalecimiento de los productos y servicios de información geográfica, cartográfica y geodésica, promoviendo su descubrimiento y uso</t>
  </si>
  <si>
    <t>15221</t>
  </si>
  <si>
    <t>14921, 15021</t>
  </si>
  <si>
    <t>107221, 108521</t>
  </si>
  <si>
    <t>183221, 185121, 257121, 260921, 314721, 320121, 377821, 379621, 421021, 422521, 491721, 503021, 563821, 586421</t>
  </si>
  <si>
    <t>55192421, 56649121, 70522921, 70939021, 93597321, 96387421, 123474621, 124500421, 144462521, 144912121, 176439021, 179471621, 212789921, 219828121</t>
  </si>
  <si>
    <t>10721</t>
  </si>
  <si>
    <t>2021-01-14 18:02:00</t>
  </si>
  <si>
    <t>Prestación de servicios para la generación de contenidos asociados a los procesos geográficos, cartográficos y geodésicos</t>
  </si>
  <si>
    <t>15421</t>
  </si>
  <si>
    <t>29121</t>
  </si>
  <si>
    <t>106321</t>
  </si>
  <si>
    <t>182421, 257221, 294221, 355921, 415921, 498521, 556921</t>
  </si>
  <si>
    <t>55203221, 70939121, 87714121, 117250721, 143119321, 177762221, 211243821</t>
  </si>
  <si>
    <t>10821</t>
  </si>
  <si>
    <t>2021-01-14 18:04:00</t>
  </si>
  <si>
    <t>Prestación de servicios para la captura de información vectorial, de conformidad con las especificaciones técnicas y rendimientos establecidos.</t>
  </si>
  <si>
    <t>16021</t>
  </si>
  <si>
    <t>10921</t>
  </si>
  <si>
    <t>2021-01-14 18:05:00</t>
  </si>
  <si>
    <t>Prestación de servicios para implementar y optimizar los procesos de aseguramiento de la calidad de productos cartográficos, de conformidad con las especificaciones técnicas y rendimientos establecidos</t>
  </si>
  <si>
    <t>16221</t>
  </si>
  <si>
    <t>11021</t>
  </si>
  <si>
    <t>2021-01-14 18:08:00</t>
  </si>
  <si>
    <t>Prestación de servicios para elaborar los mapas temáticos y salidas gráficas requeridas para los estudios y/o investigaciones geográficas asignadas, de conformidad con los lineamientos técnicos.</t>
  </si>
  <si>
    <t>17021</t>
  </si>
  <si>
    <t>55321, 55421, 56021</t>
  </si>
  <si>
    <t>136221, 138521, 150221</t>
  </si>
  <si>
    <t>248121, 249621, 261021, 300221, 303321, 305421, 361421, 369221, 375921, 419221, 424021, 425321, 497321, 497421, 502421, 560321, 562621, 565921</t>
  </si>
  <si>
    <t>67251721, 67448021, 70523521, 89649821, 90710121, 91012321, 118852621, 121291821, 123719121, 144388021, 145116921, 145815021, 177635921, 177642321, 179456121, 211378821, 212066421, 212945121</t>
  </si>
  <si>
    <t>11121</t>
  </si>
  <si>
    <t>2021-01-14 18:10:00</t>
  </si>
  <si>
    <t>Prestación de servicios para procesar y analizar información geográfica requerida para los estudios e investigaciones asignadas</t>
  </si>
  <si>
    <t>17221</t>
  </si>
  <si>
    <t>54621</t>
  </si>
  <si>
    <t>144421</t>
  </si>
  <si>
    <t>256921, 280521, 347021, 427021, 527421, 536221, 596821</t>
  </si>
  <si>
    <t>70938921, 83409121, 114591321, 145903021, 187310621, 195119021, 226451221</t>
  </si>
  <si>
    <t>11221</t>
  </si>
  <si>
    <t>2021-01-14 18:12:00</t>
  </si>
  <si>
    <t>Prestación de servicios profesionales para la gestión y estructuración de la información de límites y fronteras.</t>
  </si>
  <si>
    <t>17621</t>
  </si>
  <si>
    <t>53321</t>
  </si>
  <si>
    <t>130721</t>
  </si>
  <si>
    <t>242721, 297721, 379221, 414321, 501021, 587821</t>
  </si>
  <si>
    <t>65520121, 88354121, 123754121, 143049721, 178826121, 220724621</t>
  </si>
  <si>
    <t>11321</t>
  </si>
  <si>
    <t>2021-01-14 18:16:00</t>
  </si>
  <si>
    <t>Prestación de servicios profesionales para apoyar la gestión técnica de los procesos de deslindes, de conformidad con los criterios técnicos y normatividad establecida</t>
  </si>
  <si>
    <t>17921</t>
  </si>
  <si>
    <t>14621, 14721, 14821</t>
  </si>
  <si>
    <t>79221, 87921, 92321</t>
  </si>
  <si>
    <t>156721, 165721, 170421, 240721, 249221, 254621, 294021, 294521, 323821, 355221, 356921, 380921, 415121, 418321, 443921, 486021, 487721, 516221, 554021, 554321, 574921</t>
  </si>
  <si>
    <t>37086121, 41148021, 42686721, 63844021, 67378921, 69448021, 87712921, 87715621, 98005321, 117209521, 117308321, 124857421, 143115121, 144349021, 149806021, 174778221, 175460321, 184107021, 210125521, 210126721, 215192321</t>
  </si>
  <si>
    <t>11421</t>
  </si>
  <si>
    <t>2021-01-15 00:00:00</t>
  </si>
  <si>
    <t>2021-01-15 08:54:00</t>
  </si>
  <si>
    <t>Prestación de servicios profesionales para la planeación, ejecución, y seguimiento de las evaluaciones al sistema de control interno de los procesos de la entidad de conformidad a la normatividad y procedimientos Institucionales
vigentes</t>
  </si>
  <si>
    <t>24621</t>
  </si>
  <si>
    <t>24821, 24921, 25021, 25121</t>
  </si>
  <si>
    <t>91421, 95021, 95821, 96721</t>
  </si>
  <si>
    <t>169721, 173221, 173321, 174321, 247421, 249321, 250021, 263121, 298921, 301721, 310621, 319421, 371521, 374821, 381721, 383021, 452421, 452521, 457321, 460321, 511721, 521921, 527621, 555721, 590221, 592321, 596721, 597021</t>
  </si>
  <si>
    <t>42521821, 44347621, 44349921, 44577521, 67145921, 67408621, 67690321, 70771321, 89039221, 90082821, 92604721, 96328721, 121386821, 122799421, 126815321, 126829321, 152424521, 152427121, 157482221, 157670121, 182090121, 185217021, 187310821, 210277121, 225706521, 226238321, 226447221, 226450321</t>
  </si>
  <si>
    <t>11521</t>
  </si>
  <si>
    <t>2021-01-15 09:10:00</t>
  </si>
  <si>
    <t>Suministro de tiquetes aéreos nacionales e internacionales para el Instituto Geográfico
Agustín Codazzi.</t>
  </si>
  <si>
    <t>17821</t>
  </si>
  <si>
    <t>20421</t>
  </si>
  <si>
    <t>76921</t>
  </si>
  <si>
    <t>154821, 256121, 256321, 256521, 328021, 328121, 378321, 378621, 389121, 389321, 389521, 429221, 429321, 447621, 528521, 528621, 528821, 575421, 575521, 589221</t>
  </si>
  <si>
    <t>44437521, 70938121, 70938221, 70938321, 112731221, 112733621, 127405421, 127407321, 127408021, 150281521, 150283121, 150285621, 187311821, 187311921, 187312021, 221035721, 221037021, 221039121</t>
  </si>
  <si>
    <t>11621</t>
  </si>
  <si>
    <t>2021-01-18 00:00:00</t>
  </si>
  <si>
    <t>2021-01-18 08:55:00</t>
  </si>
  <si>
    <t>Prestación de servicios profesionales para apoyar la gestión requerida para la habilitación de gestores catastrales</t>
  </si>
  <si>
    <t>20121</t>
  </si>
  <si>
    <t>31321, 31521, 31621</t>
  </si>
  <si>
    <t>83321, 89521, 89921</t>
  </si>
  <si>
    <t>161021, 167821, 168221, 184021, 185521, 185621, 283521, 283621, 283821, 344821, 346321, 346421, 406121, 406721, 407321, 485121, 485521, 505421, 547821, 550321, 595521</t>
  </si>
  <si>
    <t>40934521, 41434821, 42515421, 56439521, 56738921, 58643621, 85021721, 85034321, 85044621, 114405421, 114569821, 114573021, 140325421, 140675021, 140712221, 174769521, 174775321, 180716821, 207576221, 209377821, 222218421</t>
  </si>
  <si>
    <t>11721</t>
  </si>
  <si>
    <t>2021-01-18 08:57:00</t>
  </si>
  <si>
    <t>Prestación de servicios para apoyar las actividades técnicas y operativas para la habilitación de gestores catastrales</t>
  </si>
  <si>
    <t>20221</t>
  </si>
  <si>
    <t>13221, 26921</t>
  </si>
  <si>
    <t>98921, 117921</t>
  </si>
  <si>
    <t>175621, 183921, 192921, 283721, 301621, 344921, 345021, 406621, 406821, 485021, 485821, 547721, 550221</t>
  </si>
  <si>
    <t>46429221, 56402621, 60995621, 85038821, 90037521, 114411421, 114418321, 140673321, 140677221, 174768921, 174777421, 207562321, 209373121</t>
  </si>
  <si>
    <t>11821</t>
  </si>
  <si>
    <t>2021-01-18 08:58:00</t>
  </si>
  <si>
    <t>Prestación de servicios profesionales para apoyar el desarrollo de los proyectos programados en el marco de la habilitación de gestores catastrales.</t>
  </si>
  <si>
    <t>20321</t>
  </si>
  <si>
    <t>30921</t>
  </si>
  <si>
    <t>109421</t>
  </si>
  <si>
    <t>185721, 263821, 325621, 387321, 440621, 518521, 587221</t>
  </si>
  <si>
    <t>56760621, 70774021, 98024521, 127267721, 148298821, 184202121, 220429421, 220569721</t>
  </si>
  <si>
    <t>11921</t>
  </si>
  <si>
    <t>2021-01-18 08:59:00</t>
  </si>
  <si>
    <t>Prestación de servicios de apoyo orientados a la gestión y enrutamiento de la información derivada de los procesos catastrales</t>
  </si>
  <si>
    <t>13421, 14121, 14321, 23021</t>
  </si>
  <si>
    <t>69921, 73121, 89621, 90121</t>
  </si>
  <si>
    <t>109021, 158021, 167921, 169221, 184121, 185821, 191721, 192821, 282721, 283421, 284221, 286521, 339021, 339321, 343821, 344721, 401821, 407121, 408121, 416421, 478621, 481821, 491121, 508821, 547421, 549021, 550921, 551021</t>
  </si>
  <si>
    <t>29149521, 40622721, 41435121, 42160221, 56431921, 56779721, 60878621, 60993421, 84840521, 85019721, 85061221, 85601021, 111297521, 111298921, 114388121, 114401721, 138914821, 140701921, 140829421, 143123621, 172803321, 173804621, 176429921, 181554821, 207328521, 208555321, 209387421, 209403321</t>
  </si>
  <si>
    <t>12021</t>
  </si>
  <si>
    <t>2021-01-18 09:00:00</t>
  </si>
  <si>
    <t>Prestación de servicios profesionales para el desarrollo de procesos estadísticos en el marco de la gestión catastral a cargo del IGAC.</t>
  </si>
  <si>
    <t>20521</t>
  </si>
  <si>
    <t>13021</t>
  </si>
  <si>
    <t>91821</t>
  </si>
  <si>
    <t>170021, 193721, 314821, 346021, 416121, 508221, 590121</t>
  </si>
  <si>
    <t>45455721, 61020321, 93622221, 114466921, 143121121, 181501521, 224574021</t>
  </si>
  <si>
    <t>12121</t>
  </si>
  <si>
    <t>2021-01-18 09:02:00</t>
  </si>
  <si>
    <t>Prestación de servicios profesionales para adelantar los análisis estadísticos requeridos para el desarrollo de los procesos de catastro multipropósito.</t>
  </si>
  <si>
    <t>32521</t>
  </si>
  <si>
    <t>101121</t>
  </si>
  <si>
    <t>177821, 246121, 328521, 377421, 455921, 528121, 597721</t>
  </si>
  <si>
    <t>48990521, 66838821, 100176821, 123454321, 157401421, 187311321, 224131521</t>
  </si>
  <si>
    <t>2021-01-18 09:03:00</t>
  </si>
  <si>
    <t>Prestación de servicios profesionales para apoyar los análisis estadísticos requeridos para los procesos de gestión catastral con enfoque multipropósito</t>
  </si>
  <si>
    <t>20721</t>
  </si>
  <si>
    <t>33321</t>
  </si>
  <si>
    <t>141821</t>
  </si>
  <si>
    <t>253221, 304321, 364121, 437221, 516921, 559621</t>
  </si>
  <si>
    <t>69317921, 90957221, 120515121, 147575321, 184134221, 211353221</t>
  </si>
  <si>
    <t>2021-01-18 09:04:00</t>
  </si>
  <si>
    <t>Prestación de servicios profesionales para apoyar los análisis económicos y financieros en el desarrollo de metodologías masivas de valoración de predios, en la implementación del catastro multipropósito</t>
  </si>
  <si>
    <t>20821</t>
  </si>
  <si>
    <t>12421</t>
  </si>
  <si>
    <t>2021-01-18 09:08:00</t>
  </si>
  <si>
    <t>Prestación de servicios profesionales para adelantar análisis económicos y financieros en el desarrollo de metodologías masivas de valoración de predios, en la implementación del catastro multipropósito</t>
  </si>
  <si>
    <t>34821</t>
  </si>
  <si>
    <t>159521</t>
  </si>
  <si>
    <t>268421, 310521, 356521, 420521, 509121, 584421</t>
  </si>
  <si>
    <t>74929421, 92603421, 117297821, 144418821, 181721621, 219216821</t>
  </si>
  <si>
    <t>12521</t>
  </si>
  <si>
    <t>2021-01-18 09:09:00</t>
  </si>
  <si>
    <t>Prestación de servicios profesionales para orientar el desarrollo de los proyectos programados para la gestión catastral, incluyendo los relacionados con la ejecución de los recursos de cooperación internacional</t>
  </si>
  <si>
    <t>29821</t>
  </si>
  <si>
    <t>99021</t>
  </si>
  <si>
    <t>175721, 195921, 287821, 346221, 420321, 516321, 594621</t>
  </si>
  <si>
    <t>46429521, 61286221, 85923121, 114569221, 144408721, 184108621, 222216621</t>
  </si>
  <si>
    <t>12621</t>
  </si>
  <si>
    <t>2021-01-18 09:10:00</t>
  </si>
  <si>
    <t>Prestación de servicios profesionales para apoyar en la evaluación, seguimiento, control, planeación y ejecución de los proyectos programados en el marco de la "Actualización y Gestión Catastral Nacional".</t>
  </si>
  <si>
    <t>21121</t>
  </si>
  <si>
    <t>18821, 26721, 26821, 30721</t>
  </si>
  <si>
    <t>83621, 93121, 100021, 100121</t>
  </si>
  <si>
    <t>166621, 171521, 176721, 176821, 192521, 193121, 199321, 265021, 284021, 292021, 306721, 317321, 348621, 353221, 363121, 385321, 420021, 420921, 426321, 427421, 427521, 503321, 516021, 518321, 525621, 548721, 549221, 581921, 585021</t>
  </si>
  <si>
    <t>41195021, 43291821, 47671921, 47676421, 60979321, 61012521, 62578021, 70866821, 85048921, 87068621, 92622321, 95504421, 115483421, 115996621, 119079421, 120533521, 127052621, 144401221, 144462221, 145860921, 145915621, 179474621, 183416721, 184184621, 187308921, 208534521, 208939321, 219104021, 219716921</t>
  </si>
  <si>
    <t>12721</t>
  </si>
  <si>
    <t>2021-01-18 09:11:00</t>
  </si>
  <si>
    <t>Prestación de servicios profesionales para apoyar desde el componente social, el desarrollo de los proyectos programados para la gestión catastral</t>
  </si>
  <si>
    <t>21221</t>
  </si>
  <si>
    <t>91221</t>
  </si>
  <si>
    <t>169421, 194821, 310821, 355621, 421521, 515921, 589921</t>
  </si>
  <si>
    <t>42838621, 61039521, 92606121, 117233821, 144694521, 183415621, 224544421</t>
  </si>
  <si>
    <t>12821</t>
  </si>
  <si>
    <t>2021-01-18 09:12:00</t>
  </si>
  <si>
    <t>Prestación de servicios profesionales para la gestión, control y seguimiento a los procesos catastrales de formación, actualización y conservación catastral con enfoque multipropósito</t>
  </si>
  <si>
    <t>21321</t>
  </si>
  <si>
    <t>47321, 47421</t>
  </si>
  <si>
    <t>122921, 211421</t>
  </si>
  <si>
    <t>254221, 313121, 321621, 322021, 361821, 376321, 409021, 409821, 486721, 489121, 550821, 584721</t>
  </si>
  <si>
    <t>69383921, 93144921, 97074821, 97202021, 118860221, 123416921, 141023921, 141682621, 175140521, 176149121, 209385821, 219712521</t>
  </si>
  <si>
    <t>12921</t>
  </si>
  <si>
    <t>2021-01-18 09:13:00</t>
  </si>
  <si>
    <t>Prestación de servicios profesionales para la atención, control y seguimiento a las peticiones presentadas en el área asignada.</t>
  </si>
  <si>
    <t>21421</t>
  </si>
  <si>
    <t>99921</t>
  </si>
  <si>
    <t>176621, 242321, 319021, 389221, 425721, 518021</t>
  </si>
  <si>
    <t>47671221, 65503221, 96248421, 127353721, 145829521, 184177421</t>
  </si>
  <si>
    <t>2021-01-18 09:14:00</t>
  </si>
  <si>
    <t>Prestación de servicios profesionales para ejecutar las actividades requeridas para el cumplimiento del IGAC en los temas relacionados con la política de atención y reparación a víctimas, restitución de tierras y formalización de
acuerdo a las compet</t>
  </si>
  <si>
    <t>21521</t>
  </si>
  <si>
    <t>13321</t>
  </si>
  <si>
    <t>83421</t>
  </si>
  <si>
    <t>161121, 196121, 280121, 339121, 401721, 476821, 547321</t>
  </si>
  <si>
    <t>40879621, 61354521, 82246921, 111298221, 138912221, 171421321, 207321821</t>
  </si>
  <si>
    <t>13121</t>
  </si>
  <si>
    <t>2021-01-18 09:16:00</t>
  </si>
  <si>
    <t>Prestación de servicios profesionales para adelantar las actividades asociadas al cumplimiento de la Política de Atención y Reparación Integral a las Victimas, Restitución de Tierras en el marco de las competencias del IGAC, desde
el componente técni</t>
  </si>
  <si>
    <t>21621</t>
  </si>
  <si>
    <t>23421</t>
  </si>
  <si>
    <t>95121</t>
  </si>
  <si>
    <t>173421, 258721, 318921, 367821, 424421, 484821, 578221</t>
  </si>
  <si>
    <t>44411121, 70413421, 95629621, 120823421, 145791221, 174764421, 217489921</t>
  </si>
  <si>
    <t>13221</t>
  </si>
  <si>
    <t>2021-01-18 09:17:00</t>
  </si>
  <si>
    <t>Prestación de servicios profesionales para realizar las actividades requeridas en cuanto a la documentación, seguimiento y reporte de la implementación la política de atención y reparación integral a las víctimas, restitución de
tierras, y política</t>
  </si>
  <si>
    <t>33221</t>
  </si>
  <si>
    <t>90221</t>
  </si>
  <si>
    <t>169921, 185221, 279421, 338921, 403821, 481721, 546421</t>
  </si>
  <si>
    <t>42535421, 56665821, 81951721, 111296921, 139069721, 173799321, 207260621</t>
  </si>
  <si>
    <t>2021-01-18 09:18:00</t>
  </si>
  <si>
    <t>Prestación de servicios profesionales para el seguimiento, control, análisis y generación de informes del estado de la información gráfica digital y catastral y la verificación de la calidad de las bases catastrales corporativas.</t>
  </si>
  <si>
    <t>34621, 34721</t>
  </si>
  <si>
    <t>146021, 146321</t>
  </si>
  <si>
    <t>262121, 262621, 284821, 287021, 360321, 362821, 407521, 407621, 490921, 491021, 598021, 598221</t>
  </si>
  <si>
    <t>70767221, 70770221, 85402321, 85864821, 117887421, 118874721, 120540921, 140733821, 140735921, 176330221, 176430921, 224154821, 224174321</t>
  </si>
  <si>
    <t>13421</t>
  </si>
  <si>
    <t>2021-01-18 09:19:00</t>
  </si>
  <si>
    <t>Prestación de servicios profesionales para gestionar, controlar y hacer seguimiento de la información alfanumérica y gráfica de los procesos catastrales</t>
  </si>
  <si>
    <t>21921</t>
  </si>
  <si>
    <t>46921</t>
  </si>
  <si>
    <t>152521</t>
  </si>
  <si>
    <t>263921, 287321, 359621, 407721, 490321, 558521, 595621</t>
  </si>
  <si>
    <t>70774521, 85879621, 117860521, 140824621, 176292721, 211312421, 222218821</t>
  </si>
  <si>
    <t>2021-01-18 09:20:00</t>
  </si>
  <si>
    <t>Prestación de servicios profesionales para realizar los análisis estadísticos y econométricos de información catastral requeridos para el desarrollo del Proyecto de "Actualización y gestión catastral Nacional"</t>
  </si>
  <si>
    <t>22021</t>
  </si>
  <si>
    <t>41621</t>
  </si>
  <si>
    <t>151321</t>
  </si>
  <si>
    <t>262321, 285321, 359721, 407021, 491221, 557721, 597121</t>
  </si>
  <si>
    <t>70768221, 85419121, 117866821, 140696121, 176431521, 211284521, 223999721</t>
  </si>
  <si>
    <t>2021-01-18 09:21:00</t>
  </si>
  <si>
    <t>Prestación de servicios para la generación de productos de la información alfanumérica catastral en el marco del Proyecto de "Actualización y gestión catastral Nacional"</t>
  </si>
  <si>
    <t>22121</t>
  </si>
  <si>
    <t>39821</t>
  </si>
  <si>
    <t>150721</t>
  </si>
  <si>
    <t>261421, 287121, 360221, 407921, 488121</t>
  </si>
  <si>
    <t>70620721, 85866321, 117885721, 140827521, 175484921</t>
  </si>
  <si>
    <t>2021-01-18 09:26:00</t>
  </si>
  <si>
    <t>Prestación de servicios profesionales para la programación, control y seguimiento presupuestal y financiero del proyecto de inversión "Actualización y gestión catastral Nacional"</t>
  </si>
  <si>
    <t>32321</t>
  </si>
  <si>
    <t>97321</t>
  </si>
  <si>
    <t>174821, 240821, 292221, 355821, 427321, 517821, 574821</t>
  </si>
  <si>
    <t>45411021, 63859421, 87057621, 117238721, 145914621, 184167321, 215187821</t>
  </si>
  <si>
    <t>2021-01-18 09:27:00</t>
  </si>
  <si>
    <t>Prestación de servicios profesionales para gestionar la etapa preparatoria, registro, verificación y publicación de los trámites contractuales programados en el marco del proyecto de inversión "Actualización y gestión catastral
Nacional".</t>
  </si>
  <si>
    <t>26621</t>
  </si>
  <si>
    <t>93321</t>
  </si>
  <si>
    <t>172621, 197121, 305321, 361721, 456021, 512221, 593921</t>
  </si>
  <si>
    <t>43860921, 62164721, 90998421, 118858921, 157441621, 182147121, 222214821</t>
  </si>
  <si>
    <t>2021-01-18 09:28:00</t>
  </si>
  <si>
    <t>Prestación de servicios profesionales para apoyar la formulación, actualización, seguimiento y reporte del proyecto de inversión "Actualización y gestión catastral Nacional" y las metas de su competencia.</t>
  </si>
  <si>
    <t>31421</t>
  </si>
  <si>
    <t>104821</t>
  </si>
  <si>
    <t>181421, 254121, 283321, 338421, 404921, 471321, 550421</t>
  </si>
  <si>
    <t>52002521, 69381921, 85016321, 110980521, 139713321, 168441121, 209379021</t>
  </si>
  <si>
    <t>2021-01-18 09:33:00</t>
  </si>
  <si>
    <t>Compra y calibración de cintas métricas (patrón) metálicas de 20 metros por un ente acreditado</t>
  </si>
  <si>
    <t>70621</t>
  </si>
  <si>
    <t>272921</t>
  </si>
  <si>
    <t>379121</t>
  </si>
  <si>
    <t>123755121</t>
  </si>
  <si>
    <t>2021-01-18 09:35:00</t>
  </si>
  <si>
    <t>Prestación de servicios para la publicación de los actos administrativos de la entidad en el diario oficial</t>
  </si>
  <si>
    <t>22921</t>
  </si>
  <si>
    <t>68821</t>
  </si>
  <si>
    <t>364421</t>
  </si>
  <si>
    <t>464021, 529521</t>
  </si>
  <si>
    <t>161115421, 187312721</t>
  </si>
  <si>
    <t>2021-01-18 09:37:00</t>
  </si>
  <si>
    <t>Prestación de servicios profesionales para el seguimiento y control de los proyectos de gestión catastral con enfoque multipropósito.</t>
  </si>
  <si>
    <t>23021</t>
  </si>
  <si>
    <t>31721</t>
  </si>
  <si>
    <t>88021</t>
  </si>
  <si>
    <t>165921, 198621, 301221, 360821, 419121, 472621, 512921, 580421</t>
  </si>
  <si>
    <t>41134321, 62513321, 89686321, 89936821, 117962221, 144389121, 168504221, 171373821, 182388721, 218176321</t>
  </si>
  <si>
    <t>14321</t>
  </si>
  <si>
    <t>2021-01-18 09:39:00</t>
  </si>
  <si>
    <t>Prestación de servicios profesionales para apoyar el componente jurídico en los proyectos de Gestión Catastral desarrollados por el IGAC</t>
  </si>
  <si>
    <t>23121</t>
  </si>
  <si>
    <t>85621</t>
  </si>
  <si>
    <t>163821, 200221, 287921, 355721, 426121, 522221, 549321</t>
  </si>
  <si>
    <t>41157621, 62867521, 86134221, 117235721, 145839421, 185295621, 208939721</t>
  </si>
  <si>
    <t>14421</t>
  </si>
  <si>
    <t>2021-01-18 09:40:00</t>
  </si>
  <si>
    <t>Prestación de servicios profesionales para la coordinación y ejecución de actividades de procesamiento, análisis y generación de productos geográficos y alfanuméricos requeridos para la gestión catastral, así como la
documentación de los procedimient</t>
  </si>
  <si>
    <t>23221</t>
  </si>
  <si>
    <t>61621</t>
  </si>
  <si>
    <t>217821</t>
  </si>
  <si>
    <t>326621, 370521, 406421, 489221, 565521</t>
  </si>
  <si>
    <t>98373421, 121327021, 140637721, 176152421, 212859921</t>
  </si>
  <si>
    <t>14521</t>
  </si>
  <si>
    <t>2021-01-18 09:41:00</t>
  </si>
  <si>
    <t>Prestación de servicios profesionales para orientar y controlar, la operación de los proyectos de Gestión Catastral adelantados por el IGAC</t>
  </si>
  <si>
    <t>23321</t>
  </si>
  <si>
    <t>35121, 45721</t>
  </si>
  <si>
    <t>123721, 142121</t>
  </si>
  <si>
    <t>253721, 253821, 284721, 313221, 319621, 364321, 368421, 405921, 406321, 484721, 490821, 555421, 589821</t>
  </si>
  <si>
    <t>69344821, 69351121, 85406621, 93148421, 96362021, 120544721, 121266321, 139733521, 140632221, 174762121, 176328821, 210185921, 225704421</t>
  </si>
  <si>
    <t>16521</t>
  </si>
  <si>
    <t>14621</t>
  </si>
  <si>
    <t>2021-01-18 09:42:00</t>
  </si>
  <si>
    <t>Prestación de servicios profesionales para la elaboración, seguimiento y control del desarrollo del componente económico de los proyectos de Gestión Catastral ejecutados por el IGAC</t>
  </si>
  <si>
    <t>14721</t>
  </si>
  <si>
    <t>2021-01-18 09:43:00</t>
  </si>
  <si>
    <t>Prestación de servicios profesionales para el desarrollo del componente social requerido de los procesos de gestión catastral desarrollados por el IGAC</t>
  </si>
  <si>
    <t>23521</t>
  </si>
  <si>
    <t>90421</t>
  </si>
  <si>
    <t>168421, 240521, 314121, 388221, 453621, 517921, 592221</t>
  </si>
  <si>
    <t>41443021, 63525321, 93546921, 127299221, 152991521, 184171621, 226236321</t>
  </si>
  <si>
    <t>2021-01-18 09:45:00</t>
  </si>
  <si>
    <t>Prestación de servicios profesionales para el desarrollo, validación e implementación de las metodologías de valoración, aplicables a los procesos de catastrales con enfoque multipropósito</t>
  </si>
  <si>
    <t>72521, 72621, 72721</t>
  </si>
  <si>
    <t>226521, 228221, 230021</t>
  </si>
  <si>
    <t>332821, 335321, 336221, 375321, 375521, 380721, 433921, 437421, 440021, 509021, 509421, 520521, 555621, 562321, 592121</t>
  </si>
  <si>
    <t>107509221, 109227721, 109255321, 123354521, 123355421, 124563521, 146680621, 147583921, 148248021, 181721321, 181727321, 185100221, 210207821, 211965121, 226233621</t>
  </si>
  <si>
    <t>2021-01-18 09:46:00</t>
  </si>
  <si>
    <t>Prestación de servicios profesionales para realizar el análisis de la información generada en los proyectos adelantados por el área, que permitan la implementación de mejoras en los aspectos técnicos y operativos del proceso de
gestión catastral</t>
  </si>
  <si>
    <t>23921</t>
  </si>
  <si>
    <t>90621</t>
  </si>
  <si>
    <t>168821, 197221, 303421, 390121, 431121, 518921</t>
  </si>
  <si>
    <t>42568821, 62165521, 90744421, 127430121, 146605421, 184479221</t>
  </si>
  <si>
    <t>15021</t>
  </si>
  <si>
    <t>2021-01-18 10:08:00</t>
  </si>
  <si>
    <t>0400</t>
  </si>
  <si>
    <t>Prestación de servicios profesionales para avalar la consolidación y calidad de los productos generados de cobertura y uso de la tierra de acuerdo los lineamientos y metas de la Subdirección de Agrología.</t>
  </si>
  <si>
    <t>31021, 46821</t>
  </si>
  <si>
    <t>117321, 155421</t>
  </si>
  <si>
    <t>190621, 267321, 278121, 310321, 334021, 338321, 398721, 398821, 469321, 470821, 542421, 545721</t>
  </si>
  <si>
    <t>59820021, 73470821, 80053521, 92601921, 109027621, 110980121, 137203121, 137203621, 167155921, 168395721, 200128121, 204884321</t>
  </si>
  <si>
    <t>AGROLOGIA</t>
  </si>
  <si>
    <t>2021-01-18 10:09:00</t>
  </si>
  <si>
    <t>Prestación de servicios profesionales para la interpretación, control de calidad inicial y consolidación de información de cobertura de la tierra o geomorfología, de acuerdo a los lineamientos y metas de la Subdirección de Agrología.</t>
  </si>
  <si>
    <t>44321</t>
  </si>
  <si>
    <t>115821</t>
  </si>
  <si>
    <t>189521, 275021, 332321, 403321, 470621, 542821</t>
  </si>
  <si>
    <t>59615221, 79333721, 107027321, 139034921, 168390521, 200896321</t>
  </si>
  <si>
    <t>2021-01-18 10:13:00</t>
  </si>
  <si>
    <t>Prestación de servicios profesionales para la interpretación de cobertura y uso de la tierra, geomorfología y elaboración de cartografía temática de los proyectos de la Subdirección de Agrología.</t>
  </si>
  <si>
    <t>29721, 39521, 39621, 53021, 61421</t>
  </si>
  <si>
    <t>110821, 110921, 155121, 156321, 169921</t>
  </si>
  <si>
    <t>190921, 191021, 266721, 266921, 273121, 274021, 274421, 310121, 317421, 334121, 334321, 335121, 337921, 383921, 399621, 401521, 401921, 403121, 404721, 468021, 468721, 470721, 471021, 473221, 536321, 539421, 545321, 545921, 563521</t>
  </si>
  <si>
    <t>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t>
  </si>
  <si>
    <t>15321</t>
  </si>
  <si>
    <t>2021-01-18 10:14:00</t>
  </si>
  <si>
    <t>Prestación de servicios profesionales para asignación, elaboración y consolidación de información fotogramétrica de los diferentes proyectos que adelante la Subdirección de Agrología</t>
  </si>
  <si>
    <t>44221</t>
  </si>
  <si>
    <t>115921</t>
  </si>
  <si>
    <t>189621, 275121, 333521, 404021, 471521, 539121</t>
  </si>
  <si>
    <t>59623321, 79278821, 108463121, 139072721, 168451421, 198650421</t>
  </si>
  <si>
    <t>2021-01-18 10:18:00</t>
  </si>
  <si>
    <t>Prestación de servicios profesionales para avalar la calidad de la información cartográfica, alfanumérica y geoespacial, en los diferentes proyectos que adelante la Subdirección de Agrología, bajo estándares de la Infraestructura de
Datos Espaciales</t>
  </si>
  <si>
    <t>29621</t>
  </si>
  <si>
    <t>96221</t>
  </si>
  <si>
    <t>174021, 186121, 278221, 341721, 401421, 475521, 541121</t>
  </si>
  <si>
    <t>44436321, 57492921, 80056521, 112513921, 138899121, 169737021, 199418721</t>
  </si>
  <si>
    <t>15521</t>
  </si>
  <si>
    <t>2021-01-18 10:20:00</t>
  </si>
  <si>
    <t>Prestación de servicios profesionales para la gestión, planeación, preparación y control de calidad de la producción cartográfica y alfanumérica de los diferentes proyectos que se adelantan en la Subdirección de Agrología</t>
  </si>
  <si>
    <t>54721</t>
  </si>
  <si>
    <t>113621</t>
  </si>
  <si>
    <t>188221, 315121, 332221, 399421, 468821, 542321</t>
  </si>
  <si>
    <t>58628921, 94336321, 107026021, 137995321, 167136921, 200127721</t>
  </si>
  <si>
    <t>15621</t>
  </si>
  <si>
    <t>2021-01-18 10:21:00</t>
  </si>
  <si>
    <t>Prestación de servicios profesionales para la implementación de sistemas de información geográfica en la estructuración y consolidación de productos cartográficos de los diferentes proyectos que adelante la Subdirección de
Agrología.</t>
  </si>
  <si>
    <t>29521, 39721</t>
  </si>
  <si>
    <t>90021, 105921</t>
  </si>
  <si>
    <t>168621, 181121, 190821, 273221, 279621, 333421, 334421, 398321, 401321, 472821, 474721, 541021, 597521</t>
  </si>
  <si>
    <t>41488921, 51998821, 59861921, 78377421, 82145221, 108462321, 109041921, 137113521, 138869621, 169223721, 169633221, 199414721, 224104221</t>
  </si>
  <si>
    <t>15721</t>
  </si>
  <si>
    <t>2021-01-18 10:22:00</t>
  </si>
  <si>
    <t>Prestación de servicios personales para la delineación y depuración digital de información cartográfica y alfanumérica generada en los proyectos que se desarrollan en la Subdirección de Agrología</t>
  </si>
  <si>
    <t>44421, 61521</t>
  </si>
  <si>
    <t>121621, 208021</t>
  </si>
  <si>
    <t>196821, 276921, 315021, 333821, 334921, 398621, 399921, 471421, 473021, 539221, 539621</t>
  </si>
  <si>
    <t>61647721, 79931021, 94333721, 108476221, 109217421, 137201621, 138001221, 168448121, 169195121, 198651721, 198654921</t>
  </si>
  <si>
    <t>15821</t>
  </si>
  <si>
    <t>2021-01-18 10:23:00</t>
  </si>
  <si>
    <t>Prestación de servicios profesionales para el seguimiento y control de la validez de los resultados analíticos, confirmación y validación de las metodologías de acuerdo con la normatividad vigente de competencia técnica en el GIT
Laboratorio Naciona</t>
  </si>
  <si>
    <t>26421</t>
  </si>
  <si>
    <t>69721</t>
  </si>
  <si>
    <t>108821, 187021, 278521, 335721, 398521, 471621, 542921</t>
  </si>
  <si>
    <t>29023221, 58194821, 80065921, 109240221, 137120521, 168465821, 200897021</t>
  </si>
  <si>
    <t>15921</t>
  </si>
  <si>
    <t>2021-01-18 10:24:00</t>
  </si>
  <si>
    <t>Prestación de servicios profesionales para la ejecución de análisis de mediana complejidad, registro de información y aplicación de controles de calidad en el GIT Laboratorio Nacional de Suelos</t>
  </si>
  <si>
    <t>19421, 19521</t>
  </si>
  <si>
    <t>68821, 69521</t>
  </si>
  <si>
    <t>108521, 160521, 165521, 240121, 240321, 277921, 279721, 334621, 335921, 399721, 403921, 467421, 467921, 539021, 539521</t>
  </si>
  <si>
    <t>31085421, 41131021, 63455721, 63472721, 80044221, 82161521, 109053321, 109248021, 137998621, 139071121, 167056821, 167095721, 198649321, 198654421</t>
  </si>
  <si>
    <t>2021-01-18 10:25:00</t>
  </si>
  <si>
    <t>Prestación de servicios personales para la ejecución de análisis básicos y aplicación de controles de calidad en el GIT Laboratorio Nacional de Suelos</t>
  </si>
  <si>
    <t>23121, 23221, 23321</t>
  </si>
  <si>
    <t>68121, 69421, 83021</t>
  </si>
  <si>
    <t>108421, 157821, 160621, 180421, 186921, 187621, 277821, 280221, 280321, 336121, 338021, 338821, 397921, 399321, 400321, 470521, 472221, 472421, 537721</t>
  </si>
  <si>
    <t>28965221, 40608621, 40740321, 51993921, 58193921, 58201421, 80042921, 82248021, 82810921, 109251321, 110975821, 111289821, 136522321, 137994421, 138006821, 168388721, 168478921, 168501821, 195869221</t>
  </si>
  <si>
    <t>16121</t>
  </si>
  <si>
    <t>2021-01-18 10:26:00</t>
  </si>
  <si>
    <t>Prestación de servicios profesionales para realizar el control de calidad, seguimiento, validación y programación analítica garantizando el cumplimiento oportuno de la prestación de servicios de análisis en el área de Biología del GIT
Laboratorio Nac</t>
  </si>
  <si>
    <t>26521</t>
  </si>
  <si>
    <t>80921</t>
  </si>
  <si>
    <t>158221, 183721, 280921, 337621, 401621, 472121, 546321</t>
  </si>
  <si>
    <t>40628921, 56386621, 83460821, 110971321, 138908621, 168458621, 207245021</t>
  </si>
  <si>
    <t>2021-01-18 10:28:00</t>
  </si>
  <si>
    <t>Prestación de servicios personales para ejecutar el programa de aseguramiento metrológico de los equipos e instrumentos conforme a los requisitos de la Norma ISO 17025, en el GIT Laboratorio Nacional de Suelos</t>
  </si>
  <si>
    <t>30221</t>
  </si>
  <si>
    <t>127521</t>
  </si>
  <si>
    <t>240421, 305721, 336021, 398421, 468321, 541521</t>
  </si>
  <si>
    <t>63488121, 91015521, 109249821, 137114521, 167119021, 199486021</t>
  </si>
  <si>
    <t>16321</t>
  </si>
  <si>
    <t>2021-01-18 10:30:00</t>
  </si>
  <si>
    <t>Prestación de servicios personales para realizar la preparación y manejo de muestras de suelos, aguas, compost y tejido vegetal en el GIT Laboratorio Nacional de Suelos.</t>
  </si>
  <si>
    <t>28821</t>
  </si>
  <si>
    <t>79121</t>
  </si>
  <si>
    <t>156521, 248921, 281621, 334521, 402821, 465621, 546121</t>
  </si>
  <si>
    <t>37071121, 67380521, 83434421, 109043621, 138986321, 165516621, 165542821, 204885021</t>
  </si>
  <si>
    <t>16421</t>
  </si>
  <si>
    <t>2021-01-18 10:31:00</t>
  </si>
  <si>
    <t>Prestación de servicios personales para realizar el lavado y alistamiento de la instrumentación requerida para la ejecución de análisis en el GIT Laboratorio Nacional de Suelos</t>
  </si>
  <si>
    <t>28921, 29021</t>
  </si>
  <si>
    <t>73221, 78821</t>
  </si>
  <si>
    <t>155921, 156421, 181021, 249421, 278321, 278421, 337421, 337721, 400121, 400221, 469221, 470421, 542621, 543121</t>
  </si>
  <si>
    <t>37052221, 37076221, 51997921, 67410121, 80061721, 80064321, 110349221, 110968821, 138004721, 138005421, 167155521, 168387221, 200129121, 200898821</t>
  </si>
  <si>
    <t>2021-01-18 10:32:00</t>
  </si>
  <si>
    <t>Prestación de servicios personales para implementar y ejecutar las actividades de control ambiental bajo la Norma ISO 14001 y manejo de residuos en el GIT Laboratorio Nacional de Suelos</t>
  </si>
  <si>
    <t>36321</t>
  </si>
  <si>
    <t>142821</t>
  </si>
  <si>
    <t>254921, 278021, 335521, 397821, 472921, 541421</t>
  </si>
  <si>
    <t>69475421, 80048421, 109238521, 136519321, 169194121, 199472421</t>
  </si>
  <si>
    <t>16621</t>
  </si>
  <si>
    <t>2021-01-18 10:33:00</t>
  </si>
  <si>
    <t>Prestación de servicios profesionales para realizar el levantamiento de suelos y capacidad de uso de las tierras en los proyectos que adelanta la Subdirección de Agrología</t>
  </si>
  <si>
    <t>24121, 24221, 40621, 53821, 53921, 63521, 63821</t>
  </si>
  <si>
    <t>67321, 67621, 115321, 169621, 169721, 208221, 208321</t>
  </si>
  <si>
    <t>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t>
  </si>
  <si>
    <t>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t>
  </si>
  <si>
    <t>16721</t>
  </si>
  <si>
    <t>2021-01-18 10:36:00</t>
  </si>
  <si>
    <t>Prestación de servicios profesionales para realizar el levantamiento de suelos y diligenciamiento de la base de datos de observaciones de suelos de los proyectos de la Subdirección de Agrología</t>
  </si>
  <si>
    <t>47221, 63621, 63721</t>
  </si>
  <si>
    <t>104921, 169521, 172321</t>
  </si>
  <si>
    <t>180621, 276821, 277021, 279821, 334221, 334721, 338121, 402521, 404121, 450621, 471821, 472721, 476021, 544221, 544921, 568021</t>
  </si>
  <si>
    <t>51994821, 79904921, 79932321, 82159121, 109038121, 109055821, 110976721, 138976921, 139074521, 151987821, 168468821, 169187921, 170378621, 201392421, 204869621, 213421421</t>
  </si>
  <si>
    <t>16821</t>
  </si>
  <si>
    <t>2021-01-18 10:37:00</t>
  </si>
  <si>
    <t>Prestación de servicios profesionales para realizar el control de calidad de la interacción de la información de los levantamientos de suelos y aplicaciones agrologicas a nivel nacional</t>
  </si>
  <si>
    <t>38521</t>
  </si>
  <si>
    <t>113321</t>
  </si>
  <si>
    <t>191521, 279321, 337521, 404621, 472521, 542221</t>
  </si>
  <si>
    <t>60857421, 81931821, 110357221, 139702821, 140730421, 168503121, 200127221</t>
  </si>
  <si>
    <t>16921</t>
  </si>
  <si>
    <t>2021-01-18 10:38:00</t>
  </si>
  <si>
    <t>Prestación de servicios profesionales para apoyar las actividades de fortalecimiento institucional del proceso agrologico mediante la formulación e implementación de lineamientos de ejecución, seguimiento y control.</t>
  </si>
  <si>
    <t>42921</t>
  </si>
  <si>
    <t>105721</t>
  </si>
  <si>
    <t>190721, 279521, 335021, 402621, 475221, 545021</t>
  </si>
  <si>
    <t>59853821, 82144421, 109221921, 138982021, 169646221, 204873821</t>
  </si>
  <si>
    <t>2021-01-18 10:40:00</t>
  </si>
  <si>
    <t>Prestación de servicios profesionales para la implementación del sistema de gestión documental SIGAC a nivel nacional</t>
  </si>
  <si>
    <t>26021</t>
  </si>
  <si>
    <t>55621</t>
  </si>
  <si>
    <t>172421</t>
  </si>
  <si>
    <t>279921, 318121, 360421, 423021, 489021, 581521</t>
  </si>
  <si>
    <t>82245921, 95558321, 117893321, 144934721, 176143521, 219073321</t>
  </si>
  <si>
    <t>17121</t>
  </si>
  <si>
    <t>2021-01-18 10:41:00</t>
  </si>
  <si>
    <t>Prestación de servicios profesionales para realizar actividades de apoyo a los procesos administrativos que adelanta la Subdirección de Agrología</t>
  </si>
  <si>
    <t>19821</t>
  </si>
  <si>
    <t>87521</t>
  </si>
  <si>
    <t>164621, 179321, 273721, 331221, 396621, 467721, 542021</t>
  </si>
  <si>
    <t>41120221, 50753821, 78776021, 106458321, 134969521, 167082421, 200125421</t>
  </si>
  <si>
    <t>2021-01-18 10:42:00</t>
  </si>
  <si>
    <t>Prestación de servicios personales para realizar la digitación y consolidación de la información agrológica, acorde con los estándares de control de calidad de la entidad.</t>
  </si>
  <si>
    <t>50221</t>
  </si>
  <si>
    <t>105021</t>
  </si>
  <si>
    <t>180821, 275921, 335821, 403621, 475021, 544721</t>
  </si>
  <si>
    <t>51996321, 79321521, 109243421, 139046921, 169644621, 203823421</t>
  </si>
  <si>
    <t>17321</t>
  </si>
  <si>
    <t>2021-01-18 10:44:00</t>
  </si>
  <si>
    <t>Prestación de servicios para el manejo de la información que genere la subdirección de agrología en el desarrollo de sus proyectos.</t>
  </si>
  <si>
    <t>19921</t>
  </si>
  <si>
    <t>67421</t>
  </si>
  <si>
    <t>105821, 180921, 272521, 330721, 396721, 468121, 542121, 604221</t>
  </si>
  <si>
    <t>25616621, 51997121, 77525821, 105289621, 134970821, 167105321, 200125821, 225421921</t>
  </si>
  <si>
    <t>17421</t>
  </si>
  <si>
    <t>2021-01-18 10:45:00</t>
  </si>
  <si>
    <t>Prestación de servicios personales para la organización de información edafológica y de capacidad de uso de las tierras dentro de los procesos de levantamientos de suelos y aplicaciones agrológicas.</t>
  </si>
  <si>
    <t>25921</t>
  </si>
  <si>
    <t>67721</t>
  </si>
  <si>
    <t>106121, 179521, 270821, 331321, 398221, 468521, 540621</t>
  </si>
  <si>
    <t>29909221, 50755221, 76448521, 106465021, 137103521, 167123821, 198786921</t>
  </si>
  <si>
    <t>17521</t>
  </si>
  <si>
    <t>2021-01-18 10:46:00</t>
  </si>
  <si>
    <t>Prestación de servicios profesionales para realizar actividades de control y seguimiento gestión, que requieren los planes, proyectos y metas de la Subdirección de Agrología</t>
  </si>
  <si>
    <t>2021-01-18 10:47:00</t>
  </si>
  <si>
    <t>Prestación de servicios profesionales para gestionar la etapa preparatoria de las solicitudes de bienes, servicios y/o obras públicas, así como registro, verificación y publicación de los trámites contractuales dentro de las plataformas</t>
  </si>
  <si>
    <t>19721</t>
  </si>
  <si>
    <t>72521</t>
  </si>
  <si>
    <t>156621, 160721, 180721, 270921, 330621, 398121, 474821, 540921</t>
  </si>
  <si>
    <t>40935521, 51995721, 76448821, 105288321, 137101921, 169640821, 199408421</t>
  </si>
  <si>
    <t>17721</t>
  </si>
  <si>
    <t>2021-01-18 10:57:00</t>
  </si>
  <si>
    <t>Prestación de servicios profesionales para gestionar, ejecutar y hacer seguimiento a las tareas de mantenimiento y atención de incidentes relacionadas con el editor gráfico de los sistemas de información de la oficina de informática y
telecomunicacio</t>
  </si>
  <si>
    <t>24821</t>
  </si>
  <si>
    <t>52321</t>
  </si>
  <si>
    <t>153221</t>
  </si>
  <si>
    <t>264921, 323721, 373521, 444221, 506921, 582221</t>
  </si>
  <si>
    <t>70940621, 98370521, 122300121, 149813321, 180881521, 219116321</t>
  </si>
  <si>
    <t>2021-01-18 10:58:00</t>
  </si>
  <si>
    <t>Prestación de servicios profesionales para realizar actividades de operación, soporte y desarrollo relacionados con la gestión del Sistema Nacional de Catastro.</t>
  </si>
  <si>
    <t>24921</t>
  </si>
  <si>
    <t>41121</t>
  </si>
  <si>
    <t>149921</t>
  </si>
  <si>
    <t>264821, 307621, 363821, 440521, 508021, 591821</t>
  </si>
  <si>
    <t>71601621, 92580121, 120527821, 148295321, 181467621, 226224621</t>
  </si>
  <si>
    <t>2021-01-18 10:59:00</t>
  </si>
  <si>
    <t>25021</t>
  </si>
  <si>
    <t>18021</t>
  </si>
  <si>
    <t>2021-01-18 11:00:00</t>
  </si>
  <si>
    <t>25121</t>
  </si>
  <si>
    <t>18121</t>
  </si>
  <si>
    <t>2021-01-18 11:02:00</t>
  </si>
  <si>
    <t>25221</t>
  </si>
  <si>
    <t>18221</t>
  </si>
  <si>
    <t>2021-01-18 11:03:00</t>
  </si>
  <si>
    <t>Prestación de servicios profesionales para diseñar, construir y mantener nuevas funcionalidades en PL/SQL para la operación del Sistema Nacional de Catastro</t>
  </si>
  <si>
    <t>25321</t>
  </si>
  <si>
    <t>43121</t>
  </si>
  <si>
    <t>174821</t>
  </si>
  <si>
    <t>282321, 304221, 385221, 470321, 524121</t>
  </si>
  <si>
    <t>89650721, 90957121, 127044321, 168382621, 171518821, 187307421</t>
  </si>
  <si>
    <t>18321</t>
  </si>
  <si>
    <t>2021-01-18 11:04:00</t>
  </si>
  <si>
    <t>Prestación de servicios profesionales para orientar y ejecutar actividades relacionadas con el componente geográfico de los sistemas de información y para la operación del Sistema Nacional de Catastro.</t>
  </si>
  <si>
    <t>25421</t>
  </si>
  <si>
    <t>18421</t>
  </si>
  <si>
    <t>2021-01-18 11:06:00</t>
  </si>
  <si>
    <t>Prestación de servicios profesionales para orientar, ejecutar, tramitar y controlar las tareas relativas al soporte técnico y temático de los sistemas de información para la operación del Sistema Nacional de Catastro.</t>
  </si>
  <si>
    <t>25521</t>
  </si>
  <si>
    <t>43221</t>
  </si>
  <si>
    <t>135821</t>
  </si>
  <si>
    <t>247821, 282621, 359221, 458321, 481421, 594521</t>
  </si>
  <si>
    <t>67166021, 84837821, 117504121, 157589321, 173786821, 226376521</t>
  </si>
  <si>
    <t>18521</t>
  </si>
  <si>
    <t>2021-01-18 11:08:00</t>
  </si>
  <si>
    <t>Prestación de servicios profesionales para realizar actividades de soporte técnico y temático de los sistemas de información para la operación del Sistema Nacional de Catastro</t>
  </si>
  <si>
    <t>25621</t>
  </si>
  <si>
    <t>43021, 43321</t>
  </si>
  <si>
    <t>151621, 152121</t>
  </si>
  <si>
    <t>262921, 263421, 288021, 324121, 343621, 385921, 404821, 447721, 475321, 514221, 546221, 570221</t>
  </si>
  <si>
    <t>70770621, 70772421, 86135421, 98370921, 114357421, 127068621, 139711321, 150288721, 169647021, 182695721, 207233821, 214438721</t>
  </si>
  <si>
    <t>18621</t>
  </si>
  <si>
    <t>2021-01-18 11:10:00</t>
  </si>
  <si>
    <t>Prestación de servicios profesionales para analizar e implementar la arquitectura de sistemas de información georeferenciados de la entidad y para la operación del sistema de catastro multipropósito.</t>
  </si>
  <si>
    <t>25721</t>
  </si>
  <si>
    <t>18721</t>
  </si>
  <si>
    <t>2021-01-18 11:12:00</t>
  </si>
  <si>
    <t>Prestación de servicios profesionales para orientar y ejecutar actividades de levantamiento de información, desarrollo y mantenimiento del gestor de procesos y del componente web de los sistemas de información y aplicativos
para la operación del</t>
  </si>
  <si>
    <t>25821</t>
  </si>
  <si>
    <t>55821</t>
  </si>
  <si>
    <t>134721</t>
  </si>
  <si>
    <t>246021, 302221, 415221, 457721, 526121, 580521</t>
  </si>
  <si>
    <t>66496421, 90549721, 143115621, 157490721, 187309321, 218180321</t>
  </si>
  <si>
    <t>18821</t>
  </si>
  <si>
    <t>2021-01-18 15:36:00</t>
  </si>
  <si>
    <t>56221</t>
  </si>
  <si>
    <t>173821</t>
  </si>
  <si>
    <t>281321, 318021, 455321, 455421, 522121, 597921</t>
  </si>
  <si>
    <t>83444921, 95526821, 157393921, 157394921, 185256221, 226452121</t>
  </si>
  <si>
    <t>18921</t>
  </si>
  <si>
    <t>2021-01-18 15:39:00</t>
  </si>
  <si>
    <t>Prestación de servicios profesionales para especificar, mantener y/o desarrollar funcionalidades para el sistema de captura de información en campo y ajustes a los sistemas de información de la entidad</t>
  </si>
  <si>
    <t>24721</t>
  </si>
  <si>
    <t>43721</t>
  </si>
  <si>
    <t>143021</t>
  </si>
  <si>
    <t>255121, 276121, 393221, 437621, 471221, 546921</t>
  </si>
  <si>
    <t>69504221, 79329421, 130363221, 147745821, 168437621, 207310721</t>
  </si>
  <si>
    <t>19021</t>
  </si>
  <si>
    <t>2021-01-18 16:07:00</t>
  </si>
  <si>
    <t>Prestación de servicios profesionales para orientar y ejecutar actividades relacionadas con el componente geográfico de los sistemas de información y para la operación del Sistema Nacional de Catastro</t>
  </si>
  <si>
    <t>48521</t>
  </si>
  <si>
    <t>149821</t>
  </si>
  <si>
    <t>264621, 314521, 385421, 452921, 520021</t>
  </si>
  <si>
    <t>70940521, 93579021, 127054521, 152455621, 184771921</t>
  </si>
  <si>
    <t>19221</t>
  </si>
  <si>
    <t>2021-01-18 17:07:00</t>
  </si>
  <si>
    <t>0510</t>
  </si>
  <si>
    <t>Prestación de servicios profesionales para actuar como auxiliares de la justicia y en la ejecución de avalúos IVP, de acuerdo a los procesos que le sean asignados.</t>
  </si>
  <si>
    <t>22221</t>
  </si>
  <si>
    <t>48021, 48121</t>
  </si>
  <si>
    <t>113221, 115521</t>
  </si>
  <si>
    <t>191421, 191921, 282921, 292921, 348321, 358821, 410021, 410321, 477721, 482421, 558721, 561521</t>
  </si>
  <si>
    <t>60855121, 60895321, 84853421, 87281821, 115480721, 117499121, 141686521, 141687721, 171781821, 174665721, 211316121, 211763121</t>
  </si>
  <si>
    <t>CATASTRO AVALUOS</t>
  </si>
  <si>
    <t>19321</t>
  </si>
  <si>
    <t>2021-01-18 17:09:00</t>
  </si>
  <si>
    <t>Prestación de servicios profesionales para adelantar el control de calidad de los avalúos asignados, así como la elaboración de avalúos comerciales e IVP</t>
  </si>
  <si>
    <t>22321</t>
  </si>
  <si>
    <t>72821</t>
  </si>
  <si>
    <t>167421, 192221, 284521, 349321, 409221, 481221, 558121</t>
  </si>
  <si>
    <t>41005821, 60974921, 85398721, 115490021, 141659121, 173251621, 211300321</t>
  </si>
  <si>
    <t>19421</t>
  </si>
  <si>
    <t>2021-01-19 00:00:00</t>
  </si>
  <si>
    <t>2021-01-19 08:01:00</t>
  </si>
  <si>
    <t>Prestación de servicios profesionales para adelantar los avalúos comerciales que le sean asignados a nivel nacional</t>
  </si>
  <si>
    <t>24021</t>
  </si>
  <si>
    <t>53621, 53721, 54021, 54121, 62121</t>
  </si>
  <si>
    <t>251621, 480621, 500221, 505021, 506321</t>
  </si>
  <si>
    <t>357721, 571021, 584821, 591321, 595921, 596321</t>
  </si>
  <si>
    <t>117445421, 214663121, 219835821, 226135121, 226435421, 226436221</t>
  </si>
  <si>
    <t>19521</t>
  </si>
  <si>
    <t>2021-01-19 08:03:00</t>
  </si>
  <si>
    <t>Prestación de servicios profesionales para adelantar los avalúos comerciales asignados, de acuerdo a la programación establecida.</t>
  </si>
  <si>
    <t>24121</t>
  </si>
  <si>
    <t>18921, 39121, 39221, 46721</t>
  </si>
  <si>
    <t>74421, 84521, 106421, 144321</t>
  </si>
  <si>
    <t>152421, 163421, 182521, 242421, 245021, 245221, 256821, 285421, 298421, 302621, 302721, 341521, 366721, 367521, 385621, 408021, 448321, 448621, 451521, 482721, 505321, 513621, 514021, 562821, 569621, 570621, 582421</t>
  </si>
  <si>
    <t>34987221, 41165221, 55201121, 65506721, 66013721, 66126821, 70938821, 85421621, 89025921, 90568721, 90594621, 112506821, 120604221, 120818021, 127059221, 140831521, 150302121, 150305421, 151999421, 174723621, 179857721, 182421621, 182692221, 212072321, 214333321, 214466321, 219122621</t>
  </si>
  <si>
    <t>19621</t>
  </si>
  <si>
    <t>2021-01-19 08:04:00</t>
  </si>
  <si>
    <t>Prestación de servicios profesionales para realizar el control de calidad y el apoyo técnico de los avalúos adelantados por el IGAC</t>
  </si>
  <si>
    <t>24221</t>
  </si>
  <si>
    <t>32121, 32821, 41521, 45421, 45621</t>
  </si>
  <si>
    <t>72721, 78021, 119921, 120021, 123421</t>
  </si>
  <si>
    <t>110521, 155621, 187321, 194121, 194221, 194421, 199521, 283021, 283121, 285721, 286021, 287621, 338221, 345321, 346921, 349021, 359121, 359321, 408321, 408421, 408621, 409321, 409521, 477521, 478821, 478921, 481121, 481521, 550521, 550621, 557521, 557921, 558321</t>
  </si>
  <si>
    <t>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t>
  </si>
  <si>
    <t>2021-01-19 08:05:00</t>
  </si>
  <si>
    <t>Prestación de servicios profesionales para ejercer como auxiliares de la justicia y en la elaboración de avalúos comerciales que le sean asignados en el marco del Proyecto de inversión "Actualización y gestión catastral Nacional".</t>
  </si>
  <si>
    <t>50421, 50521, 50621, 50721</t>
  </si>
  <si>
    <t>111421, 130121, 133821, 141221</t>
  </si>
  <si>
    <t>186021, 242121, 245121, 252621, 282821, 285521, 285821, 286321, 342221, 352321, 358721, 360021, 408221, 408921, 409121, 410221, 477821, 479321, 479521, 481621, 548921, 558421, 558621, 559121</t>
  </si>
  <si>
    <t>57485621, 65483721, 66045521, 69151921, 84842921, 85570421, 85591821, 85598521, 112530221, 115961121, 117497521, 117882921, 140832521, 141022121, 141039221, 141687321, 171782621, 172837221, 172845321, 173796421, 208537421, 211305621, 211309821, 211329121</t>
  </si>
  <si>
    <t>2021-01-19 08:06:00</t>
  </si>
  <si>
    <t>Prestación de servicios para apoyar la atención y trámite de las solicitudes de avalúos y de requerimientos de información relacionados con la ejecución de avalúos</t>
  </si>
  <si>
    <t>24421</t>
  </si>
  <si>
    <t>58721</t>
  </si>
  <si>
    <t>144221</t>
  </si>
  <si>
    <t>256721, 297221, 357421, 408521, 479121, 559321</t>
  </si>
  <si>
    <t>70938721, 88167121, 117438421, 140855721, 172832421, 211351921</t>
  </si>
  <si>
    <t>2021-01-19 18:52:00</t>
  </si>
  <si>
    <t>Suministro de combustible para el funcionamiento de los vehículos del Instituto Geográfico Agustín Codazzi a nivel nacional</t>
  </si>
  <si>
    <t>341121</t>
  </si>
  <si>
    <t>443321, 486421, 547521</t>
  </si>
  <si>
    <t>164089221, 175136121, 207447921</t>
  </si>
  <si>
    <t>2021-01-19 19:27:00</t>
  </si>
  <si>
    <t>Prestación de servicios profesionales para realizar el seguimiento y control a la ejecución de avalúos, así como el desarrollo de las actividades requeridas para el cumplimiento de los contratos de avalúos suscritos</t>
  </si>
  <si>
    <t>22421</t>
  </si>
  <si>
    <t>47921</t>
  </si>
  <si>
    <t>149021</t>
  </si>
  <si>
    <t>260121, 286621, 357821, 410521, 485421, 570521</t>
  </si>
  <si>
    <t>70415721, 85601821, 117448321, 141866521, 174774921, 214450821</t>
  </si>
  <si>
    <t>2021-01-20 00:00:00</t>
  </si>
  <si>
    <t>2021-01-20 13:59:00</t>
  </si>
  <si>
    <t>VIATICOS Y GASTOS DE COMISION PROYECTO DE AVALUOS</t>
  </si>
  <si>
    <t>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t>
  </si>
  <si>
    <t>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t>
  </si>
  <si>
    <t>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t>
  </si>
  <si>
    <t>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t>
  </si>
  <si>
    <t>2421, 3221, 3821, 10821, 13421, 16921</t>
  </si>
  <si>
    <t>2021-01-21 00:00:00</t>
  </si>
  <si>
    <t>2021-01-21 08:59:00</t>
  </si>
  <si>
    <t>Prestación de servicios profesionales para orientar y realizar las actividades de soporte técnico de las plataformas de la oficina de informática y telecomunicaciones</t>
  </si>
  <si>
    <t>30521</t>
  </si>
  <si>
    <t>81521</t>
  </si>
  <si>
    <t>159721, 195621, 293721, 353421, 411721, 495821, 557321</t>
  </si>
  <si>
    <t>40914021, 61067621, 87710721, 116001121, 142370621, 177137921, 211279921</t>
  </si>
  <si>
    <t>2021-01-21 09:00:00</t>
  </si>
  <si>
    <t>Prestación de servicios profesionales para gestionar la infraestructura tecnológica, plataforma de inteligencia de negocios y bases de datos de la entidad.</t>
  </si>
  <si>
    <t>44721</t>
  </si>
  <si>
    <t>131221</t>
  </si>
  <si>
    <t>243721, 295021, 363521, 455821, 522621, 564821</t>
  </si>
  <si>
    <t>65685721, 87716521, 120530121, 157399721, 187305921, 212831021</t>
  </si>
  <si>
    <t>2021-01-21 09:02:00</t>
  </si>
  <si>
    <t>prestación de servicios profesionales para orientar y realizar la gestión de la infraestructura tecnológica y seguridad informática que soportan los sistemas de la entidad</t>
  </si>
  <si>
    <t>34321</t>
  </si>
  <si>
    <t>107421</t>
  </si>
  <si>
    <t>183421, 248321, 326321, 383521, 450121, 524721, 590521</t>
  </si>
  <si>
    <t>55198621, 67300621, 98373121, 126837421, 151949721, 187307921, 225749621</t>
  </si>
  <si>
    <t>2021-01-21 09:03:00</t>
  </si>
  <si>
    <t>Prestación de servicios profesionales para llevar a cabo la operación, monitoreo y soporte técnico a las infraestructuras tecnológicas asignadas por la oficina de informática y telecomunicaciones</t>
  </si>
  <si>
    <t>44621</t>
  </si>
  <si>
    <t>134921</t>
  </si>
  <si>
    <t>246221, 297921, 356121, 423421, 498221, 556821</t>
  </si>
  <si>
    <t>66840021, 88378721, 117277221, 144948121, 177681421, 211244521</t>
  </si>
  <si>
    <t>2021-01-21 09:06:00</t>
  </si>
  <si>
    <t>Prestación de servicios profesionales para realizar el mantenimiento de la red regulada y el cableado estructurado de la entidad a nivel nacional</t>
  </si>
  <si>
    <t>49421</t>
  </si>
  <si>
    <t>134321</t>
  </si>
  <si>
    <t>245621, 298221, 355421, 425121, 502521, 558921</t>
  </si>
  <si>
    <t>66486921, 89021221, 117220121, 145809621, 179457321, 211323421</t>
  </si>
  <si>
    <t>2021-01-21 09:08:00</t>
  </si>
  <si>
    <t>Prestación de servicios profesionales para realizar actividades de operación, soporte, mantenimiento y monitoreo a las plataformas tecnológicas, equipos periféricos (Impresoras, Plotter, Escáner entre otros), según lo niveles de
servicio establecido</t>
  </si>
  <si>
    <t>2021-01-21 09:13:00</t>
  </si>
  <si>
    <t>Prestación de servicios para la revisión, compilación y validación de los datos de campo y calculados de gravimetría y geomagnetismo para su vinculación a la base de datos unificados</t>
  </si>
  <si>
    <t>101221</t>
  </si>
  <si>
    <t>177921, 269421, 312421, 380121, 439521, 501621, 580821</t>
  </si>
  <si>
    <t>48991921, 75908921, 92832821, 124520221, 148130821, 178850021, 218304721</t>
  </si>
  <si>
    <t>2021-01-21 09:15:00</t>
  </si>
  <si>
    <t>Prestación de servicios profesionales para la evaluación del control y seguimiento al funcionamiento y modernización efectiva de la red geodésica nacional</t>
  </si>
  <si>
    <t>59621</t>
  </si>
  <si>
    <t>199421</t>
  </si>
  <si>
    <t>308821, 311421, 312321, 365121, 421621, 512521, 583721</t>
  </si>
  <si>
    <t>92809221, 92831221, 120576321, 144660221, 182321121, 219203421</t>
  </si>
  <si>
    <t>2021-01-21 09:16:00</t>
  </si>
  <si>
    <t>Prestación de servicios para la preparación de insumos, validación, y digitación de la información levantada en campo</t>
  </si>
  <si>
    <t>2021-01-21 09:17:00</t>
  </si>
  <si>
    <t>Prestación de servicios profesionales para realizar las actividades de cálculo de proyectos GNSS y demás asignados.</t>
  </si>
  <si>
    <t>19021, 19121</t>
  </si>
  <si>
    <t>103421, 111321</t>
  </si>
  <si>
    <t>180321, 185921, 252721, 258421, 300621, 312021, 375721, 378521, 428721, 428921, 501221, 507621, 581821, 583821</t>
  </si>
  <si>
    <t>51987021, 57477421, 61613421, 69155221, 70412721, 89653621, 92825321, 123383621, 123696921, 145952921, 145956921, 178834621, 181451821, 219099821, 219204921</t>
  </si>
  <si>
    <t>2021-01-21 09:19:00</t>
  </si>
  <si>
    <t>Prestación de servicio para realizar actividades de mantenimiento, materialización y cálculo de redes geodésicas locales y estaciones de mantenimiento continuo.</t>
  </si>
  <si>
    <t>33121, 33421</t>
  </si>
  <si>
    <t>111621, 119821</t>
  </si>
  <si>
    <t>186221, 194021, 254721, 254821, 300721, 304521, 375221, 378821, 426521, 426721, 501121, 507521, 583921, 584021</t>
  </si>
  <si>
    <t>57495221, 61028621, 69467121, 69469521, 89662121, 90997921, 123353521, 123727321, 145886621, 145920021, 178833821, 181450421, 219207421, 219209021</t>
  </si>
  <si>
    <t>2021-01-21 09:20:00</t>
  </si>
  <si>
    <t>Prestación de servicios profesionales para gestionar, administrar y monitorear la red regulada y el cableado estructurado de la entidad a nivel nacional.</t>
  </si>
  <si>
    <t>42621</t>
  </si>
  <si>
    <t>140921</t>
  </si>
  <si>
    <t>252321, 316621, 366921, 426821, 515321, 589621</t>
  </si>
  <si>
    <t>69144721, 95454321, 120606621, 145900921, 183381621, 225481421</t>
  </si>
  <si>
    <t>Prestación de servicios profesionales para el seguimiento al proceso de implementación de los servicios ntrip vrs</t>
  </si>
  <si>
    <t>18421, 20221</t>
  </si>
  <si>
    <t>114321</t>
  </si>
  <si>
    <t>187721, 265821, 310921, 365221, 418721, 498421, 584521</t>
  </si>
  <si>
    <t>58202921, 71673621, 92607321, 120577021, 144364121, 177741521, 219223421</t>
  </si>
  <si>
    <t>2021-01-21 09:22:00</t>
  </si>
  <si>
    <t>Prestación de servicios profesionales para analizar y desarrollar componentes de software en plataforma ORACLE.</t>
  </si>
  <si>
    <t>42221, 42321</t>
  </si>
  <si>
    <t>151121, 152621</t>
  </si>
  <si>
    <t>261821, 264021, 332521, 391421, 394121, 404521, 466221, 466321, 527321, 544421, 605021</t>
  </si>
  <si>
    <t>70625121, 70774821, 107435621, 128839121, 131279221, 139702421, 165739321, 165740321, 187310521, 203823121, 228499521</t>
  </si>
  <si>
    <t>2021-01-21 09:23:00</t>
  </si>
  <si>
    <t>Prestación de Servicios Profesionales para realizar actividades de operación, soporte, mantenimiento y monitoreo a las plataformas tecnológicas</t>
  </si>
  <si>
    <t>42521</t>
  </si>
  <si>
    <t>135221</t>
  </si>
  <si>
    <t>246521, 293421, 348221, 424821, 502121, 556121</t>
  </si>
  <si>
    <t>67090321, 87483221, 115476321, 145803421, 179451121, 210344421</t>
  </si>
  <si>
    <t>Prestación de servicios para la captura y procesamiento de coordenadas, elaboración de levantamientos topográficos y clasificación de campo, de acuerdo con las especificaciones de conformidad con los lineamientos establecidos</t>
  </si>
  <si>
    <t>17621, 17821, 20521, 20721, 20821</t>
  </si>
  <si>
    <t>100221, 100321, 100621, 100921, 101021</t>
  </si>
  <si>
    <t>176921, 177021, 177321, 177621, 177721, 264521, 265321, 265421, 266321, 267721, 286721, 286821, 315521, 315621, 320321, 343921, 344421, 344521, 345621, 345921, 411321, 411421, 412921, 413021, 418121, 483221, 483321, 483421, 483521, 483621, 557121, 557221, 557421, 558021, 597621</t>
  </si>
  <si>
    <t>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t>
  </si>
  <si>
    <t>2021-01-21 09:24:00</t>
  </si>
  <si>
    <t>Prestación de servicios profesionales para gestionar, administrar y operar la infraestructura tecnológica de las plataformas Windows, virtualización y almacenamiento de la entidad</t>
  </si>
  <si>
    <t>69621</t>
  </si>
  <si>
    <t>217621</t>
  </si>
  <si>
    <t>326421, 389921, 458221, 522821, 591021</t>
  </si>
  <si>
    <t>98373321, 127425621, 157588221, 187306121, 225869221</t>
  </si>
  <si>
    <t>2021-01-21 09:25:00</t>
  </si>
  <si>
    <t>Prestación de servicios para realizar actividades de administración, soporte y monitoreo de las plataformas basadas en software libre adoptadas por la entidad.</t>
  </si>
  <si>
    <t>49221</t>
  </si>
  <si>
    <t>154921</t>
  </si>
  <si>
    <t>265921, 311621, 380521, 453321, 527521, 590921</t>
  </si>
  <si>
    <t>71680621, 92820721, 124538521, 152468021, 187310721, 225797721</t>
  </si>
  <si>
    <t>2021-01-21 09:26:00</t>
  </si>
  <si>
    <t>Prestación de servicio para realizar la revisión y reparación de los componentes eléctricos y electrónicos de las estaciones magna-eco para su instalación en campo</t>
  </si>
  <si>
    <t>32221</t>
  </si>
  <si>
    <t>113421</t>
  </si>
  <si>
    <t>187921, 276021, 319321, 327921, 378721, 428621, 517721, 581721</t>
  </si>
  <si>
    <t>58210021, 79323521, 96320421, 99336521, 123709621, 145928621, 184165221, 219097721</t>
  </si>
  <si>
    <t>Prestación de servicios profesionales para brindar soporte de primer nivel, generar estadísticas de operación y realizar pruebas a los sistemas de información de la oficina de informática y telecomunicaciones</t>
  </si>
  <si>
    <t>57421</t>
  </si>
  <si>
    <t>137921</t>
  </si>
  <si>
    <t>247521, 306921, 381521, 449321, 504321, 570021</t>
  </si>
  <si>
    <t>67153721, 92570721, 126811421, 151858621, 179480921, 214437221</t>
  </si>
  <si>
    <t>2021-01-21 09:27:00</t>
  </si>
  <si>
    <t>Prestación de servicios para realizar la gestión, control y seguimiento del sistema y marco de referencia geodésico nacional con GNSS</t>
  </si>
  <si>
    <t>47721</t>
  </si>
  <si>
    <t>154821</t>
  </si>
  <si>
    <t>266521, 304421, 362021, 418621, 502621, 585221</t>
  </si>
  <si>
    <t>71831021, 96251421, 118861721, 144361121, 179458721, 219731121</t>
  </si>
  <si>
    <t>2021-01-21 09:28:00</t>
  </si>
  <si>
    <t>Prestación de servicios profesionales para desarrollar, administrar y dar soporte a los componentes de los portales web y micro sitios de la entidad.</t>
  </si>
  <si>
    <t>42421</t>
  </si>
  <si>
    <t>156121</t>
  </si>
  <si>
    <t>266821, 300021, 392021, 467821, 523621, 579721</t>
  </si>
  <si>
    <t>71873021, 89634221, 129561421, 167084621, 187306921, 218072221</t>
  </si>
  <si>
    <t>2021-01-21 09:29:00</t>
  </si>
  <si>
    <t>Prestación de servicios para realizar la preparación, revisión y consolidación de datos de campo para el cálculo y ajuste de la línea de nivelación</t>
  </si>
  <si>
    <t>Prestación de servicios profesionales para desarrollar actividades referentes a la gestión y aseguramiento del cumplimiento de la estrategia de gobierno digital.</t>
  </si>
  <si>
    <t>30321</t>
  </si>
  <si>
    <t>161321</t>
  </si>
  <si>
    <t>269321, 299621, 460221, 528721, 531921</t>
  </si>
  <si>
    <t>76275721, 89060721, 157668821, 187311721, 190738121</t>
  </si>
  <si>
    <t>2021-01-21 09:30:00</t>
  </si>
  <si>
    <t>Prestación de servicios para realizar actividades de operación, soporte de solicitudes, incidentes, requerimientos y pruebas técnicas según los niveles de servicio establecidos</t>
  </si>
  <si>
    <t>42721</t>
  </si>
  <si>
    <t>135921</t>
  </si>
  <si>
    <t>246621, 293321, 359521, 423321, 499521, 552221</t>
  </si>
  <si>
    <t>67093121, 87784221, 117858821, 144937721, 177842621, 209513521</t>
  </si>
  <si>
    <t>2021-01-21 09:31:00</t>
  </si>
  <si>
    <t>Realizar el mantenimiento, patronamiento y verificación de equipos geodésicos hiper sr -hiper v y estación total os 101 para dar cumplimiento a las labores de fotocontrol y rastreo de coordenadas para el apoyo de levantamientos
topográficos</t>
  </si>
  <si>
    <t>Prestación de servicios para realizar actividades de operación, soporte de solicitudes, incidentes y requerimientos según los niveles de servicio establecidos.</t>
  </si>
  <si>
    <t>38621, 38721, 38821, 38921, 39021</t>
  </si>
  <si>
    <t>81021, 81321, 85521, 97721, 97821</t>
  </si>
  <si>
    <t>158921, 159321, 163721, 175121, 175321, 236921, 237021, 247921, 256621, 266121, 291821, 293021, 293521, 293921, 298521, 355321, 356221, 357321, 358021, 370321, 412421, 418521, 423721, 424621, 446921, 483021, 487321, 491321, 499421, 502721, 549421, 549921, 552521, 554221, 558221</t>
  </si>
  <si>
    <t>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t>
  </si>
  <si>
    <t>2021-01-21 09:32:00</t>
  </si>
  <si>
    <t>Prestación de servicios para gestionar y orientar el cumplimiento de los proyectos liderados por la Subdirección de Geografía y Cartografía</t>
  </si>
  <si>
    <t>29421</t>
  </si>
  <si>
    <t>99821</t>
  </si>
  <si>
    <t>176521, 251921, 302021, 362921, 421121, 498821, 569721</t>
  </si>
  <si>
    <t>47671021, 68994521, 90547321, 119029521, 120539021, 144463221, 177780721, 214351221</t>
  </si>
  <si>
    <t>Prestación de servicios profesionales para realizar la gestión de la seguridad informática y Perimetral de los sistemas de la entidad</t>
  </si>
  <si>
    <t>49121</t>
  </si>
  <si>
    <t>144921</t>
  </si>
  <si>
    <t>257921, 317921, 383721, 456921, 517621, 589721</t>
  </si>
  <si>
    <t>70939321, 95525321, 126839121, 157467321, 184163021, 225504021</t>
  </si>
  <si>
    <t>2021-01-21 09:33:00</t>
  </si>
  <si>
    <t>Prestación de servicios profesionales para soportar, mantener y desarrollar componentes de software de los sistemas de información de la entidad</t>
  </si>
  <si>
    <t>27021, 27121</t>
  </si>
  <si>
    <t>110021, 136821</t>
  </si>
  <si>
    <t>246921, 260721, 270621, 311121, 311221, 321821, 386021, 401221, 461321, 461721, 522721, 529821, 532521, 583221</t>
  </si>
  <si>
    <t>67113221, 70454421, 76439321, 92713521, 92716921, 98369721, 127069821, 138833921, 158479721, 158991921, 187306021, 188238421, 191494821, 219181621</t>
  </si>
  <si>
    <t>2021-01-21 09:34:00</t>
  </si>
  <si>
    <t>Prestación de servicios para la captura de coordenadas, compilación toponímica y demás procesos en campo, de acuerdo con las especificaciones de conformidad con los lineamientos establecidos.</t>
  </si>
  <si>
    <t>23621</t>
  </si>
  <si>
    <t>2021-01-21 09:35:00</t>
  </si>
  <si>
    <t>Prestación de servicios profesionales para el soporte, mantenimiento, análisis, diseño y desarrollo de los componentes web para la operación del sistema catastral.</t>
  </si>
  <si>
    <t>47821</t>
  </si>
  <si>
    <t>152221</t>
  </si>
  <si>
    <t>263621, 324821, 380021, 460121, 526521, 599321</t>
  </si>
  <si>
    <t>70773021, 98371821, 124517621, 157668121, 187309721, 228501221</t>
  </si>
  <si>
    <t>2021-01-21 09:36:00</t>
  </si>
  <si>
    <t>Prestación de servicios profesionales para prestación de servicios profesionales para el soporte, mantenimiento, análisis, diseño y desarrollo de los componentes de software en plataforma Oracle de los sistemas de la Institución.</t>
  </si>
  <si>
    <t>55721</t>
  </si>
  <si>
    <t>186121</t>
  </si>
  <si>
    <t>294121, 307421, 374221, 451021, 509621, 598121</t>
  </si>
  <si>
    <t>87713321, 92575721, 122747521, 151992821, 181729221, 226458021</t>
  </si>
  <si>
    <t>23821</t>
  </si>
  <si>
    <t>2021-01-21 09:37:00</t>
  </si>
  <si>
    <t>Prestación de servicios profesionales para llevar a cabo la administración y monitoreo de servicios de ti y plataformas basadas en software libre adoptadas por la entidad</t>
  </si>
  <si>
    <t>55521</t>
  </si>
  <si>
    <t>198821</t>
  </si>
  <si>
    <t>307321, 313921, 378921, 424721, 524421, 566621</t>
  </si>
  <si>
    <t>92574821, 93516421, 123729021, 145799121, 187307721, 212951121</t>
  </si>
  <si>
    <t>2021-01-21 09:38:00</t>
  </si>
  <si>
    <t>Prestación de servicios profesionales para realizar actividades de desarrollo, soporte y mantenimiento en los componentes WEB - JAVA y de procesos, de los sistemas de información de la Oficina de Informática y
Telecomunicaciones.</t>
  </si>
  <si>
    <t>53121</t>
  </si>
  <si>
    <t>155021</t>
  </si>
  <si>
    <t>266621, 324721, 378221, 469521, 533021, 604421</t>
  </si>
  <si>
    <t>71854321, 98371621, 123484421, 167156321, 192676321, 228499121</t>
  </si>
  <si>
    <t>2021-01-21 09:39:00</t>
  </si>
  <si>
    <t>Prestación de servicios profesionales para gestionar la etapa preparatoria de las solicitudes de bienes, servicios y/o obras Públicas, así como registro, verificación y publicación de los trámites contractuales dentro de las Plataformas</t>
  </si>
  <si>
    <t>30421</t>
  </si>
  <si>
    <t>129221</t>
  </si>
  <si>
    <t>241321, 270521, 328721, 415521, 467121, 532921</t>
  </si>
  <si>
    <t>64490021, 76283021, 100580021, 143117421, 167046721, 192672121</t>
  </si>
  <si>
    <t>2021-01-21 09:40:00</t>
  </si>
  <si>
    <t>Prestación de servicios profesionales para documentar, diseñar e implementar los flujos de información requeridos en el marco de la implementación de la política de catastro multipropósito</t>
  </si>
  <si>
    <t>62221</t>
  </si>
  <si>
    <t>202521</t>
  </si>
  <si>
    <t>311021, 384121, 454821, 517121, 590321</t>
  </si>
  <si>
    <t>92608221, 126840221, 157342321, 184151821, 225712521</t>
  </si>
  <si>
    <t>2021-01-21 09:41:00</t>
  </si>
  <si>
    <t>Prestación de servicios profesionales para soportar, mantener, analizar, diseñar, desarrollar e integrar componentes de software en el marco de la implementación de la política de catastro multipropósito</t>
  </si>
  <si>
    <t>52721</t>
  </si>
  <si>
    <t>140321</t>
  </si>
  <si>
    <t>251821, 320721, 385721, 458121, 526421, 599021</t>
  </si>
  <si>
    <t>68386021, 96693121, 127061521, 157524221, 187309621, 228500721</t>
  </si>
  <si>
    <t>2021-01-21 11:19:00</t>
  </si>
  <si>
    <t>Prestación de servicios profesionales para implementar, mantener, proponer y aplicar mejoras al sistema de gestión de seguridad de la información del igac</t>
  </si>
  <si>
    <t>19121</t>
  </si>
  <si>
    <t>47021</t>
  </si>
  <si>
    <t>156521</t>
  </si>
  <si>
    <t>267521, 327421, 402221, 461221, 529921, 580721</t>
  </si>
  <si>
    <t>73484421, 99259121, 138944121, 158477821, 188240921, 218224221</t>
  </si>
  <si>
    <t>24521</t>
  </si>
  <si>
    <t>2021-01-21 11:25:00</t>
  </si>
  <si>
    <t>Prestación de servicios de apoyo para ejecutar actividades de soporte, mantenimiento y monitoreo a la infraestructura tecnológica donde se alojan los servicios web e interoperabilidad de la entidad</t>
  </si>
  <si>
    <t>42821</t>
  </si>
  <si>
    <t>135721</t>
  </si>
  <si>
    <t>247721, 298721, 356421, 414421, 502921, 561621</t>
  </si>
  <si>
    <t>67158521, 89036921, 117297121, 143054521, 179466921, 211764821</t>
  </si>
  <si>
    <t>2021-01-21 12:01:00</t>
  </si>
  <si>
    <t>Prestación de servicios profesionales para realizar la construcción de las funcionalidades, plan de pruebas, capacitación, integración de componentes e implementación de las aplicaciones en tecnologías de información geográfica
a cargo de la oficina</t>
  </si>
  <si>
    <t>86821</t>
  </si>
  <si>
    <t>165421, 248821, 321721, 388421, 457621, 511121, 585121</t>
  </si>
  <si>
    <t>41123421, 67345921, 98369621, 127328221, 157488721, 181749321, 219717921</t>
  </si>
  <si>
    <t>2021-01-21 12:04:00</t>
  </si>
  <si>
    <t>Prestación de servicios profesionales para el análisis y levantamiento de requerimientos de los proyectos de desarrollo de aplicaciones en tecnologías de información geográfica a cargo de la oficina CIAF</t>
  </si>
  <si>
    <t>29321</t>
  </si>
  <si>
    <t>86921</t>
  </si>
  <si>
    <t>165621, 258521, 324021, 382021, 415021, 506821, 590621</t>
  </si>
  <si>
    <t>41132821, 70939521, 98370821, 126816621, 143114321, 180876421, 225743521</t>
  </si>
  <si>
    <t>2021-01-21 15:09:00</t>
  </si>
  <si>
    <t>Prestación de servicios profesionales para realizar actividades de gestión y desarrollo de los proyectos de tecnologías geoespaciales que adelante la oficina CIAF.</t>
  </si>
  <si>
    <t>29721</t>
  </si>
  <si>
    <t>32921</t>
  </si>
  <si>
    <t>95321</t>
  </si>
  <si>
    <t>173721, 249721, 307521, 378021, 451621, 522021, 587621, 587721</t>
  </si>
  <si>
    <t>44420621, 67456321, 92578321, 123478521, 152000021, 185233221, 220573821</t>
  </si>
  <si>
    <t>2021-01-21 16:05:00</t>
  </si>
  <si>
    <t>REALIZAR MANTENIMIENTO DE LAS ESTACIONES DE FUNCIONAMIENTO CONTINÚO GNSS DE LA RED MAGNA-ECO (2 CORS) EN CUNDINAMARCA Y TOLIMA</t>
  </si>
  <si>
    <t>30621</t>
  </si>
  <si>
    <t>13721, 13821, 13921</t>
  </si>
  <si>
    <t>10021, 10121, 10221</t>
  </si>
  <si>
    <t>51921, 52121, 52221</t>
  </si>
  <si>
    <t>9279521, 9280521, 9359521</t>
  </si>
  <si>
    <t>1421</t>
  </si>
  <si>
    <t>2021-01-21 17:22:00</t>
  </si>
  <si>
    <t>Prestación de servicios para realizar actividades que promuevan la gestión y disposición de los datos geográficos, cartográficos y geodésicos</t>
  </si>
  <si>
    <t>26821</t>
  </si>
  <si>
    <t>30121</t>
  </si>
  <si>
    <t>80821</t>
  </si>
  <si>
    <t>158121, 252421, 316821, 364421, 454221, 500821, 590021</t>
  </si>
  <si>
    <t>40626521, 69146021, 95461821, 120559221, 153173421, 178806021, 224558521</t>
  </si>
  <si>
    <t>2021-01-21 17:26:00</t>
  </si>
  <si>
    <t>26921</t>
  </si>
  <si>
    <t>15621, 15721, 54821</t>
  </si>
  <si>
    <t>79321, 83121, 144121</t>
  </si>
  <si>
    <t>156821, 160821, 252521, 256421, 257421, 314021, 316721, 325121, 361921, 364521, 364621, 439921, 444621, 444721, 500721, 507121, 507221, 589321, 595421, 597421</t>
  </si>
  <si>
    <t>37152421, 40741421, 69147121, 70400621, 70406121, 93522821, 95459121, 98008121, 118860921, 120561621, 120565821, 148242921, 149857221, 149878521, 178802821, 181443621, 181444821, 221040221, 222218121, 224090921</t>
  </si>
  <si>
    <t>2021-01-21 17:28:00</t>
  </si>
  <si>
    <t>27021</t>
  </si>
  <si>
    <t>92621</t>
  </si>
  <si>
    <t>170821, 253021, 295321, 357921, 419821, 482221, 556321</t>
  </si>
  <si>
    <t>42721921, 69157921, 87717221, 117450021, 144394221, 173817221, 210799021</t>
  </si>
  <si>
    <t>2021-01-21 17:30:00</t>
  </si>
  <si>
    <t>27121</t>
  </si>
  <si>
    <t>29221</t>
  </si>
  <si>
    <t>99521</t>
  </si>
  <si>
    <t>176221, 263321, 326821, 376021, 415721, 498321, 556221</t>
  </si>
  <si>
    <t>46808121, 70778921, 98242021, 123398621, 143118321, 177683621, 210797321</t>
  </si>
  <si>
    <t>2021-01-21 17:38:00</t>
  </si>
  <si>
    <t>Prestación de servicios para realizar la asignación , seguimiento y control de calidad de los procesos de producción cartográfica, de conformidad con las especificaciones técnicas y rendimientos establecidos</t>
  </si>
  <si>
    <t>27221</t>
  </si>
  <si>
    <t>23521, 23621, 23921, 24021, 26121</t>
  </si>
  <si>
    <t>65021, 91621, 96921, 97021, 107121</t>
  </si>
  <si>
    <t>102721, 169821, 173621, 174421, 174521, 183121, 252821, 252921, 254421, 257321, 303121, 314421, 319921, 325321, 369821, 370421, 371321, 377221, 388121, 416021, 419421, 422221, 423521, 461521, 495721, 499021, 499321, 499621, 568421, 568521, 568721, 569821</t>
  </si>
  <si>
    <t>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t>
  </si>
  <si>
    <t>2021-01-21 17:42:00</t>
  </si>
  <si>
    <t>Prestación de servicios para realizar la edición, estructuración e integración de la cartografía básica, de conformidad con las especificaciones técnicas establecidas.</t>
  </si>
  <si>
    <t>27321</t>
  </si>
  <si>
    <t>19621, 23821, 36821, 37121, 37221, 37321, 37421, 37521, 37621, 38221</t>
  </si>
  <si>
    <t>90821, 97121, 111021, 111121, 111221, 116021, 116121, 116221, 116921, 117121</t>
  </si>
  <si>
    <t>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t>
  </si>
  <si>
    <t>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t>
  </si>
  <si>
    <t>2021-01-21 17:44:00</t>
  </si>
  <si>
    <t>Prestación de servicios para elaborar ortoimágenes a diferentes escalas, de conformidad con las especificaciones técnicas y rendimientos establecidos.</t>
  </si>
  <si>
    <t>27421</t>
  </si>
  <si>
    <t>37721, 37821, 37921, 38021, 38121, 38321, 38421</t>
  </si>
  <si>
    <t>115621, 119621, 120921, 128121, 128221, 129421, 143321</t>
  </si>
  <si>
    <t>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t>
  </si>
  <si>
    <t>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t>
  </si>
  <si>
    <t>2021-01-21 17:47:00</t>
  </si>
  <si>
    <t>Prestación de servicios para la captura o digitalización de elementos vectoriales a diferentes escalas y dimensiones, de conformidad con las especificaciones técnicas y rendimientos establecidos.</t>
  </si>
  <si>
    <t>27521</t>
  </si>
  <si>
    <t>35321, 35421, 35521, 35621, 36221, 81121</t>
  </si>
  <si>
    <t>109821, 114921, 123521, 141721, 180521, 278521</t>
  </si>
  <si>
    <t>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t>
  </si>
  <si>
    <t>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t>
  </si>
  <si>
    <t>2021-01-22 00:00:00</t>
  </si>
  <si>
    <t>2021-01-22 08:22:00</t>
  </si>
  <si>
    <t>Prestación de servicios profesionales para apoyar a la Oficina Asesora Jurídica como enlace de la oficina asesora de planeación, en la estructuración de la defensa judicial y prevención del daño antijurídico del Instituto Geográfico
Agustín Codazzi.</t>
  </si>
  <si>
    <t>99421</t>
  </si>
  <si>
    <t>176121, 241721, 306121, 374321, 450221, 521321, 592021</t>
  </si>
  <si>
    <t>46806121, 64501321, 91027121, 122748521, 151950421, 185195421, 226230521</t>
  </si>
  <si>
    <t>2021-01-22 08:42:00</t>
  </si>
  <si>
    <t>Prestación de servicios para realizar el proceso de aerotriangulación, de conformidad con las especificaciones técnicas y rendimientos establecidos.</t>
  </si>
  <si>
    <t>27621</t>
  </si>
  <si>
    <t>18021, 18121, 18221</t>
  </si>
  <si>
    <t>84021, 89721, 89821</t>
  </si>
  <si>
    <t>161721, 168021, 168121, 199821, 199921, 241621, 291521, 292721, 292821, 360621, 360721, 363021, 414621, 414721, 415421, 480021, 482021, 482121, 573321, 573821, 597221</t>
  </si>
  <si>
    <t>40904821, 41436721, 41436821, 62692621, 62731221, 64499221, 87107021, 87259021, 87265721, 117944921, 117956421, 119061521, 120535921, 143111021, 143113121, 143116721, 173236621, 173811721, 173815121, 214666021, 214724821, 224061921</t>
  </si>
  <si>
    <t>26721</t>
  </si>
  <si>
    <t>2021-01-22 08:43:00</t>
  </si>
  <si>
    <t>Prestación de servicios profesionales para gestionar la etapa preparatoria de las solicitudes de bienes, servicio y/o obras publicas así como registro, verificación y publicación de los tramites contractuales dentro de las plataformas</t>
  </si>
  <si>
    <t>27721</t>
  </si>
  <si>
    <t>40521</t>
  </si>
  <si>
    <t>140521</t>
  </si>
  <si>
    <t>252021, 252121, 293821, 359821, 419921, 491621, 563221</t>
  </si>
  <si>
    <t>68998321, 69006321, 87712521, 117877521, 144399521, 176437921, 212296721</t>
  </si>
  <si>
    <t>2021-01-22 08:44:00</t>
  </si>
  <si>
    <t>Prestación de servicios para gestionar, realizar el control y seguimiento a la toma de fotografía aérea y consecución de insumos necesarios para producción cartográfica</t>
  </si>
  <si>
    <t>27821</t>
  </si>
  <si>
    <t>99321</t>
  </si>
  <si>
    <t>176021, 240621, 314321, 373421, 418421, 498621, 565321</t>
  </si>
  <si>
    <t>46805321, 63516121, 93567021, 122297921, 144383021, 177769521, 212853121</t>
  </si>
  <si>
    <t>2021-01-22 08:47:00</t>
  </si>
  <si>
    <t>Prestación de servicios para realizar la evaluación y procesamiento de las imágenes adquiridas o gestionadas por el IGAC</t>
  </si>
  <si>
    <t>27921</t>
  </si>
  <si>
    <t>49621, 49721</t>
  </si>
  <si>
    <t>146621, 146721</t>
  </si>
  <si>
    <t>264221, 264321, 313721, 316421, 367621, 368321, 425421, 435321, 501921, 502221, 570821, 573921</t>
  </si>
  <si>
    <t>70863321, 70863921, 93497421, 95452321, 120820821, 121261721, 145815921, 147416021, 179439121, 179452121, 214639421, 214717621</t>
  </si>
  <si>
    <t>2021-01-22 08:48:00</t>
  </si>
  <si>
    <t>Prestación de servicios para el análisis, procesamiento y caracterización de imágenes insumo para la producción cartográfica</t>
  </si>
  <si>
    <t>28021</t>
  </si>
  <si>
    <t>18321, 20121</t>
  </si>
  <si>
    <t>104721</t>
  </si>
  <si>
    <t>181321, 264421, 321521, 375421, 444121, 498021, 573521</t>
  </si>
  <si>
    <t>52001221, 70864621, 97072021, 123356521, 149810221, 177658321, 214667221</t>
  </si>
  <si>
    <t>2021-01-22 08:49:00</t>
  </si>
  <si>
    <t>Prestación de servicios como copiloto de la aeronave hk 1771-g y la gestión de apoyo en el seguimiento y continuidad de los procesos y procedimientos de operaciones aéreas de los equipos tripulados y no tripulados del igac</t>
  </si>
  <si>
    <t>28121</t>
  </si>
  <si>
    <t>2021-01-22 08:51:00</t>
  </si>
  <si>
    <t>Prestación de servicios profesionales para orientar, optimizar y gestionar los procesos de producción cartográfica, asignados de conformidad con los lineamientos establecidos</t>
  </si>
  <si>
    <t>28221</t>
  </si>
  <si>
    <t>2021-01-22 08:52:00</t>
  </si>
  <si>
    <t>Prestación de servicios para apoyar el proceso de escaneo fotogramétrico de rollos de aerofotografías análogas y compresión de imágenes</t>
  </si>
  <si>
    <t>28321</t>
  </si>
  <si>
    <t>65521, 92021, 93621</t>
  </si>
  <si>
    <t>206021, 326621</t>
  </si>
  <si>
    <t>317121, 358421, 426921, 437921, 486121, 487921, 565021, 598621</t>
  </si>
  <si>
    <t>95477521, 117477321, 145901521, 147767221, 174778721, 175470221, 212837121, 228500221</t>
  </si>
  <si>
    <t>2021-01-22 08:53:00</t>
  </si>
  <si>
    <t>28421</t>
  </si>
  <si>
    <t>43621</t>
  </si>
  <si>
    <t>150321</t>
  </si>
  <si>
    <t>261121, 322521, 382721, 422421, 500621, 567821</t>
  </si>
  <si>
    <t>70524121, 98369921, 126827221, 144908821, 178792121, 213347621</t>
  </si>
  <si>
    <t>2021-01-22 08:55:00</t>
  </si>
  <si>
    <t>Prestación de servicios para gestionar los requerimientos y procesos jurídicos que lidere la subdirección de geografía y cartografía</t>
  </si>
  <si>
    <t>28521</t>
  </si>
  <si>
    <t>35221</t>
  </si>
  <si>
    <t>107321</t>
  </si>
  <si>
    <t>183321, 257721, 293621, 357221, 456721, 525821, 562121</t>
  </si>
  <si>
    <t>55195821, 70939221, 87710221, 117331821, 157462821, 187309021, 211903621</t>
  </si>
  <si>
    <t>2021-01-22 08:56:00</t>
  </si>
  <si>
    <t>Prestación de servicios para la captura de información vectorial, de conformidad con las especificaciones técnicas y rendimientos establecidos</t>
  </si>
  <si>
    <t>28621</t>
  </si>
  <si>
    <t>17721, 18521, 21121, 21221, 21321, 21421, 21521, 79021</t>
  </si>
  <si>
    <t>106121, 106221, 106921, 108221, 108821, 108921, 113721, 282621</t>
  </si>
  <si>
    <t>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t>
  </si>
  <si>
    <t>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t>
  </si>
  <si>
    <t>2021-01-22 08:57:00</t>
  </si>
  <si>
    <t>28721</t>
  </si>
  <si>
    <t>50121, 62921, 63021, 63121, 63221, 63321</t>
  </si>
  <si>
    <t>156621, 182521, 182621, 186221, 190021, 190121</t>
  </si>
  <si>
    <t>267121, 291721, 291921, 292121, 293221, 294421, 299421, 299521, 351921, 352021, 352121, 353521, 353621, 353721, 413821, 413921, 414021, 414821, 414921, 425021, 483821, 483921, 484021, 484121, 484321, 484521, 549821, 551521, 551621, 552421, 559021, 559821</t>
  </si>
  <si>
    <t>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t>
  </si>
  <si>
    <t>2021-01-22 08:58:00</t>
  </si>
  <si>
    <t>Prestación de servicios para apoyar la generación de ortoimágenes a diferentes escalas, de conformidad con las especificaciones técnicas y rendimientos establecidos</t>
  </si>
  <si>
    <t>2021-01-22 09:00:00</t>
  </si>
  <si>
    <t>Realizar el mantenimiento de los escáneres fotogramétricos del IGAC.</t>
  </si>
  <si>
    <t>28921</t>
  </si>
  <si>
    <t>75321</t>
  </si>
  <si>
    <t>305221</t>
  </si>
  <si>
    <t>417721</t>
  </si>
  <si>
    <t>144307121</t>
  </si>
  <si>
    <t>2021-01-22 09:01:00</t>
  </si>
  <si>
    <t>Prestación de servicios para elaborar mapas y demás insumos a diferentes escalas, de conformidad con las especificaciones técnicas y rendimientos establecidos</t>
  </si>
  <si>
    <t>29021</t>
  </si>
  <si>
    <t>61021, 61121, 61221, 61321, 79421, 79521, 79621, 87021, 87121, 119921</t>
  </si>
  <si>
    <t>199621, 200121, 202221, 217221, 250121, 255721, 256021, 276721, 290521, 493621</t>
  </si>
  <si>
    <t>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t>
  </si>
  <si>
    <t>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t>
  </si>
  <si>
    <t>2021-01-22 15:36:00</t>
  </si>
  <si>
    <t>Prestación de servicios profesionales para adelantar la ejecución de los procesos de gestión catastral a cargo del IGAC, programados en la vigencia</t>
  </si>
  <si>
    <t>34521, 39421</t>
  </si>
  <si>
    <t>122821, 128721</t>
  </si>
  <si>
    <t>199121, 240921, 322621, 323421, 387421, 387721, 412821, 423621, 514421, 526621, 559221, 604621</t>
  </si>
  <si>
    <t>62568021, 63870121, 98370021, 98370421, 127269021, 127275321, 143012421, 144951621, 182709021, 187309821, 211332621, 228499321</t>
  </si>
  <si>
    <t>2021-01-22 15:39:00</t>
  </si>
  <si>
    <t>Prestación de servicios profesionales para el desarrollo del componente tecnológico requerido de los procesos de gestión catastral desarrollados por el IGAC</t>
  </si>
  <si>
    <t>26121</t>
  </si>
  <si>
    <t>103321</t>
  </si>
  <si>
    <t>179721, 244221, 299221, 393321, 448921, 524021, 583421</t>
  </si>
  <si>
    <t>51024121, 65760021, 89056221, 130364121, 150533621, 187307321, 219191521</t>
  </si>
  <si>
    <t>2021-01-22 16:36:00</t>
  </si>
  <si>
    <t>Arrendamiento de bien inmueble para el funcionamiento de la dirección territorial Casanare del Instituto Geográfico Agustín Codazzi - IGAC</t>
  </si>
  <si>
    <t>131421</t>
  </si>
  <si>
    <t>257021, 330021, 428321, 428821, 447821, 539821, 600121</t>
  </si>
  <si>
    <t>70938421, 104559821, 149822521, 149837321, 150290521, 198656421, 224396221</t>
  </si>
  <si>
    <t>2021-01-26 00:00:00</t>
  </si>
  <si>
    <t>2021-01-26 14:23:00</t>
  </si>
  <si>
    <t>REALIZAR EL LEVANTAMIENTO TOPOGRAFICO EN EL PREDIO LAS PAMPAS EN AREA RURAL DEL MUNICIPIO DE CIENAGA EN EL DEPARTAMENTO DE MAGDALENA</t>
  </si>
  <si>
    <t>31221</t>
  </si>
  <si>
    <t>15321, 15821, 15921, 16021</t>
  </si>
  <si>
    <t>15621, 16021, 16121, 16221</t>
  </si>
  <si>
    <t>58021, 58521, 58621, 58721</t>
  </si>
  <si>
    <t>10772121, 10774421, 10798121, 11015221</t>
  </si>
  <si>
    <t>2321, 2521, 4121</t>
  </si>
  <si>
    <t>2021-01-26 14:32:00</t>
  </si>
  <si>
    <t>REALIZAR LA TOMA DE AEROFOTOGRAFIA EN EL TERRITORIO NACIONAL CON BASE DE OPERACIONES EN BOGOTÁ</t>
  </si>
  <si>
    <t>31321</t>
  </si>
  <si>
    <t>16621, 16921, 17021</t>
  </si>
  <si>
    <t>21121, 21221, 21621</t>
  </si>
  <si>
    <t>61421, 61521, 61821</t>
  </si>
  <si>
    <t>12236621, 12281521, 12363221</t>
  </si>
  <si>
    <t>1721, 1821, 1921</t>
  </si>
  <si>
    <t>2021-01-28 00:00:00</t>
  </si>
  <si>
    <t>2021-01-28 12:13:00</t>
  </si>
  <si>
    <t>Prestación de servicios profesionales para el desarrollo, ajuste y documentación de las aplicaciones en tecnologías de información geográfica a cargo de la oficina CIAF.</t>
  </si>
  <si>
    <t>31621</t>
  </si>
  <si>
    <t>41321, 41421</t>
  </si>
  <si>
    <t>145121, 150821</t>
  </si>
  <si>
    <t>258321, 261521, 323121, 327321, 382421, 383821, 414121, 427121, 509821, 510821, 593021, 596021</t>
  </si>
  <si>
    <t>70621721, 70939421, 98370321, 99257321, 126820221, 126865421, 143049221, 145911721, 181731821, 181747421, 226305721, 226435821</t>
  </si>
  <si>
    <t>2021-01-28 12:15:00</t>
  </si>
  <si>
    <t>Prestación de servicios profesionales para definir, proponer e implementar metodologías, procedimientos y técnicas que incorporen el componente geoespacial en los proyectos de la jefatura CIAF</t>
  </si>
  <si>
    <t>31921</t>
  </si>
  <si>
    <t>97221</t>
  </si>
  <si>
    <t>174721, 267421, 328421, 384721, 457021, 505821, 591121</t>
  </si>
  <si>
    <t>45406821, 73473921, 100175321, 126856121, 157470821, 180799521, 225881321</t>
  </si>
  <si>
    <t>29521</t>
  </si>
  <si>
    <t>2021-01-28 12:16:00</t>
  </si>
  <si>
    <t>Prestación de servicios profesionales para realizar desarrollo, integración, mantenimiento y soporte de las aplicaciones de los proyectos en Tecnologías de Información Geográfica de la Oficina CIAF</t>
  </si>
  <si>
    <t>46021</t>
  </si>
  <si>
    <t>137421</t>
  </si>
  <si>
    <t>249121, 311321, 379921, 448521, 521821, 589421</t>
  </si>
  <si>
    <t>67377821, 92807821, 124859921, 150303421, 185206321, 221057721</t>
  </si>
  <si>
    <t>2021-01-28 12:17:00</t>
  </si>
  <si>
    <t>Prestación de servicios profesionales para el procesamiento y análisis de datos de observación de la tierra y análisis de información geográfica requeridos en los proyectos a cargo de la Oficina CIAF</t>
  </si>
  <si>
    <t>31821</t>
  </si>
  <si>
    <t>2021-01-29 00:00:00</t>
  </si>
  <si>
    <t>2021-01-29 15:30:00</t>
  </si>
  <si>
    <t>PAGO DE ARL PILOTO Y COPILOTO</t>
  </si>
  <si>
    <t>20321, 51421</t>
  </si>
  <si>
    <t>40421, 94421</t>
  </si>
  <si>
    <t>80621, 172021</t>
  </si>
  <si>
    <t>17238021, 43835421</t>
  </si>
  <si>
    <t>2021-02-01 00:00:00</t>
  </si>
  <si>
    <t>2021-02-01 08:49:00</t>
  </si>
  <si>
    <t>PRESTACIÓN DE SERVICIOS PROFESIONALES PARA REALIZAR EL ENLACE ENTRE LOS GIT GESTIÓN DE SUELOS Y APLICACIONES AGROLÓGICAS Y LABORATORIO NACIONAL DE SUELOS Y EJERCER EL CONTROL DE CALIDAD DE LOS DATOS ANALÍTICOS DE LEVANTAMIENTOS DE SUELOS.</t>
  </si>
  <si>
    <t>32421</t>
  </si>
  <si>
    <t>108421</t>
  </si>
  <si>
    <t>185021, 468621, 515621, 589021</t>
  </si>
  <si>
    <t>56638421, 167124921, 183411421, 220915421</t>
  </si>
  <si>
    <t>29921</t>
  </si>
  <si>
    <t>2021-02-03 00:00:00</t>
  </si>
  <si>
    <t>2021-02-03 12:23:00</t>
  </si>
  <si>
    <t>Adquisición de placas metálicas para materialización de puntos geodésicos</t>
  </si>
  <si>
    <t>32621</t>
  </si>
  <si>
    <t>128821</t>
  </si>
  <si>
    <t>30021</t>
  </si>
  <si>
    <t>2021-02-03 12:25:00</t>
  </si>
  <si>
    <t>Prestación de servicios de mantenimiento preventivo programado de rutina y de imprevistos, incluyendo repuestos para mantener la aeronavegabilidad del avión Twinn Commander 690A con matrícula HK117G propiedad del</t>
  </si>
  <si>
    <t>123221</t>
  </si>
  <si>
    <t>2021-02-03 14:58:00</t>
  </si>
  <si>
    <t>Prestación de servicios profesionales para realizar los diagnósticos de los límites de las entidades territoriales.</t>
  </si>
  <si>
    <t>34621</t>
  </si>
  <si>
    <t>55021, 55121, 55221</t>
  </si>
  <si>
    <t>117521, 118021, 120421</t>
  </si>
  <si>
    <t>192321, 193021, 195221, 287721, 315721, 317221, 341321, 342321, 355121, 405021, 406921, 407421, 479221, 479421, 480721, 551121, 552021, 552721</t>
  </si>
  <si>
    <t>60973321, 61005621, 61044321, 85921921, 94354521, 95498121, 112505221, 112772621, 117181521, 139713921, 140679621, 140717221, 172835221, 172843521, 173245321, 209414321, 209488921, 209906021</t>
  </si>
  <si>
    <t>2021-02-03 14:59:00</t>
  </si>
  <si>
    <t>Prestación de servicios profesionales para la toma de datos en campo de exploración, materialización , gnss, nivelación geodésica y gravimetría</t>
  </si>
  <si>
    <t>33721</t>
  </si>
  <si>
    <t>82221, 90121, 92121, 110521, 111421, 119721</t>
  </si>
  <si>
    <t>282221, 357221, 358521, 429821, 504821</t>
  </si>
  <si>
    <t>388621, 438821, 458021, 459421, 515721, 515821, 516621, 527821, 566021, 566421, 567321, 567621, 596221</t>
  </si>
  <si>
    <t>127333521, 147829421, 157514221, 157661021, 183412921, 183414721, 184125821, 187311021, 212949321, 212960321, 213270921, 214018721, 223939721</t>
  </si>
  <si>
    <t>2021-02-03 15:03:00</t>
  </si>
  <si>
    <t>Realizar el mantenimiento, patronamiento y verificación de equipos geodésicos para el fortalecimiento de la red activa, red magna eco y red de nivelación nacional.</t>
  </si>
  <si>
    <t>33621</t>
  </si>
  <si>
    <t>2021-02-03 15:05:00</t>
  </si>
  <si>
    <t>Total: 31.417.067,00 0,00 31.417.067,00
Prestación de servicios profesionales para el apoyo en la gestión de procesamiento de estaciones y control de calidad en la obtención de coordenadas, de acuerdo con las especificaciones y prioridades establecid</t>
  </si>
  <si>
    <t>33521</t>
  </si>
  <si>
    <t>50021</t>
  </si>
  <si>
    <t>153921</t>
  </si>
  <si>
    <t>265721, 300821, 362321, 421821, 502821, 584321</t>
  </si>
  <si>
    <t>71664421, 89668021, 118871021, 144676921, 179465021, 219214621</t>
  </si>
  <si>
    <t>2021-02-03 15:06:00</t>
  </si>
  <si>
    <t>Prestación de servicios para la toma de datos en campo de gravimetría y geomagnetismo.</t>
  </si>
  <si>
    <t>33421</t>
  </si>
  <si>
    <t>47521, 47621</t>
  </si>
  <si>
    <t>163121, 164821</t>
  </si>
  <si>
    <t>270721, 272421, 311921, 314221, 380321, 382621, 439721, 445321, 507921, 517021, 577321, 595321, 606821</t>
  </si>
  <si>
    <t>76439721, 77485021, 92824321, 93551121, 124545521, 126821121, 148380221, 149996021, 181463421, 184213921, 216979621, 222217921, 227522621</t>
  </si>
  <si>
    <t>2021-02-03 15:07:00</t>
  </si>
  <si>
    <t>Prestación de servicios para la generación e integración de modelos digitales de elevación, de conformidad con las especificaciones técnicas y rendimientos establecidos.</t>
  </si>
  <si>
    <t>41721, 41821, 41921, 42021</t>
  </si>
  <si>
    <t>145421, 150921, 151021, 151221</t>
  </si>
  <si>
    <t>258621, 261621, 261721, 261921, 286121, 287221, 287421, 291321, 363221, 363421, 364821, 365021, 440921, 444921, 445021, 445221, 477221, 477321, 478321, 478721, 573621, 573721, 574021, 574221</t>
  </si>
  <si>
    <t>70622721, 70623921, 70626321, 70939621, 85606121, 85869821, 85913721, 87175421, 119210221, 120505121, 120569721, 120572221, 148308821, 149911021, 149917821, 149930721, 171506321, 171533321, 171798521, 172815021, 214677221, 214716721, 214732421, 214744321</t>
  </si>
  <si>
    <t>30721</t>
  </si>
  <si>
    <t>2021-02-03 15:08:00</t>
  </si>
  <si>
    <t>Prestación de servicios como piloto al mando de la aeronave hk 1771-g y la gestión de seguimiento, control y continuidad de los procesos y procedimientos de operaciones aéreas de los equipos tripulados y no tripulados del igac</t>
  </si>
  <si>
    <t>33121</t>
  </si>
  <si>
    <t>30821</t>
  </si>
  <si>
    <t>2021-02-03 15:09:00</t>
  </si>
  <si>
    <t>Prestación de servicios para realizar el seguimiento y control de calidad de los proyectos de producción cartográfica, de acuerdo con las priorizaciones</t>
  </si>
  <si>
    <t>33021</t>
  </si>
  <si>
    <t>45921</t>
  </si>
  <si>
    <t>137221</t>
  </si>
  <si>
    <t>247021, 285621, 364921, 440721, 478421, 574121</t>
  </si>
  <si>
    <t>67118921, 85589521, 120570421, 148301621, 171799321, 214733821</t>
  </si>
  <si>
    <t>2021-02-03 15:10:00</t>
  </si>
  <si>
    <t>Prestación de servicios como técnico tla para realizar el control y seguimiento de los procesos de mantenimiento aeronáutico y suministro de combustible del avión twin turbocommander 690a con matricula hk1771g, propiedad del
igac.</t>
  </si>
  <si>
    <t>66521</t>
  </si>
  <si>
    <t>215321</t>
  </si>
  <si>
    <t>325521, 342121, 413221, 504221, 560221</t>
  </si>
  <si>
    <t>98023521, 112528421, 143019521, 179479721, 211378221</t>
  </si>
  <si>
    <t>31021</t>
  </si>
  <si>
    <t>2021-02-03 15:12:00</t>
  </si>
  <si>
    <t>Prestación de servicios para el copiado, control y organización de información resultante de los procesos de la subdirección</t>
  </si>
  <si>
    <t>32821</t>
  </si>
  <si>
    <t>61921</t>
  </si>
  <si>
    <t>154721</t>
  </si>
  <si>
    <t>266421, 300521, 367021, 423921, 485621, 598521</t>
  </si>
  <si>
    <t>71802321, 89653021, 120607721, 145113121, 174776021, 228500121</t>
  </si>
  <si>
    <t>31121</t>
  </si>
  <si>
    <t>2021-02-03 15:13:00</t>
  </si>
  <si>
    <t>Prestación de servicios para la preparación y trámite de información requerida para el desarrollo de los proyectos</t>
  </si>
  <si>
    <t>32721</t>
  </si>
  <si>
    <t>35721</t>
  </si>
  <si>
    <t>81421</t>
  </si>
  <si>
    <t>159621, 236721, 297021, 353821, 410921, 485321, 598421</t>
  </si>
  <si>
    <t>40719521, 62875121, 88166121, 116006121, 141880621, 174770921, 226459421</t>
  </si>
  <si>
    <t>2021-02-04 00:00:00</t>
  </si>
  <si>
    <t>2021-02-04 07:28:00</t>
  </si>
  <si>
    <t>Prestación de servicios para apoyar el análisis, evaluación y atención de requerimientos cartográficos relacionados con resguardos y territorios colectivos.</t>
  </si>
  <si>
    <t>33921</t>
  </si>
  <si>
    <t>46321</t>
  </si>
  <si>
    <t>142921</t>
  </si>
  <si>
    <t>255021, 302921, 355521, 425221, 507321, 559721</t>
  </si>
  <si>
    <t>69486521, 90644321, 117229721, 145810521, 181448421, 211354321</t>
  </si>
  <si>
    <t>2021-02-04 07:30:00</t>
  </si>
  <si>
    <t>Prestación de servicios para analizar, elaborar y consolidar la caracterización territorial para los municipios priorizados, desde cada uno de los procesos asignados y de conformidad con la metodología establecida.</t>
  </si>
  <si>
    <t>34021</t>
  </si>
  <si>
    <t>59221, 59321, 69421</t>
  </si>
  <si>
    <t>138321, 146421, 182221</t>
  </si>
  <si>
    <t>249521, 262821, 291421, 291621, 294721, 340821, 340921, 341421, 430221, 430421, 430621, 490021, 490421, 500921, 559921, 564721, 566921</t>
  </si>
  <si>
    <t>67414421, 70940421, 87079321, 87167321, 87715921, 112412721, 112500621, 112506221, 146565421, 146586621, 146591421, 176273321, 176294321, 178821921, 211375821, 212828821, 212957321</t>
  </si>
  <si>
    <t>2021-02-04 07:31:00</t>
  </si>
  <si>
    <t>Prestación de servicios profesionales para realizar el control de calidad de los diagnósticos de los límites de las entidades territoriales y demás proyectos asociados</t>
  </si>
  <si>
    <t>34121</t>
  </si>
  <si>
    <t>48221</t>
  </si>
  <si>
    <t>121321</t>
  </si>
  <si>
    <t>196221, 284421, 341921, 406021, 480921, 551921</t>
  </si>
  <si>
    <t>61377621, 85064721, 112527121, 140324221, 173245821, 209487421</t>
  </si>
  <si>
    <t>31521</t>
  </si>
  <si>
    <t>2021-02-04 07:32:00</t>
  </si>
  <si>
    <t>Prestación de servicios para realizar estudios y análisis de información geológica como apoyo a los procesos de la Subdirección.</t>
  </si>
  <si>
    <t>34221</t>
  </si>
  <si>
    <t>65721</t>
  </si>
  <si>
    <t>205821</t>
  </si>
  <si>
    <t>316921, 368221, 427221, 497721, 588921</t>
  </si>
  <si>
    <t>95466021, 121253921, 145912121, 177655721, 220892221</t>
  </si>
  <si>
    <t>2021-02-04 07:33:00</t>
  </si>
  <si>
    <t>Prestación de servicios profesionales para preparar, organizar diagnosticar y levantar información en campo georreferenciada y amojonamiento en aspectos relacionados con los procesos de delimitación de fronteras y límites de
entidades territoriales e</t>
  </si>
  <si>
    <t>53521, 56121</t>
  </si>
  <si>
    <t>130621, 154521</t>
  </si>
  <si>
    <t>242621, 266221, 312121, 318821, 363621, 363721, 413721, 415621, 489321, 496021, 549521, 551221</t>
  </si>
  <si>
    <t>65514321, 71743421, 92828821, 95621421, 120508621, 120513721, 143041621, 143117721, 176163521, 177147821, 209095621, 209418721</t>
  </si>
  <si>
    <t>2021-02-04 07:34:00</t>
  </si>
  <si>
    <t>Suministro de combustible tipo jet a1 para el avión twin turbocommander 690a con matricula hk1771g, propiedad del igac</t>
  </si>
  <si>
    <t>34421</t>
  </si>
  <si>
    <t>2021-02-04 07:35:00</t>
  </si>
  <si>
    <t>Servicio de mantenimiento preventivo y correctivo, incluidos los repuestos del dron ebee plus Rta/ppk</t>
  </si>
  <si>
    <t>34521</t>
  </si>
  <si>
    <t>69021</t>
  </si>
  <si>
    <t>359021</t>
  </si>
  <si>
    <t>460021, 521021</t>
  </si>
  <si>
    <t>157664921, 185147521</t>
  </si>
  <si>
    <t>2021-02-04 13:17:00</t>
  </si>
  <si>
    <t>Prestación de servicios profesionales para realizar los análisis estadísticos requeridos en el marco de los procesos de formación y actualización catastral a cargo de Instituto</t>
  </si>
  <si>
    <t>35821</t>
  </si>
  <si>
    <t>64521</t>
  </si>
  <si>
    <t>211821</t>
  </si>
  <si>
    <t>321221, 356621, 431221, 520721</t>
  </si>
  <si>
    <t>96781121, 118651621, 146641721, 185137921</t>
  </si>
  <si>
    <t>32021</t>
  </si>
  <si>
    <t>2021-02-04 13:19:00</t>
  </si>
  <si>
    <t>32121</t>
  </si>
  <si>
    <t>2021-02-04 13:21:00</t>
  </si>
  <si>
    <t>Prestar servicios profesionales para incorporar de forma puntual en la base catastral, los cambios en la información jurídica de los predios, en el marco de los procesos de fomación y actualización catastral a cargo del Instituto</t>
  </si>
  <si>
    <t>35621</t>
  </si>
  <si>
    <t>79921, 80921, 81021</t>
  </si>
  <si>
    <t>277321, 277521, 282521</t>
  </si>
  <si>
    <t>381621, 381821, 386421, 409421, 421221, 444021, 485221, 497621, 512721, 564021, 566221, 604021</t>
  </si>
  <si>
    <t>126811921, 126816121, 127242821, 141660121, 144464521, 149808721, 174770121, 177654321, 182328821, 212792721, 212947221, 225420521</t>
  </si>
  <si>
    <t>2021-02-04 13:22:00</t>
  </si>
  <si>
    <t>Prestar servicios profesionales para realizar los cruces de información de la base catastral en lo que respecta al componente jurídico, con otras fuentes de información, a fin de identificar los cambios respectivos en el marco de los
procesos de foma</t>
  </si>
  <si>
    <t>35521</t>
  </si>
  <si>
    <t>66121, 81221, 81321</t>
  </si>
  <si>
    <t>217121, 281121, 283221</t>
  </si>
  <si>
    <t>325921, 371821, 387121, 387221, 409621, 409921, 411121, 484221, 484921, 522321, 565721, 591421, 604821</t>
  </si>
  <si>
    <t>98372621, 121471321, 127261121, 127266721, 141668421, 141686121, 142041221, 174754321, 174767821, 185310921, 212935421, 226138021, 228499421</t>
  </si>
  <si>
    <t>2021-02-04 13:23:00</t>
  </si>
  <si>
    <t>Prestar servicios profesionales para realizar los cruces de información de las diferentes fuentes con la base catastral y sus respectivos análisis, como insumo para la optimización de los procesos de formación y actualización
catastral a cargo del In</t>
  </si>
  <si>
    <t>35421</t>
  </si>
  <si>
    <t>76021, 76121, 81421</t>
  </si>
  <si>
    <t>273121, 274421, 279021</t>
  </si>
  <si>
    <t>374121, 377621, 382821, 431321, 437321, 438721, 509221, 512121, 526221, 548621, 549121</t>
  </si>
  <si>
    <t>122724421, 123471421, 126827921, 146662021, 147576221, 147827321, 181722121, 182133121, 187309421, 208531521, 208571621</t>
  </si>
  <si>
    <t>2021-02-04 13:24:00</t>
  </si>
  <si>
    <t>Prestar servicios profesionales para coordinar y gestionar la consecución de fuentes de información, así como el diseño y análisis de los cruces de ésta con la base catastral, a fin de servir de insumo para la optimización de los
procesos de formació</t>
  </si>
  <si>
    <t>35321</t>
  </si>
  <si>
    <t>49921</t>
  </si>
  <si>
    <t>155321</t>
  </si>
  <si>
    <t>266021, 325421, 381921, 385021, 418221, 510321, 510521, 562921</t>
  </si>
  <si>
    <t>71700521, 98372321, 127040621, 144333421, 181744721, 212121221</t>
  </si>
  <si>
    <t>2021-02-04 13:25:00</t>
  </si>
  <si>
    <t>Prestación de servicios profesionales para liderar, articular y hacer seguimiento a la planeación y ejecucuión de las actividades necesarias para adelantar los procesos de fomación y actualización catastral a cargo del Instituto</t>
  </si>
  <si>
    <t>2021-02-04 13:26:00</t>
  </si>
  <si>
    <t>Prestación de servicios profesionales para realizar la elaboración y revisión de los documentos requeridos en el aspecto juridico, para el desarrollo de las competencias del Instituto Geográfico Agustin Codazzi-IGAC</t>
  </si>
  <si>
    <t>35021</t>
  </si>
  <si>
    <t>82721</t>
  </si>
  <si>
    <t>160421, 191621, 284121, 343721, 416521, 508921, 592521</t>
  </si>
  <si>
    <t>40911621, 60859321, 85059221, 114360421, 143126621, 181714821, 226259121</t>
  </si>
  <si>
    <t>2021-02-04 15:40:00</t>
  </si>
  <si>
    <t>Prestación de servicios profesionales para generar informes de ventas y garantizar la calidad y entrega oportuna de los productos y servicios ofertados por el Instituto.</t>
  </si>
  <si>
    <t>34721</t>
  </si>
  <si>
    <t>88421</t>
  </si>
  <si>
    <t>166721, 191821, 281421, 353321, 447121, 513121, 588221</t>
  </si>
  <si>
    <t>44204621, 60885921, 83440721, 115997621, 150017921, 182399821, 220744421</t>
  </si>
  <si>
    <t>2021-02-04 15:41:00</t>
  </si>
  <si>
    <t>Prestación de servicios profesionales para difundir, promocionar y comercializar los productos y servicios del IGAC a nivel Nacional</t>
  </si>
  <si>
    <t>2021-02-04 18:38:00</t>
  </si>
  <si>
    <t>Prestación de servicios profesionales para realizar el seguimiento y fortalecimiento del sistema de medición de la entidad acorde con el Plan Estratégico Institucional y los requerimientos del orden nacional y sectorial.</t>
  </si>
  <si>
    <t>275621</t>
  </si>
  <si>
    <t>379821, 448121, 510921, 580921</t>
  </si>
  <si>
    <t>124508521, 150296321, 181748321, 218331821</t>
  </si>
  <si>
    <t>2021-02-05 00:00:00</t>
  </si>
  <si>
    <t>2021-02-05 08:03:00</t>
  </si>
  <si>
    <t>Prestación de servicios profesionales para la gestión y atención de las actividades relacionadas con la programación, control y seguimiento, presupuestal de los rubros de funcionamiento de la Entidad</t>
  </si>
  <si>
    <t>36021</t>
  </si>
  <si>
    <t>90521</t>
  </si>
  <si>
    <t>168521, 255621, 316221, 385821, 434021, 498921, 567421</t>
  </si>
  <si>
    <t>41443421, 69661821, 95422421, 127065821, 146749921, 177781621, 212975121</t>
  </si>
  <si>
    <t>2021-02-05 08:04:00</t>
  </si>
  <si>
    <t>Prestación de servicios profesionales para formular, estructurar, evaluar y realizar el seguimiento a los planes, programas y proyectos de infraestructura física y garantizar los objetivos planteados a nivel nacional.</t>
  </si>
  <si>
    <t>37121</t>
  </si>
  <si>
    <t>92821</t>
  </si>
  <si>
    <t>171221, 254521, 323221, 386721, 455121, 516521, 585721</t>
  </si>
  <si>
    <t>43032621, 69443721, 97507921, 127248121, 157390121, 184118421, 219748521</t>
  </si>
  <si>
    <t>2021-02-05 08:06:00</t>
  </si>
  <si>
    <t>Prestación de servicios profesionales para la gestión y atención de los asuntos jurídicos y contractuales que sean competencia de la Secretaria General del Instituto Geográfico Agustín Codazzi</t>
  </si>
  <si>
    <t>35921</t>
  </si>
  <si>
    <t>40821</t>
  </si>
  <si>
    <t>131821</t>
  </si>
  <si>
    <t>244421, 244521, 313521, 374921, 454521, 500521, 567521</t>
  </si>
  <si>
    <t>65828321, 65833221, 93181421, 122812921, 153438221, 178786521, 212980321</t>
  </si>
  <si>
    <t>2021-02-05 15:27:00</t>
  </si>
  <si>
    <t>Realizar el levantamiento de fotocontrol y puntos de verificación para la elaboración y validación de productos cartográficos rurales en el departamento de Meta</t>
  </si>
  <si>
    <t>38021</t>
  </si>
  <si>
    <t>57021</t>
  </si>
  <si>
    <t>95721</t>
  </si>
  <si>
    <t>19193621</t>
  </si>
  <si>
    <t>2021-02-05 15:28:00</t>
  </si>
  <si>
    <t>Apoyar la movilidad para realizar el levantamiento de fotocontrol y puntos de verificación para la elaboración y validación de productos cartográficos rurales en el departamento de Meta</t>
  </si>
  <si>
    <t>37921</t>
  </si>
  <si>
    <t>27721, 27821, 36921, 37021</t>
  </si>
  <si>
    <t>56421, 56521, 69121, 69221</t>
  </si>
  <si>
    <t>95321, 95421, 107221, 107321</t>
  </si>
  <si>
    <t>19000521, 19002421, 27957421, 27958021</t>
  </si>
  <si>
    <t>2721, 2821, 2921, 3021</t>
  </si>
  <si>
    <t>2021-02-05 15:31:00</t>
  </si>
  <si>
    <t>37821</t>
  </si>
  <si>
    <t>56121</t>
  </si>
  <si>
    <t>95021</t>
  </si>
  <si>
    <t>18994221</t>
  </si>
  <si>
    <t>3121</t>
  </si>
  <si>
    <t>2021-02-05 15:33:00</t>
  </si>
  <si>
    <t>Realizar el levantamiento de fotocontrol y puntos de verificación para la elaboración y validación de productos cartográficos rurales en el departamento de Sucre, Córdoba y Bolívar</t>
  </si>
  <si>
    <t>37721</t>
  </si>
  <si>
    <t>57121</t>
  </si>
  <si>
    <t>95821</t>
  </si>
  <si>
    <t>19013421</t>
  </si>
  <si>
    <t>33821</t>
  </si>
  <si>
    <t>2021-02-05 15:34:00</t>
  </si>
  <si>
    <t>Apoyar la movilidad para realizar el levantamiento de fotocontrol y puntos de verificación para la elaboración y validación de productos cartográficos rurales en el departamento de Sucre, Córdoba y Bolívar</t>
  </si>
  <si>
    <t>37621</t>
  </si>
  <si>
    <t>27921, 28021</t>
  </si>
  <si>
    <t>55921, 56021</t>
  </si>
  <si>
    <t>94821, 94921</t>
  </si>
  <si>
    <t>18992521, 18993521</t>
  </si>
  <si>
    <t>3321, 4421</t>
  </si>
  <si>
    <t>2021-02-05 15:35:00</t>
  </si>
  <si>
    <t>Realizar el levantamiento de fotocontrol y puntos de verificación para la elaboración y validación de productos cartográficos rurales en el departamento de Sucre, Córdoba y Bolívar.</t>
  </si>
  <si>
    <t>37521</t>
  </si>
  <si>
    <t>56621</t>
  </si>
  <si>
    <t>95521</t>
  </si>
  <si>
    <t>19003421</t>
  </si>
  <si>
    <t>2021-02-05 15:37:00</t>
  </si>
  <si>
    <t>Realizar el levantamiento de fotocontrol y puntos de verificación para la elaboración y validación de productos cartográficos rurales en el departamento de Nariño, Caquetá y Cauca</t>
  </si>
  <si>
    <t>37421</t>
  </si>
  <si>
    <t>57221</t>
  </si>
  <si>
    <t>95921</t>
  </si>
  <si>
    <t>19194921</t>
  </si>
  <si>
    <t>2021-02-05 15:38:00</t>
  </si>
  <si>
    <t>Apoyar la movilidad para realizar el levantamiento de fotocontrol y puntos de verificación para la elaboración y validación de productos cartográficos rurales en el departamento de Nariño, Caquetá y Cauca.</t>
  </si>
  <si>
    <t>37321</t>
  </si>
  <si>
    <t>28221, 28321</t>
  </si>
  <si>
    <t>56221, 56321</t>
  </si>
  <si>
    <t>95121, 95221</t>
  </si>
  <si>
    <t>18995221, 18997321</t>
  </si>
  <si>
    <t>3421, 3521</t>
  </si>
  <si>
    <t>2021-02-05 15:39:00</t>
  </si>
  <si>
    <t>Realizar el levantamiento de fotocontrol y puntos de verificación para la elaboración y validación de productos cartográficos rurales en el departamento de Nariño, Caquetá, Cauca, Sucre, Córdoba y Bolívar.</t>
  </si>
  <si>
    <t>38121</t>
  </si>
  <si>
    <t>54521</t>
  </si>
  <si>
    <t>93921</t>
  </si>
  <si>
    <t>18604421</t>
  </si>
  <si>
    <t>3621, 3721</t>
  </si>
  <si>
    <t>2021-02-05 15:40:00</t>
  </si>
  <si>
    <t>37221</t>
  </si>
  <si>
    <t>56921</t>
  </si>
  <si>
    <t>95621</t>
  </si>
  <si>
    <t>18921321</t>
  </si>
  <si>
    <t>2021-02-05 17:12:00</t>
  </si>
  <si>
    <t>Prestación de servicios de apoyo para ejecutar actividades de soporte técnico en la mesa de servicio del Sistema Nacional Catastro</t>
  </si>
  <si>
    <t>40921, 41021</t>
  </si>
  <si>
    <t>109021, 113821</t>
  </si>
  <si>
    <t>185421, 188521, 242221, 260821, 299821, 323921, 368021, 382921, 449221, 449521, 506021, 526321, 560621, 562721</t>
  </si>
  <si>
    <t>56704021, 58636121, 65500321, 70522421, 89089021, 98370621, 121252621, 126828421, 150605421, 151862921, 180830521, 187309521, 211381421, 212069321</t>
  </si>
  <si>
    <t>2021-02-05 17:14:00</t>
  </si>
  <si>
    <t>Prestación de servicios profesionales para orientar y ejecutar las tareas de análisis y diseño en la construcción de los sistemas de información para la operación del Sistema Nacional de Catastro</t>
  </si>
  <si>
    <t>48621</t>
  </si>
  <si>
    <t>137021</t>
  </si>
  <si>
    <t>248621, 303721, 369121, 458621, 525321, 592421</t>
  </si>
  <si>
    <t>67338521, 90759821, 121290321, 157647421, 187308621, 226243021</t>
  </si>
  <si>
    <t>2021-02-05 17:15:00</t>
  </si>
  <si>
    <t>Prestación de servicios profesionales para llevar a cabo las actividades de definición, control y seguimiento, encaminados a la construcción de nuevas funcionalidades para la operación del Sistema Nacional de Catastro.</t>
  </si>
  <si>
    <t>49521</t>
  </si>
  <si>
    <t>397321</t>
  </si>
  <si>
    <t>496721, 496821</t>
  </si>
  <si>
    <t>177588421, 177597721</t>
  </si>
  <si>
    <t>2021-02-05 17:17:00</t>
  </si>
  <si>
    <t>Prestación de servicios profesionales para orientar y realizar actividades de desarrollo, administración y monitoreo de los componentes de software del sistema de transición y sistemas relacionados para la operación del Sistema
Nacional de Catastro</t>
  </si>
  <si>
    <t>2021-02-05 17:27:00</t>
  </si>
  <si>
    <t>Servicio de Transporte Especial de Pasajeros y de carga a Nivel Nacional del Instituto Geográfico Agustín Codazzi. (PROCESO TRANSVERSAL)</t>
  </si>
  <si>
    <t>34921</t>
  </si>
  <si>
    <t>93721, 94421</t>
  </si>
  <si>
    <t>2021-02-05 17:48:00</t>
  </si>
  <si>
    <t>Prestación de servicios profesionales para orientar y optimizar los procesos de producción cartográfica, asignados de conformidad con los lineamientos establecidos.</t>
  </si>
  <si>
    <t>37021</t>
  </si>
  <si>
    <t>32621, 32721</t>
  </si>
  <si>
    <t>109721, 114821</t>
  </si>
  <si>
    <t>189221, 190121, 254021, 255221, 295421, 320021, 370221, 383121, 419621, 419721, 480121, 496921, 568321, 570721, 594021</t>
  </si>
  <si>
    <t>59559221, 59651921, 69374821, 69511021, 87717421, 96381321, 121321021, 126833721, 144390821, 144412421, 173235621, 177593821, 213506121, 214502321, 222214421</t>
  </si>
  <si>
    <t>2021-02-05 17:49:00</t>
  </si>
  <si>
    <t>Prestación de servicios profesionales para gestionar, controlar y hacer seguimiento de los procesos de producción cartográfica, asignados de conformidad con los lineamientos establecidos.</t>
  </si>
  <si>
    <t>36921</t>
  </si>
  <si>
    <t>33621, 33921</t>
  </si>
  <si>
    <t>96821, 97921</t>
  </si>
  <si>
    <t>175421, 190021, 260221, 268321, 314621, 323521, 368721, 369521, 415821, 425621, 497221, 502321, 567221, 568121</t>
  </si>
  <si>
    <t>45447821, 59637821, 70417021, 74925221, 93586321, 97663421, 121282221, 121296021, 143118721, 145826821, 177634921, 179453921, 212959621, 213498021</t>
  </si>
  <si>
    <t>35121</t>
  </si>
  <si>
    <t>2021-02-05 17:52:00</t>
  </si>
  <si>
    <t>Prestación de servicios para apoyar la gestión logística de la Subdirección de Geografía y Cartografía</t>
  </si>
  <si>
    <t>36821</t>
  </si>
  <si>
    <t>2021-02-05 17:53:00</t>
  </si>
  <si>
    <t>36721</t>
  </si>
  <si>
    <t>2021-02-05 17:58:00</t>
  </si>
  <si>
    <t>Prestación de servicios para la gestión, inventario y verificación de los equipos de medición de la subdirección de geografía y cartografía</t>
  </si>
  <si>
    <t>36621</t>
  </si>
  <si>
    <t>58121</t>
  </si>
  <si>
    <t>165321</t>
  </si>
  <si>
    <t>272921, 323321, 368121, 450321, 486921, 553121</t>
  </si>
  <si>
    <t>78375421, 97509121, 121254821, 151984121, 175145521, 209924321</t>
  </si>
  <si>
    <t>2021-02-05 17:59:00</t>
  </si>
  <si>
    <t>36521</t>
  </si>
  <si>
    <t>100421</t>
  </si>
  <si>
    <t>177121, 244321, 310221, 379021, 435621, 507021, 565221</t>
  </si>
  <si>
    <t>47845521, 65825521, 92601321, 123731421, 147417321, 180897321, 212842321</t>
  </si>
  <si>
    <t>2021-02-05 18:00:00</t>
  </si>
  <si>
    <t>36421</t>
  </si>
  <si>
    <t>59421</t>
  </si>
  <si>
    <t>210221</t>
  </si>
  <si>
    <t>319221, 361321, 436321, 515521, 578721</t>
  </si>
  <si>
    <t>96311621, 118827221, 147523021, 183407721, 217995721</t>
  </si>
  <si>
    <t>2021-02-05 18:01:00</t>
  </si>
  <si>
    <t>Prestación de servicios para apoyar la generación de ortoimágenes a diferentes escalas, de conformidad con las especificaciones técnicas y rendimientos establecidos.</t>
  </si>
  <si>
    <t>46421, 46521, 46621</t>
  </si>
  <si>
    <t>126621, 126821, 127021</t>
  </si>
  <si>
    <t>200421, 236521, 236821, 273021, 273521, 273621, 330821, 331421, 332721, 396821, 396921, 403721, 468921, 469121, 470221, 537521, 537921, 538021</t>
  </si>
  <si>
    <t>62872521, 62874021, 62942621, 78375821, 78773121, 78774921, 105291521, 106468521, 107505821, 134983721, 135154121, 139068621, 167140921, 167154421, 168375621, 195857621, 195871021, 195871721</t>
  </si>
  <si>
    <t>2021-02-09 00:00:00</t>
  </si>
  <si>
    <t>2021-02-09 18:10:00</t>
  </si>
  <si>
    <t>APOYAR LA MOVILIDAD EN EL LEVANTAMIENTO TOPOGRAFICO EN EL PREDIO LAS PAMPAS EN AREA RURAL DEL MUNICIPIO DE CIENAGA EN EL DEPARTAMENTO DE MAGDALENA</t>
  </si>
  <si>
    <t>39121</t>
  </si>
  <si>
    <t>64821</t>
  </si>
  <si>
    <t>100821</t>
  </si>
  <si>
    <t>21300221</t>
  </si>
  <si>
    <t>2621</t>
  </si>
  <si>
    <t>2021-02-10 00:00:00</t>
  </si>
  <si>
    <t>2021-02-10 14:12:00</t>
  </si>
  <si>
    <t>Prestación de servicios profesionales para realizar los procesos de planeación y seguimiento al plan de acción de la dirección territorial Casanare, en el marco de los lineamientos institucionales vigentes</t>
  </si>
  <si>
    <t>38721</t>
  </si>
  <si>
    <t>73221</t>
  </si>
  <si>
    <t>221821</t>
  </si>
  <si>
    <t>328621, 387521, 476421, 523721, 578021</t>
  </si>
  <si>
    <t>100579421, 127270521, 171387521, 187307021, 217457321</t>
  </si>
  <si>
    <t>36121</t>
  </si>
  <si>
    <t>2021-02-10 14:13:00</t>
  </si>
  <si>
    <t>Prestación de servicios de apoyo a la gestión desarrollada en procesos catastrales de la dirección territorial Casanare</t>
  </si>
  <si>
    <t>217721</t>
  </si>
  <si>
    <t>326521, 387621, 479821, 523821, 578521</t>
  </si>
  <si>
    <t>98240821, 127272321, 173219721, 187307121, 217494921</t>
  </si>
  <si>
    <t>36221</t>
  </si>
  <si>
    <t>2021-02-10 14:15:00</t>
  </si>
  <si>
    <t>Prestación de servicios personales para adelantar actividades de reconocimiento predial urbano y rural, en atención a los requerimientos administrativos y judiciales del proceso de restitución de tierras en la dirección territorial Casanare</t>
  </si>
  <si>
    <t>38821</t>
  </si>
  <si>
    <t>2021-02-10 14:16:00</t>
  </si>
  <si>
    <t>Prestación de servicios personales para realizar actividades de reconocimiento predial urbano y rural para la atención de trámites en los procesos catastrales de la dirección territorial Casanare</t>
  </si>
  <si>
    <t>38621</t>
  </si>
  <si>
    <t>282321</t>
  </si>
  <si>
    <t>388921, 476321, 530421, 604321, 606721</t>
  </si>
  <si>
    <t>127348121, 171377321, 188272921, 225623121, 227519521</t>
  </si>
  <si>
    <t>2021-02-10 14:18:00</t>
  </si>
  <si>
    <t>Prestación de servicios de apoyo a la gestión en ventanilla para atención al usuario presencial y virtual en los procesos catastrales de la dirección territorial Casanare</t>
  </si>
  <si>
    <t>38421</t>
  </si>
  <si>
    <t>71321</t>
  </si>
  <si>
    <t>219621</t>
  </si>
  <si>
    <t>327721, 388321, 479721, 518621, 593321</t>
  </si>
  <si>
    <t>99298121, 127326421, 173218721, 184208421, 222213221</t>
  </si>
  <si>
    <t>2021-02-12 00:00:00</t>
  </si>
  <si>
    <t>2021-02-12 11:18:00</t>
  </si>
  <si>
    <t>REALIZAR TRABAJOS DE AEROFOTOGRAFIA CON AERONAVES NO TRIPULADAS TIPO DRON EN LOS MUNICIPIOS DE SARDINATA (NORTE DE SANTANDER), VALENCIA (CÓRDOBA) POPAYAN (CAUCA) Y CUENCA DE LA QUEBRADA YAGUILGA EN EL HUILA</t>
  </si>
  <si>
    <t>39421</t>
  </si>
  <si>
    <t>35921, 36021, 36121</t>
  </si>
  <si>
    <t>68421, 68521, 68621</t>
  </si>
  <si>
    <t>106721, 106821, 106921</t>
  </si>
  <si>
    <t>26554221, 26555421, 26584221</t>
  </si>
  <si>
    <t>2021, 4221</t>
  </si>
  <si>
    <t>2021-02-12 11:32:00</t>
  </si>
  <si>
    <t>Prestación de servicios profesionales para difundir, promocionar y comercializar los productos y servicios del IGAC a nivel Nacional.</t>
  </si>
  <si>
    <t>39521</t>
  </si>
  <si>
    <t>41221</t>
  </si>
  <si>
    <t>119121</t>
  </si>
  <si>
    <t>194521, 295121, 342721, 443721, 513021, 586121</t>
  </si>
  <si>
    <t>61033121, 87716721, 112820521, 149787621, 182398221, 219788821</t>
  </si>
  <si>
    <t>2021-02-16 00:00:00</t>
  </si>
  <si>
    <t>2021-02-16 09:04:00</t>
  </si>
  <si>
    <t>Prestación de servicios profesionales para administrar y realizar mantenimiento a los modelos y submodelos LADMCOL requeridos en la implementación de la política de catastro multipropósito, de acuerdo con los lineamientos</t>
  </si>
  <si>
    <t>39721</t>
  </si>
  <si>
    <t>51121</t>
  </si>
  <si>
    <t>141921</t>
  </si>
  <si>
    <t>253321, 313821, 370821, 407221, 486821, 550021</t>
  </si>
  <si>
    <t>69326221, 93509321, 121346521, 140707021, 175143621, 209340321</t>
  </si>
  <si>
    <t>2021-02-16 15:13:00</t>
  </si>
  <si>
    <t>Realizar la materialización de dos estación de funcionamiento continúo (CORS-GNSS) en Arauquita (Arauca) y Panamá de Arauca (Arauca) y mantenimiento correctivo a dos estaciones de funcionamiento continúo (CORS-GNSS) en Arauca (Arauca) y Yopal (Casana</t>
  </si>
  <si>
    <t>40421</t>
  </si>
  <si>
    <t>71621</t>
  </si>
  <si>
    <t>109621</t>
  </si>
  <si>
    <t>29319321</t>
  </si>
  <si>
    <t>2021-02-18 00:00:00</t>
  </si>
  <si>
    <t>2021-02-18 10:48:00</t>
  </si>
  <si>
    <t>40121</t>
  </si>
  <si>
    <t>40121, 40221, 40321</t>
  </si>
  <si>
    <t>70921, 71221, 71421</t>
  </si>
  <si>
    <t>108721, 109321, 109421</t>
  </si>
  <si>
    <t>29006921, 29150721, 29152021</t>
  </si>
  <si>
    <t>5221, 6021</t>
  </si>
  <si>
    <t>2021-02-18 15:10:00</t>
  </si>
  <si>
    <t>VIÁTICOS Y GASTOS DE COMISIÓN DE LA SUBDIRECCIÓN DE CATASTRO PARA FUNCIONARIOS Y CONTRATISTAS</t>
  </si>
  <si>
    <t>40221</t>
  </si>
  <si>
    <t>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t>
  </si>
  <si>
    <t>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t>
  </si>
  <si>
    <t>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t>
  </si>
  <si>
    <t>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t>
  </si>
  <si>
    <t>3921, 4021, 4821, 4921, 5021, 7321, 7521, 7621, 7721, 7821, 8121, 8221, 8321, 8421, 9321, 9721, 12421, 15121, 21221</t>
  </si>
  <si>
    <t>2021-02-22 00:00:00</t>
  </si>
  <si>
    <t>2021-02-22 08:11:00</t>
  </si>
  <si>
    <t>Prestación de servicios profesionales para la articulación, evaluación y control a los planes, programas y proyectos de la infraestructura física y garantizar los objetos planteados a nivel nacional del proyecto fortalecimiento de la
infraestructura</t>
  </si>
  <si>
    <t>2021-02-22 08:12:00</t>
  </si>
  <si>
    <t>Adquisición e instrucciones de instalación de equipo eyector de aguas residuales para la sede central del IGAC</t>
  </si>
  <si>
    <t>40621</t>
  </si>
  <si>
    <t>2021-02-22 10:03:00</t>
  </si>
  <si>
    <t>Prestación de servicios profesionales para la realización del modelamiento y desarrollo de la arquitectura, definiendo modelo conceptual, lógico, arquitectura física y estructura de la base de datos para la solución de software de los
proyectos en te</t>
  </si>
  <si>
    <t>39921</t>
  </si>
  <si>
    <t>55921</t>
  </si>
  <si>
    <t>214621</t>
  </si>
  <si>
    <t>324921, 325021, 384821, 440221</t>
  </si>
  <si>
    <t>98371921, 98372121, 126863021, 148263121</t>
  </si>
  <si>
    <t>2021-02-22 16:33:00</t>
  </si>
  <si>
    <t>Prestación de servicios para el mantenimiento preventivo, correctivo y suministro e instalación de repuestos, para los vehículos livianos y unidades móviles del parque automotor del IGAC a nivel nacional</t>
  </si>
  <si>
    <t>84021, 84321, 84421, 91921, 94121, 103921</t>
  </si>
  <si>
    <t>435921, 436121, 436221</t>
  </si>
  <si>
    <t>530921, 531021, 531121, 600321</t>
  </si>
  <si>
    <t>188289421, 188290821, 188408921</t>
  </si>
  <si>
    <t>2021-02-22 18:55:00</t>
  </si>
  <si>
    <t>Pago líneas móviles de la Subdirección de Geografía y Cartografía (Movistar)</t>
  </si>
  <si>
    <t>45521, 66221, 67221, 76521, 78321, 83321, 89121, 96021, 100721, 102521, 112821, 117921, 121421, 141421, 141521, 141621, 141721</t>
  </si>
  <si>
    <t>77421, 138021, 143721, 181221, 187321, 223121, 235921, 289521, 303121, 308421, 365021, 384821, 415221</t>
  </si>
  <si>
    <t>155121, 248421, 256021, 288121, 296021, 329721, 340721, 393021, 408821, 464421, 480521, 511321</t>
  </si>
  <si>
    <t>44487921, 67313621, 69779121, 87815221, 88158221, 112735421, 116003121, 130360321, 141019821, 164095621, 173240221, 181750821</t>
  </si>
  <si>
    <t>38321</t>
  </si>
  <si>
    <t>2021-02-23 00:00:00</t>
  </si>
  <si>
    <t>2021-02-23 11:38:00</t>
  </si>
  <si>
    <t>Realizar trabajos de densificación de la red geodésica nacional activa, red geodésica nacional pasiva y el levantamiento de puntos de precisión; de utilidad para la generación de productos cartográficos y geodésicos de los
municipios de Santa Rosalía</t>
  </si>
  <si>
    <t>41021</t>
  </si>
  <si>
    <t>44821, 44921</t>
  </si>
  <si>
    <t>77021, 77221</t>
  </si>
  <si>
    <t>163921, 164021</t>
  </si>
  <si>
    <t>40942221, 40943321</t>
  </si>
  <si>
    <t>2021-02-23 11:39:00</t>
  </si>
  <si>
    <t>45021, 45121, 45221, 45321</t>
  </si>
  <si>
    <t>75521, 76421, 76521, 76621</t>
  </si>
  <si>
    <t>153421, 154221, 154321, 154521</t>
  </si>
  <si>
    <t>34358621, 34790921, 34792721, 34797221</t>
  </si>
  <si>
    <t>5321, 5421, 5521, 6521, 7221</t>
  </si>
  <si>
    <t>2021-02-24 00:00:00</t>
  </si>
  <si>
    <t>2021-02-24 10:07:00</t>
  </si>
  <si>
    <t>Prestación de servicios para realizar procesos de generalización de información cartográfica para los diferentes fines.</t>
  </si>
  <si>
    <t>41421</t>
  </si>
  <si>
    <t>51721</t>
  </si>
  <si>
    <t>168221</t>
  </si>
  <si>
    <t>275821, 302521, 356821, 415321, 507821, 566321</t>
  </si>
  <si>
    <t>79319621, 90568221, 117307121, 143116121, 181460221, 212948421</t>
  </si>
  <si>
    <t>2021-02-25 00:00:00</t>
  </si>
  <si>
    <t>2021-02-25 10:20:00</t>
  </si>
  <si>
    <t>Prestación de servicios profesionales para conceptualizar, implementar y monitorear las bases de datos de los proyectos de tecnologías de información geográfica a cargo de la
oficina CIAF.</t>
  </si>
  <si>
    <t>41521</t>
  </si>
  <si>
    <t>59021</t>
  </si>
  <si>
    <t>222021</t>
  </si>
  <si>
    <t>328821, 387921, 449721, 511821, 585321</t>
  </si>
  <si>
    <t>100584421, 127281121, 151867521, 182093721, 219732421</t>
  </si>
  <si>
    <t>38921</t>
  </si>
  <si>
    <t>2021-02-25 10:21:00</t>
  </si>
  <si>
    <t>Prestación de servicios profesionales para generación de código fuente y documentación en el desarrollo de aplicaciones de los proyectos de tecnologías de información Geográfica que adelante la
oficina CIAF.</t>
  </si>
  <si>
    <t>66821</t>
  </si>
  <si>
    <t>204621</t>
  </si>
  <si>
    <t>315921, 384921, 429421, 511921, 598821</t>
  </si>
  <si>
    <t>95402421, 126864421, 146528121, 182097921, 228500521</t>
  </si>
  <si>
    <t>39021</t>
  </si>
  <si>
    <t>2021-02-25 10:22:00</t>
  </si>
  <si>
    <t>41721</t>
  </si>
  <si>
    <t>75621</t>
  </si>
  <si>
    <t>291521</t>
  </si>
  <si>
    <t>394821, 457921, 528021</t>
  </si>
  <si>
    <t>131742221, 157498921, 187311221</t>
  </si>
  <si>
    <t>2021-02-25 11:19:00</t>
  </si>
  <si>
    <t>Adición y prorroga contrato 23399 de 2020 Prestación de servicios profesionales para la articulación, evaluación y control a los planes, programas y proyectos de la infraestructura física y garantizar los objetos planteados a nivel
nacional del proye</t>
  </si>
  <si>
    <t>41321</t>
  </si>
  <si>
    <t>47121</t>
  </si>
  <si>
    <t>157421</t>
  </si>
  <si>
    <t>303621, 329421, 338521</t>
  </si>
  <si>
    <t>90752721, 111287921</t>
  </si>
  <si>
    <t>39221</t>
  </si>
  <si>
    <t>2021-02-25 14:30:00</t>
  </si>
  <si>
    <t>Prestación de servicios de apoyo para ejecutar actividades de soporte técnico de primer nivel en la mesa de servicio del Sistema Nacional de Catastro</t>
  </si>
  <si>
    <t>41921</t>
  </si>
  <si>
    <t>56321</t>
  </si>
  <si>
    <t>155221</t>
  </si>
  <si>
    <t>267021, 305821, 386521, 453921, 525521</t>
  </si>
  <si>
    <t>72208621, 91016221, 127074921, 153046721, 187308821</t>
  </si>
  <si>
    <t>2021-02-25 14:31:00</t>
  </si>
  <si>
    <t>Prestación de servicios profesionales para realizar actividades de soporte técnico de segundo nivel en la mesa de servicio del Sistema Nacional de Catastro</t>
  </si>
  <si>
    <t>42021</t>
  </si>
  <si>
    <t>57521</t>
  </si>
  <si>
    <t>176821</t>
  </si>
  <si>
    <t>283921, 316521, 386221, 456521, 505721</t>
  </si>
  <si>
    <t>85045621, 95449721, 127072321, 157460721, 180753321</t>
  </si>
  <si>
    <t>2021-03-02 00:00:00</t>
  </si>
  <si>
    <t>2021-03-02 16:14:00</t>
  </si>
  <si>
    <t>REALIZAR EL LEVANTAMIENTO DE FOTOCONTROL Y PUNTOS DE VERIFICACION PARA LA ELABORACIÓN Y VALIDACIÓN DE PRODUCTOS CARTOGRÁFICOS RURALES EN EL DEPARTAMENTO DE BOLIVAR,
MAGDALENA Y CESAR</t>
  </si>
  <si>
    <t>51821, 51921, 52021, 52121, 57621, 57721, 57821, 57921</t>
  </si>
  <si>
    <t>93821, 93921, 94021, 94221, 103521, 103621, 103721, 103821</t>
  </si>
  <si>
    <t>172121, 172221, 172321, 172421, 179821, 179921, 180021, 180121</t>
  </si>
  <si>
    <t>43885221, 43892321, 43923421, 43926021, 51979521, 51980821, 51981321, 51982321</t>
  </si>
  <si>
    <t>5721, 5821, 6721, 6821</t>
  </si>
  <si>
    <t>39621</t>
  </si>
  <si>
    <t>2021-03-04 00:00:00</t>
  </si>
  <si>
    <t>2021-03-04 08:28:00</t>
  </si>
  <si>
    <t>Realizar la exploración de sitios aptos para la instalación de estaciones de funcionamiento continúo GNSS de la red geodésica activa MAGNA-ECO en Tibú (Norte de Santander) y Garzón (Huila)</t>
  </si>
  <si>
    <t>52921</t>
  </si>
  <si>
    <t>98321</t>
  </si>
  <si>
    <t>175521</t>
  </si>
  <si>
    <t>45679921</t>
  </si>
  <si>
    <t>2021-03-04 12:19:00</t>
  </si>
  <si>
    <t>PRESTACIÓN DE SERVICIOS PROFESIONALES PARA LA IMPLEMENTACIÓN Y SEGUIMIENTO DEL PROCESO DE GESTIÓN DOCUMENTAL CONFORME A LOS LINEAMIENOS DADOS POR LA ENTIDAD Y EL AGN.</t>
  </si>
  <si>
    <t>52821</t>
  </si>
  <si>
    <t>142321</t>
  </si>
  <si>
    <t>254321, 307221, 391121, 476121, 512321, 512421, 568221</t>
  </si>
  <si>
    <t>69461921, 92573721, 128831121, 170383021, 182277821, 182279821, 213499121</t>
  </si>
  <si>
    <t>2021-03-05 00:00:00</t>
  </si>
  <si>
    <t>2021-03-05 17:27:00</t>
  </si>
  <si>
    <t>Prestacion de servicios para estructurar, integrar y validar la cartografía para los estudios y/o investigaciones geográficas asignadas</t>
  </si>
  <si>
    <t>42321</t>
  </si>
  <si>
    <t>60821, 60921, 61821, 65921</t>
  </si>
  <si>
    <t>146121, 146221, 161721, 188221</t>
  </si>
  <si>
    <t>262221, 262421, 269621, 297321, 299721, 302321, 302421, 357121, 358221, 358521, 363321, 412121, 413321, 413521, 424121, 501321, 501421, 507721, 525021, 561021, 564221, 564321, 566121</t>
  </si>
  <si>
    <t>70939921, 70940321, 75939021, 88167521, 89085121, 90560721, 90567421, 117329421, 117467721, 117480221, 120531321, 142391521, 143020221, 143040621, 145118521, 178837021, 178848521, 181453021, 187308321, 211491821, 212801121, 212802521, 212946221</t>
  </si>
  <si>
    <t>2021-03-08 00:00:00</t>
  </si>
  <si>
    <t>2021-03-08 19:32:00</t>
  </si>
  <si>
    <t>REALIZAR EL LEVANTAMIETO DE FOTOCONTROL Y PUNTOS DE VERIFICACION PARA LA ELABORACION Y VALIDACION DE PRODUCTOS CARTOGRAFICOS RURALES EN EL DEPARTAMENTO DE NARIÑO CAQUETA
Y CAUCA</t>
  </si>
  <si>
    <t>56421</t>
  </si>
  <si>
    <t>101521</t>
  </si>
  <si>
    <t>178221</t>
  </si>
  <si>
    <t>50011321</t>
  </si>
  <si>
    <t>40021</t>
  </si>
  <si>
    <t>2021-03-08 19:34:00</t>
  </si>
  <si>
    <t>REALIZAR DILIGENCIA DE CAMPO DEL PROCESOS DE DESLINDE DE LOS MUNICIPIOS VIJES Y YUMBO</t>
  </si>
  <si>
    <t>43421</t>
  </si>
  <si>
    <t>58821, 58921</t>
  </si>
  <si>
    <t>106621, 106721</t>
  </si>
  <si>
    <t>182621, 182721</t>
  </si>
  <si>
    <t>53841221, 53841621</t>
  </si>
  <si>
    <t>2021-03-08 19:36:00</t>
  </si>
  <si>
    <t>REALIZAR EL LEVANTAMIETO DE FOTOCONTROL Y PUNTOS DE VERIFICACION PARA LA ELABORACION Y VALIDACION DE PRODUCTOS CARTOGRAFICOS RURALES EN EL DEPARTAMENTO DE SUCRE CORDOBA
Y BOLIVAR</t>
  </si>
  <si>
    <t>43321</t>
  </si>
  <si>
    <t>56821, 56921, 57321</t>
  </si>
  <si>
    <t>102021, 102121, 102621</t>
  </si>
  <si>
    <t>178721, 178821, 179221</t>
  </si>
  <si>
    <t>50732521, 50733921, 50751821</t>
  </si>
  <si>
    <t>4321, 4521, 6621</t>
  </si>
  <si>
    <t>2021-03-08 19:37:00</t>
  </si>
  <si>
    <t>56521</t>
  </si>
  <si>
    <t>101621</t>
  </si>
  <si>
    <t>178321</t>
  </si>
  <si>
    <t>50017921</t>
  </si>
  <si>
    <t>40321</t>
  </si>
  <si>
    <t>2021-03-08 19:39:00</t>
  </si>
  <si>
    <t>43021</t>
  </si>
  <si>
    <t>57021, 57121, 57221</t>
  </si>
  <si>
    <t>102221, 102321, 102421</t>
  </si>
  <si>
    <t>178921, 179021, 179121</t>
  </si>
  <si>
    <t>50735321, 50748921, 50749821</t>
  </si>
  <si>
    <t>6921, 7021, 7121</t>
  </si>
  <si>
    <t>2021-03-08 19:40:00</t>
  </si>
  <si>
    <t>Prestación de servicios para la estandarización, integración y disposición de información de ordenamiento territorial de los nodos regionales y locales al sistema de información geográfica definido para tal fin</t>
  </si>
  <si>
    <t>62321, 62421, 62521</t>
  </si>
  <si>
    <t>183321, 209121, 209221</t>
  </si>
  <si>
    <t>299921, 317521, 317621, 348721, 348821, 352621, 429021, 429721, 453021, 504421, 509721, 509921, 553921, 555221, 555321</t>
  </si>
  <si>
    <t>89089321, 95509521, 95516021, 115483921, 115484721, 115973021, 145959921, 146548921, 152453621, 179482421, 181730521, 181733721, 210124021, 210182921, 210184121</t>
  </si>
  <si>
    <t>2021-03-08 19:41:00</t>
  </si>
  <si>
    <t>Prestación de servicios para gestionar desde el componente administrativo, procesos y proyectos misionales de la Subdirección de Geografía y Cartografía</t>
  </si>
  <si>
    <t>61721</t>
  </si>
  <si>
    <t>174321</t>
  </si>
  <si>
    <t>281821, 324421, 366821, 420121, 491421, 563321</t>
  </si>
  <si>
    <t>83426321, 95626621, 98371321, 120605421, 144401521, 176436321, 212299521</t>
  </si>
  <si>
    <t>2021-03-08 19:43:00</t>
  </si>
  <si>
    <t>62621, 63421</t>
  </si>
  <si>
    <t>178921, 190821</t>
  </si>
  <si>
    <t>286921, 297821, 344621, 346121, 411521, 413121, 483721, 486621, 556521, 557021</t>
  </si>
  <si>
    <t>85781521, 88371621, 114568421, 118652221, 142095721, 143018721, 174745221, 175139021, 210804021, 211245221</t>
  </si>
  <si>
    <t>40721</t>
  </si>
  <si>
    <t>2021-03-09 00:00:00</t>
  </si>
  <si>
    <t>2021-03-09 08:36:00</t>
  </si>
  <si>
    <t>VIATICOS Y GASTOS DE COMISIÓN CONSERVACIÓN CATASTRAL CASANARE</t>
  </si>
  <si>
    <t>86221, 86321, 109921, 118421, 118721, 118821</t>
  </si>
  <si>
    <t>226221, 226321, 347921, 388821, 391821, 391921</t>
  </si>
  <si>
    <t>332421, 332621, 448421, 484621, 488221, 488321</t>
  </si>
  <si>
    <t>107438021, 107440221, 150311121, 174760721, 176112321, 176113321</t>
  </si>
  <si>
    <t>2021-03-09 08:37:00</t>
  </si>
  <si>
    <t>GASTOS DE DESPLAZAMIENTO, ALOJAMIENTO Y TRANSPORTE -VIATICOS TIERRAS</t>
  </si>
  <si>
    <t>60521, 60621, 64021, 64121, 81621, 81721, 109521, 118521</t>
  </si>
  <si>
    <t>111721, 111821, 122221, 122321, 209721, 209921, 361421, 391121</t>
  </si>
  <si>
    <t>186321, 186421, 196521, 196621, 318421, 318621, 461421, 486521</t>
  </si>
  <si>
    <t>57658621, 57690021, 61460221, 61463321, 95585521, 95587321, 164087921, 175153521</t>
  </si>
  <si>
    <t>40921</t>
  </si>
  <si>
    <t>2021-03-09 10:17:00</t>
  </si>
  <si>
    <t>Prestación de servicios profesionales para elaborar las historias de usuarios y prototipado de las funcionalidades requeridas por el instituto</t>
  </si>
  <si>
    <t>66021</t>
  </si>
  <si>
    <t>219421</t>
  </si>
  <si>
    <t>327521, 389421, 458421, 524221, 595221</t>
  </si>
  <si>
    <t>99260421, 127410021, 157590421, 187307521, 226434621</t>
  </si>
  <si>
    <t>2021-03-09 10:18:00</t>
  </si>
  <si>
    <t>Prestación de servicios profesionales para soportar, mantener, analizar, diseñar, desarrollar e integrar componentes de software geográficos para el instituto</t>
  </si>
  <si>
    <t>2021-03-09 10:20:00</t>
  </si>
  <si>
    <t>Prestación de servicios profesionales para configurar, administrar, gestionar, monitorear y soportar las bases de datos de la entidad</t>
  </si>
  <si>
    <t>43821</t>
  </si>
  <si>
    <t>79321</t>
  </si>
  <si>
    <t>267221</t>
  </si>
  <si>
    <t>376621, 438621, 501721, 564521</t>
  </si>
  <si>
    <t>123432621, 147820521, 178850521, 212805321</t>
  </si>
  <si>
    <t>2021-03-11 00:00:00</t>
  </si>
  <si>
    <t>2021-03-11 14:48:00</t>
  </si>
  <si>
    <t>REALIZAR EL LEVANTAMIENTO DE FOTOCONTROL Y PUNTOS DE VERIFICACION PARA LA ELABORACION Y VALIDACION DE PRODUCTOS CARTOGRAFICOS RURALES  EN EL DEPARTAMENTO DE  CUNDINAMARCA</t>
  </si>
  <si>
    <t>43921</t>
  </si>
  <si>
    <t>58321</t>
  </si>
  <si>
    <t>105221</t>
  </si>
  <si>
    <t>181621</t>
  </si>
  <si>
    <t>52375021</t>
  </si>
  <si>
    <t>2021-03-11 14:49:00</t>
  </si>
  <si>
    <t>44021</t>
  </si>
  <si>
    <t>58421, 58521, 58621</t>
  </si>
  <si>
    <t>105321, 105421, 105521</t>
  </si>
  <si>
    <t>181721, 181821, 181921</t>
  </si>
  <si>
    <t>52381021, 52381821, 52388321</t>
  </si>
  <si>
    <t>6221, 6321, 6421</t>
  </si>
  <si>
    <t>2021-03-12 00:00:00</t>
  </si>
  <si>
    <t>2021-03-12 16:01:00</t>
  </si>
  <si>
    <t>Prestación de servicios para realizar actividades de operación, soporte, mantenimiento y monitoreo a las plataformas tecnológicas, equipos periféricos (Impresoras, Plotter, Escáner entre otros), según lo niveles de servicio
establecidos.</t>
  </si>
  <si>
    <t>43521</t>
  </si>
  <si>
    <t>193421</t>
  </si>
  <si>
    <t>303921, 358621, 446721, 490621, 547021</t>
  </si>
  <si>
    <t>90799021, 117491321, 150010421, 176301921, 207313821</t>
  </si>
  <si>
    <t>2021-03-15 00:00:00</t>
  </si>
  <si>
    <t>2021-03-15 16:25:00</t>
  </si>
  <si>
    <t>Prestación de servicios profesionales para el procesamiento, análisis y generación de productos geográficos que apoyen el proceso de actualización catastral</t>
  </si>
  <si>
    <t>64621</t>
  </si>
  <si>
    <t>188421</t>
  </si>
  <si>
    <t>297521, 359421, 456621, 484421, 560121</t>
  </si>
  <si>
    <t>88340121, 117545321, 157462021, 174759621, 211377221</t>
  </si>
  <si>
    <t>2021-03-15 16:28:00</t>
  </si>
  <si>
    <t>Prestación de servicios profesionales para generar productos de Aplicaciones Agrológicas, derivados de Levantamientos de suelos, para apoyar los procesos de Catastro Multipropósito</t>
  </si>
  <si>
    <t>44121</t>
  </si>
  <si>
    <t>76721, 76821, 76921, 77021, 78021</t>
  </si>
  <si>
    <t>236821, 240921, 273021, 285921, 356721</t>
  </si>
  <si>
    <t>374021, 375121, 375621, 389821, 405321, 405721, 405821, 406221, 457521, 464821, 472021, 472321, 473921, 474021, 474121, 541221, 541321, 542521, 545121, 545421</t>
  </si>
  <si>
    <t>122472521, 123378021, 123487421, 127424521, 139721921, 139725021, 139728621, 140626921, 157487921, 164911021, 168471421, 168480321, 169209821, 169212021, 169214421, 199455121, 199457421, 200128921, 200139821, 204878221, 204881221</t>
  </si>
  <si>
    <t>42121</t>
  </si>
  <si>
    <t>2021-03-15 16:30:00</t>
  </si>
  <si>
    <t>Prestación de servicios profesionales para la generación de productos técnicos en las etapas de planificación, diseño, implementación, seguimiento y soporte de los proyectos de desarrollo de aplicaciones en tecnologías de la
información geográfica a</t>
  </si>
  <si>
    <t>45121</t>
  </si>
  <si>
    <t>67121</t>
  </si>
  <si>
    <t>211321</t>
  </si>
  <si>
    <t>320921, 379721, 443821, 511021, 583121</t>
  </si>
  <si>
    <t>96738821, 124503021, 149795121, 181748621, 219178921</t>
  </si>
  <si>
    <t>42221</t>
  </si>
  <si>
    <t>2021-03-15 17:08:00</t>
  </si>
  <si>
    <t>45021</t>
  </si>
  <si>
    <t>65821</t>
  </si>
  <si>
    <t>216521</t>
  </si>
  <si>
    <t>324321, 384521, 451821, 525921, 599221</t>
  </si>
  <si>
    <t>98371221, 126848921, 152012021, 187309121, 228501021</t>
  </si>
  <si>
    <t>2021-03-16 00:00:00</t>
  </si>
  <si>
    <t>2021-03-16 08:37:00</t>
  </si>
  <si>
    <t>REALIZAR TRABAJOS DE AEROFOTOGRAFIA CON AERONAVES NO TRIPULADAS TIPO DRON EN LOS MUNICIPIOS DE POPAYAN (CAUCA) Y CUENCA DE LA QUEBRADA YAGUILGA EN EL HUILA</t>
  </si>
  <si>
    <t>45821</t>
  </si>
  <si>
    <t>59721, 59821, 59921</t>
  </si>
  <si>
    <t>110521, 110621, 110721</t>
  </si>
  <si>
    <t>184721, 184821, 184921</t>
  </si>
  <si>
    <t>56621621, 56624221, 56627021</t>
  </si>
  <si>
    <t>5621, 5921</t>
  </si>
  <si>
    <t>2021-03-16 14:26:00</t>
  </si>
  <si>
    <t>Prestación de servicios profesionales para adelantar el mantenimiento, seguimiento, control y vigilancia del avance y tiempos de la ejecución de los proyectos en curso, junto con el área técnica y el cliente.</t>
  </si>
  <si>
    <t>44821</t>
  </si>
  <si>
    <t>65221</t>
  </si>
  <si>
    <t>173621</t>
  </si>
  <si>
    <t>281121, 356721, 443621, 505121, 586221</t>
  </si>
  <si>
    <t>83452321, 117298621, 149785421, 179822421, 219823221</t>
  </si>
  <si>
    <t>2021-03-16 14:27:00</t>
  </si>
  <si>
    <t>Prestación de servicios profesionales para realizar actividades de gestión y seguimiento a la comercialización de los productos y servicios generados por las áreas técnicas del instituto.</t>
  </si>
  <si>
    <t>68921</t>
  </si>
  <si>
    <t>177321</t>
  </si>
  <si>
    <t>284621, 353021, 462121, 523521, 586321</t>
  </si>
  <si>
    <t>85400721, 115993621, 159096321, 187306821, 219826421</t>
  </si>
  <si>
    <t>2021-03-16 14:28:00</t>
  </si>
  <si>
    <t>Prestación de servicios profesionales para realizar la medición de satisfacción, retroalimentación y seguimiento con las áreas de las PQRS que se hayan tramitado.</t>
  </si>
  <si>
    <t>44921</t>
  </si>
  <si>
    <t>64721</t>
  </si>
  <si>
    <t>173121</t>
  </si>
  <si>
    <t>280621, 349221, 447221, 512821, 591921</t>
  </si>
  <si>
    <t>84867721, 115488921, 150020421, 182386221, 226226821</t>
  </si>
  <si>
    <t>2021-03-16 14:30:00</t>
  </si>
  <si>
    <t>Prestación de servicios profesionales para llevar a cabo el escaneo, la reposición y organización del material cartográfico y aerofotográfico utilizado por los usuarios que consultan la información en los CIG del instituto a nivel nacional.</t>
  </si>
  <si>
    <t>44421</t>
  </si>
  <si>
    <t>62721</t>
  </si>
  <si>
    <t>188021</t>
  </si>
  <si>
    <t>296821, 342021, 410821, 476221, 567121</t>
  </si>
  <si>
    <t>88154121, 112527921, 141877821, 170389321, 212959121</t>
  </si>
  <si>
    <t>2021-03-16 14:31:00</t>
  </si>
  <si>
    <t>Prestación de servicios profesionales para la atención de solicitudes de cartografía topográfica, cartografía de suelos y aerofotografías en el Centro de Información Geográfica del IGAC</t>
  </si>
  <si>
    <t>44521</t>
  </si>
  <si>
    <t>65621</t>
  </si>
  <si>
    <t>174021</t>
  </si>
  <si>
    <t>281521, 342621, 410721, 475621, 567721</t>
  </si>
  <si>
    <t>83438821, 112789821, 141876721, 170352521, 213274821</t>
  </si>
  <si>
    <t>2021-03-16 14:33:00</t>
  </si>
  <si>
    <t>Adquisición del derecho de uso del sistema de codificación EAN/UCC</t>
  </si>
  <si>
    <t>45621</t>
  </si>
  <si>
    <t>74821</t>
  </si>
  <si>
    <t>265021</t>
  </si>
  <si>
    <t>372621</t>
  </si>
  <si>
    <t>126810621</t>
  </si>
  <si>
    <t>2021-03-17 00:00:00</t>
  </si>
  <si>
    <t>2021-03-17 16:13:00</t>
  </si>
  <si>
    <t>Prestación de servicios profesionales para desarrollar actividades de articulación entre la sede central y las Direcciones Territoriales a nivel nacional, así como la elaboración de ofertas técnico económicas.</t>
  </si>
  <si>
    <t>66621</t>
  </si>
  <si>
    <t>173521</t>
  </si>
  <si>
    <t>281021, 345221, 443421, 514321, 588421</t>
  </si>
  <si>
    <t>83456921, 114420121, 149771021, 182704321, 220751321</t>
  </si>
  <si>
    <t>2021-03-17 16:16:00</t>
  </si>
  <si>
    <t>Prestación de servicios profesionales para ejecutar las estrategias de marketing digital de los productos del IGAC, asi como el seguimiento a la ventas directas por ventanilla para toda el área comercial, incluidas las Direcciones
Territoriales a niv</t>
  </si>
  <si>
    <t>69121</t>
  </si>
  <si>
    <t>190621</t>
  </si>
  <si>
    <t>297621, 345421, 461821, 519221, 587921</t>
  </si>
  <si>
    <t>88344421, 114423121, 159029121, 184466621, 220719221</t>
  </si>
  <si>
    <t>2021-03-19 00:00:00</t>
  </si>
  <si>
    <t>2021-03-19 10:39:00</t>
  </si>
  <si>
    <t>Realizar el mantenimiento correctivo a una estación de funcionamiento continúo (CORS-GNSS) en Yopal (Casanare).</t>
  </si>
  <si>
    <t>64221</t>
  </si>
  <si>
    <t>122421</t>
  </si>
  <si>
    <t>196721</t>
  </si>
  <si>
    <t>61467221</t>
  </si>
  <si>
    <t>64321, 64421</t>
  </si>
  <si>
    <t>122521, 122621</t>
  </si>
  <si>
    <t>197321, 197421</t>
  </si>
  <si>
    <t>62166221, 62166821</t>
  </si>
  <si>
    <t>2021-03-19 15:59:00</t>
  </si>
  <si>
    <t>46121</t>
  </si>
  <si>
    <t>2021-03-24 00:00:00</t>
  </si>
  <si>
    <t>2021-03-24 08:01:00</t>
  </si>
  <si>
    <t>46221</t>
  </si>
  <si>
    <t>69221</t>
  </si>
  <si>
    <t>211121</t>
  </si>
  <si>
    <t>320521, 371121, 419521, 491821, 563121</t>
  </si>
  <si>
    <t>96671221, 121367121, 144390421, 176439821, 212296121</t>
  </si>
  <si>
    <t>2021-03-24 10:09:00</t>
  </si>
  <si>
    <t>Adquisición de UPS y mantenimiento preventivo y correctivo de UPS en las direcciones territoriales del IGAC</t>
  </si>
  <si>
    <t>2021-03-24 10:10:00</t>
  </si>
  <si>
    <t>Adquisición de productos y servicios Microsoft</t>
  </si>
  <si>
    <t>46421</t>
  </si>
  <si>
    <t>2021-03-26 00:00:00</t>
  </si>
  <si>
    <t>2021-03-26 10:25:00</t>
  </si>
  <si>
    <t>PAGO PASIVOS EXIGIBLES - VIGENCIAS EXPIRADAS</t>
  </si>
  <si>
    <t>2021-03-30 00:00:00</t>
  </si>
  <si>
    <t>2021-03-30 18:06:00</t>
  </si>
  <si>
    <t>Capturar y/o adquirir imágenes para la producción cartográfica de proyectos específicos del IGAC</t>
  </si>
  <si>
    <t>47321</t>
  </si>
  <si>
    <t>320221</t>
  </si>
  <si>
    <t>452221</t>
  </si>
  <si>
    <t>152420821</t>
  </si>
  <si>
    <t>2021-04-06 00:00:00</t>
  </si>
  <si>
    <t>2021-04-06 07:35:00</t>
  </si>
  <si>
    <t>VIATICOS Y GASTOS DE COMISION FUNCIONARIOS-CONTRATISTAS PROCESOS CATASTRALES</t>
  </si>
  <si>
    <t>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t>
  </si>
  <si>
    <t>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t>
  </si>
  <si>
    <t>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t>
  </si>
  <si>
    <t>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t>
  </si>
  <si>
    <t>10021, 11821, 12621, 12721, 12821, 12921, 13021, 13121, 13221, 13321, 13621, 13721, 13821, 13921, 14321, 14421, 15021, 15921, 16021, 16121, 16221, 16321, 16421, 16621, 16821, 17021, 17121, 17221, 17321, 17521, 17621, 17721, 17821, 18821, 18921, 19621, 19721, 19821, 20221, 20321, 20421, 20521, 20621, 20821, 21021, 21121</t>
  </si>
  <si>
    <t>2021-04-06 07:56:00</t>
  </si>
  <si>
    <t>Prestación de servicios profesionales con el fin de apoyar los trámites juridicos que se requieran para llevar a cabo la contratación de ingreso y egreso del Instituto Geográfico Agustín Codazzi.</t>
  </si>
  <si>
    <t>77521, 77621, 77721, 77821, 77921</t>
  </si>
  <si>
    <t>256121, 274121, 278421, 281421, 282821</t>
  </si>
  <si>
    <t>361621, 376221, 376921, 377121, 384321, 386921, 387821, 388021, 429821, 430321, 430521, 436921, 442121, 503721, 503821, 504121, 508321, 508721, 577121, 577221, 584621, 586521, 587321</t>
  </si>
  <si>
    <t>118857921, 123407821, 123444221, 123450521, 126848421, 127251021, 127276821, 127295721, 146550421, 146583421, 146589921, 147565721, 148365221, 179403921, 179421721, 179477221, 181502721, 181548221, 216944521, 216970321, 219707521, 219922121, 220491121</t>
  </si>
  <si>
    <t>2021-04-06 07:57:00</t>
  </si>
  <si>
    <t>Prestación de servicios profesionales para el seguimiento y control de las actividades de la etapa operativa del proyecto de gestión catastral multipropósito de Arauquita - Arauca</t>
  </si>
  <si>
    <t>76221, 87421, 87521</t>
  </si>
  <si>
    <t>235621, 235721, 283821</t>
  </si>
  <si>
    <t>340421, 340521, 388721, 389621, 461921, 544521</t>
  </si>
  <si>
    <t>112037421, 112038021, 127335721, 127413421, 159089921, 203823221</t>
  </si>
  <si>
    <t>45221</t>
  </si>
  <si>
    <t>2021-04-06 07:58:00</t>
  </si>
  <si>
    <t>Prestación de servicios personales para realizar actividades de reconocimiento predial en el proceso de actualización catastral multipropósito de Arauquita - Arauca</t>
  </si>
  <si>
    <t>89921, 90621, 97621, 98621, 98721</t>
  </si>
  <si>
    <t>361821, 365621, 366221, 367021, 379321</t>
  </si>
  <si>
    <t>462221, 467321, 468221, 476521, 476621, 523921, 527121, 529121, 529221, 530221, 592621, 592721, 594721, 594821, 595021</t>
  </si>
  <si>
    <t>159211621, 167052121, 167114521, 171406121, 171408121, 175513621, 187307221, 187310321, 187312321, 187312521, 188264321, 226267121, 226278021, 226415721, 226421921, 226432221</t>
  </si>
  <si>
    <t>45321</t>
  </si>
  <si>
    <t>2021-04-06 07:59:00</t>
  </si>
  <si>
    <t>Prestación de servicios técnicos de apoyo al seguimiento, planeación y gestión del reconocimiento predial en el proceso de actualización catastral multipropósito de Arauquita - Arauca</t>
  </si>
  <si>
    <t>48021</t>
  </si>
  <si>
    <t>140021</t>
  </si>
  <si>
    <t>45421</t>
  </si>
  <si>
    <t>2021-04-06 08:00:00</t>
  </si>
  <si>
    <t>Prestación de servicios personales para realizar actividades de digitalización y generación de productos resultantes del proceso de actualización catastral multipropósito de Arauquita - Arauca</t>
  </si>
  <si>
    <t>48121</t>
  </si>
  <si>
    <t>45521</t>
  </si>
  <si>
    <t>2021-04-06 08:02:00</t>
  </si>
  <si>
    <t>Prestación de servicios profesionales para realizar las socializaciones requeridas en el proceso de actualización catastral multipropósito de Arauquita - Arauca</t>
  </si>
  <si>
    <t>48321</t>
  </si>
  <si>
    <t>77121</t>
  </si>
  <si>
    <t>286821</t>
  </si>
  <si>
    <t>390421, 390621, 460621, 530021, 593421</t>
  </si>
  <si>
    <t>127455521, 127599421, 158458321, 188257221, 226310321</t>
  </si>
  <si>
    <t>2021-04-06 08:03:00</t>
  </si>
  <si>
    <t>Prestación de servicios para realizar la edición, depuración y consolidación de los productos cartográficos requeridos para el componente geográfico de los procesos de actualización catastral multipropósito de Arauquita - Arauca</t>
  </si>
  <si>
    <t>48421</t>
  </si>
  <si>
    <t>45721</t>
  </si>
  <si>
    <t>2021-04-06 08:04:00</t>
  </si>
  <si>
    <t>Prestación de servicios para realizar el control calidad de los productos geográficos, alfanuméricos y documentales generados en los procesos de actualización multipropósito de Arauquita - Arauca</t>
  </si>
  <si>
    <t>2021-04-06 11:22:00</t>
  </si>
  <si>
    <t>Prestación de servicios personales para realizar actividades de apoyo operativo del proceso de actualización catastral multipropósito de Arauquita - Arauca</t>
  </si>
  <si>
    <t>91721, 94821</t>
  </si>
  <si>
    <t>366321, 376621</t>
  </si>
  <si>
    <t>467521, 489821, 523221, 523321, 579221, 591621</t>
  </si>
  <si>
    <t>167059421, 176246321, 187306521, 187306621, 218006721, 226208621</t>
  </si>
  <si>
    <t>2021-04-07 00:00:00</t>
  </si>
  <si>
    <t>2021-04-07 15:52:00</t>
  </si>
  <si>
    <t>Prestación de servicios profesionales para la implementación y administración de las herramientas y servicios de integración de las aplicaciones para permitir la interoperabilidad de RENARE</t>
  </si>
  <si>
    <t>47621</t>
  </si>
  <si>
    <t>77321</t>
  </si>
  <si>
    <t>290421</t>
  </si>
  <si>
    <t>393721, 438221, 530621, 596521</t>
  </si>
  <si>
    <t>130370521, 147775821, 188285121, 226440521</t>
  </si>
  <si>
    <t>2021-04-08 00:00:00</t>
  </si>
  <si>
    <t>2021-04-08 11:39:00</t>
  </si>
  <si>
    <t>Realizar la densificación de la red geodésica nacional activa MAGNA-ECO mediante la materialización de dos estación de funcionamiento continúo en los municipio de Suan, departamento del Atlántico y Aracataca, departamento
del Magdalena</t>
  </si>
  <si>
    <t>73421</t>
  </si>
  <si>
    <t>164721</t>
  </si>
  <si>
    <t>272321</t>
  </si>
  <si>
    <t>77464821</t>
  </si>
  <si>
    <t>2021-04-08 11:41:00</t>
  </si>
  <si>
    <t>REALIZAR EL LEVANTAMIETO TOPOGRAFICO Y PLANIMETRICO DEL PREDIO LA ARGENTINA UBICADO EN EL MUNICIPIO DE SINCELEJO EN EL DEPARTAMENTO DE SUCRE</t>
  </si>
  <si>
    <t>49721</t>
  </si>
  <si>
    <t>71921, 72021, 72221</t>
  </si>
  <si>
    <t>163421, 163521, 163721</t>
  </si>
  <si>
    <t>271121, 271221, 271421</t>
  </si>
  <si>
    <t>76963521, 76964221, 76966621</t>
  </si>
  <si>
    <t>8521, 8821, 10321</t>
  </si>
  <si>
    <t>2021-04-08 11:42:00</t>
  </si>
  <si>
    <t>REALIZAR TRABAJOS DE AEROFOTOGRAFIA CON AERONAVE NO TRIPULADA TIPO DRON Y LEVANTAMIENTO DE PUNTOS DE FOTOCONTROL PARA ELABORACION Y VALIDACION DE PRODUCTOS
CARTOGRAFICOS EN EL AREA NO MUNICIPALIZADA DE MIRITÍ-PARANÁ EN EL DEPARTAMENTO DE AMAZONAS</t>
  </si>
  <si>
    <t>49621</t>
  </si>
  <si>
    <t>71021, 72121, 82821</t>
  </si>
  <si>
    <t>162421, 163621, 221321</t>
  </si>
  <si>
    <t>269821, 271321, 328221</t>
  </si>
  <si>
    <t>76241521, 76965421, 99919921</t>
  </si>
  <si>
    <t>11121, 11221, 11321, 11421</t>
  </si>
  <si>
    <t>2021-04-08 11:43:00</t>
  </si>
  <si>
    <t>71521, 82921</t>
  </si>
  <si>
    <t>162721, 222321</t>
  </si>
  <si>
    <t>270121, 329121</t>
  </si>
  <si>
    <t>76262221, 100644021</t>
  </si>
  <si>
    <t>2021-04-08 11:44:00</t>
  </si>
  <si>
    <t>71421, 83021</t>
  </si>
  <si>
    <t>165721, 222221</t>
  </si>
  <si>
    <t>273421, 329021</t>
  </si>
  <si>
    <t>78375121, 100642821</t>
  </si>
  <si>
    <t>46521</t>
  </si>
  <si>
    <t>2021-04-08 11:46:00</t>
  </si>
  <si>
    <t>REALIZAR TRABAJOS DE AEROFOTOGRAFIA CON AERONAVES NO TRIPULADAS TIPO DRON EN EL MUNICIPIO DE MARIA LA BAJA EN EL DEPARTAMENTO DE BOLIVAR</t>
  </si>
  <si>
    <t>49321</t>
  </si>
  <si>
    <t>72921, 73021, 73121</t>
  </si>
  <si>
    <t>164021, 164121, 164221</t>
  </si>
  <si>
    <t>271721, 271821, 271921</t>
  </si>
  <si>
    <t>77091121, 77101621, 77113221</t>
  </si>
  <si>
    <t>10621, 11521</t>
  </si>
  <si>
    <t>46621</t>
  </si>
  <si>
    <t>2021-04-08 11:47:00</t>
  </si>
  <si>
    <t>REALIZAR EL LEVANTAMIENTO DE FOTOCONTROL Y PUNTOS DE VERIFICACION PARA LA ELABORACION Y VALIDACION DE PRODUCTOS CARTOGRAFICOS RURALES EN EL MUNICIPIO DE ARAUQUITA EN EL
DEPARTAMENTO DE ARAUCA</t>
  </si>
  <si>
    <t>70921, 71721, 71821</t>
  </si>
  <si>
    <t>162321, 162921, 163021</t>
  </si>
  <si>
    <t>269721, 270321, 270421</t>
  </si>
  <si>
    <t>76238121, 76265321, 76266521</t>
  </si>
  <si>
    <t>9121, 9221</t>
  </si>
  <si>
    <t>46721</t>
  </si>
  <si>
    <t>2021-04-08 11:48:00</t>
  </si>
  <si>
    <t>Realizar la densificación de la red geodésica nacional activa MAGNA-ECO mediante la materialización de dos estación de funcionamiento continúo en los municipio de Suan, departamento del Atlántico y Aracataca, departamento
del Magdalena.</t>
  </si>
  <si>
    <t>49021</t>
  </si>
  <si>
    <t>73521, 73721, 73821</t>
  </si>
  <si>
    <t>164621, 165021, 165121</t>
  </si>
  <si>
    <t>272221, 272721, 272821</t>
  </si>
  <si>
    <t>77458821, 77565221, 77566821</t>
  </si>
  <si>
    <t>10421, 10721, 11621, 11721</t>
  </si>
  <si>
    <t>46821</t>
  </si>
  <si>
    <t>2021-04-08 11:49:00</t>
  </si>
  <si>
    <t>Realizar la la materialización de una estación de funcionamiento continúo en el municipio de Sardinata, departamento del Norte de Santander y mantenimiento correctivo</t>
  </si>
  <si>
    <t>48921</t>
  </si>
  <si>
    <t>162821</t>
  </si>
  <si>
    <t>270221</t>
  </si>
  <si>
    <t>76263921</t>
  </si>
  <si>
    <t>2021-04-08 11:51:00</t>
  </si>
  <si>
    <t>48821</t>
  </si>
  <si>
    <t>71121, 72321, 72421</t>
  </si>
  <si>
    <t>162521, 163821, 163921</t>
  </si>
  <si>
    <t>269921, 271521, 271621</t>
  </si>
  <si>
    <t>76243521, 76973221, 76976121</t>
  </si>
  <si>
    <t>10521, 10921, 11021</t>
  </si>
  <si>
    <t>2021-04-14 00:00:00</t>
  </si>
  <si>
    <t>2021-04-14 17:32:00</t>
  </si>
  <si>
    <t>Adquisición del seguro de casco avión y seguro vehículo aéreo no tripulado que ampare los bienes e intereses patrimoniales del IGAC</t>
  </si>
  <si>
    <t>47521</t>
  </si>
  <si>
    <t>2021-04-15 00:00:00</t>
  </si>
  <si>
    <t>2021-04-15 08:36:00</t>
  </si>
  <si>
    <t>Prestación de servicios profesionales para la implementación de métodos y herramientas estadísticas que permitan optimizar los procesos de producción de información misional de acuerdo con los proyectos de innovación de la
oficina CIAF y requerimient</t>
  </si>
  <si>
    <t>81821</t>
  </si>
  <si>
    <t>280221</t>
  </si>
  <si>
    <t>384621, 447921, 528421, 599121</t>
  </si>
  <si>
    <t>126855321, 150293721, 187311621, 228500821</t>
  </si>
  <si>
    <t>2021-04-15 10:49:00</t>
  </si>
  <si>
    <t>Prestación de servicios para el mantenimiento correctivo y preventivo ascensores sede central</t>
  </si>
  <si>
    <t>50321</t>
  </si>
  <si>
    <t>89021</t>
  </si>
  <si>
    <t>507221</t>
  </si>
  <si>
    <t>599921, 600021</t>
  </si>
  <si>
    <t>2021-04-15 11:54:00</t>
  </si>
  <si>
    <t>Contratar el servicio anual de rastreo y seguimiento satelital para los equipos de localización satelital SPOT GEN3</t>
  </si>
  <si>
    <t>50121</t>
  </si>
  <si>
    <t>89421, 89521</t>
  </si>
  <si>
    <t>365121</t>
  </si>
  <si>
    <t>464521</t>
  </si>
  <si>
    <t>198653821</t>
  </si>
  <si>
    <t>2021-04-16 00:00:00</t>
  </si>
  <si>
    <t>2021-04-16 10:51:00</t>
  </si>
  <si>
    <t>Prestación de servicios profesionales para apoyar las actividades de programación, actualización y seguimiento al presupuesto de ingresos por recursos propios, del Instituto Geográfico Agustín Codazzi, en el marco del Modelo
Integrado de Planeación</t>
  </si>
  <si>
    <t>50421</t>
  </si>
  <si>
    <t>84521</t>
  </si>
  <si>
    <t>273721</t>
  </si>
  <si>
    <t>376121, 459621, 511621, 597321</t>
  </si>
  <si>
    <t>123405021, 157662021, 182011621, 224064921</t>
  </si>
  <si>
    <t>2021-04-16 14:29:00</t>
  </si>
  <si>
    <t>Realizar el mantenimiento correctivo de una estación de funcionamiento continúo de la red</t>
  </si>
  <si>
    <t>51021</t>
  </si>
  <si>
    <t>76421, 76621</t>
  </si>
  <si>
    <t>174621, 174721</t>
  </si>
  <si>
    <t>281921, 282021</t>
  </si>
  <si>
    <t>83990721, 83994021</t>
  </si>
  <si>
    <t>2021-04-21 00:00:00</t>
  </si>
  <si>
    <t>2021-04-21 08:16:00</t>
  </si>
  <si>
    <t>REALIZAR TRABAJOS DE TOPOGRAFIA EN EL MUNICIPIO DE MEDIO BAUDÓ EN EL DEPARTAMENTO DE CHOCÓ, EN CUMPLIMIENTO DEL FALLO PROFERIDO POR LA SALA DE INSTRUCCION DE LA CORTE
SUPREMA DE JUSTICIA</t>
  </si>
  <si>
    <t>52421</t>
  </si>
  <si>
    <t>78921</t>
  </si>
  <si>
    <t>185821</t>
  </si>
  <si>
    <t>293121</t>
  </si>
  <si>
    <t>87504421</t>
  </si>
  <si>
    <t>2021-04-21 08:23:00</t>
  </si>
  <si>
    <t>Prestación de servicios de apoyo a la Gestión para llevar a cabo los programas y proyectos del Plan Institucional de Capacitación de la entidad</t>
  </si>
  <si>
    <t>87621, 87721</t>
  </si>
  <si>
    <t>434021, 508121</t>
  </si>
  <si>
    <t>529321, 600721, 600821</t>
  </si>
  <si>
    <t>187312621, 228501521</t>
  </si>
  <si>
    <t>2021-04-21 08:27:00</t>
  </si>
  <si>
    <t>Contratar los servicios de soporte técnicoproactivo, reactivo, de configuración, actualización, afinamiento y parametrización para productos ORACLE con los que cuenta el IGAC.</t>
  </si>
  <si>
    <t>51621</t>
  </si>
  <si>
    <t>129721</t>
  </si>
  <si>
    <t>2021-04-21 14:29:00</t>
  </si>
  <si>
    <t>Prestación de servicio para apoyar la organización, digitalización, control y seguimiento de los productos y servicios de la Subdirección de Geografía y Cartografía</t>
  </si>
  <si>
    <t>82321, 82421</t>
  </si>
  <si>
    <t>257321, 276621</t>
  </si>
  <si>
    <t>380221, 380421, 424221, 425921, 488021, 490521, 563621, 565121</t>
  </si>
  <si>
    <t>124532521, 124535121, 145121521, 145836321, 175483721, 176298821, 212763821, 212851821</t>
  </si>
  <si>
    <t>2021-04-21 17:05:00</t>
  </si>
  <si>
    <t>Prestación de servicios para estructurar y elaborar cartografía temática de los proyectos asignados, de conformidad con las especificaciones técnicas y los tiempos establecidos</t>
  </si>
  <si>
    <t>53421</t>
  </si>
  <si>
    <t>82521, 82621</t>
  </si>
  <si>
    <t>288921, 289021</t>
  </si>
  <si>
    <t>392421, 392521, 448721, 449121, 497521, 497821, 553621, 563421</t>
  </si>
  <si>
    <t>129591021, 129595221, 150531721, 150603621, 177651421, 177657121, 210121221, 212300621</t>
  </si>
  <si>
    <t>2021-04-23 00:00:00</t>
  </si>
  <si>
    <t>2021-04-23 14:54:00</t>
  </si>
  <si>
    <t>Gastos de comisión - Contratista</t>
  </si>
  <si>
    <t>53621</t>
  </si>
  <si>
    <t>79721, 84221, 88921, 89721, 110021, 110121, 115921, 134721</t>
  </si>
  <si>
    <t>195721, 224221, 235821, 239121, 353021, 353121, 369621, 489721</t>
  </si>
  <si>
    <t>303221, 330521, 340621, 343521, 454621, 454721, 469021, 579521</t>
  </si>
  <si>
    <t>90704421, 104828221, 112038421, 114356321, 153457721, 153464721, 167149321, 218030421</t>
  </si>
  <si>
    <t>2021-04-23 17:49:00</t>
  </si>
  <si>
    <t>Viáticos , salida de campo de acompañamiento al Monitoreo Ambiental 60 días después y Seguimiento Ambiental al 10% de los lotes asperjados en el núcleo Larandia Villagarzón, Policía Nacional Compañía Antinarcóticos de
Aspersión</t>
  </si>
  <si>
    <t>53721</t>
  </si>
  <si>
    <t>79821</t>
  </si>
  <si>
    <t>195621</t>
  </si>
  <si>
    <t>303021</t>
  </si>
  <si>
    <t>90691721</t>
  </si>
  <si>
    <t>2021-04-26 00:00:00</t>
  </si>
  <si>
    <t>2021-04-26 08:14:00</t>
  </si>
  <si>
    <t>51321</t>
  </si>
  <si>
    <t>101821, 101921, 102021, 102121, 102221, 102321, 102421</t>
  </si>
  <si>
    <t>317021, 317121, 317221, 317421, 317521, 317721, 323121</t>
  </si>
  <si>
    <t>416621, 416821, 416921, 417021, 417121, 417221, 417921</t>
  </si>
  <si>
    <t>143349121, 143352021, 143356921, 143366121, 143371821, 143373321, 144303921</t>
  </si>
  <si>
    <t>2021-04-26 14:25:00</t>
  </si>
  <si>
    <t>Adquisición de consumibles de impresión a nivel nacional</t>
  </si>
  <si>
    <t>51521</t>
  </si>
  <si>
    <t>2021-04-26 14:30:00</t>
  </si>
  <si>
    <t>Adquisición de productos derivados del papel, cartón y corrugados en Colombia</t>
  </si>
  <si>
    <t>51421</t>
  </si>
  <si>
    <t>86721</t>
  </si>
  <si>
    <t>337721</t>
  </si>
  <si>
    <t>466921</t>
  </si>
  <si>
    <t>167035121</t>
  </si>
  <si>
    <t>2021-04-27 00:00:00</t>
  </si>
  <si>
    <t>2021-04-27 16:16:00</t>
  </si>
  <si>
    <t>Prestación de servicios profesionales para realizar la estructuración final de la información cartográfica y alfanumérica y revisión digital de la información espacial temática de Áreas Homogéneas de Tierra con fines de Catastro
Multipropósito.</t>
  </si>
  <si>
    <t>50521</t>
  </si>
  <si>
    <t>288321</t>
  </si>
  <si>
    <t>391921, 405221, 478021, 545621</t>
  </si>
  <si>
    <t>129554121, 139715321, 171783421, 204882521</t>
  </si>
  <si>
    <t>2021-04-27 16:26:00</t>
  </si>
  <si>
    <t>Prestación de servicios profesionales para ejecutar las diferentes etapas de la actualización de Áreas Homogéneas de Tierras con fines de catastro multipropósito, en el marco de la actualización catastral de Popayán.</t>
  </si>
  <si>
    <t>50621</t>
  </si>
  <si>
    <t>293021</t>
  </si>
  <si>
    <t>395521, 420721, 475921, 567921</t>
  </si>
  <si>
    <t>132312221, 144423721, 170376521, 213419121</t>
  </si>
  <si>
    <t>2021-04-28 00:00:00</t>
  </si>
  <si>
    <t>2021-04-28 19:45:00</t>
  </si>
  <si>
    <t>Prestación de servicios profesionales al IGAC apoyando la vinculación del personal requerido por la entidad, de conformidad con las solicitudes efectuadas por el supervisor del contrato.</t>
  </si>
  <si>
    <t>53921</t>
  </si>
  <si>
    <t>87321</t>
  </si>
  <si>
    <t>270521</t>
  </si>
  <si>
    <t>377521, 455521, 512621, 588821</t>
  </si>
  <si>
    <t>123463021, 157396121, 182323521, 220852521</t>
  </si>
  <si>
    <t>2021-04-30 00:00:00</t>
  </si>
  <si>
    <t>2021-04-30 15:05:00</t>
  </si>
  <si>
    <t>realizar la toma de observaciones del campo magnético de la tierra en el Observatorio Geomagnético Nacional de Colombia ubicado en la isla El Santuario de Fúquene en el municipio de Ráquira del departamento de Boyacá.</t>
  </si>
  <si>
    <t>54321</t>
  </si>
  <si>
    <t>219821</t>
  </si>
  <si>
    <t>327821</t>
  </si>
  <si>
    <t>99263521</t>
  </si>
  <si>
    <t>2021-05-04 00:00:00</t>
  </si>
  <si>
    <t>2021-05-04 09:01:00</t>
  </si>
  <si>
    <t>REALIZAR FOTOCONTROL Y PUNTOS DE VERIFICACÓN PARA ELABORACIONDE CARTOGRAFÍA VECTORIAL URBANA DEL MUNICIPIO DE ROBLANCO EN EL DEPATAMENTO DE TOLIMA Y SARDINATA EN EL
DEPATAMENTO DE NORTE DE SANTANDER</t>
  </si>
  <si>
    <t>54221</t>
  </si>
  <si>
    <t>88621, 88721</t>
  </si>
  <si>
    <t>235321, 235421</t>
  </si>
  <si>
    <t>340121, 340221</t>
  </si>
  <si>
    <t>112036121, 112036321</t>
  </si>
  <si>
    <t>2021-05-04 09:58:00</t>
  </si>
  <si>
    <t>Prestación de servicios profesionales para desarrollar el componente geográfico y elaborar la respectiva documentación en los proyectos de tecnologías de la información geográfica a cargo de la oficina CIAF</t>
  </si>
  <si>
    <t>51221</t>
  </si>
  <si>
    <t>90821</t>
  </si>
  <si>
    <t>334521</t>
  </si>
  <si>
    <t>438021</t>
  </si>
  <si>
    <t>147770121</t>
  </si>
  <si>
    <t>2021-05-04 11:18:00</t>
  </si>
  <si>
    <t>Prestación de servicios profesionales encaminados a desarrollar el apoyo técnico y control de calidad de los avalúos de bienes inmuebles tanto urbanos como rurales a nivel nacional</t>
  </si>
  <si>
    <t>104821, 105321</t>
  </si>
  <si>
    <t>425721, 434721</t>
  </si>
  <si>
    <t>522421, 530321, 570421, 592821</t>
  </si>
  <si>
    <t>185349621, 188269121, 214444121, 226297421</t>
  </si>
  <si>
    <t>2021-05-04 11:20:00</t>
  </si>
  <si>
    <t>Prestación de servicios profesionales para elaborar los avalúos comerciales de bienes inmuebles tanto urbanos como rurales a nivel nacional, de acuerdo con los contratos suscritos por el IGAC</t>
  </si>
  <si>
    <t>86121, 99921, 101221</t>
  </si>
  <si>
    <t>281021, 367221, 418121</t>
  </si>
  <si>
    <t>387021, 451321, 468421, 505521, 513421, 515121, 525221, 570121, 570321, 583321</t>
  </si>
  <si>
    <t>127254021, 151996121, 167122821, 180737421, 182411521, 182900121, 187308521, 214440121, 214442321, 219187121</t>
  </si>
  <si>
    <t>2021-05-04 11:22:00</t>
  </si>
  <si>
    <t>Prestación de servicios profesionales enfocados en la elaboración de avalúos comerciales de los bienes inmuebles tanto urbanos como rurales a nivel nacional y para ejercer como auxiliares de la justicia</t>
  </si>
  <si>
    <t>102621, 139621</t>
  </si>
  <si>
    <t>409221</t>
  </si>
  <si>
    <t>523421, 560921</t>
  </si>
  <si>
    <t>187306721, 211491421</t>
  </si>
  <si>
    <t>2021-05-04 11:29:00</t>
  </si>
  <si>
    <t>Prestación de servicios para identificar, localizar, revisar, analizar, consolidar documentos técnicos y cartografÍa temática relacionada con zonificación de usos suelos y clasificación del suelo.</t>
  </si>
  <si>
    <t>88521, 90021</t>
  </si>
  <si>
    <t>359521, 360521</t>
  </si>
  <si>
    <t>460421, 462021, 473821, 483121, 492721, 545521, 546521</t>
  </si>
  <si>
    <t>157670921, 159095121, 169208521, 171529721, 174732721, 176966521, 207232121, 207308821</t>
  </si>
  <si>
    <t>50721</t>
  </si>
  <si>
    <t>2021-05-04 12:01:00</t>
  </si>
  <si>
    <t>Prestación de servicios para identificar, localizar, editar, integrar, estructurar en GDB y validar, la cartografía básica y temática de Ordenamiento Territorial</t>
  </si>
  <si>
    <t>53021</t>
  </si>
  <si>
    <t>86021, 87221</t>
  </si>
  <si>
    <t>257521, 320121</t>
  </si>
  <si>
    <t>391021, 405121, 417621, 448821, 479921, 507421, 546021, 553721</t>
  </si>
  <si>
    <t>127798221, 139714321, 143726421, 150532521, 173220521, 181449721, 204885521, 210121721</t>
  </si>
  <si>
    <t>50821</t>
  </si>
  <si>
    <t>2021-05-05 00:00:00</t>
  </si>
  <si>
    <t>2021-05-05 14:11:00</t>
  </si>
  <si>
    <t>Prestación de servicios profesionales para orientar y realizar actividades de desarrollo, administración e integración de los componentes de software de los sistemas relacionados para la operación del Sistema Nacional Catastral.</t>
  </si>
  <si>
    <t>53221</t>
  </si>
  <si>
    <t>97521</t>
  </si>
  <si>
    <t>421121</t>
  </si>
  <si>
    <t>517221, 527721, 574621</t>
  </si>
  <si>
    <t>184155021, 187310921, 215098121</t>
  </si>
  <si>
    <t>50921</t>
  </si>
  <si>
    <t>2021-05-05 15:04:00</t>
  </si>
  <si>
    <t>Adquisición de estaciones de funcionamiento continua, con sus respectivos accesorios, sistemas de comunicación y de alimentación, para el fortalecimiento de la Red Geodésica Nacional.</t>
  </si>
  <si>
    <t>131621</t>
  </si>
  <si>
    <t>2021-05-06 00:00:00</t>
  </si>
  <si>
    <t>2021-05-06 14:37:00</t>
  </si>
  <si>
    <t>REALIZAR FOTOCONTROL Y PUNTOS DE VERIFICACÓN PARA ELABORACIONDE CARTOGRAFÍA VECTORIAL EN EL MUNICIPIO DE SANTANDER DE QUILICHAO EN EL DEPARTAMENTO DEL CAUCA</t>
  </si>
  <si>
    <t>235221</t>
  </si>
  <si>
    <t>339821</t>
  </si>
  <si>
    <t>111845921</t>
  </si>
  <si>
    <t>2021-05-06 14:39:00</t>
  </si>
  <si>
    <t>88821</t>
  </si>
  <si>
    <t>235521</t>
  </si>
  <si>
    <t>340321</t>
  </si>
  <si>
    <t>112036621</t>
  </si>
  <si>
    <t>2021-05-10 00:00:00</t>
  </si>
  <si>
    <t>2021-05-10 17:04:00</t>
  </si>
  <si>
    <t>REALIZAR LA EXPLORACION Y SELECCIÓN DE PUNTOS DE CONTROL PARA OBSERVACIONES GRAVIMETRICAS DE LA RED DE GRAVEDAD RELATIVA DE PRIMER ORDEN EN TUNJA, CÚCUTA, VALLEDUPAR,
MAICAO, RIOHACHA, SANTA MARTA, BARRANQUILLA, CARTAGENA, MEDELLÍN Y HONDA</t>
  </si>
  <si>
    <t>54821</t>
  </si>
  <si>
    <t>234821</t>
  </si>
  <si>
    <t>339621</t>
  </si>
  <si>
    <t>111839721</t>
  </si>
  <si>
    <t>2021-05-12 00:00:00</t>
  </si>
  <si>
    <t>2021-05-12 15:14:00</t>
  </si>
  <si>
    <t>REALIZAR TRABAJOS DE AEROFOTOGRAFIA CON AERONAVES NO TRIPULADAS TIPO DRON EN EL MUNICIPIO DE CHAPARRAL EN EL DEPARTAMENTO DE TOLIMA</t>
  </si>
  <si>
    <t>55121</t>
  </si>
  <si>
    <t>88121, 88221, 88321</t>
  </si>
  <si>
    <t>234921, 235021, 235121</t>
  </si>
  <si>
    <t>339721, 339921, 340021</t>
  </si>
  <si>
    <t>111853421, 111855621, 111860521</t>
  </si>
  <si>
    <t>12121, 12221, 12321</t>
  </si>
  <si>
    <t>2021-05-12 15:23:00</t>
  </si>
  <si>
    <t>Prestación de servicios profesionales para adelantar actividades de elaboración y/o revisión jurídica de los documentos que se desarrollen en el marco de la misionalidad y de los compromisos institucionales del Instituto Geográfico
Agustín Codazzi-IG</t>
  </si>
  <si>
    <t>55021</t>
  </si>
  <si>
    <t>89221</t>
  </si>
  <si>
    <t>352021</t>
  </si>
  <si>
    <t>454121, 526721, 577021</t>
  </si>
  <si>
    <t>153054221, 187309921, 216941621</t>
  </si>
  <si>
    <t>2021-05-13 00:00:00</t>
  </si>
  <si>
    <t>2021-05-13 08:49:00</t>
  </si>
  <si>
    <t>Prestación de servicios profesionales para soportar, mantener, desarrollar y documentar los componentes de software de los sistemas de información requeridos por el Instituto.</t>
  </si>
  <si>
    <t>55321</t>
  </si>
  <si>
    <t>97821</t>
  </si>
  <si>
    <t>424421</t>
  </si>
  <si>
    <t>521121, 531821, 593721</t>
  </si>
  <si>
    <t>185148721, 190715521, 226321621</t>
  </si>
  <si>
    <t>2021-05-14 00:00:00</t>
  </si>
  <si>
    <t>2021-05-14 10:14:00</t>
  </si>
  <si>
    <t>Prestación de servicios profesionales para desarrollar actividades de articulación y coordinación entre la sede central y las Direcciones Territoriales a nivel nacional, así como el apoyo en la gestión comercial,estrategias, presentación y elaboració</t>
  </si>
  <si>
    <t>55221</t>
  </si>
  <si>
    <t>89321</t>
  </si>
  <si>
    <t>296321</t>
  </si>
  <si>
    <t>429121, 434321, 493121, 587121</t>
  </si>
  <si>
    <t>146116521, 146752821, 176988421, 220328621</t>
  </si>
  <si>
    <t>2021-05-14 14:24:00</t>
  </si>
  <si>
    <t>Prestación de servicios profesionales para orientar técnicamente la ejecución de los proyectos y procesos de la Subdirección de Geografía y Cartografía.</t>
  </si>
  <si>
    <t>413721</t>
  </si>
  <si>
    <t>509321, 561921</t>
  </si>
  <si>
    <t>181725821, 212118621</t>
  </si>
  <si>
    <t>51821</t>
  </si>
  <si>
    <t>2021-05-18 00:00:00</t>
  </si>
  <si>
    <t>2021-05-18 16:56:00</t>
  </si>
  <si>
    <t>Prestación de servicios profesionales para el seguimiento y control de las actividades tecnicas de la etapa operativa del proyecto de gestión catastral multiproposito de El Guamo y Córdoba (Bolivar) y Río Blanco (Tolima)</t>
  </si>
  <si>
    <t>132321</t>
  </si>
  <si>
    <t>51921</t>
  </si>
  <si>
    <t>2021-05-18 16:57:00</t>
  </si>
  <si>
    <t>Prestación de servicios técnicos de apoyo al seguimiento, planeación y gestión del reconocimiento predial en el proceso de actualización catastral multiproposito de El Guamo y Córdoba (Bolivar) y Río Blanco (Tolima)</t>
  </si>
  <si>
    <t>113121</t>
  </si>
  <si>
    <t>488621</t>
  </si>
  <si>
    <t>583521, 584121</t>
  </si>
  <si>
    <t>219193621, 219210821</t>
  </si>
  <si>
    <t>52021</t>
  </si>
  <si>
    <t>2021-05-18 16:58:00</t>
  </si>
  <si>
    <t>Prestación de servicios personales para realizar actividades de reconocimiento predial en el proceso de actualización catastra multiproposito de El Guamo y Córdoba (Bolivar) y Río Blanco (Tolima)</t>
  </si>
  <si>
    <t>113221, 113321, 113421, 113521, 113621</t>
  </si>
  <si>
    <t>492721, 504421, 514721, 515021, 515321</t>
  </si>
  <si>
    <t>585421, 599521, 603921, 604721, 606921, 607021, 607121, 607221, 607421, 607521</t>
  </si>
  <si>
    <t>219738621, 224186121, 225355821, 225634621, 227524221, 227525821, 227528021, 227544321, 227950221, 228105821</t>
  </si>
  <si>
    <t>52121</t>
  </si>
  <si>
    <t>2021-05-18 17:00:00</t>
  </si>
  <si>
    <t>Prestación de servicios profesionales para apoyar el componente jurídico en los proyectos de los procesos de actualización catastral multiproposito de El Guamo y Córdoba (Bolivar) y Río Blanco (Tolima)</t>
  </si>
  <si>
    <t>120321</t>
  </si>
  <si>
    <t>515221</t>
  </si>
  <si>
    <t>607321</t>
  </si>
  <si>
    <t>227554521</t>
  </si>
  <si>
    <t>52221</t>
  </si>
  <si>
    <t>2021-05-18 17:01:00</t>
  </si>
  <si>
    <t>Prestación de servicios personales para realizar actividades de digitalización y generación de productos resultantes del proceso de actualización catastral multiproposito de El Guamo y Córdoba (Bolivar) y Río Blanco (Tolima)</t>
  </si>
  <si>
    <t>123421</t>
  </si>
  <si>
    <t>509621</t>
  </si>
  <si>
    <t>604921</t>
  </si>
  <si>
    <t>225637421</t>
  </si>
  <si>
    <t>2021-05-18 17:04:00</t>
  </si>
  <si>
    <t>Prestación de servicios para realizar la edición, depuración y consolidación de los productos cartográficos requeridos para el componente geográfico de los procesos de actualización catastral multiproposito de El Guamo y Córdoba
(Bolivar) y Río Blan</t>
  </si>
  <si>
    <t>111021</t>
  </si>
  <si>
    <t>515521</t>
  </si>
  <si>
    <t>607621</t>
  </si>
  <si>
    <t>228041721</t>
  </si>
  <si>
    <t>2021-05-18 17:05:00</t>
  </si>
  <si>
    <t>Prestación de servicios para realizar la edición, depuración y consolidación de los productos cartográficos requeridos para el componente geográfico de los procesos de actualización catastral multiproposito de El Guamo y Bolivar
(Cordobá) y Río Blanc</t>
  </si>
  <si>
    <t>113921</t>
  </si>
  <si>
    <t>504221</t>
  </si>
  <si>
    <t>596121, 598921</t>
  </si>
  <si>
    <t>223935021, 224176821</t>
  </si>
  <si>
    <t>52521</t>
  </si>
  <si>
    <t>2021-05-18 17:06:00</t>
  </si>
  <si>
    <t>Prestación de servicios profesionales para realizar las socializaciones requeridas en el proceso de actualización catastral multiproposito de El Guamo y Córdoba (Bolivar) y Río Blanco (Tolima)</t>
  </si>
  <si>
    <t>113821</t>
  </si>
  <si>
    <t>498721</t>
  </si>
  <si>
    <t>594121, 594421</t>
  </si>
  <si>
    <t>222215321, 222216421</t>
  </si>
  <si>
    <t>52621</t>
  </si>
  <si>
    <t>2021-05-18 17:08:00</t>
  </si>
  <si>
    <t>Prestación de servicios de apoyo a la gestión reconocedor predial junior y atención de requerimientos administrativos y judiciales del proceso de restitución de tierras en la dirección territorial Casanare.</t>
  </si>
  <si>
    <t>100021</t>
  </si>
  <si>
    <t>431121</t>
  </si>
  <si>
    <t>539721, 570921</t>
  </si>
  <si>
    <t>198655221, 214646421</t>
  </si>
  <si>
    <t>2021-05-20 00:00:00</t>
  </si>
  <si>
    <t>2021-05-20 09:01:00</t>
  </si>
  <si>
    <t>PAGO FACTURA IPGH 2021</t>
  </si>
  <si>
    <t>106721</t>
  </si>
  <si>
    <t>338321</t>
  </si>
  <si>
    <t>438321</t>
  </si>
  <si>
    <t>147782021</t>
  </si>
  <si>
    <t>2021-05-20 09:47:00</t>
  </si>
  <si>
    <t>REALIZAR DILIGENCIA DE CAMPO EN LOS PROCESOS DE DESLINDE DE LOS MUNICIPIOS DE CUBARÁ (BOYACÁ) Y TOLEDO (NORTE DE SANTANDER)</t>
  </si>
  <si>
    <t>90921, 91221</t>
  </si>
  <si>
    <t>277021, 277121</t>
  </si>
  <si>
    <t>381221, 381321</t>
  </si>
  <si>
    <t>126808021, 126809221</t>
  </si>
  <si>
    <t>2021-05-20 09:49:00</t>
  </si>
  <si>
    <t>REALIZAR EXPLORACIÓN DE SITIOS APTOS PARA ESTACIONES DE FUNCIONAMIENTO CONTINÚO DE LA RED MAGNA-ECO EN GARZÓN DEPARTAMENTO DEL HUILA Y MANTENIMIENTO DE LA RED MAGNA-ECO
MEDIANTE EL MANTENIMIENTO CORRECTIVO DE UNA ESTACIÓN DE LA RED EN FLORENCIA</t>
  </si>
  <si>
    <t>57321</t>
  </si>
  <si>
    <t>2021-05-21 00:00:00</t>
  </si>
  <si>
    <t>2021-05-21 18:04:00</t>
  </si>
  <si>
    <t>Realizar la toma de observaciones del campo magnético de la tierra en el Observatorio Geomagnético Nacional de Colombia ubicado en la isla El Santuario de Fúquene en el municipio de Ráquira del departamento de Boyacá.</t>
  </si>
  <si>
    <t>57721</t>
  </si>
  <si>
    <t>256921</t>
  </si>
  <si>
    <t>361121</t>
  </si>
  <si>
    <t>118330421</t>
  </si>
  <si>
    <t>2021-05-24 00:00:00</t>
  </si>
  <si>
    <t>2021-05-24 14:26:00</t>
  </si>
  <si>
    <t>Prestación de servicios profesionales para realizar levantamiento y análisis de requerimientos funcionales y técnicos para sistemas de información, diagramación y diseño conceptual de procesos y pruebas de sistemas de información.</t>
  </si>
  <si>
    <t>105421</t>
  </si>
  <si>
    <t>434921</t>
  </si>
  <si>
    <t>530521, 560721</t>
  </si>
  <si>
    <t>188274621, 211382221</t>
  </si>
  <si>
    <t>2021-05-24 14:28:00</t>
  </si>
  <si>
    <t>Prestación de servicios profesionales para apoyar en la estructuración, planeación y seguimiento de los proyectos desarrollados en el marco de la "Actualización y Gestión Catastral Nacional"</t>
  </si>
  <si>
    <t>56721</t>
  </si>
  <si>
    <t>121521</t>
  </si>
  <si>
    <t>457721</t>
  </si>
  <si>
    <t>564621</t>
  </si>
  <si>
    <t>212814021</t>
  </si>
  <si>
    <t>53521</t>
  </si>
  <si>
    <t>Prestación de servicios profesionales para apoyar la gestión de los procesos catastrales de formación, actualización y conservación catastral.</t>
  </si>
  <si>
    <t>56821</t>
  </si>
  <si>
    <t>2021-05-24 14:32:00</t>
  </si>
  <si>
    <t>Prestación de servicios profesionales para llevar a cabo el seguimiento, planeación y control de los proyectos desarrollados en el marco de la "Actualización y Gestión Catastral Nacional" con enfoque multipropósito</t>
  </si>
  <si>
    <t>132221</t>
  </si>
  <si>
    <t>2021-05-24 14:37:00</t>
  </si>
  <si>
    <t>Prestación de servicios profesionales para realizar actividades de digitalización, depuración cartográfica catastral y generación de productos de la información catastral en la Dirección Territorial Casanare.</t>
  </si>
  <si>
    <t>53821</t>
  </si>
  <si>
    <t>2021-05-24 14:45:00</t>
  </si>
  <si>
    <t>94021</t>
  </si>
  <si>
    <t>366121</t>
  </si>
  <si>
    <t>467221, 530121, 594221</t>
  </si>
  <si>
    <t>167049321, 188261721, 226369021</t>
  </si>
  <si>
    <t>2021-05-24 14:47:00</t>
  </si>
  <si>
    <t>Arrendamiento de bien inmueble para funcionamiento de sede operativa del contrato 02-2021 actualización catastral con enfoque multipropósito del municipio de Arauquita.</t>
  </si>
  <si>
    <t>101321</t>
  </si>
  <si>
    <t>54121</t>
  </si>
  <si>
    <t>2021-05-28 00:00:00</t>
  </si>
  <si>
    <t>2021-05-28 09:10:00</t>
  </si>
  <si>
    <t>Mantenimiento preventivo y correctivo de UPS en las direcciones territoriales del IGAC</t>
  </si>
  <si>
    <t>2021-05-31 00:00:00</t>
  </si>
  <si>
    <t>2021-05-31 15:57:00</t>
  </si>
  <si>
    <t>55421</t>
  </si>
  <si>
    <t>116221</t>
  </si>
  <si>
    <t>393821</t>
  </si>
  <si>
    <t>490121</t>
  </si>
  <si>
    <t>176275721</t>
  </si>
  <si>
    <t>2021-06-03 00:00:00</t>
  </si>
  <si>
    <t>2021-06-03 07:32:00</t>
  </si>
  <si>
    <t>Prestación de servicios profesionales para el soporte técnico, mantenimiento y actualización del Sistema de Gestión Documental -SIGAC sobre la plataforma BPM/FOREST.</t>
  </si>
  <si>
    <t>111521</t>
  </si>
  <si>
    <t>507521</t>
  </si>
  <si>
    <t>600221</t>
  </si>
  <si>
    <t>224419821</t>
  </si>
  <si>
    <t>2021-06-03 07:37:00</t>
  </si>
  <si>
    <t>Gastos de salida de campo acompañamiento para revisión de las clases Agrologicas en el municipio de Cajicá - Cundinamarca</t>
  </si>
  <si>
    <t>59321</t>
  </si>
  <si>
    <t>290721</t>
  </si>
  <si>
    <t>393921</t>
  </si>
  <si>
    <t>131277421</t>
  </si>
  <si>
    <t>2021-06-03 07:39:00</t>
  </si>
  <si>
    <t>Gastos de salida de campo para revisión de las Clases Agrológicas en el municipio de Cajicá – Cundinamarca</t>
  </si>
  <si>
    <t>290621</t>
  </si>
  <si>
    <t>394021</t>
  </si>
  <si>
    <t>131280621</t>
  </si>
  <si>
    <t>54921</t>
  </si>
  <si>
    <t>2021-06-03 14:50:00</t>
  </si>
  <si>
    <t>REALIZAR FOTOCONTROL Y PUNTOS DE VERIFICACIÓN PARA ELABORACION DE CARTOGRAFÍA VECTORIAL URBANA DEL MUNICIPIO DE MONTECRISTO - BOLÍVAR</t>
  </si>
  <si>
    <t>58921</t>
  </si>
  <si>
    <t>98821, 99821, 104421</t>
  </si>
  <si>
    <t>295221, 296421, 325721</t>
  </si>
  <si>
    <t>397121, 397721, 424321</t>
  </si>
  <si>
    <t>135158621, 136517521, 145223621</t>
  </si>
  <si>
    <t>2021-06-03 15:03:00</t>
  </si>
  <si>
    <t>58521</t>
  </si>
  <si>
    <t>102721, 102821</t>
  </si>
  <si>
    <t>309221, 310321</t>
  </si>
  <si>
    <t>409721, 410121</t>
  </si>
  <si>
    <t>141668921, 141687021</t>
  </si>
  <si>
    <t>2021-06-03 15:09:00</t>
  </si>
  <si>
    <t>REALIZAR FOTOCONTROL Y PUNTOS DE VERIFICACÓN PARA ELABORACIONDE CARTOGRAFÍA VECTORIAL URBANA DE COLOMBIA (HUILA), RICAURTE (CUNDINAMARCA) Y SAN LUIS DE CUBARRAL CUBARRAL
(META)</t>
  </si>
  <si>
    <t>58621</t>
  </si>
  <si>
    <t>98421, 98521, 105821, 105921</t>
  </si>
  <si>
    <t>293721, 293921, 336321, 336421</t>
  </si>
  <si>
    <t>396121, 396221, 434621, 434721</t>
  </si>
  <si>
    <t>132798321, 132798621, 147423621, 147426421</t>
  </si>
  <si>
    <t>15421, 15521, 15621, 15721</t>
  </si>
  <si>
    <t>2021-06-03 15:18:00</t>
  </si>
  <si>
    <t>REALIZAR TRABAJOS DE AEROFOTOGRAFIA CON AERONAVES NO TRIPULADAS TIPO DRON EN EL MUNICIPIO DE SAN LUIS DE CUBARRAL (META), COLOMBIA (HUILA) Y SANTANDER DE QUILICHAO (CAUCA)</t>
  </si>
  <si>
    <t>97921</t>
  </si>
  <si>
    <t>293821</t>
  </si>
  <si>
    <t>396021</t>
  </si>
  <si>
    <t>132801821</t>
  </si>
  <si>
    <t>2021-06-03 15:19:00</t>
  </si>
  <si>
    <t>58821</t>
  </si>
  <si>
    <t>98221, 98321, 105521, 105721</t>
  </si>
  <si>
    <t>293421, 293621, 336521, 336621</t>
  </si>
  <si>
    <t>396321, 396421, 434421, 434521</t>
  </si>
  <si>
    <t>132796321, 132797121, 147431021, 147433321</t>
  </si>
  <si>
    <t>14821, 14921</t>
  </si>
  <si>
    <t>2021-06-08 00:00:00</t>
  </si>
  <si>
    <t>2021-06-08 15:41:00</t>
  </si>
  <si>
    <t>Realizar el mantenimiento de la red geodesica nacional activa MAGNA-ECO de dos estaciones de funcionamiento continuo en Puerto Lleras y Villavicencio en el departamento del meta</t>
  </si>
  <si>
    <t>98921, 99021</t>
  </si>
  <si>
    <t>295321, 295421</t>
  </si>
  <si>
    <t>397221, 397321</t>
  </si>
  <si>
    <t>135159521, 135160321</t>
  </si>
  <si>
    <t>2021-06-09 00:00:00</t>
  </si>
  <si>
    <t>2021-06-09 09:15:00</t>
  </si>
  <si>
    <t>Adicion contrato poliza de casco avion y dron Ebee</t>
  </si>
  <si>
    <t>59721</t>
  </si>
  <si>
    <t>434321</t>
  </si>
  <si>
    <t>529621</t>
  </si>
  <si>
    <t>207512921</t>
  </si>
  <si>
    <t>2021-06-11 00:00:00</t>
  </si>
  <si>
    <t>2021-06-11 15:29:00</t>
  </si>
  <si>
    <t>Gastos de desplazamiento, Realizar validación Protocolo de Evaluación el impacto del Cambio de Uso en el complejo de Paramos de Iguaque Merchán, en los municipios de Chiquinquirá y Saboya - Boyacá</t>
  </si>
  <si>
    <t>60121</t>
  </si>
  <si>
    <t>100521</t>
  </si>
  <si>
    <t>300021</t>
  </si>
  <si>
    <t>401021</t>
  </si>
  <si>
    <t>138669421</t>
  </si>
  <si>
    <t>2021-06-11 15:31:00</t>
  </si>
  <si>
    <t>Gastos de desplazamiento, Gestión Social para los Trabajos de Campo del Proyecto CAR - Páramos, en los municipios de Cabrera, Pasca, San Bernardo, Soacha, Sibaté, Venecia, Arbeláez y Zona Rural de Bogotá en el
departamento de Cundinamarca.</t>
  </si>
  <si>
    <t>60021</t>
  </si>
  <si>
    <t>300121</t>
  </si>
  <si>
    <t>401121</t>
  </si>
  <si>
    <t>138671021</t>
  </si>
  <si>
    <t>56021</t>
  </si>
  <si>
    <t>2021-06-11 15:33:00</t>
  </si>
  <si>
    <t>Realizar la materialización de una estación CORS y un mantenimiento de estación Cors en Tumaco (Nariño) y mantenimiento de una estaciones CORS en Silvia (Cauca)</t>
  </si>
  <si>
    <t>60621</t>
  </si>
  <si>
    <t>2021-06-15 00:00:00</t>
  </si>
  <si>
    <t>2021-06-15 12:35:00</t>
  </si>
  <si>
    <t>Prestación de servicios técnicos de apoyo para realizar el seguimiento, planeación y gestión del reconocimiento predial en el proceso de actualización catastral multiproposito de los municipios de El Guamo y Córdoba (Bolivar) y
Río Blanco (Tolima)</t>
  </si>
  <si>
    <t>60421</t>
  </si>
  <si>
    <t>110221</t>
  </si>
  <si>
    <t>505621</t>
  </si>
  <si>
    <t>596921, 607721</t>
  </si>
  <si>
    <t>223971121, 228099621</t>
  </si>
  <si>
    <t>2021-06-15 12:36:00</t>
  </si>
  <si>
    <t>Prestación de servicios personales para desarrollar las actividades de reconocimiento predial en el proceso de actualización catastral multiproposito de los municipios de El Guamo y Córdoba (Bolivar) y Río Blanco (Tolima)</t>
  </si>
  <si>
    <t>60521</t>
  </si>
  <si>
    <t>113721</t>
  </si>
  <si>
    <t>486321</t>
  </si>
  <si>
    <t>580621, 600921</t>
  </si>
  <si>
    <t>218218821, 224426821</t>
  </si>
  <si>
    <t>2021-06-15 14:02:00</t>
  </si>
  <si>
    <t>Transportar servidor público Subdirección de Agrología para realizar apoyo a la Fiscalía del municipio de Fusagasugá – Cundinamarca</t>
  </si>
  <si>
    <t>60821</t>
  </si>
  <si>
    <t>303721</t>
  </si>
  <si>
    <t>404421</t>
  </si>
  <si>
    <t>139081421</t>
  </si>
  <si>
    <t>2021-06-15 14:03:00</t>
  </si>
  <si>
    <t>Realizar Peritaje a un predio del municipio de Fusagasugá como apoyo a la Fiscalía Segunda de Fusagasugá – Cundinamarca.</t>
  </si>
  <si>
    <t>60721</t>
  </si>
  <si>
    <t>101421</t>
  </si>
  <si>
    <t>303521</t>
  </si>
  <si>
    <t>404221</t>
  </si>
  <si>
    <t>139078421</t>
  </si>
  <si>
    <t>2021-06-17 00:00:00</t>
  </si>
  <si>
    <t>2021-06-17 11:27:00</t>
  </si>
  <si>
    <t>Realizar el mantenimiento, patronamiento y verificación de equipos geodésicos hiper sr -hiper v y estación total os 101, incluido los respuestos, para dar cumplimiento a las labores de fotocontrol y rastreo de coordenadas.</t>
  </si>
  <si>
    <t>58421</t>
  </si>
  <si>
    <t>2021-06-17 16:31:00</t>
  </si>
  <si>
    <t>Realizar seguimiento y control de calidad del trabajo de campo para la verificación de las condiciones agronómicas y limitantes específicos en el marco de la actualización de las Áreas Homogéneas de Tierra con fines de Catastro
multipropósito.</t>
  </si>
  <si>
    <t>61321</t>
  </si>
  <si>
    <t>103021</t>
  </si>
  <si>
    <t>312121</t>
  </si>
  <si>
    <t>411821</t>
  </si>
  <si>
    <t>142406221</t>
  </si>
  <si>
    <t>2021-06-17 16:33:00</t>
  </si>
  <si>
    <t>Realizar trabajo de campo para la verificación de las condiciones agronómicas y limitantes específicos en el marco de la actualización de las Áreas Homogéneas de Tierra con fines de Catastro multipropósito del municipio de Popayán,
departamento del C</t>
  </si>
  <si>
    <t>61221</t>
  </si>
  <si>
    <t>102921, 103121</t>
  </si>
  <si>
    <t>311521, 312221</t>
  </si>
  <si>
    <t>411221, 412021</t>
  </si>
  <si>
    <t>142044521, 142407121</t>
  </si>
  <si>
    <t>2021-06-17 16:35:00</t>
  </si>
  <si>
    <t>Realizar seguimiento y pago de baquianos del trabajo de campo de la validación Protocolo de Evaluación el impacto del Cambio de Uso en el complejo de Paramos de Iguaque Merchán, en los municipios de Chiquinquirá y Saboya - Boyacá .</t>
  </si>
  <si>
    <t>61121</t>
  </si>
  <si>
    <t>103221</t>
  </si>
  <si>
    <t>312421</t>
  </si>
  <si>
    <t>412221</t>
  </si>
  <si>
    <t>142408321</t>
  </si>
  <si>
    <t>2021-06-18 00:00:00</t>
  </si>
  <si>
    <t>2021-06-18 13:28:00</t>
  </si>
  <si>
    <t>61021</t>
  </si>
  <si>
    <t>103821</t>
  </si>
  <si>
    <t>317321</t>
  </si>
  <si>
    <t>416221</t>
  </si>
  <si>
    <t>143123221</t>
  </si>
  <si>
    <t>2021-06-18 17:11:00</t>
  </si>
  <si>
    <t>Revisión de Clases Agrologicas municipio de Funza - Cundinamarca.</t>
  </si>
  <si>
    <t>103721</t>
  </si>
  <si>
    <t>316721</t>
  </si>
  <si>
    <t>417321</t>
  </si>
  <si>
    <t>143338721</t>
  </si>
  <si>
    <t>2021-06-21 00:00:00</t>
  </si>
  <si>
    <t>2021-06-21 09:38:00</t>
  </si>
  <si>
    <t>REALIZAR DILIGENCIA DE CAMPO DEL PROCESO DE DESLINDE DE LOS MUNICIPIOS FREDONIA Y VENECIA EN EL DEPARTAMENTO DE ANTIOQUIA</t>
  </si>
  <si>
    <t>61521</t>
  </si>
  <si>
    <t>104321, 104521</t>
  </si>
  <si>
    <t>329121, 331621</t>
  </si>
  <si>
    <t>424521, 428521</t>
  </si>
  <si>
    <t>145794521, 145927121</t>
  </si>
  <si>
    <t>2021-06-22 00:00:00</t>
  </si>
  <si>
    <t>2021-06-22 09:31:00</t>
  </si>
  <si>
    <t>Prestación de servicios profesionales para revisar y aprobar los estudios de zonas homogéneas físicas y geoeconómicas requeridos en los procesos de la gestión catastral</t>
  </si>
  <si>
    <t>60321</t>
  </si>
  <si>
    <t>111321</t>
  </si>
  <si>
    <t>383721</t>
  </si>
  <si>
    <t>481921, 550721</t>
  </si>
  <si>
    <t>173809221, 209384621</t>
  </si>
  <si>
    <t>57621</t>
  </si>
  <si>
    <t>2021-06-22 09:45:00</t>
  </si>
  <si>
    <t>PAGO MEMBRESIA DE IUGG (INTERNATIONAL UNION OF GEODESY AND GEOPHYSICS UNION GEODESIQUE ET GEOPHYSIQUE INTERNATIONALES</t>
  </si>
  <si>
    <t>110321</t>
  </si>
  <si>
    <t>360321</t>
  </si>
  <si>
    <t>460721</t>
  </si>
  <si>
    <t>158466921</t>
  </si>
  <si>
    <t>57921</t>
  </si>
  <si>
    <t>2021-06-24 00:00:00</t>
  </si>
  <si>
    <t>2021-06-24 10:11:00</t>
  </si>
  <si>
    <t>Prestación de servicios profesionales para realizar avalúos comerciales, a nivel nacional de los bienes urbanos y rurales.</t>
  </si>
  <si>
    <t>60221</t>
  </si>
  <si>
    <t>120421, 124021</t>
  </si>
  <si>
    <t>58021</t>
  </si>
  <si>
    <t>2021-06-24 10:15:00</t>
  </si>
  <si>
    <t>Prestación de servicios profesionales para identificar, revisar, proponer, implementar y optimizar mejoras al sistema de gestión de seguridad de la información del Instituto.</t>
  </si>
  <si>
    <t>62621</t>
  </si>
  <si>
    <t>2021-06-24 11:35:00</t>
  </si>
  <si>
    <t>Trasportar a los funcionarios de la comisión para realizar los trabajos de campo en el reconocimiento de los suelos del contrato interadministrativo No. 5153 de 2019 con la Corporación Autónoma Regional de Cundinamarca (CAR) “Estudio
multitemporal</t>
  </si>
  <si>
    <t>107321, 114021</t>
  </si>
  <si>
    <t>340721, 365821</t>
  </si>
  <si>
    <t>441621, 465221</t>
  </si>
  <si>
    <t>148391421, 164844721</t>
  </si>
  <si>
    <t>17921, 18721</t>
  </si>
  <si>
    <t>58221</t>
  </si>
  <si>
    <t>2021-06-24 11:36:00</t>
  </si>
  <si>
    <t>Viaticos y gastos de la comisión para realizar los trabajos de campo en el reconocimiento de los suelos del contrato interadministrativo No. 5153 de 2019 con la Corporación Autónoma Regional de Cundinamarca (CAR) “Estudio
multitemporal de las cobertu</t>
  </si>
  <si>
    <t>61821</t>
  </si>
  <si>
    <t>107021, 107121, 107221, 107421, 107521, 107621, 107721, 107821</t>
  </si>
  <si>
    <t>340021, 340121, 340221, 340321, 340421, 340521, 340821, 340921</t>
  </si>
  <si>
    <t>440821, 441021, 441221, 441421, 441721, 441821, 442021, 442221</t>
  </si>
  <si>
    <t>148396821, 148400221, 148402021, 148406221, 148409321, 148897221, 148900321, 148900621</t>
  </si>
  <si>
    <t>17421, 18021, 18121, 18221, 18321, 18421, 18521, 18621</t>
  </si>
  <si>
    <t>2021-06-24 12:13:00</t>
  </si>
  <si>
    <t>Gastos de Desplazamiento para realizar los trabajos de campo en el reconocimiento de los suelos del contrato interadministrativo No. 5153 de 2019 con la Corporación Autónoma Regional de Cundinamarca (CAR) “Estudio multitemporal de
las coberturas y us</t>
  </si>
  <si>
    <t>107921, 108021, 108121, 108221, 108321, 108421, 108521, 108621, 108721, 108821</t>
  </si>
  <si>
    <t>341021, 341221, 341321, 341421, 341521, 341621, 341721, 341821, 341921, 342021</t>
  </si>
  <si>
    <t>442321, 442421, 442521, 442621, 442721, 442821, 442921, 443021, 443121, 443221</t>
  </si>
  <si>
    <t>148901121, 148901521, 148901921, 148902221, 148903021, 148903721, 148904121, 148904421, 148905021, 148905321</t>
  </si>
  <si>
    <t>2021-06-24 15:29:00</t>
  </si>
  <si>
    <t>Realizar mantenimiento correctivo de una estación de funcionamiento continuo de la red MAGNA ECO en la Isla El Santuario de Fúquene en el Municipio de Ráquira del Departamento de Boyacá.</t>
  </si>
  <si>
    <t>109321, 109421</t>
  </si>
  <si>
    <t>348021, 351221</t>
  </si>
  <si>
    <t>449921, 452821</t>
  </si>
  <si>
    <t>151907521, 152444721</t>
  </si>
  <si>
    <t>2021-06-29 00:00:00</t>
  </si>
  <si>
    <t>2021-06-29 08:04:00</t>
  </si>
  <si>
    <t>Prestación de servicios profesionales para realizar el control de calidad de la interacción de la información de la geomorfología y las Áreas Homogéneas de Tierra con fines de Catastro Multipropósito, en el marco de la actualización catastral de Arau</t>
  </si>
  <si>
    <t>63321</t>
  </si>
  <si>
    <t>116921</t>
  </si>
  <si>
    <t>470421</t>
  </si>
  <si>
    <t>593221</t>
  </si>
  <si>
    <t>226308621</t>
  </si>
  <si>
    <t>2021-06-29 08:06:00</t>
  </si>
  <si>
    <t>63221</t>
  </si>
  <si>
    <t>117221</t>
  </si>
  <si>
    <t>499421</t>
  </si>
  <si>
    <t>595121</t>
  </si>
  <si>
    <t>226433221</t>
  </si>
  <si>
    <t>2021-06-29 08:07:00</t>
  </si>
  <si>
    <t>Prestación de servicios profesionales para ejecutar las diferentes etapas de la actualización de Áreas Homogéneas de Tierras con fines de catastro multipropósito, en el marco de la actualización catastral de Arauquita.</t>
  </si>
  <si>
    <t>63121</t>
  </si>
  <si>
    <t>122121</t>
  </si>
  <si>
    <t>503321</t>
  </si>
  <si>
    <t>593821</t>
  </si>
  <si>
    <t>226319921</t>
  </si>
  <si>
    <t>59121</t>
  </si>
  <si>
    <t>2021-06-30 00:00:00</t>
  </si>
  <si>
    <t>2021-06-30 08:57:00</t>
  </si>
  <si>
    <t>Prestación de servicios profesionales para realizar la planeación, desarrollo, soporte y seguimiento a los proyectos relacionados con desarrollo de aplicaciones de tecnologías de información
geográfica a cargo de la oficina CIAF</t>
  </si>
  <si>
    <t>116121</t>
  </si>
  <si>
    <t>433421</t>
  </si>
  <si>
    <t>529021, 591221</t>
  </si>
  <si>
    <t>187312221, 225892121</t>
  </si>
  <si>
    <t>59221</t>
  </si>
  <si>
    <t>2021-06-30 08:58:00</t>
  </si>
  <si>
    <t>Prestación de servicios profesionales para desarrollar herramientas asociadas a la transferencia de conocimiento técnico especializado de acuerdos con los requerimientos y necesidades de la oficina
CIAF.</t>
  </si>
  <si>
    <t>2021-07-01 00:00:00</t>
  </si>
  <si>
    <t>2021-07-01 08:33:00</t>
  </si>
  <si>
    <t>Realizar la toma de observaciones gravimétricas relativas en campo para el establecimiento de la Red Gravimétrica relativa nacional de primer orden IGAC - OSU.</t>
  </si>
  <si>
    <t>63621</t>
  </si>
  <si>
    <t>110821, 110921</t>
  </si>
  <si>
    <t>360921, 361521</t>
  </si>
  <si>
    <t>460921, 461621</t>
  </si>
  <si>
    <t>158469821, 158483121</t>
  </si>
  <si>
    <t>2021-07-02 00:00:00</t>
  </si>
  <si>
    <t>2021-07-02 11:27:00</t>
  </si>
  <si>
    <t>Realizar visita técnica a la Isla Santuario de Fúquene en el Municipio de Ráquira del departamento de Boyacá</t>
  </si>
  <si>
    <t>63721</t>
  </si>
  <si>
    <t>114121, 114221, 114921</t>
  </si>
  <si>
    <t>365921, 367621</t>
  </si>
  <si>
    <t>465321, 465421</t>
  </si>
  <si>
    <t>164849321, 165513121</t>
  </si>
  <si>
    <t>2021-07-07 00:00:00</t>
  </si>
  <si>
    <t>2021-07-07 08:58:00</t>
  </si>
  <si>
    <t>REALIZAR FOTOCONTROL Y PUNTOS DE VERIFICACION PARA ELABORACION DE CARTOGRAFIA VECTORIAL EN EL MUNICIPIO DE SAN CARLOS (CORDOBA) Y PAZ DEL RIO (BOYACA)</t>
  </si>
  <si>
    <t>63921</t>
  </si>
  <si>
    <t>115321</t>
  </si>
  <si>
    <t>368521</t>
  </si>
  <si>
    <t>466621</t>
  </si>
  <si>
    <t>165937021</t>
  </si>
  <si>
    <t>59821</t>
  </si>
  <si>
    <t>2021-07-08 00:00:00</t>
  </si>
  <si>
    <t>2021-07-08 10:52:00</t>
  </si>
  <si>
    <t>Realizar la exploración de sitios para instalación de estaciones de funcionamiento continúo GNSS de la red geodésica activa MAGNA-ECO en Garzón y Colombia en el departamento del Huila</t>
  </si>
  <si>
    <t>64021</t>
  </si>
  <si>
    <t>114421</t>
  </si>
  <si>
    <t>367421</t>
  </si>
  <si>
    <t>465821</t>
  </si>
  <si>
    <t>165735721</t>
  </si>
  <si>
    <t>59921</t>
  </si>
  <si>
    <t>2021-07-08 10:54:00</t>
  </si>
  <si>
    <t>64121</t>
  </si>
  <si>
    <t>114721, 114821, 115421</t>
  </si>
  <si>
    <t>367821, 368121, 368221</t>
  </si>
  <si>
    <t>465921, 466021, 466121</t>
  </si>
  <si>
    <t>165736221, 165736521, 165738221</t>
  </si>
  <si>
    <t>19321, 19421</t>
  </si>
  <si>
    <t>2021-07-08 10:55:00</t>
  </si>
  <si>
    <t>REALIZAR TRABAJOS DE AEROFOTOGRAFIA CON AERONAVES NO TRIPULADAS TIPO DRON EN SAN CARLOS (CORDOBA), MONTECRISTO (BOLIVAR), PAZ DEL RIO (BOYACÁ) Y TRINIDAD (CASANARE)</t>
  </si>
  <si>
    <t>115621, 115721</t>
  </si>
  <si>
    <t>368621, 368721</t>
  </si>
  <si>
    <t>466721, 466821</t>
  </si>
  <si>
    <t>166374221, 166376321</t>
  </si>
  <si>
    <t>2021-07-08 11:05:00</t>
  </si>
  <si>
    <t>Adición al contrato de prestación de servicios 24338</t>
  </si>
  <si>
    <t>120021</t>
  </si>
  <si>
    <t>2021-07-08 11:07:00</t>
  </si>
  <si>
    <t>Realizar socialización proyecto Vocación de los Suelos del municipio de Tumaco, Nariño</t>
  </si>
  <si>
    <t>115121, 115221</t>
  </si>
  <si>
    <t>368321, 368421</t>
  </si>
  <si>
    <t>466421, 466521</t>
  </si>
  <si>
    <t>165925321, 165934321</t>
  </si>
  <si>
    <t>Adición a los contratos de prestación de servicios 24308</t>
  </si>
  <si>
    <t>64421</t>
  </si>
  <si>
    <t>120121</t>
  </si>
  <si>
    <t>2021-07-08 11:14:00</t>
  </si>
  <si>
    <t>64321</t>
  </si>
  <si>
    <t>114521</t>
  </si>
  <si>
    <t>367321</t>
  </si>
  <si>
    <t>465721</t>
  </si>
  <si>
    <t>165735021</t>
  </si>
  <si>
    <t>2021-07-14 00:00:00</t>
  </si>
  <si>
    <t>2021-07-14 12:46:00</t>
  </si>
  <si>
    <t>REALIZAR TRABAJOS DE AEROFOTOGRAFIA CON AERONAVES NO TRIPULADAS TIPO DRON EN EL MUNICIPIO DE GACHANCIPÁ EN EL DEPARTAMENTO DE CUNDINAMARCA</t>
  </si>
  <si>
    <t>65021</t>
  </si>
  <si>
    <t>2021-07-15 00:00:00</t>
  </si>
  <si>
    <t>2021-07-15 08:11:00</t>
  </si>
  <si>
    <t>Prestación de servicios profesionales para adelantar, desarrollar e implementar las metodologías de valoración predial requeridas para el desarrollo de los procesos de actualización catastral con enfoque multipropósito.</t>
  </si>
  <si>
    <t>121121, 121221, 134321</t>
  </si>
  <si>
    <t>490821</t>
  </si>
  <si>
    <t>601021</t>
  </si>
  <si>
    <t>224428121</t>
  </si>
  <si>
    <t>2021-07-15 09:27:00</t>
  </si>
  <si>
    <t>Prestación de servicios profesionales para definir, implementar y optimizar mejoras al sistema de gestión de continuidad de negocio realizando los análisis de impacto al negocio, identificación de riesgos de continuidad y estructurando los planes de</t>
  </si>
  <si>
    <t>123321</t>
  </si>
  <si>
    <t>60921</t>
  </si>
  <si>
    <t>2021-07-15 12:00:00</t>
  </si>
  <si>
    <t>Suministro de Gases especiales para la ejecución de análisis para el Laboratorio Nacional de Suelos</t>
  </si>
  <si>
    <t>63421</t>
  </si>
  <si>
    <t>124621</t>
  </si>
  <si>
    <t>2021-07-15 15:36:00</t>
  </si>
  <si>
    <t>APOYAR LA REALIZACION DE LA GEORREFERENCIACIÓN DE LA LINEA DEL OLEODUCTO PIOJO LURUACO EN EL DEPARTAMENTO DEL ATLANTICO.</t>
  </si>
  <si>
    <t>65121</t>
  </si>
  <si>
    <t>117721</t>
  </si>
  <si>
    <t>383021</t>
  </si>
  <si>
    <t>479621</t>
  </si>
  <si>
    <t>172802721</t>
  </si>
  <si>
    <t>2021-07-15 17:15:00</t>
  </si>
  <si>
    <t>Realizar la toma de observaciones del campo magnético de la tierra en el Observatorio Geomagnético Nacional de Colombia ubicado en la Isla Santuario de Fúquene en el municipio de Ráquira del departamento de Boyacá.</t>
  </si>
  <si>
    <t>64921</t>
  </si>
  <si>
    <t>118221</t>
  </si>
  <si>
    <t>382421</t>
  </si>
  <si>
    <t>479021</t>
  </si>
  <si>
    <t>172811721</t>
  </si>
  <si>
    <t>2021-07-19 00:00:00</t>
  </si>
  <si>
    <t>2021-07-19 19:26:00</t>
  </si>
  <si>
    <t>PARA REALIZAR DILIGENCIA DE CAMPO PROCESO DE DESLINDE DE LOS MUNICIPIOS EL RETIRO Y ENVIGADO EN ANTIOQUIA</t>
  </si>
  <si>
    <t>65521</t>
  </si>
  <si>
    <t>119121, 119221</t>
  </si>
  <si>
    <t>392121, 392621</t>
  </si>
  <si>
    <t>488521, 488621</t>
  </si>
  <si>
    <t>176116821, 176120821</t>
  </si>
  <si>
    <t>2021-07-19 19:28:00</t>
  </si>
  <si>
    <t>REALIZAR DILIGENCIA DE CAMPO PROCESO DE DESLINDE DE LOS MUNICIPIOS CAMPAMENTO Y GUADALUPE EN EL DEPARTAMENTO DE ANTIOQUIA</t>
  </si>
  <si>
    <t>65421</t>
  </si>
  <si>
    <t>119021, 119321</t>
  </si>
  <si>
    <t>392021, 392721</t>
  </si>
  <si>
    <t>488421, 488721</t>
  </si>
  <si>
    <t>176116021, 176129021</t>
  </si>
  <si>
    <t>2021-07-23 00:00:00</t>
  </si>
  <si>
    <t>2021-07-23 16:06:00</t>
  </si>
  <si>
    <t>Atender requerimientos de la Policía Nacional – Monitoreo antes e inmediatamente después de las operaciones de aspersión (Semestre II – 2021). Municipio de Villagarzón departamento del Putumayo.</t>
  </si>
  <si>
    <t>120921, 128421</t>
  </si>
  <si>
    <t>404321, 443321</t>
  </si>
  <si>
    <t>501821, 538221</t>
  </si>
  <si>
    <t>178853521</t>
  </si>
  <si>
    <t>62121</t>
  </si>
  <si>
    <t>2021-07-29 00:00:00</t>
  </si>
  <si>
    <t>2021-07-29 14:42:00</t>
  </si>
  <si>
    <t>Realizar la densificación de la red geodesica pasiva en los municipios de Cabuyaro y Barranca de Upía (Meta), Villanueva (Casanare) Capitanejo (Santander), Sogamoso, Gámeza, Cuítiva, Tópaga, Tipacoque, Iza, Monguí,
Covarachía, Boavita, la Uvita (Boya</t>
  </si>
  <si>
    <t>66321</t>
  </si>
  <si>
    <t>123521, 123621, 123721, 124121</t>
  </si>
  <si>
    <t>436621, 437321, 437421, 437521</t>
  </si>
  <si>
    <t>531521, 532121, 532221, 532321</t>
  </si>
  <si>
    <t>190705221, 190769121, 190770421, 190771521</t>
  </si>
  <si>
    <t>2021-08-04 00:00:00</t>
  </si>
  <si>
    <t>2021-08-04 09:18:00</t>
  </si>
  <si>
    <t>REALIZAR LA MATERIALIZACIÓN DE DOS VERTICES GEODESICOS DE LA RED PASIVA EN LA CIUDAD DE POPAYAN</t>
  </si>
  <si>
    <t>66421</t>
  </si>
  <si>
    <t>124721</t>
  </si>
  <si>
    <t>438621</t>
  </si>
  <si>
    <t>532821</t>
  </si>
  <si>
    <t>191942721</t>
  </si>
  <si>
    <t>62321</t>
  </si>
  <si>
    <t>2021-08-04 09:23:00</t>
  </si>
  <si>
    <t>COMISION PARA EL LEVANTAMIENTO DE PUNTOS DE CONTROL PARA LA ELABORACION DE CARTOGRAFÍA VECTORIAL URBANA DE LAS CABECERAS MUNICIPALES DE NOCAIMA, LA PEÑA, LA PALMA, EL PEÑON,
PAIME, CARMEN DE CARUPA, FUQUENE, LEGUAZAQUE, CUCUNUBA, MANTA EN CUNDINAMA</t>
  </si>
  <si>
    <t>67021</t>
  </si>
  <si>
    <t>128321</t>
  </si>
  <si>
    <t>442721</t>
  </si>
  <si>
    <t>537621</t>
  </si>
  <si>
    <t>195868121</t>
  </si>
  <si>
    <t>62421</t>
  </si>
  <si>
    <t>2021-08-04 09:25:00</t>
  </si>
  <si>
    <t>126021, 127821, 127921</t>
  </si>
  <si>
    <t>439021, 441821, 441921</t>
  </si>
  <si>
    <t>533721, 536621, 536721</t>
  </si>
  <si>
    <t>193653321, 195156921, 195181421</t>
  </si>
  <si>
    <t>62521</t>
  </si>
  <si>
    <t>2021-08-04 09:26:00</t>
  </si>
  <si>
    <t>REALIZAR FOTOCONTROL Y PUNTOS DE VERIFICACÓN PARA ELABORACIONDE CARTOGRAFÍA VECTORIAL URBANA DEL PROYECTO CABECERAS DE FÓMEQUE, JUNÍN, GAMA, GACHALÁ, MEDINA EN
CUNDINAMARCA</t>
  </si>
  <si>
    <t>67221</t>
  </si>
  <si>
    <t>126221, 127621, 127721, 128121, 128221</t>
  </si>
  <si>
    <t>439121, 442021, 442121, 442521, 442621</t>
  </si>
  <si>
    <t>533821, 536921, 537021, 537321, 537421</t>
  </si>
  <si>
    <t>193657821, 195172421, 195173621, 195867021, 195867821</t>
  </si>
  <si>
    <t>2021-08-05 00:00:00</t>
  </si>
  <si>
    <t>2021-08-05 10:09:00</t>
  </si>
  <si>
    <t>Prestación de servicios profesionales para realizar seguimiento y ejecución a los trámites y servicios solicitados por los usuarios internos y externos del IGAC.</t>
  </si>
  <si>
    <t>66721</t>
  </si>
  <si>
    <t>133321</t>
  </si>
  <si>
    <t>2021-08-05 17:16:00</t>
  </si>
  <si>
    <t>REALIZAR DILIGENCIA DE VISITA TECNICA DE CAMPO A PREDIO RURAL "EL SOCORRO" UBICADO EN EL MUNICIPIO DE PUERTO GAITÁN (META), EN CUMPLIMIENTO DE ORDEN JUDICIAL EMITIDA POR EL
JUZGADO SEGUNDO CIVIL DEL CIRCUITO ESPECIALIZADO EN
RESTITUCIÓN DE TIERRAS</t>
  </si>
  <si>
    <t>67321</t>
  </si>
  <si>
    <t>127221</t>
  </si>
  <si>
    <t>441421</t>
  </si>
  <si>
    <t>535821</t>
  </si>
  <si>
    <t>194402321</t>
  </si>
  <si>
    <t>62821</t>
  </si>
  <si>
    <t>2021-08-05 17:18:00</t>
  </si>
  <si>
    <t>REALIZAR DILIGENCIA DE VISITA TECNICA DE CAMPO A PREDIO RURAL "EL SOCORRO" UBICADO EN EL MUNICIPIO DE PUERTO GAITÁN (META), EN CUMPLIMIENTO DE ORDEN JUDICIAL EMITIDA POR EL
JUZGADO SEGUNDO CIVIL DEL CIRCUITO ESPECIALIZADO EN RESTITUCIÓN DE TIERRAS</t>
  </si>
  <si>
    <t>127321, 128021</t>
  </si>
  <si>
    <t>441521, 442221</t>
  </si>
  <si>
    <t>536021, 536821</t>
  </si>
  <si>
    <t>194403721, 195165921</t>
  </si>
  <si>
    <t>62921</t>
  </si>
  <si>
    <t>2021-08-10 00:00:00</t>
  </si>
  <si>
    <t>2021-08-10 08:42:00</t>
  </si>
  <si>
    <t>Realizar los trabajos de campo de Intensificación de la recta Tabatinga-Apaporis en el lugar que se defina en la presente conferencia mixta entre el hito 1936-8 y 1936-9, sector donde se han realizado asentamientos humanos en el
Amazonas</t>
  </si>
  <si>
    <t>67621</t>
  </si>
  <si>
    <t>129021, 129121, 129521</t>
  </si>
  <si>
    <t>444321, 444421, 445521</t>
  </si>
  <si>
    <t>538821, 538921, 540421</t>
  </si>
  <si>
    <t>198623321, 198623921, 198909321</t>
  </si>
  <si>
    <t>63021</t>
  </si>
  <si>
    <t>2021-08-10 08:48:00</t>
  </si>
  <si>
    <t>Realizar la exploración de sitios aptos para estaciones de funcionamiento continuo GNSS de la red geodésica activa magna en trinidad Casanare y mantenimiento de una estación de funcionamiento continúo de la red magna en
Garagoa en el departamento de</t>
  </si>
  <si>
    <t>67821</t>
  </si>
  <si>
    <t>129921, 130221</t>
  </si>
  <si>
    <t>448521, 448621</t>
  </si>
  <si>
    <t>543221, 543521</t>
  </si>
  <si>
    <t>200900021, 200901721</t>
  </si>
  <si>
    <t>2021-08-10 08:55:00</t>
  </si>
  <si>
    <t>Realizar exploración de sitios aptos para estaciones de GNSS de la red geodésica activa magna, en mesetas y san luis de cubarral en el meta y mantenimiento correctivo de una estación de funcionamiento continúo de la red magna
en santa rosalía en el V</t>
  </si>
  <si>
    <t>130021, 130121</t>
  </si>
  <si>
    <t>448321, 448421</t>
  </si>
  <si>
    <t>543321, 543421</t>
  </si>
  <si>
    <t>200900721, 200901421</t>
  </si>
  <si>
    <t>2021-08-10 09:15:00</t>
  </si>
  <si>
    <t>REALIZAR LA TOMA DE OBSERVACIONES GRAVIMÉTRICAS DE LA RED DE GRAVEDAD RELATIVA DE PRIMER ORDEN (IGAC-OSU) EN SANTAMARTA EN MAGDALENA, BARRANQUILLA EN ATLANTICO, CARTAGENA
EN BOLIVAR, OVEJAS, SINCELEJO EN SUCRE, MONTERÍA EN CORDOBA, CAUCASIA, YARUMAL</t>
  </si>
  <si>
    <t>67521</t>
  </si>
  <si>
    <t>128921, 129221</t>
  </si>
  <si>
    <t>443721, 444221</t>
  </si>
  <si>
    <t>538621, 538721</t>
  </si>
  <si>
    <t>198623021, 198651121</t>
  </si>
  <si>
    <t>2021-08-10 15:34:00</t>
  </si>
  <si>
    <t>Prestación de servicios profesionales para realizar seguimiento y control a la gestión de los procesos de la Subdirección de Agrología.</t>
  </si>
  <si>
    <t>65321</t>
  </si>
  <si>
    <t>63521</t>
  </si>
  <si>
    <t>2021-08-12 00:00:00</t>
  </si>
  <si>
    <t>2021-08-12 16:45:00</t>
  </si>
  <si>
    <t>REALIZAR TRABAJOS DE AEROFOTOGRAFIA CON AERONAVES NO TRIPULADAS TIPO DRON EN LAS CABECERAS MUNICIPALES Y LOS RESPECTIVOS CENTROS POBLADOS DE LOS MUNICIPIOS DE AGUA DE
DIOS, ALBÁN, ARBELAEZ, BITUIMA, CABRERA, CACHIPAY, EL COLEGIO, GRANADA, GUAYABLA D</t>
  </si>
  <si>
    <t>68021</t>
  </si>
  <si>
    <t>130321, 130421</t>
  </si>
  <si>
    <t>448721, 448821</t>
  </si>
  <si>
    <t>543621, 543721</t>
  </si>
  <si>
    <t>200903821, 200904521</t>
  </si>
  <si>
    <t>63821</t>
  </si>
  <si>
    <t>2021-08-19 00:00:00</t>
  </si>
  <si>
    <t>2021-08-19 07:36:00</t>
  </si>
  <si>
    <t>Prestación de servicios para apoyar la implementación de productos digitales asociados a los procesos geográficos, geodésicos y cartográficos.</t>
  </si>
  <si>
    <t>133221</t>
  </si>
  <si>
    <t>2021-08-19 07:38:00</t>
  </si>
  <si>
    <t>Prestación de servicios para la implementación de contenidos e interfaces de los productos digitales asociados a los procesos geográficos, geodésicos y cartográficos.</t>
  </si>
  <si>
    <t>133621</t>
  </si>
  <si>
    <t>2021-08-19 07:45:00</t>
  </si>
  <si>
    <t>Prestación de servicios profesionales para la consolidación y análisis de la información catastral en su componente geográfico de los municipios jurisdicción del IGAC.</t>
  </si>
  <si>
    <t>68221</t>
  </si>
  <si>
    <t>136321, 136421</t>
  </si>
  <si>
    <t>2021-08-19 07:47:00</t>
  </si>
  <si>
    <t>Prestación de servicios profesionales para la consolidación, análisis y trazabilidad de la información catastral en su componente alfanumérico de los municipios jurisdicción del IGAC</t>
  </si>
  <si>
    <t>68321</t>
  </si>
  <si>
    <t>136221</t>
  </si>
  <si>
    <t>2021-08-19 07:50:00</t>
  </si>
  <si>
    <t>Prestación de servicios profesionales para apoyar las actividades que correspondan en la administración de la información catastral en su componente geográfico mediante el uso de tecnologías de sistemas de información geográfica en los municipios jur</t>
  </si>
  <si>
    <t>68421</t>
  </si>
  <si>
    <t>139321</t>
  </si>
  <si>
    <t>2021-08-19 07:51:00</t>
  </si>
  <si>
    <t>Prestación de servicios para la actualización y elaboración de productos a partir de la información catastral en su componente alfanumérico de los municipios jurisdicción del IGAC.</t>
  </si>
  <si>
    <t>68521</t>
  </si>
  <si>
    <t>139221</t>
  </si>
  <si>
    <t>2021-08-19 07:52:00</t>
  </si>
  <si>
    <t>Prestación de servicios de apoyo a la gestión desarrollada en el proyecto de actualización catastral con enfoque multipropósito</t>
  </si>
  <si>
    <t>68721</t>
  </si>
  <si>
    <t>136621</t>
  </si>
  <si>
    <t>2021-08-19 15:12:00</t>
  </si>
  <si>
    <t>Prestación de servicios profesionales para realizar el análisis y documentación de información asociada a los límites de las entidades Territoriales</t>
  </si>
  <si>
    <t>69821</t>
  </si>
  <si>
    <t>2021-08-19 15:14:00</t>
  </si>
  <si>
    <t>Prestación de servicios para gestionar y consolidar información geográfica requerida para los proyectos asignados.</t>
  </si>
  <si>
    <t>2021-08-19 15:15:00</t>
  </si>
  <si>
    <t>Prestación de servicios para elaborar la cartografía temática requerida en los proyectos asignados, de conformidad con los lineamientos técnicos.</t>
  </si>
  <si>
    <t>2021-08-19 15:20:00</t>
  </si>
  <si>
    <t>69521</t>
  </si>
  <si>
    <t>132421, 132521</t>
  </si>
  <si>
    <t>464621, 464721</t>
  </si>
  <si>
    <t>556621, 556721</t>
  </si>
  <si>
    <t>210804721, 210810721</t>
  </si>
  <si>
    <t>2021-08-23 00:00:00</t>
  </si>
  <si>
    <t>2021-08-23 19:29:00</t>
  </si>
  <si>
    <t>Realizar trabajos de campo de identificación y georreferenciación de islas en el río Meta internacional</t>
  </si>
  <si>
    <t>70021</t>
  </si>
  <si>
    <t>133121</t>
  </si>
  <si>
    <t>568921</t>
  </si>
  <si>
    <t>213667121</t>
  </si>
  <si>
    <t>2021-08-23 19:32:00</t>
  </si>
  <si>
    <t>PARTICIPACIÓN JORNADA DE ATENCIÓN DESCENTRALIZADA EN EL MARCO DEL RETORNO VEREDA LA ALEMANIA DEL DEPARTAMENTO DE SUCRE (GESTIÓN LÍMITE ENTRE LOS MUNICIPIOS DE OVEJAS Y
CHALÁN)</t>
  </si>
  <si>
    <t>70321</t>
  </si>
  <si>
    <t>134821</t>
  </si>
  <si>
    <t>489821</t>
  </si>
  <si>
    <t>578421</t>
  </si>
  <si>
    <t>217636321</t>
  </si>
  <si>
    <t>2021-08-25 00:00:00</t>
  </si>
  <si>
    <t>2021-08-25 14:09:00</t>
  </si>
  <si>
    <t>Prestación de servicios para realizar actividades de gestión derivada de los contratos que tiene a cargo la Dirección de Gestión Catastral en materia de Avalúos</t>
  </si>
  <si>
    <t>68621</t>
  </si>
  <si>
    <t>136121</t>
  </si>
  <si>
    <t>2021-08-25 14:10:00</t>
  </si>
  <si>
    <t>Prestación de servicios profesionales para establecer actividades de seguimiento, planeación y control de los proyectos de la Actualización y Gestión Catastral Nacional multipropósito adelantados por el IGAC.</t>
  </si>
  <si>
    <t>136021</t>
  </si>
  <si>
    <t>2021-08-25 14:11:00</t>
  </si>
  <si>
    <t>Prestación de servicios profesionales para realizar el seguimiento, control y planeación de los proyectos de gestión catastral y procedimientos con enfoque multipropósito a cargo del IGAC</t>
  </si>
  <si>
    <t>2021-08-26 00:00:00</t>
  </si>
  <si>
    <t>2021-08-26 15:15:00</t>
  </si>
  <si>
    <t>Realizar la materialización de una estación CORS en el municipio de Tibú en Norte de Santander</t>
  </si>
  <si>
    <t>70521</t>
  </si>
  <si>
    <t>139521, 140221, 140821</t>
  </si>
  <si>
    <t>508321, 513021, 513821</t>
  </si>
  <si>
    <t>601121, 605821, 606321</t>
  </si>
  <si>
    <t>224500421, 226329921, 226365921</t>
  </si>
  <si>
    <t>2021-08-30 00:00:00</t>
  </si>
  <si>
    <t>2021-08-30 14:40:00</t>
  </si>
  <si>
    <t>Prestación de servicios personales para realizar actividades de reconocimiento predial en el proceso de actualización catastra multiproposito en el municipio de Rioblanco - Tolima</t>
  </si>
  <si>
    <t>72421</t>
  </si>
  <si>
    <t>66121</t>
  </si>
  <si>
    <t>2021-08-30 14:41:00</t>
  </si>
  <si>
    <t>Prestación de servicios técnicos de apoyo al seguimiento, planeación y gestión del reconocimiento predial en el proceso de actualización catastral multiproposito en el municipio de RioBlanco - Tolima</t>
  </si>
  <si>
    <t>66221</t>
  </si>
  <si>
    <t>2021-08-30 14:42:00</t>
  </si>
  <si>
    <t>Prestación de servicios profesionales para adelantar la implementación de la gestión catastral con enfoque multipropósito, el desarrollo de costeo de procesos de actualización y procesos para la implementación de estrategias.</t>
  </si>
  <si>
    <t>72621</t>
  </si>
  <si>
    <t>2021-08-30 15:53:00</t>
  </si>
  <si>
    <t>Prestación de servicios profesionales para desarrollar herramientas asociadas a la transferencia de conocimiento técnico especializado de acuerdos con los requerimientos y necesidades de la Dirección de investigación y
prospectiva</t>
  </si>
  <si>
    <t>70921</t>
  </si>
  <si>
    <t>2021-08-30 15:54:00</t>
  </si>
  <si>
    <t>Prestación de servicios profesionales para el análisis y levantamiento de requerimientos de los proyectos de desarrollo de aplicaciones en tecnologías de información geográfica a cargo de Dirección de investigación y prospectiva</t>
  </si>
  <si>
    <t>71021</t>
  </si>
  <si>
    <t>2021-08-31 00:00:00</t>
  </si>
  <si>
    <t>2021-08-31 07:23:00</t>
  </si>
  <si>
    <t>Diagnóstico y certificación anual de los sistemas de transporte vertical (ascensores) de la sede central del IGAC</t>
  </si>
  <si>
    <t>73021</t>
  </si>
  <si>
    <t>2021-08-31 10:23:00</t>
  </si>
  <si>
    <t>REALIZAR MANTENIMIENTO CORRECTIVO DE UNA ESTACIÓN DE FUNCIONAMIENTO CONTINÚO DE LA RED MAGNA-ECO EN EL MUNICIPIO DE PUERTO CARREÑO EN EL DEPARTAMENTO DEL VICHADA</t>
  </si>
  <si>
    <t>66921</t>
  </si>
  <si>
    <t>2021-09-01 00:00:00</t>
  </si>
  <si>
    <t>2021-09-01 07:49:00</t>
  </si>
  <si>
    <t>REALIZAR EXPLORACIÓN, MATERIALIZACIÓN Y NIVELACIÓN EN LOS MUNICIPIOS DE LA DORADA EN CALDAS, DORADAL Y PUERTO TRIUNFO EN ANTIOQUIA, VALLEDUPAR Y LA PAZ EN CESAR. LA JAGUA DEL
PILAR Y URUMITA EN LA GUAJIRA</t>
  </si>
  <si>
    <t>72721</t>
  </si>
  <si>
    <t>140321, 140421, 140521, 140621, 140721, 140921, 141021</t>
  </si>
  <si>
    <t>513221, 513321, 513421, 513521, 513621, 513921, 514021</t>
  </si>
  <si>
    <t>605921, 606021, 606121, 606221, 606421, 606521, 606621</t>
  </si>
  <si>
    <t>226332021, 226338121, 226350321, 226355421, 226356321, 226357621, 226360521</t>
  </si>
  <si>
    <t>2021-09-01 16:10:00</t>
  </si>
  <si>
    <t>CAJA MENOR</t>
  </si>
  <si>
    <t>73621</t>
  </si>
  <si>
    <t>2021-09-02 00:00:00</t>
  </si>
  <si>
    <t>2021-09-02 12:03:00</t>
  </si>
  <si>
    <t>REALIZAR EL MANTENIMIENTO CORRECTIVO DE UNA ESTACIÓN DE FUNCIONAMIENTO CONTINÚO DE LA RED MAGNA-ECO EN BUENAVENTURA EN EL DEPARTAMENTO DEL VALLE DEL CAUCA..</t>
  </si>
  <si>
    <t>72921</t>
  </si>
  <si>
    <t>2021-09-03 00:00:00</t>
  </si>
  <si>
    <t>2021-09-03 14:57:00</t>
  </si>
  <si>
    <t>Prestación de servicios personales para realizar actividades de apoyo operativo del proceso de actualización catastral multipropósito en el municipio de San Carlos - Cordoba</t>
  </si>
  <si>
    <t>2021-09-03 14:58:00</t>
  </si>
  <si>
    <t>Prestación de servicios personales para realizar actividades de reconocimiento predial en el proceso de actualización catastro multiproposito en el municipio de San Carlos - Cordoba</t>
  </si>
  <si>
    <t>71421</t>
  </si>
  <si>
    <t>2021-09-03 14:59:00</t>
  </si>
  <si>
    <t>Prestación de servicios de apoyo a la gestión reconocedor predial y atención de requerimientos administrativos y judiciales en el proceso de actualización catastral multiproposito en el municipio de San Carlos - Cordoba</t>
  </si>
  <si>
    <t>71521</t>
  </si>
  <si>
    <t>2021-09-03 15:01:00</t>
  </si>
  <si>
    <t>Prestación de servicios profesionales para realizar las actividades de topografía urbano y rural para la atención de trámites en el proceso de actualización catastral multiproposito en el municipio de San Carlos - Cordoba</t>
  </si>
  <si>
    <t>2021-09-03 15:03:00</t>
  </si>
  <si>
    <t>Prestación de servicios técnicos de apoyo al seguimiento, planeación y gestión del reconocimiento predial en el proceso de actualización catastral multiproposito en el municipio de San Carlos - Cordoba</t>
  </si>
  <si>
    <t>71721</t>
  </si>
  <si>
    <t>2021-09-03 15:05:00</t>
  </si>
  <si>
    <t>Prestación de servicios profesionales para realizar las socializaciones requeridas en el proceso de actualización catastral multiproposito en el municipio de San Carlos - Cordoba</t>
  </si>
  <si>
    <t>71821</t>
  </si>
  <si>
    <t>67921</t>
  </si>
  <si>
    <t>2021-09-03 15:07:00</t>
  </si>
  <si>
    <t>Prestación de servicios personales para realizar actividades de digitalización y generación de productos resultantes del proceso de actualización catastral multiproposito en el municipio de San Carlos - Cordoba</t>
  </si>
  <si>
    <t>71921</t>
  </si>
  <si>
    <t>2021-09-03 15:10:00</t>
  </si>
  <si>
    <t>Prestación de servicios para realizar la edición, depuración y consolidación de los productos cartográficos requeridos para el componente geográfico de los procesos de actualización catastral multipropósito en el municipio de San
Carlos - Cordoba.</t>
  </si>
  <si>
    <t>72021</t>
  </si>
  <si>
    <t>68121</t>
  </si>
  <si>
    <t>2021-09-03 15:11:00</t>
  </si>
  <si>
    <t>Prestación de servicios para realizar el control calidad de los productos geográficos, alfanuméricos y documentales generados en los procesos de actualización multipropósito en el municipio de San Carlos - Cordoba</t>
  </si>
  <si>
    <t>72121</t>
  </si>
  <si>
    <t>2021-09-03 15:13:00</t>
  </si>
  <si>
    <t>Prestación de servicios profesionales para el seguimiento y control de las actividades del proyecto de gestión catastral multiproposito en el municipio de Arauquita - Arauca.</t>
  </si>
  <si>
    <t>72221</t>
  </si>
  <si>
    <t>2021-09-03 15:15:00</t>
  </si>
  <si>
    <t>72321</t>
  </si>
  <si>
    <t>2021-09-03 15:35:00</t>
  </si>
  <si>
    <t>Prestación de servicios profesionales para el seguimiento y control de las actividades tecnicas de la etapa operativa del proyecto de gestión catastral multiproposito en el municipio de San Carlos - Cordoba</t>
  </si>
  <si>
    <t>71221</t>
  </si>
  <si>
    <t>2021-02-01 16:59:00</t>
  </si>
  <si>
    <t>Territorial Atlántico</t>
  </si>
  <si>
    <t>PRESTACION DE SERVICIOS DE APOYO A LA GESTION DESARROLLADA EN LOS PROCESOS CATASTRALES EN LA TERRITORIAL ATLANTICO</t>
  </si>
  <si>
    <t>1221</t>
  </si>
  <si>
    <t>1121</t>
  </si>
  <si>
    <t>11321, 16821, 18921, 21521, 24721, 26021, 28121</t>
  </si>
  <si>
    <t>57952121, 75803721, 99078421, 119894621, 146041121, 175474521, 190785321</t>
  </si>
  <si>
    <t>721</t>
  </si>
  <si>
    <t>2021-02-01 17:03:00</t>
  </si>
  <si>
    <t>PRESTACION DE SERVICIOS DE APOYO EN LA GESTION DE APOYO EN LA VENTANILLA PARA LA ATENCION AL PUBLICO EN LOS PROCESOS CATASTRALES DE LA DIRECCION TERRITORIAL ATLANTICO</t>
  </si>
  <si>
    <t>1321, 1421</t>
  </si>
  <si>
    <t>1221, 1321</t>
  </si>
  <si>
    <t>11421, 11521, 16921, 17021, 19021, 19121, 21621, 21721, 24821, 24921, 25721, 27621, 28221, 28321, 28421</t>
  </si>
  <si>
    <t>57954221, 57959621, 75807621, 75816121, 99114321, 99216321, 119901921, 121402621, 146051521, 146055621, 172062321, 176583721, 190786221, 192756121, 192756721</t>
  </si>
  <si>
    <t>821</t>
  </si>
  <si>
    <t>2021-02-01 17:06:00</t>
  </si>
  <si>
    <t>PRESTACION DE SERVICIOS PERSONALES PARA  REALIZAR ACTIVIDADES DE APOYO OPERATIVO EN LOS PROCESOS CATASTRALES EN LA DIRECCION TERRITORIAL ATLANTICO</t>
  </si>
  <si>
    <t>2821, 2921</t>
  </si>
  <si>
    <t>3421, 3621</t>
  </si>
  <si>
    <t>19821, 21421, 22521, 22621, 24521, 24621, 27721, 27921, 30921, 31021</t>
  </si>
  <si>
    <t>115698121, 119886421, 136159221, 136160421, 146002921, 146007821, 178574021, 178692121, 216317921, 216318921</t>
  </si>
  <si>
    <t>921</t>
  </si>
  <si>
    <t>2021-02-01 17:10:00</t>
  </si>
  <si>
    <t>PRESTACION DE SERVICIOS PERSONALES PARA REALIZAR ACTIVIDADES DE RECONOCIMIENTO  CATASTRAL RURAL Y URBANO PARA LA ATENCION DE TRAMITES EN LOS PROCESOS CATASTRALES DE LA DIRECCION TERRITORIAL ATLANTICO</t>
  </si>
  <si>
    <t>1821, 1921, 2021</t>
  </si>
  <si>
    <t>3121, 3221, 3321</t>
  </si>
  <si>
    <t>19521, 19621, 19721, 22221, 22321, 22421, 24321, 24421, 25021, 26121, 27821, 28021, 31121, 31221, 31321</t>
  </si>
  <si>
    <t>115689721, 115692921, 115694621, 136151121, 136152721, 136157721, 145982721, 145993221, 149127321, 175482021, 178595821, 179714521, 217943121, 217963321, 217976521</t>
  </si>
  <si>
    <t>2021-02-02 00:00:00</t>
  </si>
  <si>
    <t>2021-02-02 08:42:00</t>
  </si>
  <si>
    <t>VIATICOS Y GASTOS DE COMISION</t>
  </si>
  <si>
    <t>2421, 2521, 5921, 8021</t>
  </si>
  <si>
    <t>1421, 1521, 8521</t>
  </si>
  <si>
    <t>16621, 16721, 28721</t>
  </si>
  <si>
    <t>63618721, 63621421, 194368621</t>
  </si>
  <si>
    <t>121</t>
  </si>
  <si>
    <t>3321</t>
  </si>
  <si>
    <t>2021-07-15 15:26:00</t>
  </si>
  <si>
    <t>VIATICOS Y GASTO DE COMISION  - CONDUCTOR DE LA T ATLANTICO</t>
  </si>
  <si>
    <t>3721</t>
  </si>
  <si>
    <t>174060521</t>
  </si>
  <si>
    <t>2021-07-30 00:00:00</t>
  </si>
  <si>
    <t>2021-07-30 10:05:00</t>
  </si>
  <si>
    <t>VALOR PARA VIATISO Y GASTOS DE COMISION A FUNCIONARIOS DE PLANTA DE LA D.T. ATLANTICO</t>
  </si>
  <si>
    <t>4221</t>
  </si>
  <si>
    <t>6221, 6321, 6421, 6521, 6821, 6921, 7021, 7121, 7821, 7921, 8121, 8221</t>
  </si>
  <si>
    <t>8721, 8821, 8921, 9021, 9821, 9921, 10021, 10121</t>
  </si>
  <si>
    <t>28921, 29021, 29121, 29221, 31421, 31521, 31621, 31721</t>
  </si>
  <si>
    <t>207548521, 207551121, 207552921, 207555121, 218160021, 218163521, 218173521, 218178221</t>
  </si>
  <si>
    <t>3821</t>
  </si>
  <si>
    <t>2021-08-12 13:21:00</t>
  </si>
  <si>
    <t>SE EXPIDE  CDP PARA CONTRATAR AL PERSONAL PARA EL PROGRAMA DE TITULACION EN EL MUNICIPIO DE LURUACO</t>
  </si>
  <si>
    <t>4321</t>
  </si>
  <si>
    <t>7221, 7321, 7421, 7521, 7621, 7721, 8421</t>
  </si>
  <si>
    <t>3921</t>
  </si>
  <si>
    <t>2021-08-12 13:33:00</t>
  </si>
  <si>
    <t>MANTENIMIENTOS DE AIRES ACONDICIONADOS</t>
  </si>
  <si>
    <t>4421</t>
  </si>
  <si>
    <t>2021-01-27 00:00:00</t>
  </si>
  <si>
    <t>2021-01-27 16:16:00</t>
  </si>
  <si>
    <t>Territorial Bolívar</t>
  </si>
  <si>
    <t>PRESTACION DE SERVICIOS PERSONALES PARA REALIZAR ACTIVIDADES DE APOYO OPERATIVO EN LOS PROCESOS CATASTRALES EN LA DIRECCION TERRITORIAL BOLIVAR.</t>
  </si>
  <si>
    <t>1221, 1321, 1421, 1521, 1621</t>
  </si>
  <si>
    <t>2221, 2321, 2421, 2521, 3021</t>
  </si>
  <si>
    <t>8821, 8921, 9021, 9121, 9621, 14521, 14621, 14721, 14821, 14921, 15621, 17921, 18021, 18121, 18621, 18721, 21321, 21421, 21521, 21621, 23221, 25221, 25321, 25421, 25521, 25621</t>
  </si>
  <si>
    <t>42395121, 42405021, 42412121, 42427821, 43812421, 73924421, 73924921, 73935221, 73935821, 73936821, 75771821, 101612921, 101622421, 101623621, 102813921, 102818421, 129947421, 129956321, 129958821, 129963221, 136761821, 152941121, 152957921, 152967621, 152971021, 152983221</t>
  </si>
  <si>
    <t>2021-01-27 17:45:00</t>
  </si>
  <si>
    <t>PRESTACION DE SERVICIOS DE APOYO A LA GESTION EN VENTANILLA PARA ATENCION AL PUBLICO EN LOS PROCESOS CATASTRALES DE LA DIRECCION TERRITORIAL BOLIVAR</t>
  </si>
  <si>
    <t>3221</t>
  </si>
  <si>
    <t>9221, 15021, 19221, 22021, 26221</t>
  </si>
  <si>
    <t>42432121, 73940621, 102845921, 130060021, 160123521</t>
  </si>
  <si>
    <t>2021-01-27 17:52:00</t>
  </si>
  <si>
    <t>PRESTACION DE SERVICIOS PERSONALES COMO TECNICO DE APOYO PARA REALIZAR LAS ACTIVIDADES APOYO AL RESPONSABLE DE CONSERVACION CATASTRAL EN LA DIRECCION TERRITORIAL BOLIVAR</t>
  </si>
  <si>
    <t>1821, 1921</t>
  </si>
  <si>
    <t>2721, 2921</t>
  </si>
  <si>
    <t>9321, 9521, 14221, 15221, 18221, 19421, 21721, 21921, 25821, 25921</t>
  </si>
  <si>
    <t>42437221, 42456021, 73919321, 74565821, 101625021, 104549121, 129990821, 130002921, 153062521, 153067321</t>
  </si>
  <si>
    <t>2021-01-27 17:59:00</t>
  </si>
  <si>
    <t>PRESTACION DE SERVICIOS PERSONALES PARA REALIZAR ACTIVIDADES DE RECONOCIMIENTO PREDIAL URBANO Y RURAL DE SERVICIOS PERSONALES PARA LA ATENCION DE TRAMITES EN LOS PROCESOS CATASTRALES DE LA TERRITORIAL BOLIVAR</t>
  </si>
  <si>
    <t>2421, 2521, 2621, 2721</t>
  </si>
  <si>
    <t>3121, 3221, 3421, 3521</t>
  </si>
  <si>
    <t>9721, 9821, 10021, 10121, 15121, 15321, 15421, 15521, 18521, 19021, 19121, 19321, 22221, 22321, 22421, 23121, 26421, 26621, 26721, 26821</t>
  </si>
  <si>
    <t>46346021, 46348321, 46436421, 46436521, 73948921, 75144521, 75148621, 75151621, 101635621, 102840821, 102843821, 102857421, 130112521, 131216421, 131218721, 134513521, 160129421, 160138521, 160143221, 160160621</t>
  </si>
  <si>
    <t>2021-01-27 18:02:00</t>
  </si>
  <si>
    <t>VIATICOS Y GASTOS PARA CUMPLIR COMISION FUNCIONARIOS</t>
  </si>
  <si>
    <t>3321, 3421, 5921, 8721, 10221</t>
  </si>
  <si>
    <t>1721, 1821, 8921, 15921, 17021</t>
  </si>
  <si>
    <t>5121, 5221, 19621, 29221, 30321</t>
  </si>
  <si>
    <t>29308021, 29308921, 107717121, 195089721, 217472821</t>
  </si>
  <si>
    <t>2021-02-03 14:53:00</t>
  </si>
  <si>
    <t>PRESTACION DE SERVICOS PROFECIONALES PARA APOYAR A LA DIRECCION TERRITORIAL BOLIVAR EN LOS REQUERIMIENTOS DEL TRAMITE ADMINISTRAIVO, JUDICIAL Y EL POSTFALLO DEL PROCESO DE RESTITUCION DE TIERRAS EN EL MARCO DE LA LEY 1448 DE 2011 Y LA POLITICA INTEGR</t>
  </si>
  <si>
    <t>3021</t>
  </si>
  <si>
    <t>2821</t>
  </si>
  <si>
    <t>9421, 14421, 18421, 22121, 26321, 29321, 32121</t>
  </si>
  <si>
    <t>42442321, 73923221, 101631121, 130061021, 160125521, 209581021, 226451821</t>
  </si>
  <si>
    <t>1321</t>
  </si>
  <si>
    <t>PRESTACION DE SERVICIOS PERSONALES PARA ADELANTAR ACTIVIDADES DE RECONOCIMIENTO PREDIAL URBANO Y RURAL, EN ATENCION A OS REQUERIMIENTOS ADMINISTRATIVOS Y JUDICIALES DEL PROCESO DE RESTITUCION DE TIERRAS EN LA DIRECCION TERRITORIAL BOLIVAR</t>
  </si>
  <si>
    <t>9921, 14321, 18321, 21821, 26521, 29521, 32021</t>
  </si>
  <si>
    <t>46349621, 73922221, 101626121, 129994321, 160130221, 209583921, 226450621</t>
  </si>
  <si>
    <t>GASTOS DE MANUTENCION Y ALOJAMIENTO</t>
  </si>
  <si>
    <t>2121</t>
  </si>
  <si>
    <t>2021-04-13 00:00:00</t>
  </si>
  <si>
    <t>2021-04-13 18:16:00</t>
  </si>
  <si>
    <t>ADQUISICION DE BIENES Y SERVICIOS DE INFORMACION,  ACTUALIZACION Y GESTION CATASTRAL NACIONAL</t>
  </si>
  <si>
    <t>22721, 22821, 26121, 30221</t>
  </si>
  <si>
    <t>131676621, 131678321, 160118821, 210879621</t>
  </si>
  <si>
    <t>2021-06-01 00:00:00</t>
  </si>
  <si>
    <t>2021-06-01 11:19:00</t>
  </si>
  <si>
    <t>CONTRATACION MANTENIMIENTO Y RECARGA DE EXTINTORES TERRITORIAL BOLIVAR</t>
  </si>
  <si>
    <t>2021-07-02 14:57:00</t>
  </si>
  <si>
    <t>CONTRATACION MANTENIMIENTO CORRECTIVO DEL VEHICULO ASIGNADO A LA DIRECCION TERRITORIAL BOLIVAR</t>
  </si>
  <si>
    <t>2021-07-02 20:06:00</t>
  </si>
  <si>
    <t>CONTRATACION ADQUISICION DE BIENES Y SERVICIOS - SERVICIO DE INFORMACION CATASTRAL - ACTUALIZACION   Y GESTION CATASTRAL NACIONAL</t>
  </si>
  <si>
    <t>29421, 32221</t>
  </si>
  <si>
    <t>209583321, 226457921</t>
  </si>
  <si>
    <t>2021-08-03 00:00:00</t>
  </si>
  <si>
    <t>2021-08-03 20:28:00</t>
  </si>
  <si>
    <t>CONTRATACIÓN SERVICIOS DE COORDINADOR DE RECONOCIMIENTO</t>
  </si>
  <si>
    <t>2021-08-03 20:34:00</t>
  </si>
  <si>
    <t>CONTRATACION SERVICIOS COMO RECONOCEDORES</t>
  </si>
  <si>
    <t>10621, 10721, 10821, 10921, 11021</t>
  </si>
  <si>
    <t>2021-08-03 20:38:00</t>
  </si>
  <si>
    <t>CONTRATACION SERVICIOS COMO RECONOCEDOR PREDIAL JUNIOR</t>
  </si>
  <si>
    <t>11221, 11321, 11421, 11521, 11621</t>
  </si>
  <si>
    <t>4021</t>
  </si>
  <si>
    <t>2021-08-03 20:44:00</t>
  </si>
  <si>
    <t>CONTRATACION SERVICIOS DE TECNICO 2 APOYO A LA GESTION</t>
  </si>
  <si>
    <t>10321, 10421</t>
  </si>
  <si>
    <t>4121</t>
  </si>
  <si>
    <t>2021-08-03 20:47:00</t>
  </si>
  <si>
    <t>CONTRATACION SERVICIOS DE TECNICO 1 APOYO A LA GESTION</t>
  </si>
  <si>
    <t>9921, 10021</t>
  </si>
  <si>
    <t>2021-08-03 20:51:00</t>
  </si>
  <si>
    <t>CONTRATACION SERVICIOS DE AUXILIAR DE APOYO A LA GESTION</t>
  </si>
  <si>
    <t>9521, 9621, 9721, 9821</t>
  </si>
  <si>
    <t>2021-08-03 20:55:00</t>
  </si>
  <si>
    <t>CONTRATACION SERVICIOS DE ALQUILER DE COMPUTADORES</t>
  </si>
  <si>
    <t>2021-08-03 20:58:00</t>
  </si>
  <si>
    <t>CONTRATACION SERVICIOS PARA MANTENIMIENTO CORRECTIVO DE PLOTTER</t>
  </si>
  <si>
    <t>2021-08-03 21:02:00</t>
  </si>
  <si>
    <t>CONTRATACION ADQUISICION DE IMPRESORAS</t>
  </si>
  <si>
    <t>2021-08-18 00:00:00</t>
  </si>
  <si>
    <t>2021-08-18 19:10:00</t>
  </si>
  <si>
    <t>CONTRATACION SERVICIOS DE MANTENIMIENTO DE AIRES ACONDICIONADO</t>
  </si>
  <si>
    <t>2021-08-31 15:52:00</t>
  </si>
  <si>
    <t>CONTRATACION SERVICIO DE FUMIGACION EN LA SEDE TERRITORIAL BOLIVAR</t>
  </si>
  <si>
    <t>2021-08-31 15:54:00</t>
  </si>
  <si>
    <t>ANTICIPO DE VIATICOS Y GASTOS PARA CUMPLIR COMISION</t>
  </si>
  <si>
    <t>321</t>
  </si>
  <si>
    <t>Territorial Boyacá</t>
  </si>
  <si>
    <t>TRASLADO DE BIENES DE LAS UNIDADES OPERATIVAS A SEDE TUNJA .  T.BOYACÁ</t>
  </si>
  <si>
    <t>91502021</t>
  </si>
  <si>
    <t>2021-02-01 13:23:00</t>
  </si>
  <si>
    <t>PROCESO CONTRATACIÓN 2021 PRESTACION SERVICIOS  CONSERVACIÓN. T. BOYACÁ</t>
  </si>
  <si>
    <t>2121, 2221, 2321, 2421, 2521, 2621, 2721, 2821, 2921, 3021, 3121, 9521, 9621</t>
  </si>
  <si>
    <t>3121, 3221, 3321, 3421, 3521, 3621, 4021, 4121, 4321, 4421, 4821, 16421</t>
  </si>
  <si>
    <t>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t>
  </si>
  <si>
    <t>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t>
  </si>
  <si>
    <t>2021-02-01 13:29:00</t>
  </si>
  <si>
    <t>VIATICOS Y GASTOS DE COMISIÓN ACTUALIZACION T. BOYACÁ 2021</t>
  </si>
  <si>
    <t>1321, 1421, 3221, 5021, 5221, 5321, 5821, 5921, 6021, 6121, 6421, 6521, 6621, 8121, 8221, 8321, 8921, 9321, 9421, 9921, 10021, 10121, 10721, 11021</t>
  </si>
  <si>
    <t>721, 821, 1521, 4221, 4921, 5021, 5821, 5921, 6021, 6121, 6921, 7021, 7121, 10721, 10921, 11021, 11421, 13221, 13321, 14021, 14121, 14221, 16221, 17021</t>
  </si>
  <si>
    <t>7621, 7721, 14721, 22721, 23321, 23421, 23821, 23921, 24021, 24121, 26121, 26221, 26321, 30921, 31121, 31221, 32921, 34321, 34421, 35121, 35221, 35321, 37921, 38621</t>
  </si>
  <si>
    <t>25137121, 25138021, 41760521, 76630821, 80294621, 80295121, 89998721, 90004721, 90010421, 90016621, 100621121, 100626821, 100628421, 142245021, 144511921, 144512721, 147610321, 168276421, 168278521, 174848821, 174850221, 174854121, 192406321, 207296621</t>
  </si>
  <si>
    <t>2021-02-01 13:37:00</t>
  </si>
  <si>
    <t>CONTRATACION PROCESO AVALUOS 2021 T. BOYACÁ</t>
  </si>
  <si>
    <t>4221, 4321</t>
  </si>
  <si>
    <t>2021-02-01 13:42:00</t>
  </si>
  <si>
    <t>VIATICOS Y GASTOS DE COMISIÓN PROCESO AVALUOS 2021 T. BOYACÁ</t>
  </si>
  <si>
    <t>1521</t>
  </si>
  <si>
    <t>2021-03-12 08:33:00</t>
  </si>
  <si>
    <t>VIATICOS Y GASTOS DE COMISIÓN AL MUNICIPIO DE GARZON (HUILA) DEL FUNCIONARIO OSWALDO ALFONSO FUQUE (CONDUCTOR) EN COMISIÓN OFICIAL</t>
  </si>
  <si>
    <t>1621</t>
  </si>
  <si>
    <t>3421</t>
  </si>
  <si>
    <t>1921</t>
  </si>
  <si>
    <t>2021-04-19 00:00:00</t>
  </si>
  <si>
    <t>2021-04-19 10:24:00</t>
  </si>
  <si>
    <t>MANTENIMIENTO DE VEHICULOS 2021 TERRITORIAL BOYACÁ</t>
  </si>
  <si>
    <t>2221</t>
  </si>
  <si>
    <t>2521</t>
  </si>
  <si>
    <t>2021-06-21 13:40:00</t>
  </si>
  <si>
    <t>ADQUISICION BIENES INSUMOS Y SERVICIOS PARA TERRITORIAL BOYACA (INSUMOS BODEGA TUNJA)</t>
  </si>
  <si>
    <t>421</t>
  </si>
  <si>
    <t>2021-01-21 18:31:00</t>
  </si>
  <si>
    <t>Territorial Caldas</t>
  </si>
  <si>
    <t>VIATICOS Y GASTOS DE COMISION PROCESO DE CONSERVACION CATASTRAL DT CALDAS VIGENCIA 2021.</t>
  </si>
  <si>
    <t>1021, 2721, 2821, 3321, 3421, 7021, 7121, 7621, 8221, 8621, 8721</t>
  </si>
  <si>
    <t>721, 1321, 1421, 1621, 1721, 11121, 11221, 13521, 14821, 16721, 16921</t>
  </si>
  <si>
    <t>4421, 4921, 5021, 9321, 9421, 25221, 25321, 28921, 29221, 29621, 32821, 33021</t>
  </si>
  <si>
    <t>10210021, 25862521, 27017421, 31368221, 31369521, 139814521, 143855921, 163998721, 168273521, 174879221, 188880121, 192654621</t>
  </si>
  <si>
    <t>121, 221, 521</t>
  </si>
  <si>
    <t>2021-02-03 19:50:00</t>
  </si>
  <si>
    <t>Prestación de servicios personales para realizar actividades de reconocimientos predial urbano y rural para la atención de trámites en los procesos catastrales de la Dirección Territorial Caldas.</t>
  </si>
  <si>
    <t>2221, 2321</t>
  </si>
  <si>
    <t>2521, 2621</t>
  </si>
  <si>
    <t>10221, 10321, 16821, 16921, 17321, 18721, 19021, 19121, 22421, 24521, 28221, 28321, 32621, 32721, 35621, 35721, 37021</t>
  </si>
  <si>
    <t>36559821, 36580421, 66095521, 66160221, 87710421, 88752721, 118680921, 122343921, 150169821, 150780921, 182425721, 183943521, 217123221, 217241421, 220522421</t>
  </si>
  <si>
    <t>2021-02-03 19:57:00</t>
  </si>
  <si>
    <t>2421, 2521, 3521</t>
  </si>
  <si>
    <t>2721, 2821, 5921</t>
  </si>
  <si>
    <t>10421, 10521, 17021, 17121, 17221, 18621, 18821, 19521, 22321, 24321, 24421, 26421, 28121, 28421, 32421, 32521, 33121, 35921, 36421, 36521</t>
  </si>
  <si>
    <t>36586721, 36595821, 66133621, 66145421, 66149321, 87704421, 87705321, 88755821, 118680121, 122329921, 122338621, 146292821, 150142621, 152782521, 180275121, 182385521, 195055421, 217313521, 217526921, 217559921</t>
  </si>
  <si>
    <t>2021-02-03 20:06:00</t>
  </si>
  <si>
    <t>Prestación de servicios personales para realizar las actividades de control y verificación a los trámites del proceso de conservación catastral en la Dirección Territorial Caldas.</t>
  </si>
  <si>
    <t>2421</t>
  </si>
  <si>
    <t>10121, 16521, 18921, 22721, 26321, 30721, 35521</t>
  </si>
  <si>
    <t>36554121, 63017621, 87706121, 118715521, 146154821, 176156421, 217202521</t>
  </si>
  <si>
    <t>2021-02-03 20:11:00</t>
  </si>
  <si>
    <t>Prestación de servicios personales para realizar actividades de  apoyo  en los procesos catastrales en la Dirección Territorial Caldas.</t>
  </si>
  <si>
    <t>1321, 1421, 1521, 1621, 1721, 1821</t>
  </si>
  <si>
    <t>1821, 1921, 2021, 2121, 2221, 2321</t>
  </si>
  <si>
    <t>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t>
  </si>
  <si>
    <t>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t>
  </si>
  <si>
    <t>2021-02-03 20:19:00</t>
  </si>
  <si>
    <t>Prestación de servicios personales para adelantar actividades de reconocimiento predial urbano y rural, en atención a los requerimientos administrativos y judiciales del proceso de restitución de tierras en la Dirección Territorial Caldas.</t>
  </si>
  <si>
    <t>2921</t>
  </si>
  <si>
    <t>10621, 16621, 18521, 22621, 26521, 29821, 35821</t>
  </si>
  <si>
    <t>36603621, 63018821, 87704121, 118707921, 146164521, 175290221, 217271921</t>
  </si>
  <si>
    <t>2021</t>
  </si>
  <si>
    <t>2021-04-26 14:16:00</t>
  </si>
  <si>
    <t>PRESTACIÓN DE SERVICIOS PROFESIONALES PARA REALIZAR EL CONTROL DE CALIDAD A LOS INFORMES DE AVALÚOS COMERCIALES, ASÍ COMO REALIZAR AVALÚOS A BIENES INMUEBLES URBANOS Y RURALES EN TODO EL PAÍS.</t>
  </si>
  <si>
    <t>22521, 25921, 29721, 30521, 36021</t>
  </si>
  <si>
    <t>118689021, 144747121, 175483021, 217419021</t>
  </si>
  <si>
    <t>2021-04-26 14:51:00</t>
  </si>
  <si>
    <t>PRESTACIÓN DE SERVICIOS PROFESIONALES PARA REALIZAR AVALÚOS COMERCIALES, A NIVEL NACIONAL DE LOS BIENES URBANOS Y RURALES.</t>
  </si>
  <si>
    <t>30821, 33221</t>
  </si>
  <si>
    <t>177963921, 200901621</t>
  </si>
  <si>
    <t>2021-07-08 16:28:00</t>
  </si>
  <si>
    <t>Prestación de servicios profesionales de topografía para la atención de tramites en los procesos catastrales de la Dirección Territorial Caldas.</t>
  </si>
  <si>
    <t>2021-08-17 00:00:00</t>
  </si>
  <si>
    <t>2021-08-17 17:26:00</t>
  </si>
  <si>
    <t>PRESTACION DE SERVICIOS PERSONALES PARA REALIZAR ACTIVIDADES DE RECONOCIMIENTOS PREDIAL URBANO Y  RURAL PARA EL PROCESO DE TITULACION Y CONSERVACIO CATASTRAL QUE SE ADELANTA EN LA TERRITORIAL CALDAS</t>
  </si>
  <si>
    <t>2021-08-17 17:38:00</t>
  </si>
  <si>
    <t>PRESTACION DE SERVICIOS PERSONALES PARA REALIZAR ACTIVIDADES DE DIGITALIZACION DE INFORMACION CARTOGRAFICA CATASTRAL PARA EL PROCESO DE TITULACION Y CONSERVACION CATASTRAL  QUE SE ADELANTA EN LA TERRITORIAL CALDAS</t>
  </si>
  <si>
    <t>2021-08-17 17:47:00</t>
  </si>
  <si>
    <t>PRESTACION DE SERVICIOS PERSONALES PARA LA REALIZACION DE LOS PROCESOS ARCHIVISTICOS EN ARCHIVOS DE GESTION Y EN ARCHIVO CENTRAL DE LA TERRITORIAL CALDAS, DE ACUERDO A LAS DIRECTRICES DE LA ENTIDAD Y DE LAS NORMAS DEL ARCHIVO GENERAL DE LA NACION</t>
  </si>
  <si>
    <t>2021-08-19 08:26:00</t>
  </si>
  <si>
    <t>Prestación de servicios personales para realizar actividades de apoyo operativo para el proceso de titulación y conservación catastral que se adelanta en la Territorial Caldas.</t>
  </si>
  <si>
    <t>3521</t>
  </si>
  <si>
    <t>2021-08-19 08:37:00</t>
  </si>
  <si>
    <t>Prestación de servicios personales para realizar actividades de reconocimientos predial urbano y rural en el área de conservación, para mantener vigente la base catastral en el marco de los contratos que se desarrollan en la Dirección Territorial Cal</t>
  </si>
  <si>
    <t>3621</t>
  </si>
  <si>
    <t>9221, 9321, 9421</t>
  </si>
  <si>
    <t>2021-08-19 08:44:00</t>
  </si>
  <si>
    <t>Prestación de servicios personales para realizar las actividades de control y verificación a los trámites catastrales en el área de conservación, para mantener vigente la base catastral en el marco de los contratos que se desarrollan en la Dirección</t>
  </si>
  <si>
    <t>2021-08-19 08:57:00</t>
  </si>
  <si>
    <t>Prestación de servicios personales para realizar las actividades de digitalización de información cartográfica catastral en el área de conservación, para mantener vigente la base catastral en el marco de los contratos que se desarrollan en la DT Cald</t>
  </si>
  <si>
    <t>2021-08-19 09:05:00</t>
  </si>
  <si>
    <t>Prestación de servicios personales para realizar actividades de apoyo en el área de conservación, para mantener vigente la base catastral en el marco de los contratos que se desarrollan en la DT Caldas.</t>
  </si>
  <si>
    <t>9621, 9821</t>
  </si>
  <si>
    <t>2021-08-19 09:18:00</t>
  </si>
  <si>
    <t>Prestación de servicios profesionales para realizar las actividades de control de calidad SIG   en el área de conservación, para mantener vigente la base catastral en el marco de los contratos que se desarrollan en la DT Caldas.</t>
  </si>
  <si>
    <t>2021-02-04 12:16:00</t>
  </si>
  <si>
    <t>Territorial Caquetá</t>
  </si>
  <si>
    <t>CONTRATACION PRESTACION DE SERVICIOS</t>
  </si>
  <si>
    <t>821, 921, 1021</t>
  </si>
  <si>
    <t>821, 1021, 1121</t>
  </si>
  <si>
    <t>7521, 7721, 7821, 11521, 11621, 11721, 13821, 13921, 14021, 16121, 16221, 16321, 18421, 18521, 18621, 21521, 21721, 21821, 21921</t>
  </si>
  <si>
    <t>45585021, 45586221, 45588621, 72915221, 72917421, 72918521, 100480921, 100521221, 100525121, 130594321, 130596921, 130600921, 158395621, 158398421, 158407921, 192725521, 192727321, 195873921, 195876621</t>
  </si>
  <si>
    <t>2021-02-04 12:17:00</t>
  </si>
  <si>
    <t>1121, 2621, 6321</t>
  </si>
  <si>
    <t>921, 2021</t>
  </si>
  <si>
    <t>7621, 11821, 12021, 13721, 16421, 18721, 21621, 23621</t>
  </si>
  <si>
    <t>45587521, 74106421, 85499521, 100526321, 130602621, 158410021, 192726221, 225663721</t>
  </si>
  <si>
    <t>2021-04-19 09:17:00</t>
  </si>
  <si>
    <t>PAGO COMISION CONDUCTOR A POPAYAN</t>
  </si>
  <si>
    <t>85498121</t>
  </si>
  <si>
    <t>421, 521, 621</t>
  </si>
  <si>
    <t>2021-04-28 13:35:00</t>
  </si>
  <si>
    <t>PAGO ANTICIPO DE COMISION EDWIN SUAREZ A POPAYAN</t>
  </si>
  <si>
    <t>2321</t>
  </si>
  <si>
    <t>95907721</t>
  </si>
  <si>
    <t>221</t>
  </si>
  <si>
    <t>2021-05-28 15:10:00</t>
  </si>
  <si>
    <t>PAGO ANTICIPO COMISION EDWIN MOSQUERA</t>
  </si>
  <si>
    <t>127410121</t>
  </si>
  <si>
    <t>2021-06-02 00:00:00</t>
  </si>
  <si>
    <t>2021-06-02 17:28:00</t>
  </si>
  <si>
    <t>PAGO ATICIPO COMISION PARA DIRECTOR</t>
  </si>
  <si>
    <t>3721, 3821</t>
  </si>
  <si>
    <t>3621, 4121</t>
  </si>
  <si>
    <t>16021, 16521</t>
  </si>
  <si>
    <t>130033021, 134697621</t>
  </si>
  <si>
    <t>2021-06-24 14:41:00</t>
  </si>
  <si>
    <t>PAGO SANEAMIENTO AMBIENTAL DE SEDE T. CAQUETA</t>
  </si>
  <si>
    <t>2021-06-25 00:00:00</t>
  </si>
  <si>
    <t>2021-06-25 11:33:00</t>
  </si>
  <si>
    <t>PAGO ANTICIPO VIATICOS ANGELICA MOLINA</t>
  </si>
  <si>
    <t>2021-06-28 00:00:00</t>
  </si>
  <si>
    <t>2021-06-28 18:42:00</t>
  </si>
  <si>
    <t>PAGO ANTICIPO COMISION PARA FUNCIONARIA ANGELICA MOLINA</t>
  </si>
  <si>
    <t>2021-07-01 14:54:00</t>
  </si>
  <si>
    <t>PAGO ANTICIPO DE COMISION ANGELICA MOLINA</t>
  </si>
  <si>
    <t>160046121</t>
  </si>
  <si>
    <t>2021-07-07 12:46:00</t>
  </si>
  <si>
    <t>2021-08-03 16:06:00</t>
  </si>
  <si>
    <t>VIATICOS REUNION DEL 10 DE AGOSTO DE 2021 DE LOS DIRECTORES TERRITORIALES</t>
  </si>
  <si>
    <t>192728021</t>
  </si>
  <si>
    <t>2021-08-24 00:00:00</t>
  </si>
  <si>
    <t>2021-08-24 11:33:00</t>
  </si>
  <si>
    <t>PRESTACION DE SERVICIOS PROFESIONALES PARA REALIZAR AVALUOS COMERCIALES, DE LOS BIENES URBANOS Y RURALES, SOLICITADOS EN LA TERRITORIAL CAQUETA</t>
  </si>
  <si>
    <t>2021-08-27 00:00:00</t>
  </si>
  <si>
    <t>2021-08-27 15:10:00</t>
  </si>
  <si>
    <t>Prestación de servicios como reconocedor predial integral para el área de conservación catastral de la dirección territorial Caquetá.</t>
  </si>
  <si>
    <t>6221</t>
  </si>
  <si>
    <t>2021-05-28 10:28:00</t>
  </si>
  <si>
    <t>Territorial Casanare</t>
  </si>
  <si>
    <t>Prestación de servicios profesionales para desarrollar actividades de soporte informático relacionados con la gestión de software, hardware e infraestructura tecnológica en formación, actualización de la formación y conservación
catastral en la direc</t>
  </si>
  <si>
    <t>1521, 1621</t>
  </si>
  <si>
    <t>208941621, 208942321</t>
  </si>
  <si>
    <t>2021-06-10 00:00:00</t>
  </si>
  <si>
    <t>2021-06-10 09:18:00</t>
  </si>
  <si>
    <t>Mantenimiento preventivo, correctivo, suministro e instalación de repuestos de los vehículos de la dirección territorial Casanare</t>
  </si>
  <si>
    <t>2021-06-30 13:50:00</t>
  </si>
  <si>
    <t>Prestación de servicios personales para realizar las actividades de reconocimiento predial urbano y rural requeridos en el marco del proceso de conservación catastral a cargo de la Dirección Territorial Casanare</t>
  </si>
  <si>
    <t>2021-02-04 07:45:00</t>
  </si>
  <si>
    <t>Territorial Cauca</t>
  </si>
  <si>
    <t>Viáticos para el proceso de Avalúos en la Dirección Territorial Cauca</t>
  </si>
  <si>
    <t>2021-02-04 07:46:00</t>
  </si>
  <si>
    <t>Contratación de prestación de servicios para el proceso de Avalúos en la Dirección Territorial Cauca</t>
  </si>
  <si>
    <t>4021, 9921, 10021</t>
  </si>
  <si>
    <t>5321, 39121</t>
  </si>
  <si>
    <t>16821, 25721, 36521, 49521, 50821, 61221</t>
  </si>
  <si>
    <t>89820321, 118644121, 146173621, 176896421, 176898021, 215226921</t>
  </si>
  <si>
    <t>2021-02-04 07:47:00</t>
  </si>
  <si>
    <t>Contratación de prestación de servicios para el proceso de Política de Tierras en la Dirección Territorial Cauca</t>
  </si>
  <si>
    <t>1921, 3221</t>
  </si>
  <si>
    <t>1921, 2021</t>
  </si>
  <si>
    <t>11321, 11421, 21021, 22921, 26021, 26121, 39621, 42221, 42321, 51521, 69921</t>
  </si>
  <si>
    <t>63448421, 63450421, 94027221, 94750421, 120349221, 120351321, 148664121, 159520121, 159522421, 180043321, 218369221</t>
  </si>
  <si>
    <t>2021-02-04 07:48:00</t>
  </si>
  <si>
    <t>Viáticos proceso de Conservación Catastral en la Dirección Territorial Cauca</t>
  </si>
  <si>
    <t>15821, 15921, 16621</t>
  </si>
  <si>
    <t>27321, 27421, 44621</t>
  </si>
  <si>
    <t>39221, 39321, 55921</t>
  </si>
  <si>
    <t>148645321, 148648921, 191489621</t>
  </si>
  <si>
    <t>2021-02-04 07:49:00</t>
  </si>
  <si>
    <t>Contratación de prestación de servicios para procesos de Conservación Catastral en la Dirección Territorial Cauca</t>
  </si>
  <si>
    <t>821, 921, 1021, 1121</t>
  </si>
  <si>
    <t>721, 821, 921, 1321</t>
  </si>
  <si>
    <t>8121, 8221, 8321, 8521, 11021, 11121, 11221, 11521, 16621, 20721, 20921, 23021, 25821, 25921, 26221, 28921, 39421, 39721, 40921, 41021, 43121, 51321, 51421, 51621, 51721, 69521, 69621, 69721, 69821</t>
  </si>
  <si>
    <t>45829621, 45834621, 45849721, 52992021, 63438721, 63444421, 63447321, 63452121, 89817521, 94020721, 94024121, 95476221, 118798021, 120346321, 120353521, 121257821, 148656521, 148669021, 153432221, 153432821, 161193221, 179993521, 180031421, 180871721, 180876021, 218364721, 218365921, 218367121, 218373621</t>
  </si>
  <si>
    <t>2021-02-16 10:07:00</t>
  </si>
  <si>
    <t>Prestación de servicios personales para realizar actividades de apoyo operativo del proceso de actualización catastral del municipio de Popayán</t>
  </si>
  <si>
    <t>2221, 3321, 3421, 3521, 3621, 5121</t>
  </si>
  <si>
    <t>2221, 4021, 4121, 4221, 4421, 6521</t>
  </si>
  <si>
    <t>11621, 14321, 14421, 14621, 14821, 16721, 16921, 17021, 17321, 17421, 18121, 25321, 25621, 28021, 29021, 29221, 29321, 35921, 36021, 36221, 36321, 36921, 39521, 51821, 51921, 52421, 54021, 54121, 54221, 65321, 65421, 65521, 68821, 69021, 70121</t>
  </si>
  <si>
    <t>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t>
  </si>
  <si>
    <t>2021-02-16 10:08:00</t>
  </si>
  <si>
    <t>Prestación de servicios de apoyo a la gestión desarrollada en los procesos actualización catastral adelantados por la Territorial cauca.</t>
  </si>
  <si>
    <t>12021, 14121, 18821, 18921, 27121, 27221, 37221, 37321, 52521, 52621, 70021, 70221</t>
  </si>
  <si>
    <t>64116721, 73061921, 93925621, 93929221, 120382621, 120385321, 146203021, 146204521, 180907321, 180908721, 218382321, 218390321</t>
  </si>
  <si>
    <t>2021-02-16 10:09:00</t>
  </si>
  <si>
    <t>Prestación de servicios profesionales como coordinador general del proceso de actualización catastral en el municipio de Popayán</t>
  </si>
  <si>
    <t>10921, 12121, 20821, 29421, 48321, 56021</t>
  </si>
  <si>
    <t>63436221, 64228421, 94049421, 95026721, 129324521, 170393421, 193200321</t>
  </si>
  <si>
    <t>2021-02-16 10:10:00</t>
  </si>
  <si>
    <t>Suministro e Instalación de red eléctrica regulada y no regulada en la Sede de atención del Proceso de Actualización Catastral del municipio de Popayán.</t>
  </si>
  <si>
    <t>184069821</t>
  </si>
  <si>
    <t>2021-02-16 10:11:00</t>
  </si>
  <si>
    <t>Contratación Mantenimiento Preventivo y Correctivo de los plotters de la Dirección Territorial Cauca para el proceso de Actualización del municipio de Popayán</t>
  </si>
  <si>
    <t>Contratación Arrendamiento de sede para el proceso de actualización catastral del municipio de Popayán</t>
  </si>
  <si>
    <t>14021, 17121, 17221, 27821, 42121, 49421, 61121</t>
  </si>
  <si>
    <t>67408521, 93825021, 93828021, 120437721, 159518621, 176884921, 215223821</t>
  </si>
  <si>
    <t>2021-02-23 14:10:00</t>
  </si>
  <si>
    <t>prestación de servicios tecnicos de apoyo al seguimiento, planeación y gestión del reconocimiento predial en el proceso de actualización catastral del municipio de Popayán</t>
  </si>
  <si>
    <t>1821</t>
  </si>
  <si>
    <t>2921, 3021, 3121, 3721, 5221, 5321, 10221, 10321, 10421, 10521, 11821</t>
  </si>
  <si>
    <t>4721, 4821, 4921, 7621, 8021, 8121, 17921, 19921, 21121, 22021, 28221</t>
  </si>
  <si>
    <t>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t>
  </si>
  <si>
    <t>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t>
  </si>
  <si>
    <t>1721</t>
  </si>
  <si>
    <t>2021-02-23 14:11:00</t>
  </si>
  <si>
    <t>Prestación de servicios personales para realizar actividades de digitalización y generación de productos resultantes del proceso de actualización catastral del municipio de Popayán</t>
  </si>
  <si>
    <t>2321, 2421, 2521, 3821, 7721, 7921, 8021, 9021, 10121, 12121, 12221, 12321, 12421, 12621, 12721</t>
  </si>
  <si>
    <t>3121, 3221, 3321, 6121, 6221, 6721, 13221, 16021, 16321, 16421, 16621, 16721, 17021</t>
  </si>
  <si>
    <t>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t>
  </si>
  <si>
    <t>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t>
  </si>
  <si>
    <t>2021-02-23 14:12:00</t>
  </si>
  <si>
    <t>Prestación de servicios profesionales para realizar las socializaciones requeridas en el proceso de actualización catastral del municipio de Popayán</t>
  </si>
  <si>
    <t>2721, 2821</t>
  </si>
  <si>
    <t>4321, 4621</t>
  </si>
  <si>
    <t>14521, 14921, 17921, 18021, 26621, 26821, 37121, 40021, 51021, 55321, 60921, 69321</t>
  </si>
  <si>
    <t>74133821, 81040121, 93869421, 93872621, 120364821, 120375621, 146201321, 148684921, 179712721, 183840821, 212307021, 218362021</t>
  </si>
  <si>
    <t>2021-02-24 16:06:00</t>
  </si>
  <si>
    <t>Prestación de servicios profesionales para realizar la depuración y análisis de información registral en las bases catastrales para el  proceso de actualización catastral del municipio de Popayán (ICARE)</t>
  </si>
  <si>
    <t>19821, 23121</t>
  </si>
  <si>
    <t>93973721, 105211421</t>
  </si>
  <si>
    <t>2021-03-08 11:31:00</t>
  </si>
  <si>
    <t>Prestación de servicios profesionales  para realizar actividades de topografía urbano y rural para la atención de tramites en el proceso de actualización catastral del municipio de Popayán en la dirección territorial cauca</t>
  </si>
  <si>
    <t>8221, 8321</t>
  </si>
  <si>
    <t>17421, 18021</t>
  </si>
  <si>
    <t>29821, 29921, 45221, 45321, 60721, 60821</t>
  </si>
  <si>
    <t>129338321, 129339621, 165079621, 165087121, 208665121, 208665421</t>
  </si>
  <si>
    <t>2021-03-08 11:34:00</t>
  </si>
  <si>
    <t>Prestación de servicios personales para realizar actividades de reconocimiento predial en el proceso de actualización catastral del municipio de Popayán en la dirección territorial cauca</t>
  </si>
  <si>
    <t>5821, 5921, 6021, 6121, 6221, 6321, 6421, 6521, 6621, 6721, 6821, 6921, 7021, 7121, 7221, 7321, 7421, 7521, 7621, 9221, 9321, 9421, 9521, 9621, 10721, 10821, 10921, 11021, 11121, 11221, 11321, 11721, 11921, 12021</t>
  </si>
  <si>
    <t>6621, 6821, 6921, 7021, 7121, 7421, 7721, 7921, 8321, 8621, 8721, 8821, 9021, 9821, 9921, 10121, 10221, 10421, 10521, 16921, 17121, 20021, 20321, 20721, 21221, 21421, 21521, 21621, 22421, 22521, 23021, 23221, 23321, 24321</t>
  </si>
  <si>
    <t>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t>
  </si>
  <si>
    <t>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t>
  </si>
  <si>
    <t>2021-03-08 11:35:00</t>
  </si>
  <si>
    <t>Prestación de servicios profesionales para realizar la edición, depuración y consolidación de los productos cartográficos requeridos para el componente geográfico del proceso de actualización catastral del municipio de Popayán en la dirección territo</t>
  </si>
  <si>
    <t>5421, 5521, 5621, 5721, 8421, 9121, 10621, 12521</t>
  </si>
  <si>
    <t>8421, 8521, 9721, 10321, 13921, 14121, 17821, 20621</t>
  </si>
  <si>
    <t>20021, 20121, 21121, 21621, 26921, 27621, 27721, 29621, 29721, 30221, 31221, 33421, 39821, 39921, 44221, 44321, 44421, 44921, 45121, 53021, 53921, 56121, 56621, 58021, 58621, 59421, 59621, 65121, 68121, 68221</t>
  </si>
  <si>
    <t>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t>
  </si>
  <si>
    <t>2021-04-05 00:00:00</t>
  </si>
  <si>
    <t>2021-04-05 21:36:00</t>
  </si>
  <si>
    <t>viaticos proceso de actualizacion catastral terr cauca</t>
  </si>
  <si>
    <t>74410521</t>
  </si>
  <si>
    <t>121, 221, 321</t>
  </si>
  <si>
    <t>2721</t>
  </si>
  <si>
    <t>2021-04-08 16:38:00</t>
  </si>
  <si>
    <t>prestacion de servicio profesionales para realizar control de calidad de los productos geograficos, alfanumericos y documentales en el proceso de actualizacion catastral del mpio de popayan.</t>
  </si>
  <si>
    <t>8621, 8721, 8821, 8921</t>
  </si>
  <si>
    <t>14321, 14721, 15021, 15121</t>
  </si>
  <si>
    <t>27021, 27321, 27421, 27521, 41121, 41221, 41321, 41421, 52321, 52921, 53221, 53321, 66821, 67021, 67121, 68921</t>
  </si>
  <si>
    <t>120380021, 120395421, 120402921, 120430921, 153433921, 153434821, 153435821, 153437621, 180905421, 180911421, 181470521, 181473621, 217963721, 217973121, 217978221, 218352921</t>
  </si>
  <si>
    <t>2021-04-29 00:00:00</t>
  </si>
  <si>
    <t>2021-04-29 11:31:00</t>
  </si>
  <si>
    <t>prestacion de servicio personales para realizar actividades de reconocimiento predial el los procesos de actualizacion catastral adelantados en el municipio de Popayan.</t>
  </si>
  <si>
    <t>13021, 13121, 13221, 13321, 13421, 13521, 13621, 13721, 13821, 13921, 14021, 14121, 14221, 14321, 14421, 14721, 14821, 15221, 15421, 15621</t>
  </si>
  <si>
    <t>30121, 31021, 31221, 31421, 31721, 31821, 33221, 33921, 34321, 34721, 34821, 34921, 35021, 35121, 35221, 35721, 35821, 36221, 36621</t>
  </si>
  <si>
    <t>42621, 42821, 43021, 43221, 43421, 43521, 44721, 45421, 45521, 45621, 45721, 45821, 45921, 46021, 46421, 46521, 46821, 47221, 47421, 55621, 55721, 55821, 56521, 56821, 57021, 57421, 57521, 57821, 58221, 58521, 58821, 59021, 59521, 62421, 62521, 62621, 62721, 63121, 63221, 63321, 63421, 64921, 68621, 70421, 70821</t>
  </si>
  <si>
    <t>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t>
  </si>
  <si>
    <t>2021-05-18 15:16:00</t>
  </si>
  <si>
    <t>PRESTACION DE SERVICIO PROFWESIONALES PARA REALIZAR EL ANALISIS DEPURACION,  Y CONSECUCION DE INFORMACION PARA LA ACTUALIZACION DEL COMPONENTE JURIDICO DEL MUNICIPIO DECPOPAYAN</t>
  </si>
  <si>
    <t>12921, 14521, 14621</t>
  </si>
  <si>
    <t>28621, 28721</t>
  </si>
  <si>
    <t>40621, 40721, 53521, 54821, 68321, 68421</t>
  </si>
  <si>
    <t>151032521, 151032621, 181509221, 182530221, 218336121, 218338021</t>
  </si>
  <si>
    <t>2021-05-18 15:21:00</t>
  </si>
  <si>
    <t>prestacion de servicio tecnico de apoyo al seguimiento, planeacion, y gestion del reconocimiento predial  en el proceso de actualizacion catastral terr cauca.</t>
  </si>
  <si>
    <t>15021, 15121</t>
  </si>
  <si>
    <t>28421, 28521</t>
  </si>
  <si>
    <t>40421, 40521, 53621, 55221, 68521, 69221</t>
  </si>
  <si>
    <t>151032221, 151032421, 181480821, 183838921, 218342121, 218361121</t>
  </si>
  <si>
    <t>2021-06-03 15:45:00</t>
  </si>
  <si>
    <t>136905621</t>
  </si>
  <si>
    <t>2021-07-09 00:00:00</t>
  </si>
  <si>
    <t>2021-07-09 09:03:00</t>
  </si>
  <si>
    <t>viaticos actualizacion catastral terr cauca</t>
  </si>
  <si>
    <t>176852721</t>
  </si>
  <si>
    <t>2021-07-09 09:07:00</t>
  </si>
  <si>
    <t>mantenimiento preventivi y correctivo vehiculo ODS774 terr cauca</t>
  </si>
  <si>
    <t>2021-07-29 16:22:00</t>
  </si>
  <si>
    <t>PRESTACION DE SERVICIOS RECONOCIMIENTO PREDIAL ACTUALIZACION CATASTRAL DIRECCION TERRITORIAL CAUCA</t>
  </si>
  <si>
    <t>16721, 16821, 16921, 17021, 17121, 17221, 17321, 17421, 17521, 17621, 17721, 17821, 17921, 18021, 18121, 18221, 18321, 18421, 18521, 18621, 18721, 18821, 19221, 20021, 20121, 20221, 20321, 20421</t>
  </si>
  <si>
    <t>59621, 59821</t>
  </si>
  <si>
    <t>70521, 70721</t>
  </si>
  <si>
    <t>220024121, 220037721</t>
  </si>
  <si>
    <t>2021-07-29 16:30:00</t>
  </si>
  <si>
    <t>19021, 19121, 20521</t>
  </si>
  <si>
    <t>2021-07-29 16:36:00</t>
  </si>
  <si>
    <t>PRESTACION DE SERVICIOS DIGITALIZACION DE ACTUALIZACION CATASTRAL DIRECCION TERRITORIAL CAUCA</t>
  </si>
  <si>
    <t>220004421</t>
  </si>
  <si>
    <t>2021-07-29 16:44:00</t>
  </si>
  <si>
    <t>PRESTACION DE SERVICIOS TECNICOS DE APOYO AL SEGUIMIENTO, PLANEACION Y GESTION DE ACTUALIZACION CATASTRAL</t>
  </si>
  <si>
    <t>19521, 19621, 19721, 19821, 20921</t>
  </si>
  <si>
    <t>59721, 60021</t>
  </si>
  <si>
    <t>70621, 70921</t>
  </si>
  <si>
    <t>220032521, 220087321</t>
  </si>
  <si>
    <t>2021-07-29 16:50:00</t>
  </si>
  <si>
    <t>PRESTACION DE SERVICIOS APOYO OPERATIVO ACTUALIZACION CATASTRAL</t>
  </si>
  <si>
    <t>19921, 20721</t>
  </si>
  <si>
    <t>220091021</t>
  </si>
  <si>
    <t>2021-02-02 07:56:00</t>
  </si>
  <si>
    <t>Territorial Cesar</t>
  </si>
  <si>
    <t>contratacion catastro terr cesar</t>
  </si>
  <si>
    <t>1421, 1521, 1621, 1721, 1821, 1921, 2021, 2121, 2221, 2321, 2421, 2521, 2621, 3521, 3721, 3821, 4421, 4521, 4821, 5721</t>
  </si>
  <si>
    <t>1121, 1221, 1421, 1621, 1821, 1921, 2021, 2121, 2221, 2621, 2721, 2821, 3121, 3221, 3721, 4821, 6021, 7221, 8121, 12221</t>
  </si>
  <si>
    <t>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t>
  </si>
  <si>
    <t>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t>
  </si>
  <si>
    <t>2021-02-02 07:59:00</t>
  </si>
  <si>
    <t>contratacion avaluos terr cesar</t>
  </si>
  <si>
    <t>3021, 3121, 3221, 3321</t>
  </si>
  <si>
    <t>3621, 11021, 12021</t>
  </si>
  <si>
    <t>17121, 19021, 24721, 25921, 27921, 28521, 30921</t>
  </si>
  <si>
    <t>95827521, 116049021, 148410821, 175146221, 176998321, 182480621, 216912921</t>
  </si>
  <si>
    <t>2021-04-27 07:14:00</t>
  </si>
  <si>
    <t>prestacion de servicio para la realizacion de los procesos archivisticos en gestion y central, incluido en el ultimo plan de compra terr cesar</t>
  </si>
  <si>
    <t>2021-07-19 16:08:00</t>
  </si>
  <si>
    <t>comision eduardo ramirez y luis alirio martinez terr cesar</t>
  </si>
  <si>
    <t>5421, 5521</t>
  </si>
  <si>
    <t>10521, 10621</t>
  </si>
  <si>
    <t>26021, 26121</t>
  </si>
  <si>
    <t>175151621, 175154221</t>
  </si>
  <si>
    <t>2021-08-24 11:30:00</t>
  </si>
  <si>
    <t>PROCESO DE TITULACION SEGUN CONTRATO 845 MINVIVIENDA E IGAC TERR CESAR</t>
  </si>
  <si>
    <t>6321, 6421, 6521</t>
  </si>
  <si>
    <t>2021-01-20 16:28:00</t>
  </si>
  <si>
    <t>Territorial Córdoba</t>
  </si>
  <si>
    <t>CDP CONTRATACIÓN MANO DE OBRA EN CUMPLIMIENTO A LAS METAS ESTABLECIDAS PARA LA VIGENCIA 2021 DE LOS PROCESOS DE CONSERVACIÓN CATASTRAL DE LA TERRITORIAL CÓRDOBA.</t>
  </si>
  <si>
    <t>1221, 1321, 1421, 1521, 1621, 1721, 7221</t>
  </si>
  <si>
    <t>1021, 1121, 1221, 1321, 1521, 1621, 12221</t>
  </si>
  <si>
    <t>10221, 10321, 10421, 10521, 10721, 10821, 16121, 16221, 16321, 16421, 16521, 16621, 19121, 19221, 19421, 19521, 19721, 19821, 22721, 22821, 22921, 23121, 23221, 23421, 23521, 25921, 26021, 26221, 26321, 26521, 26621, 27021, 30221, 30421, 30521, 30621, 30721, 30921, 32721, 33021, 33121, 33321, 33421, 33621</t>
  </si>
  <si>
    <t>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t>
  </si>
  <si>
    <t>2021-01-20 19:36:00</t>
  </si>
  <si>
    <t>CDP CONTRATACIÓN DE MANO DE OBRA EN CUMPLIMIENTO A LAS METAS ESTABLECIDAS PARA LA VIGENCIA 2021 DE LOS PROCESOS DE RESTITUCIÓN DE TIERRAS.</t>
  </si>
  <si>
    <t>721, 821</t>
  </si>
  <si>
    <t>921, 1421</t>
  </si>
  <si>
    <t>10121, 10621, 15921, 16021, 19321, 19621, 23021, 23321, 26121, 26421, 30321, 30821, 33221, 33521</t>
  </si>
  <si>
    <t>44331821, 44351421, 73693821, 73733521, 100226521, 100229821, 131978221, 132004421, 158909221, 158917321, 212062221, 212116521</t>
  </si>
  <si>
    <t>2021-01-20 19:51:00</t>
  </si>
  <si>
    <t>CDP VIÁTICOS Y GASTOS DE COMISIÓN EN CUMPLIMIENTO A LAS METAS ESTABLECIDAS PARA LA VIGENCIA 2021, DE LOS PROCESOS DE CONSERVACIÓN CATASTRAL.</t>
  </si>
  <si>
    <t>5521, 5621, 5721, 8321</t>
  </si>
  <si>
    <t>6221, 6321, 6421, 11521</t>
  </si>
  <si>
    <t>22321, 22421, 22521, 29721</t>
  </si>
  <si>
    <t>130987121, 130991021, 130993721, 194195821</t>
  </si>
  <si>
    <t>2021-01-20 20:24:00</t>
  </si>
  <si>
    <t>CDP CONTRATACIÓN DE MANO DE OBRA EN CUMPLIMIENTO A LAS METAS ESTABLECIDAS PARA LA VIGENCIA 2021, DE LOS PROCESOS DE AVALÚOS.</t>
  </si>
  <si>
    <t>10921, 18821, 20421, 25521, 25621, 29621, 31221</t>
  </si>
  <si>
    <t>48077921, 92314921, 116843121, 148896421, 151302821, 181696221, 219371821</t>
  </si>
  <si>
    <t>2021-02-22 19:18:00</t>
  </si>
  <si>
    <t>CDP GASTOS DE MANUTENCIÓN CONTRATISTA CONTROL DE CALIDAD INFORMES DE AVALÚOS, TERRITORIAL CÓRDOBA.</t>
  </si>
  <si>
    <t>2221, 3021, 4021, 4221, 4321, 4921, 5021, 5121, 5321, 6521, 7121, 8521, 9121</t>
  </si>
  <si>
    <t>821, 2321, 3921, 4021, 4121, 5821, 5921, 6021, 9621, 10621</t>
  </si>
  <si>
    <t>10021, 11421, 18721, 18921, 19021, 21921, 22021, 22121, 27121, 27421</t>
  </si>
  <si>
    <t>44367221, 64865421, 91459321, 100238621, 112226521, 120983221, 120984121, 120985021, 169758621, 176140921</t>
  </si>
  <si>
    <t>2021-06-29 16:13:00</t>
  </si>
  <si>
    <t>CDP CONTRATACIÓN PRESTACIÓN DE SERVICIOS PERSONALES PARA APOYAR LABORES DE CONSERVACIÓN CATASTRAL A CARGO DE LA UNIDAD OPERATIVA DE SAN ANDRÉS ISLAS.</t>
  </si>
  <si>
    <t>212126921</t>
  </si>
  <si>
    <t>2021-07-02 12:14:00</t>
  </si>
  <si>
    <t>CDP MANTENIMIENTO PREVENTIVO, CORRECTIVO Y SUMINISTRO E INSTALACIÓN DE REPUESTOS DEL VEHÍCULO DE PLACA OBI 107, A CARGO DE LA DIRECCIÓN TERRITORIAL CÓRDOBA.</t>
  </si>
  <si>
    <t>2021-07-19 13:24:00</t>
  </si>
  <si>
    <t>CDP MANTENIMIENTO PREVENTIVO Y CORRECTIVO DE LOS EQUIPOS DE AIRES ACONDICIONADOS EN LA DIRECCIÓN TERRITORIAL CÓRDOBA.</t>
  </si>
  <si>
    <t>2021-08-19 15:48:00</t>
  </si>
  <si>
    <t>PRESTACIÓN DE SERVICIOS PERSONALES PARA REALIZAR ACTIVIDADES DE RECONOCIMIENTO PREDIAL URBANO Y RURAL PARA LA ATENCIÓN DE TRÁMITES EN LOS PROCESOS CATASTRALES EN EL MARCO DEL CONTRATO INTERADMINISTRATIVO 845 SUSCRITO CON EL MINISTERIO DE VIVIENDA, CI</t>
  </si>
  <si>
    <t>2021-08-19 16:11:00</t>
  </si>
  <si>
    <t>PRESTACIÓN DE SERVICIOS PERSONALES PARA REALIZAR ACTIVIDADES DE APOYO A LA GESTIÓN AUXILIAR EN LOS PROCESOS CATASTRALES EN EL MARCO DE LOS PROYECTOS QUE ADELANTA EL INSTITUTO EN LA TERRITORIAL CÓRDOBA</t>
  </si>
  <si>
    <t>2021-08-19 16:39:00</t>
  </si>
  <si>
    <t>PRESTACIÓN DE SERVICIOS PERSONALES PARA REALIZAR ACTIVIDADES DE APOYO A LA GESTIÓN AUXILIAR EN LOS PROCESOS CATASTRALES EN EL MARCO DEL CONTRATO INTERADMINISTRATIVO 845 SUSCRITO CON EL MINISTERIO DE VIVIENDA, CIUDAD Y TERRITORIO</t>
  </si>
  <si>
    <t>2021-02-10 11:34:00</t>
  </si>
  <si>
    <t>Territorial Guajira</t>
  </si>
  <si>
    <t>VIATICOS PROCESO DE CONSERVACION CATASTRAL VIGENCIA 2021</t>
  </si>
  <si>
    <t>1121, 1221, 2221, 2321, 4321, 4421, 4721, 4921, 5021, 5421, 5521, 6421, 6521, 6721, 6821, 7021, 7121, 7321, 7421, 7821, 7921</t>
  </si>
  <si>
    <t>821, 921, 1521, 1621, 4321, 4421, 5221, 5721, 5821, 6221, 6321, 8321, 8421, 8621, 8721, 9921, 10021, 10221, 10321, 10721, 10821</t>
  </si>
  <si>
    <t>3321, 3421, 6121, 6221, 12121, 12221, 14021, 14221, 14321, 14721, 14821, 17421, 17521, 18721, 18821, 19521, 19621, 19821, 19921, 21321, 21421</t>
  </si>
  <si>
    <t>24127421, 24128821, 41864921, 41865621, 114433221, 114434121, 119221221, 134655121, 134655321, 142993321, 143004421, 173143521, 173144621, 176264921, 176266321, 189326621, 189329821, 197158821, 197161221, 212769921, 212771421</t>
  </si>
  <si>
    <t>2021-02-16 10:21:00</t>
  </si>
  <si>
    <t>CONTRATACION SERVICIOS PERSONALES PROCESO CONSERVACION CATASTRAL</t>
  </si>
  <si>
    <t>1721, 1821, 1921, 2021, 2121, 3821</t>
  </si>
  <si>
    <t>2221, 2321, 2421, 2621, 2721, 7121</t>
  </si>
  <si>
    <t>9121, 9221, 9421, 9521, 9621, 11021, 11121, 11221, 11521, 11621, 13421, 13521, 13621, 13821, 13921, 16121, 16221, 16321, 16521, 16621, 16721, 18921, 19021, 19121, 19221, 19421, 21521, 21621, 21821, 21921, 22021, 22121, 22221, 22321</t>
  </si>
  <si>
    <t>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t>
  </si>
  <si>
    <t>2021-02-16 10:23:00</t>
  </si>
  <si>
    <t>CONTRATACION SERVICIOS PERSONALES PROCESO POLITICA DE TIERRAS</t>
  </si>
  <si>
    <t>2621, 8121</t>
  </si>
  <si>
    <t>9321, 11321, 13721, 16421, 19321, 21721</t>
  </si>
  <si>
    <t>71487521, 87494721, 117268921, 145684021, 179577621, 214558121</t>
  </si>
  <si>
    <t>2021-05-14 09:01:00</t>
  </si>
  <si>
    <t>RECURSOS PARA MANTENIMIENTO DE INFRAESTRUCTURA Y COMPRA DE AIRES ACONDICONADOS</t>
  </si>
  <si>
    <t>2021-07-26 00:00:00</t>
  </si>
  <si>
    <t>2021-07-26 12:37:00</t>
  </si>
  <si>
    <t>RECURSOS PARA LA CONTRATACION DE PERSONAL PROCESO DE ENTREGA DE PRODUCTOS CATASTRALES</t>
  </si>
  <si>
    <t>8221, 8321, 8421, 8521, 8721, 8821, 8921, 9021, 9121</t>
  </si>
  <si>
    <t>2021-02-04 10:02:00</t>
  </si>
  <si>
    <t>Territorial Huila</t>
  </si>
  <si>
    <t>Prestación de servicios personales para realizar actividades de reconocimiento predial urbano y rural para la atención de trámites en el proceso de conservación catastral de la territorial Huila.</t>
  </si>
  <si>
    <t>2121, 2221</t>
  </si>
  <si>
    <t>15521, 15621, 17921, 18021, 19921, 20021, 21721, 21821, 25721, 25821, 27121, 27221</t>
  </si>
  <si>
    <t>71527821, 71529721, 93414421, 93421221, 119473421, 119480821, 147319121, 147321421, 178294321, 178299321, 214998821, 215006721</t>
  </si>
  <si>
    <t>2021-02-04 10:26:00</t>
  </si>
  <si>
    <t>Prestación de servicios personales para adelantar las actividades requeridas en el desarrollo de los trámites de conservación catastral en la dirección territorial Huila</t>
  </si>
  <si>
    <t>15221, 15321, 17721, 18121, 20121, 20421, 21021, 21421, 23921, 24221, 26921</t>
  </si>
  <si>
    <t>71427621, 71430021, 89772221, 101865821, 119482221, 121730921, 144572421, 144588521, 171146021, 176579621, 212766821</t>
  </si>
  <si>
    <t>2021-02-04 10:36:00</t>
  </si>
  <si>
    <t>Prestación de servicios personales para realizar actividades de apoyo operativo en los procesos catastrales adelantados en la Dirección Territorial Huila .</t>
  </si>
  <si>
    <t>20221, 21121, 24321, 26821</t>
  </si>
  <si>
    <t>119483621, 144576421, 176591221, 212760621</t>
  </si>
  <si>
    <t>2021-02-04 10:44:00</t>
  </si>
  <si>
    <t>Prestación de servicios de apoyo a la gestión en ventanilla para atención al público en los procesos catastrales de la dirección territorial Huila.</t>
  </si>
  <si>
    <t>15421, 16421, 18621, 21221, 25921, 27321</t>
  </si>
  <si>
    <t>71431221, 89774621, 119461521, 144579121, 180313821, 215025221</t>
  </si>
  <si>
    <t>2021-02-04 10:52:00</t>
  </si>
  <si>
    <t>Prestación de servicios de procesos de apoyo a la gestión desarrollada en procesos catastrales.</t>
  </si>
  <si>
    <t>15721, 17821, 20621, 21321, 24421, 26721</t>
  </si>
  <si>
    <t>71530521, 89811721, 136129821, 144584021, 176597821, 207545021</t>
  </si>
  <si>
    <t>2021-02-10 15:29:00</t>
  </si>
  <si>
    <t>VIATICOS Y GASTOS DE COMISION EN EL PROCESO DE CONSERVACION,DE LA T HUILA</t>
  </si>
  <si>
    <t>5621, 5721, 6021, 6321, 6421</t>
  </si>
  <si>
    <t>7321, 7421, 7821, 9221, 9321</t>
  </si>
  <si>
    <t>23421, 23521, 23821, 26021, 26121</t>
  </si>
  <si>
    <t>167214821, 167216121, 169979921, 191212521, 192712621</t>
  </si>
  <si>
    <t>2021-02-10 15:36:00</t>
  </si>
  <si>
    <t>VIATICOS Y GASTOS DE COMISION EN EL PROCESO DE POLITICA DE TIERRA DE LA T. HUILA</t>
  </si>
  <si>
    <t>1521, 2521, 5421</t>
  </si>
  <si>
    <t>1621, 2121, 7121</t>
  </si>
  <si>
    <t>6221, 10721, 23221</t>
  </si>
  <si>
    <t>27871721, 50657821, 164361221</t>
  </si>
  <si>
    <t>2021-04-14 11:05:00</t>
  </si>
  <si>
    <t>Prestación de servicios personales para la realización de los procesos archivísticos en archivos de gestión y archivo central.</t>
  </si>
  <si>
    <t>20321, 21521, 24121, 26521</t>
  </si>
  <si>
    <t>121722721, 145878521, 176576721, 207410621</t>
  </si>
  <si>
    <t>2021-05-05 13:47:00</t>
  </si>
  <si>
    <t>Prestación de servicios personales para apoyo en los procesos del área de conservación en el IGAC Huila.</t>
  </si>
  <si>
    <t>2021-08-20 00:00:00</t>
  </si>
  <si>
    <t>2021-08-20 11:50:00</t>
  </si>
  <si>
    <t>Pago estampilla pro deporte al municipio de Pitalito con cargo al convenio firmado con dicho municipio. Vigencia 2021.</t>
  </si>
  <si>
    <t>219224421</t>
  </si>
  <si>
    <t>2021-08-31 14:38:00</t>
  </si>
  <si>
    <t>Prestación de servicios personales para adelantar actividades requeridas en el desarrollo de los trámites de conservación catastral en la dirección Territorial Huila.</t>
  </si>
  <si>
    <t>2021-01-15 16:39:00</t>
  </si>
  <si>
    <t>Territorial Magdalena</t>
  </si>
  <si>
    <t>ADECUACION, PINTURA Y MANTENIMIENTO DE  LA U.O.C DE EL BANCO MAGDALENA</t>
  </si>
  <si>
    <t>62862321</t>
  </si>
  <si>
    <t>2021-01-25 00:00:00</t>
  </si>
  <si>
    <t>2021-01-25 16:09:00</t>
  </si>
  <si>
    <t>VIATICOS DE CONSERVACION</t>
  </si>
  <si>
    <t>1021, 1121, 1221, 1321, 1521, 1621, 1721, 3121, 4621, 6321, 6421</t>
  </si>
  <si>
    <t>521, 621, 721, 821, 921, 1021, 1121, 4521, 10421, 12821, 12921</t>
  </si>
  <si>
    <t>4021, 4121, 4221, 4321, 4521, 4621, 4721, 13721, 23521, 26821, 26921</t>
  </si>
  <si>
    <t>11491221, 11493421, 11500821, 11512421, 15055421, 15079821, 15103621, 77407121, 192559121, 227256821, 227265021</t>
  </si>
  <si>
    <t>121, 221</t>
  </si>
  <si>
    <t>2021-02-04 11:27:00</t>
  </si>
  <si>
    <t>RECONOCEDOR DE CONSERVACION</t>
  </si>
  <si>
    <t>13121, 13421, 16021, 18321, 20521, 23221, 25821</t>
  </si>
  <si>
    <t>68607321, 68607821, 94099621, 124153321, 150769821, 182164621, 217553721</t>
  </si>
  <si>
    <t>2021-02-04 12:22:00</t>
  </si>
  <si>
    <t>AUXILIAR DE APOYO EN CONSERVACION</t>
  </si>
  <si>
    <t>9021, 13221, 15721, 16421, 20021, 23121</t>
  </si>
  <si>
    <t>46294921, 68607521, 93152921, 117906221, 146718921, 182151421</t>
  </si>
  <si>
    <t>2021-02-04 12:28:00</t>
  </si>
  <si>
    <t>TECNICO DE APOYO EN CONSERVACION</t>
  </si>
  <si>
    <t>9121, 13321, 15321, 16621, 20121, 23021</t>
  </si>
  <si>
    <t>46299921, 68607621, 92604521, 117932521, 146724721, 182106921</t>
  </si>
  <si>
    <t>2021-02-04 14:56:00</t>
  </si>
  <si>
    <t>RECONOCEDOR DE RESTITUCION DE TIERRA Y GASTO DE MANUTENCION</t>
  </si>
  <si>
    <t>9321, 12921, 15821, 16521, 20221, 22921, 24221</t>
  </si>
  <si>
    <t>50314421, 68607121, 93170421, 117921121, 146729721, 182098621, 213840221</t>
  </si>
  <si>
    <t>2021-02-04 15:00:00</t>
  </si>
  <si>
    <t>ABOGADA DE RESTITUCION DE TIERRA</t>
  </si>
  <si>
    <t>9221, 13021, 15521, 16321, 20821, 23421, 24621</t>
  </si>
  <si>
    <t>47181021, 68607221, 92606321, 116872021, 153134921, 182211321, 215388621</t>
  </si>
  <si>
    <t>2021-02-04 15:08:00</t>
  </si>
  <si>
    <t>CONTROL DE CALIDAD AVALUOS</t>
  </si>
  <si>
    <t>13821, 15621, 18021, 20621, 23321, 24521</t>
  </si>
  <si>
    <t>84087221, 93111421, 120456021, 150772021, 182182321, 213862321</t>
  </si>
  <si>
    <t>2021-02-04 15:13:00</t>
  </si>
  <si>
    <t>PERITOS EXTERNOS</t>
  </si>
  <si>
    <t>2021-02-04 15:17:00</t>
  </si>
  <si>
    <t>VIATICOS PARA AVALUOS</t>
  </si>
  <si>
    <t>3221, 3721</t>
  </si>
  <si>
    <t>4821, 7121</t>
  </si>
  <si>
    <t>14021, 18121</t>
  </si>
  <si>
    <t>87104921, 120761621</t>
  </si>
  <si>
    <t>2021-04-21 16:46:00</t>
  </si>
  <si>
    <t>MANTENIMIENTO DE VEHICULO</t>
  </si>
  <si>
    <t>26321, 26721</t>
  </si>
  <si>
    <t>220115821, 220646521</t>
  </si>
  <si>
    <t>2021-06-29 15:24:00</t>
  </si>
  <si>
    <t>AUXILIAR DE APOYO AVALUOS</t>
  </si>
  <si>
    <t>213855321</t>
  </si>
  <si>
    <t>2021-06-29 16:01:00</t>
  </si>
  <si>
    <t>TECNICO DE APOYO AVALUOS</t>
  </si>
  <si>
    <t>213849521</t>
  </si>
  <si>
    <t>2021-07-29 16:41:00</t>
  </si>
  <si>
    <t>RECONOCEDORES TITULACION</t>
  </si>
  <si>
    <t>5321, 5421, 5521, 5621, 5721, 5821</t>
  </si>
  <si>
    <t>2021-07-29 16:47:00</t>
  </si>
  <si>
    <t>DIGITALIZADOR TITULACION</t>
  </si>
  <si>
    <t>2021-07-29 16:53:00</t>
  </si>
  <si>
    <t>AUXILIARES TITULACION</t>
  </si>
  <si>
    <t>6021, 6121, 6221</t>
  </si>
  <si>
    <t>2021-07-29 16:59:00</t>
  </si>
  <si>
    <t>VIATICOS Y GASTO DE COMISION TITULACION</t>
  </si>
  <si>
    <t>2021-08-17 14:47:00</t>
  </si>
  <si>
    <t>APOYO EN LA ACTUALIZACION CATASTRAL DEL GUAMO BOLIVAR DEL 22 DE AGOSTO AL 3 DE SEPTIEMBRE 2021</t>
  </si>
  <si>
    <t>207344621</t>
  </si>
  <si>
    <t>2021-08-27 14:33:00</t>
  </si>
  <si>
    <t>ADQUISICION DE IMPRESORA</t>
  </si>
  <si>
    <t>2021-08-27 14:41:00</t>
  </si>
  <si>
    <t>ADQUISICION DE IMPLEMENTOS DE BIOSEGURIDAD</t>
  </si>
  <si>
    <t>2021-01-12 11:19:00</t>
  </si>
  <si>
    <t>Territorial Meta</t>
  </si>
  <si>
    <t>TRASLADO FUNCIONARIOS SUBDIRECCION DE GEOGRAFIA PARA REALIZAR FOTOCONTROL Y PUNTOS DE VERIFICACION PARA ELABORACION DE CARTOGRAFIA VECTORIAL RURAL EN EL DEPARTAMENTO DE CAUCA Y NARIÑO</t>
  </si>
  <si>
    <t>1509221</t>
  </si>
  <si>
    <t>2021-02-04 14:15:00</t>
  </si>
  <si>
    <t>Prestación de servicios personales para ejecutar actividades de soporte en los procesos catastrales de la dirección territorial meta</t>
  </si>
  <si>
    <t>80221</t>
  </si>
  <si>
    <t>137409321</t>
  </si>
  <si>
    <t>2021-02-04 16:47:00</t>
  </si>
  <si>
    <t>Prestación de servicios personales para ejecutar actividades de apoyo operativo en los procesos catastrales en la dirección territorial meta</t>
  </si>
  <si>
    <t>2121, 2221, 2321, 2721, 5421, 7821, 11221</t>
  </si>
  <si>
    <t>26321, 26621, 29021, 29521, 30121, 30821, 30921</t>
  </si>
  <si>
    <t>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t>
  </si>
  <si>
    <t>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t>
  </si>
  <si>
    <t>2021-02-04 16:54:00</t>
  </si>
  <si>
    <t>Prestación de servicios personales para gestionar actividades de reconocimiento predial urbano y rural de los trámites de los procesos catastrales de la dirección territorial meta</t>
  </si>
  <si>
    <t>3121, 3221, 10721, 10821</t>
  </si>
  <si>
    <t>30221, 30321, 30521, 31021</t>
  </si>
  <si>
    <t>40121, 40221, 40321, 40521, 44721, 45121, 50921, 51221, 51321, 51621, 65621, 65821, 65921, 67721, 82421, 82721, 82921, 83321, 99821, 101421, 101521, 101821, 117221, 117321, 117421, 117621</t>
  </si>
  <si>
    <t>64294521, 64297421, 64300321, 65675021, 71382821, 71396921, 86707321, 86711121, 86712121, 86720921, 116077121, 116081921, 116085821, 116253621, 143447621, 143461121, 143473821, 143535921, 175963421, 177948821, 177956421, 180768621, 212067421, 212071521, 212082221, 212084421</t>
  </si>
  <si>
    <t>2021-02-05 09:59:00</t>
  </si>
  <si>
    <t>ADQUISICIÓN DE BIENES Y SERVICIOS - SERVICIO DE INFORMACIÓN CATASTRAL - ACTUALIZACIÓN Y GESTIÓN CATASTRAL NACIONAL - VIATICOS Y GASTOS FUNCIONARIOS AREA DE CONSERVACIÓN</t>
  </si>
  <si>
    <t>8221, 8321, 13921, 18521, 19321, 19421, 19521, 20221, 20321, 20421, 21521, 21621, 22721, 23921, 24021, 24321, 24421, 24521, 24621, 24721, 26121, 28421, 29421, 29721, 30121, 33021, 33121, 33221, 33821, 33921, 34021, 34221</t>
  </si>
  <si>
    <t>25821, 25921, 27421, 32721, 40521, 40621, 40721, 42321, 42421, 42521, 46521, 46621, 56221, 58121, 58221, 67521, 67621, 67721, 67821, 67921, 70521, 73421, 78321, 85021, 86421, 92221, 92321, 92421, 103121, 103221, 103321, 107121</t>
  </si>
  <si>
    <t>31521, 31621, 33121, 44621, 48321, 48421, 48521, 49421, 49521, 49621, 53321, 53421, 64321, 65321, 65421, 76221, 76321, 76421, 76521, 76621, 79021, 81021, 85221, 92921, 94321, 97721, 97821, 97921, 110821, 110921, 111021, 114021</t>
  </si>
  <si>
    <t>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t>
  </si>
  <si>
    <t>1021, 1521, 1721, 1821, 2621, 2721</t>
  </si>
  <si>
    <t>2021-02-05 11:42:00</t>
  </si>
  <si>
    <t>Prestación de servicios profesionales para apoyar en los requerimientos de los trámites administrativos, judiciales y el postfallo del proceso de restitución de tierras en el marco de la ley 1448 de 2011 y la política integral a víctimas en la direcc</t>
  </si>
  <si>
    <t>34021, 39721, 51421, 67621, 81121, 98521, 118021</t>
  </si>
  <si>
    <t>55075021, 64264821, 86713221, 116241321, 143325621, 175968021, 212054821</t>
  </si>
  <si>
    <t>2021-02-05 11:46:00</t>
  </si>
  <si>
    <t>Prestación de servicios personales para gestionar actividades de reconocimiento predial urbano y rural, en atención a los requerimientos administrativos y judiciales del proceso de restitución de tierras en la dirección territorial meta</t>
  </si>
  <si>
    <t>39821, 52721, 67521, 83021, 100021, 116721</t>
  </si>
  <si>
    <t>64279621, 86808721, 116232621, 143527321, 175955921, 212109421</t>
  </si>
  <si>
    <t>2021-02-05 11:52:00</t>
  </si>
  <si>
    <t>Prestación de servicios de apoyo al seguimiento de las solicitudes ejecutadas en el marco de la política integral de reparación a víctimas en la dirección territorial meta</t>
  </si>
  <si>
    <t>39921, 50821, 65721, 81221, 96721, 113721, 117721</t>
  </si>
  <si>
    <t>64281921, 86706421, 116079321, 143327721, 171100721, 189508921, 212065721</t>
  </si>
  <si>
    <t>2021-02-05 11:58:00</t>
  </si>
  <si>
    <t>ADQUISICIÓN DE BIENES Y SERVICIOS - SERVICIO DE INFORMACIÓN CATASTRAL - ACTUALIZACIÓN Y GESTIÓN CATASTRAL NACIONAL - VIATICOS Y GASTOS AREA DE TIERRAS</t>
  </si>
  <si>
    <t>42384021</t>
  </si>
  <si>
    <t>2021-02-08 00:00:00</t>
  </si>
  <si>
    <t>2021-02-08 16:56:00</t>
  </si>
  <si>
    <t>Prestación de servicios profesionales para efectuar control de calidad a los informes de avalúos comerciales, así como ejecutar avalúos a bienes inmuebles urbanos y rurales en todo el país</t>
  </si>
  <si>
    <t>41021, 52621, 67221, 84821, 98321, 112221</t>
  </si>
  <si>
    <t>65688521, 86812521, 116225521, 144915021, 175987221, 189564721</t>
  </si>
  <si>
    <t>2021-02-08 17:03:00</t>
  </si>
  <si>
    <t>VIATICOS Y GASTOS AVALUOS - INMUEBLES URBANOS Y RURALES</t>
  </si>
  <si>
    <t>3321, 3421, 8421, 17721</t>
  </si>
  <si>
    <t>16421, 16521, 26021, 32621</t>
  </si>
  <si>
    <t>18321, 18421, 31721, 42021</t>
  </si>
  <si>
    <t>26774021, 26775221, 42381121, 65727021</t>
  </si>
  <si>
    <t>2021-02-09 16:27:00</t>
  </si>
  <si>
    <t>Prestación de servicios de apoyo a la gestión desarrollada del proceso de actualización catastral del municipio de Villavicencio- Meta</t>
  </si>
  <si>
    <t>2421, 3521, 3721, 9421, 9521</t>
  </si>
  <si>
    <t>26521, 26721, 28221, 31421, 31721</t>
  </si>
  <si>
    <t>32121, 32321, 33621, 40721, 40821, 40921, 41121, 43521, 51021, 51521, 52221, 52521, 54321, 66621, 66721, 66821, 66921, 67021, 80121, 81521, 81621, 81721, 81921, 98021, 99521, 99621, 104921, 105021, 117021, 117821, 117921, 118821</t>
  </si>
  <si>
    <t>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t>
  </si>
  <si>
    <t>2021-02-10 16:19:00</t>
  </si>
  <si>
    <t>Prestación de servicios personales para realizar actividades de reconocimiento predial en el proceso de actualización catastral del municipio de Villavicencio- Meta - RECONOCEDORES (15)</t>
  </si>
  <si>
    <t>16221, 16321, 17021, 17121, 17221, 17321, 17421, 17521, 17821, 18821, 18921, 19021, 19121, 19221, 20921, 22321</t>
  </si>
  <si>
    <t>37221, 40421, 41121, 49721, 49921, 50121, 51021, 52121, 52321, 52821, 53121, 53321, 53921, 54821, 55021, 68721</t>
  </si>
  <si>
    <t>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t>
  </si>
  <si>
    <t>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t>
  </si>
  <si>
    <t>2021-02-10 16:27:00</t>
  </si>
  <si>
    <t>Prestación de servicios personales para ejecutar actividades de reconocimiento predial en el proceso de actualización catastral del municipio de Villavicencio- Meta Reconocedores (33)</t>
  </si>
  <si>
    <t>8621, 8721, 8921, 9021, 9121, 9621, 9721, 9821, 9921, 10021, 10121, 10221, 10321, 10421, 10521, 10921, 11021, 11121, 11521, 11621, 11721, 11821, 11921, 14321, 14521, 14621, 14721, 15221, 15321, 15421, 15521, 15621, 15721</t>
  </si>
  <si>
    <t>33621, 33721, 33821, 33921, 34221, 34421, 36921, 37021, 37121, 37321, 37421, 37521, 37621, 37721, 37821, 38021, 38421, 39221, 39321, 39421, 39621, 39721, 39821, 39921, 40221, 40321, 40821, 40921, 41021, 41221, 43221, 55421</t>
  </si>
  <si>
    <t>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t>
  </si>
  <si>
    <t>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t>
  </si>
  <si>
    <t>2021-02-10 16:33:00</t>
  </si>
  <si>
    <t>Prestación de servicios técnicos de apoyo al seguimiento, planeación y gestión del reconocimiento predial  en el proceso de actualización catastral en el municipio de Villavicencio- Meta - Coordinadores (3)</t>
  </si>
  <si>
    <t>4321, 4421, 4521, 4621, 4721, 4921, 8021, 8121</t>
  </si>
  <si>
    <t>31821, 33021, 33121, 33221, 33321, 35321, 37921, 40021</t>
  </si>
  <si>
    <t>41221, 42121, 42221, 42321, 42421, 44021, 46321, 47721, 53621, 53821, 55821, 58121, 58221, 58421, 58521, 63421, 68821, 69221, 69721, 69821, 73321, 75021, 78721, 81821, 82121, 88021, 88121, 88621, 88721, 90521, 94621, 95921, 103521, 103621, 103721, 103821, 103921, 104021, 110421, 110521, 113821, 127621, 128021, 128521</t>
  </si>
  <si>
    <t>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t>
  </si>
  <si>
    <t>2021-02-10 16:40:00</t>
  </si>
  <si>
    <t>Prestación de servicios profesionales  para realizar  la depuración y análisis  de información registral en las bases catastrales, para los procesos de actualización catastral del municipio de Villavicencio- Meta- Profesional Icare (2)</t>
  </si>
  <si>
    <t>5521, 6421</t>
  </si>
  <si>
    <t>31221, 32021</t>
  </si>
  <si>
    <t>40621, 41421, 53921, 58621, 73221, 78921, 84321, 86321, 104121, 104221, 119221</t>
  </si>
  <si>
    <t>65676921, 65712521, 89849721, 93386621, 120556121, 129218421, 144889921, 147745921, 180876321, 180881721, 212788821</t>
  </si>
  <si>
    <t>2021-02-11 00:00:00</t>
  </si>
  <si>
    <t>2021-02-11 12:17:00</t>
  </si>
  <si>
    <t>Prestación de servicios personales para realizar actividades de digitalización y generación de productos resultantes del proceso de actualización catastral  del municipio de Villavicencio- Meta  Digitalizadores (5)</t>
  </si>
  <si>
    <t>13121, 13221, 13321, 14921, 15021</t>
  </si>
  <si>
    <t>35421, 35721, 35821, 38121, 38321</t>
  </si>
  <si>
    <t>44321, 44421, 44521, 46521, 46721, 54221, 54521, 54621, 54721, 55121, 67821, 68121, 68221, 68321, 73921, 84921, 85921, 86021, 88521, 93921, 101921, 102021, 102121, 102221, 103021, 103121, 108421, 108521, 118421, 121921, 122021, 122121, 122221, 122821, 122921, 128321, 128421</t>
  </si>
  <si>
    <t>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t>
  </si>
  <si>
    <t>2021-02-11 12:32:00</t>
  </si>
  <si>
    <t>Prestación de servicios personales para ejecutar acciones de digitalización y generación de productos resultantes del proceso de actualización catastral  del municipio de Villavicencio- Meta -Digitalizadores (5)</t>
  </si>
  <si>
    <t>16421, 16521, 16921, 18421, 20021</t>
  </si>
  <si>
    <t>35621, 38221, 39521, 48221, 51621</t>
  </si>
  <si>
    <t>44221, 46621, 47221, 54421, 54821, 55021, 59421, 59521, 67921, 68021, 68421, 68521, 73521, 84621, 85821, 90621, 92621, 93821, 102321, 102421, 102821, 102921, 108621, 108721, 113221, 113321, 114921, 121521, 121621, 122521, 122621, 123021, 123121, 126021, 126121</t>
  </si>
  <si>
    <t>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t>
  </si>
  <si>
    <t>2021-02-11 12:43:00</t>
  </si>
  <si>
    <t>Prestación de servicios personales para realizar actividades de apoyo operativo  del proceso de actualización catastral  del municipio de Villavicencio- Meta - Auxiliares apoyo (11)</t>
  </si>
  <si>
    <t>11321, 11421, 12021, 12121, 12221, 12421, 12521, 12621, 13421, 18621, 18721</t>
  </si>
  <si>
    <t>32321, 33421, 33521, 34021, 34121, 34621, 34721, 40121, 41721, 48621, 51221</t>
  </si>
  <si>
    <t>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t>
  </si>
  <si>
    <t>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t>
  </si>
  <si>
    <t>2021-02-11 12:50:00</t>
  </si>
  <si>
    <t>Prestación de servicios profesionales para realizar las actividades de  topografía dentro del marco del proceso de actualización catastral de Villavicencio- Meta - TOPOGRAFO (1)</t>
  </si>
  <si>
    <t>82821, 95321, 98721, 125721</t>
  </si>
  <si>
    <t>143477821, 165553721, 175978221, 219462021</t>
  </si>
  <si>
    <t>2021-02-11 12:55:00</t>
  </si>
  <si>
    <t>Prestación de servicios de apoyo a la gestión para atención al público en el proceso de actualización catastral de Villavicencio- Meta - Atencion Publico (1)</t>
  </si>
  <si>
    <t>43921, 61521, 67121, 83121, 110621, 118521</t>
  </si>
  <si>
    <t>67815421, 95923621, 116222021, 143530721, 182349721, 211996321</t>
  </si>
  <si>
    <t>2021-02-11 13:02:00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</si>
  <si>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</si>
  <si>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2021-02-11 13:07:00</t>
  </si>
  <si>
    <t>Prestación de servicios profesionales para realizar las socializaciones requeridas en el proceso de actualización catastral de Villavicencio- Meta - Sociologo (3)</t>
  </si>
  <si>
    <t>7621, 14421</t>
  </si>
  <si>
    <t>32421, 35121</t>
  </si>
  <si>
    <t>41821, 43821, 52021, 52121, 70221, 74021, 77621, 82021, 84721, 100421, 102521, 119521, 119621, 119721, 119821</t>
  </si>
  <si>
    <t>65719621, 67795321, 86723721, 86724621, 120152421, 122208821, 129153421, 143409821, 144910321, 175951221, 180791721, 212775921, 212778521, 212780421, 212781321</t>
  </si>
  <si>
    <t>2021-02-11 13:14:00</t>
  </si>
  <si>
    <t>Prestación de servicios para realizar la edición, depuración y consolidación de los productos cartográficos requeridos para el componente geográfico de los procesos de actualización o formación catastral EDITORES (3)</t>
  </si>
  <si>
    <t>6321, 7921, 18321</t>
  </si>
  <si>
    <t>32121, 32221, 46221</t>
  </si>
  <si>
    <t>41521, 41621, 53021, 55921, 58721, 67321, 69421, 70121, 84421, 84521, 85321, 99221, 103321, 103421, 119121, 119321, 119421, 120921, 121021</t>
  </si>
  <si>
    <t>65715121, 65717321, 90444821, 90485221, 93416221, 116228721, 118367821, 118427621, 144891821, 144895921, 147713821, 175964521, 180834821, 180838121, 212750321, 212754421, 212783521, 212784721, 212790421</t>
  </si>
  <si>
    <t>2021-02-11 13:19:00</t>
  </si>
  <si>
    <t>Prestación de servicios para realizar el control calidad de los productos geográficos, alfanuméricos y documentales generados en los procesos de actualización o formación catastral - Control de Calidad (2)</t>
  </si>
  <si>
    <t>7721, 15121</t>
  </si>
  <si>
    <t>31921, 35521</t>
  </si>
  <si>
    <t>41321, 44121, 54021, 56021, 69921, 70021, 86121, 86221, 104721, 107921, 123321, 123421, 128121, 128221</t>
  </si>
  <si>
    <t>65709921, 67832721, 90024221, 90499921, 118422621, 118426621, 147739721, 147743021, 180906321, 181023021, 213599621, 213607721, 219367721, 219370521</t>
  </si>
  <si>
    <t>2021-02-11 13:44:00</t>
  </si>
  <si>
    <t>Prestación de servicios técnicos para desarrollar actividades de soporte informático relacionados con la gestión de software, hardware e infraestructura tecnológica en procesos de actualización catastral de Villavicencio- Meta - Soporte Informatica (</t>
  </si>
  <si>
    <t>40421, 51121, 66421, 81421, 99921, 121721, 121821</t>
  </si>
  <si>
    <t>64307221, 86710221, 116125121, 143336321, 175954621, 213329021, 213334021</t>
  </si>
  <si>
    <t>2021-02-11 13:58:00</t>
  </si>
  <si>
    <t>Prestación de servicios profesionales para el seguimiento y control de las actividades de la etapa operativa del proyecto de gestión catastral Villavicencio que adelanta la territorial meta - Coordinador de Proyecto Villavicencio - (1)</t>
  </si>
  <si>
    <t>34821, 43321, 59321, 76021, 90121, 107821, 128621</t>
  </si>
  <si>
    <t>56898121, 66174321, 93454921, 122415721, 150585021, 181017421, 219319321</t>
  </si>
  <si>
    <t>2021-02-11 14:04:00</t>
  </si>
  <si>
    <t>Adquisición de equipos de cómputo y periféricos para la territorial meta</t>
  </si>
  <si>
    <t>86321</t>
  </si>
  <si>
    <t>93121</t>
  </si>
  <si>
    <t>159066421</t>
  </si>
  <si>
    <t>2021-02-15 00:00:00</t>
  </si>
  <si>
    <t>2021-02-15 09:12:00</t>
  </si>
  <si>
    <t>VIATICOS Y GASTOS FUNCIONARIO</t>
  </si>
  <si>
    <t>8821, 21321, 29521</t>
  </si>
  <si>
    <t>25721, 43921, 78421</t>
  </si>
  <si>
    <t>31421, 50721, 85121</t>
  </si>
  <si>
    <t>42580121, 84882621, 160675021</t>
  </si>
  <si>
    <t>1921, 2021, 2121, 2421, 2821, 2921</t>
  </si>
  <si>
    <t>2021-02-16 12:15:00</t>
  </si>
  <si>
    <t>VIATICOS Y GASTOS COMISION FUNCIONARIOS CUMARIBO</t>
  </si>
  <si>
    <t>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t>
  </si>
  <si>
    <t>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t>
  </si>
  <si>
    <t>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t>
  </si>
  <si>
    <t>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t>
  </si>
  <si>
    <t>321, 421, 521, 621, 721, 821, 1621, 2221, 2321, 2521</t>
  </si>
  <si>
    <t>2021-02-16 15:19:00</t>
  </si>
  <si>
    <t>Prestación de servicios de apoyo logistico para adelantar el proceso de consulta previa resguardo SIKUANI y WIWI del municipio Cumaribo Vichada</t>
  </si>
  <si>
    <t>89721</t>
  </si>
  <si>
    <t>96821, 121421</t>
  </si>
  <si>
    <t>175966121, 213345421</t>
  </si>
  <si>
    <t>2021-03-02 13:49:00</t>
  </si>
  <si>
    <t>GASTO MANUTENCION CONTRATATISTAS AREA DE TIERRAS - ADQUISICIÓN DE BIENES Y SERVICIOS - SERVICIO DE INFORMACIÓN CATASTRAL - ACTUALIZACIÓN Y GESTIÓN CATASTRAL NACIONAL -  GASTOS MANUTENCION AREA DE TIERRAS</t>
  </si>
  <si>
    <t>9321, 12921, 13021, 17621</t>
  </si>
  <si>
    <t>26221, 27121, 27221, 29621</t>
  </si>
  <si>
    <t>31921, 32621, 34121, 34921</t>
  </si>
  <si>
    <t>43867721, 50741121, 55076221, 59304921</t>
  </si>
  <si>
    <t>2021-03-23 00:00:00</t>
  </si>
  <si>
    <t>2021-03-23 10:18:00</t>
  </si>
  <si>
    <t>GASTOS MANUTENCION CONTRATISTA - PERITO AVALUADOR</t>
  </si>
  <si>
    <t>18221, 22221, 27421, 29821</t>
  </si>
  <si>
    <t>32521, 55921, 71421, 85421</t>
  </si>
  <si>
    <t>41921, 63821, 79821, 93321</t>
  </si>
  <si>
    <t>65724921, 100813221, 134100221, 159053321</t>
  </si>
  <si>
    <t>2021-05-07 00:00:00</t>
  </si>
  <si>
    <t>2021-05-07 11:33:00</t>
  </si>
  <si>
    <t>VIATICOS Y GASTOS MUNICIPIO DE CUMARIBO (CIERRE CONSULTA PREVIA)</t>
  </si>
  <si>
    <t>28521, 37021</t>
  </si>
  <si>
    <t>76021, 118321</t>
  </si>
  <si>
    <t>83521, 123921</t>
  </si>
  <si>
    <t>143729221, 215229121</t>
  </si>
  <si>
    <t>2021-05-13 10:33:00</t>
  </si>
  <si>
    <t>MANTENIMIENTO PREVENTIVO, CORRECTIVO Y SUMINISTRO E INSTALACION DE REPUESTOS DE LOS VEHICULOS DE LA TERRITORIAL META</t>
  </si>
  <si>
    <t>2021-05-20 16:36:00</t>
  </si>
  <si>
    <t>Prestación de servicios personales para desarrollar actividades de reconocimiento predial en el proceso de actualización catastral del municipio de Villavicencio- Meta</t>
  </si>
  <si>
    <t>25721, 25821, 25921, 26021, 26321, 26421, 26621, 27521, 31021</t>
  </si>
  <si>
    <t>83021, 83121, 83221, 83321, 83421, 84121, 84321, 84821, 103521</t>
  </si>
  <si>
    <t>90921, 91021, 91121, 91221, 91321, 92021, 92221, 92821, 106421, 106921, 107221, 111221, 111721, 112721, 112821, 113421, 126321, 126421</t>
  </si>
  <si>
    <t>152755921, 152758721, 152764421, 152769521, 152776721, 152920721, 152938921, 153050121, 180938621, 180977021, 180991121, 182540721, 182590621, 189516421, 189543221, 189545521, 219428821, 219429921</t>
  </si>
  <si>
    <t>2021-05-20 16:42:00</t>
  </si>
  <si>
    <t>"Prestación de servicios técnicos como lider de reconocimiento predial en el proceso de actualización catastral en el municipio de villavicencio- meta
"</t>
  </si>
  <si>
    <t>26221, 29221</t>
  </si>
  <si>
    <t>80121, 114821</t>
  </si>
  <si>
    <t>88421, 104821, 121321, 123221</t>
  </si>
  <si>
    <t>150528621, 180907921, 212735421, 213610021</t>
  </si>
  <si>
    <t>2021-05-20 16:46:00</t>
  </si>
  <si>
    <t>"Prestación de servicios para realizar la edición, depuración y consolidación de los productos
cartográficos para el componente geográfico del proceso de actualización catastral del municipio de Villavicencio- Meta
"</t>
  </si>
  <si>
    <t>86521</t>
  </si>
  <si>
    <t>94421, 112121</t>
  </si>
  <si>
    <t>163405321, 189566721</t>
  </si>
  <si>
    <t>2021-05-20 16:50:00</t>
  </si>
  <si>
    <t>Prestación de servicios de soporte a la gestión desarrollada en el proceso de actualización catastral del municipio de villavicencio- meta</t>
  </si>
  <si>
    <t>27621, 28321</t>
  </si>
  <si>
    <t>75121, 75921</t>
  </si>
  <si>
    <t>82621, 83421, 100521, 111121, 118121, 118721</t>
  </si>
  <si>
    <t>143457521, 143533921, 175946221, 182536421, 211975321, 212032321</t>
  </si>
  <si>
    <t>2021-06-28 15:29:00</t>
  </si>
  <si>
    <t>PRESTACION DE SERVICIOS PERSONALES PARA EFECTUAR LABORES DE RECONOCIMIENTO PREDIAL EN EL PROCESO DE ACTUALIZACION CATASTRAL DEL MUNICIPIO DE VILLAVICENCIO-META</t>
  </si>
  <si>
    <t>30221, 30721, 32121</t>
  </si>
  <si>
    <t>100821, 103621, 108021</t>
  </si>
  <si>
    <t>111321, 112021, 115121, 127121</t>
  </si>
  <si>
    <t>182543821, 189569021, 200117321, 219418621</t>
  </si>
  <si>
    <t>2021-06-28 15:33:00</t>
  </si>
  <si>
    <t>PRESTACION DE SERVICIOS PERSONALES PARA EFECTUAR LABORES DE APOYO OPERATIVO DEL  PROCESO DE ACTUALIZACION CATASTRAL DEL MUNICIPIO DE VILLAVICENCIO-META</t>
  </si>
  <si>
    <t>94921</t>
  </si>
  <si>
    <t>101321, 127521</t>
  </si>
  <si>
    <t>177950721, 219386921</t>
  </si>
  <si>
    <t>2021-06-28 15:38:00</t>
  </si>
  <si>
    <t>PRESTACION DE SERVICIOS PROFESIONALES  PARA EJECUTAR LA DEPURACION Y ESTUDIO DE LA INFORMACION REGISTRAL EN LAS BASES CATASTRALES, PARA LOS   PROCESO DE ACTUALIZACION CATASTRAL DEL MUNICIPIO DE VILLAVICENCIO-META</t>
  </si>
  <si>
    <t>110921</t>
  </si>
  <si>
    <t>116821</t>
  </si>
  <si>
    <t>212091921</t>
  </si>
  <si>
    <t>2021-06-28 15:43:00</t>
  </si>
  <si>
    <t>PRESTACION DE SERVICIOS PERSONALES COMO TECNICO OPERATIVO EN EL PROCESO DE DE ACTUALIZACION CATASTRAL DEL MUNICIPIO DE VILLAVICENCIO-META</t>
  </si>
  <si>
    <t>2021-06-28 15:49:00</t>
  </si>
  <si>
    <t>PRESTACION DE SERVICIOS DE APOYO PARA EFECTUAR ACTIVIDADES EN EL PROCESO DE ACTUALIZACION  CATASTRAL DEL MUNICIPIO DE VILLAVICENCIO-META</t>
  </si>
  <si>
    <t>104221</t>
  </si>
  <si>
    <t>111921, 118621</t>
  </si>
  <si>
    <t>182596721, 211979221</t>
  </si>
  <si>
    <t>2021-06-28 15:53:00</t>
  </si>
  <si>
    <t>PRESTACION DE SERVICIOS PERSONALES COMO TECNICO EN LIDER DE RECONOCIMIENTO PREDIAL PARA EL PROCESO DE DE ACTUALIZACION CATASTRAL DEL MUNICIPIO DE VILLAVICENCIO-META</t>
  </si>
  <si>
    <t>33521, 34121, 37421</t>
  </si>
  <si>
    <t>114721</t>
  </si>
  <si>
    <t>121221</t>
  </si>
  <si>
    <t>212736421</t>
  </si>
  <si>
    <t>2021-06-30 16:46:00</t>
  </si>
  <si>
    <t>PRESTACION DE SERVICIOS PERSONALES DE APOYO PARA REALIZAR ACTIVIDADES DENTRO DEL PROCESO DE ACTUALIZACION CATASTRAL DEL MUNICIPIO DE VILLAVICENCIO</t>
  </si>
  <si>
    <t>91121</t>
  </si>
  <si>
    <t>98121, 116921</t>
  </si>
  <si>
    <t>175968821, 212089921</t>
  </si>
  <si>
    <t>2021-07-30 09:17:00</t>
  </si>
  <si>
    <t>ADQUISICION DE TINTAS, TONER Y CABEZALES PARA LOS PLOTTER DE LA TERRITORIAL META</t>
  </si>
  <si>
    <t>2021-08-18 08:54:00</t>
  </si>
  <si>
    <t>Prestación de servicios profesionales para ejecutar actividades de socialización requeridas en el proceso de actualización catastral de Villavicencio- Meta.</t>
  </si>
  <si>
    <t>2021-08-18 08:55:00</t>
  </si>
  <si>
    <t>Prestación de servicios profesionales para elaborar el estudio y la depuración de la información registral en las bases catastrales, para los procesos de actualización catastral del municipio de Villavicencio- Meta.</t>
  </si>
  <si>
    <t>36021, 36121, 36321, 36421</t>
  </si>
  <si>
    <t>2021-08-18 08:56:00</t>
  </si>
  <si>
    <t>Prestación de servicios personales para cumplir actividades de apoyo dentro del proceso de actualización catastral del municipio de Villavicencio- Meta.</t>
  </si>
  <si>
    <t>35721, 35821, 36221, 36521, 36621, 36721, 36921, 37321</t>
  </si>
  <si>
    <t>2021-08-18 08:57:00</t>
  </si>
  <si>
    <t>Prestación de servicios personales para efectuar actividades de reconocimiento predial en el proceso de actualización catastral del municipio de Villavicencio- Meta.</t>
  </si>
  <si>
    <t>2021-08-20 12:23:00</t>
  </si>
  <si>
    <t>Prestación de servicios personales para realizar actividades de digitalización  y generación de productos resultantes del proceso de conservación catastral de la territorial Meta.</t>
  </si>
  <si>
    <t>2021-01-27 20:23:00</t>
  </si>
  <si>
    <t>Territorial Nariño</t>
  </si>
  <si>
    <t>CUMPLIMIENTO DEL CONTRATO FRIRMADO  ENTRE EL IG- ADC .
TIEN COMO OBJETO PRESTAR SERVICIO PUBLICO CATASTRAL EN LAS OPERACION TECNICA Y ADMINISTRATIVA PARA LA CONSERVACION CATASTRAL DE LAS ZONAS URBANAS DE LOS MUNICIPIOS DE PASTO, IPIALES Y TUMACO DEL</t>
  </si>
  <si>
    <t>2021-02-05 14:19:00</t>
  </si>
  <si>
    <t>Prestación de servicios personales para realizar actividades de reconocimiento predial dentro del proceso gestión catastral - conservación- en el marco de los proyectos que adelanta el Instituto en la Territorial Nariño.</t>
  </si>
  <si>
    <t>3721, 3821, 3921, 4021, 4121, 4221, 4321, 5321</t>
  </si>
  <si>
    <t>3221, 3921, 6821, 7421, 7621, 7721, 7921, 9921</t>
  </si>
  <si>
    <t>21421, 21521, 22021, 22221, 22321, 22521, 25821, 26821, 27221, 28021, 28121, 28221, 28321, 30921, 31821, 32021, 33721, 33821, 33921, 34321, 36221, 37321, 37421, 38221, 38421, 39121, 41621, 41821, 43221, 45921</t>
  </si>
  <si>
    <t>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t>
  </si>
  <si>
    <t>2021-02-05 14:43:00</t>
  </si>
  <si>
    <t>Prestación de servicios personales para realizar actividades de digitalización y generación de productos de la información catastral dentro del proceso gestión catastral -conservación- en el marco de los proyectos que adelanta el Instituto en la Terr</t>
  </si>
  <si>
    <t>14821, 20921, 27321, 31221, 36921, 42621</t>
  </si>
  <si>
    <t>50193821, 76466221, 105998621, 133169921, 162614221, 189716821</t>
  </si>
  <si>
    <t>2021-02-05 14:58:00</t>
  </si>
  <si>
    <t>Prestación de servicios personales para realizar actividades de apoyo operativo dentro del proceso gestión 
catastral -conservación- en el marco de los proyectos que adelanta el Instituto en la Territorial Nariño.</t>
  </si>
  <si>
    <t>4521, 4621, 4721, 4821</t>
  </si>
  <si>
    <t>7121, 7521, 8021, 9821</t>
  </si>
  <si>
    <t>21721, 22121, 22621, 25721, 26421, 26621, 27721, 30821, 32321, 32621, 34121, 34221, 37921, 38621, 41221, 42121</t>
  </si>
  <si>
    <t>79146721, 81802721, 81803221, 103848721, 104410021, 104417121, 110515721, 122019121, 133197521, 133201421, 144742921, 144758721, 165344421, 166371921, 177996821, 187305621</t>
  </si>
  <si>
    <t>2021-02-05 15:15:00</t>
  </si>
  <si>
    <t>Prestación de servicios personales para realizar las actividades de asignación, control y verificación dentro del 
proceso gestión catastral - conservación- en el marco de los proyectos que adelanta el Instituto en la
 Territorial Nariño</t>
  </si>
  <si>
    <t>21621, 26721, 32421, 38121, 42821</t>
  </si>
  <si>
    <t>79146421, 104417521, 133198721, 165345621, 190567321</t>
  </si>
  <si>
    <t>2021-02-05 15:30:00</t>
  </si>
  <si>
    <t>Prestación de servicios personales para realizar actividades de apoyo operativo -tramite de mutaciones
dentro del proceso gestión catastral -conservación- en el marco de los proyectos que adelanta el Instituto
en la Territorial Nariño.</t>
  </si>
  <si>
    <t>14421, 20721, 26121, 31421, 36721</t>
  </si>
  <si>
    <t>50173521, 76465621, 104403421, 133176221, 152592921</t>
  </si>
  <si>
    <t>2021-02-05 16:49:00</t>
  </si>
  <si>
    <t>Prestación de servicios profesionales para apoyar a la Dirección Territorial Nariño en los requerimientos del 
trámite administrativo, judicial y el postfallo del proceso de restitución de tierras en el marco de la ley 1448 
de 2011 y la política int</t>
  </si>
  <si>
    <t>22821, 27821, 33521, 38821, 43521</t>
  </si>
  <si>
    <t>82796321, 110518921, 140972721, 169300321, 198654321</t>
  </si>
  <si>
    <t>2021-02-05 17:03:00</t>
  </si>
  <si>
    <t>Prestación de servicios personales para adelantar actividades de reconocimiento predial urbano y rural, en 
atención a los requerimientos administrativos y judiciales del proceso de restitución de tierras en la dirección 
territorial Nariño.</t>
  </si>
  <si>
    <t>5021, 5121</t>
  </si>
  <si>
    <t>7821, 8121</t>
  </si>
  <si>
    <t>22421, 22721, 27021, 27121, 32221, 32521, 32821, 37821, 38521, 42521, 42721</t>
  </si>
  <si>
    <t>81805021, 82795421, 104419521, 104423821, 133200221, 135155721, 165343721, 165717721, 189677121, 190563821</t>
  </si>
  <si>
    <t>2021-02-05 17:09:00</t>
  </si>
  <si>
    <t>Prestación de servicios personales para realizar actividades de digitalización y generación de productos de la
 información catastral dentro del proceso gestión catastral -conservación- en la Territorial Nariño.</t>
  </si>
  <si>
    <t>14021, 21021, 26021, 31321, 36821, 43121</t>
  </si>
  <si>
    <t>47794221, 76466721, 104403121, 133173721, 162590721, 192549321</t>
  </si>
  <si>
    <t>2021-02-05 17:13:00</t>
  </si>
  <si>
    <t>Prestación de servicios personales para realizar actividades de reconocimiento predial urbano y rural para la 
atención de trámites de los Departamentos de Nariño y Putumayo dentro del proceso de gestión catastral-
 conservación -en la Territorial Na</t>
  </si>
  <si>
    <t>2421, 2521, 2621</t>
  </si>
  <si>
    <t>5121, 5421, 5521</t>
  </si>
  <si>
    <t>14721, 15121, 15221, 21821, 21921, 25921, 28921, 29021, 32121, 33621, 38021, 38921, 42021, 43721, 44321</t>
  </si>
  <si>
    <t>50162521, 55426121, 55427321, 81802121, 81821921, 103859421, 116013421, 116015921, 133195521, 140985521, 165345121, 171888821, 187305521, 200122421, 207432321</t>
  </si>
  <si>
    <t>2021-02-05 17:20:00</t>
  </si>
  <si>
    <t>Prestación de servicios personales para realizar actividades de apoyo operativo en el proceso de gestión 
catastral-conservación- en la Dirección Territorial Nariño</t>
  </si>
  <si>
    <t>1721, 1821, 1921, 2021</t>
  </si>
  <si>
    <t>4621, 4721, 4921, 5021</t>
  </si>
  <si>
    <t>14221, 14321, 14521, 14621, 20821, 21121, 21221, 21321, 26221, 26321, 26521, 26921, 31521, 31621, 31721, 31921, 37021, 37121, 37221, 37521, 42321, 42421, 42921, 43421, 46221, 46321, 46421, 46521</t>
  </si>
  <si>
    <t>50117921, 50122421, 50149021, 50151021, 76465921, 76467421, 76467921, 76468221, 104404121, 104404521, 104415421, 104419021, 133177621, 133182821, 133185121, 133191621, 162626921, 162661221, 162666321, 162686121, 189652521, 189667721, 190569721, 198653421, 227343821, 227362821, 227369221, 227378321</t>
  </si>
  <si>
    <t>2021-02-05 17:29:00</t>
  </si>
  <si>
    <t>Viaticos y gastos de comision conservacion catastral</t>
  </si>
  <si>
    <t>2221, 5221, 5521, 5621, 5721, 5821, 6221, 7021, 7121, 8221, 9021, 9421, 9521, 9721, 10621, 10721, 10821, 10921, 11021, 11521, 11621, 11721, 11821, 11921, 12521, 13021, 13221, 13621, 13721</t>
  </si>
  <si>
    <t>1621, 3821, 4021, 4121, 4521, 5221, 5921, 8321, 8421, 9621, 13121, 14721, 15121, 16821, 18621, 18721, 18921, 19021, 19121, 23121, 23221, 23321, 23421, 23521, 25921, 27121, 27521, 28921, 29421</t>
  </si>
  <si>
    <t>6221, 13621, 13721, 13821, 14121, 14921, 15521, 22921, 23021, 25521, 28721, 30621, 31021, 32721, 36021, 36121, 36321, 36421, 36521, 39221, 39321, 39421, 39521, 39621, 43021, 44121, 44521, 46021</t>
  </si>
  <si>
    <t>30744621, 47729321, 47776121, 47780021, 50076121, 50197621, 62842021, 84421021, 84530921, 92704821, 112283121, 122002221, 122025621, 133210421, 150399821, 150407621, 152511421, 152532721, 152549121, 176164221, 176167221, 176188821, 176191521, 176195321, 192546721, 207421221, 214545921, 219826721</t>
  </si>
  <si>
    <t>121, 521, 621, 821, 921, 1021, 1121</t>
  </si>
  <si>
    <t>2021-02-05 17:35:00</t>
  </si>
  <si>
    <t>Prestación de servicios profesionales para realizar el control de calidad a los informes de avalúos comerciales, 
así como realizar avalúos a bienes inmuebles urbanos y rurales en todo el país.</t>
  </si>
  <si>
    <t>25421, 28421, 36621, 41521, 44421</t>
  </si>
  <si>
    <t>92703821, 112287721, 152579321, 180924521, 214541321</t>
  </si>
  <si>
    <t>2021-02-05 17:39:00</t>
  </si>
  <si>
    <t>Prestación de servicios profesionales para realizar avalúos comerciales, a nivel nacional
 de los bienes urbanos y rurales.</t>
  </si>
  <si>
    <t>6721, 6821, 6921</t>
  </si>
  <si>
    <t>2021-02-05 17:43:00</t>
  </si>
  <si>
    <t>Viaticos y gastos de comision Profesional Mercado inmobiliario</t>
  </si>
  <si>
    <t>8821, 8921</t>
  </si>
  <si>
    <t>12921, 13021</t>
  </si>
  <si>
    <t>28521, 28621</t>
  </si>
  <si>
    <t>112282421, 112288621</t>
  </si>
  <si>
    <t>2021-04-22 00:00:00</t>
  </si>
  <si>
    <t>2021-04-22 21:05:00</t>
  </si>
  <si>
    <t>Prestación de servicios personales  para el seguimiento a las solicitudes realizadas en el marco de la política integral de reparación a víctimas la Territorial Nariño-Atender las solicitudes en materia de Política de Restitución de Tierras y Ley de</t>
  </si>
  <si>
    <t>27921, 32921, 38321, 43821</t>
  </si>
  <si>
    <t>112272721, 135157121, 165347821, 204411921</t>
  </si>
  <si>
    <t>2021-05-15 00:00:00</t>
  </si>
  <si>
    <t>2021-05-15 21:54:00</t>
  </si>
  <si>
    <t>Viaticos de comision para el personal de tierras   para apoyar a la Dirección Territorial Nariño en
 los requerimientos del trámite 
administrativo, judicial y el postfallo del proceso de restitución de tierras en el marco de la ley 1448 de 2011</t>
  </si>
  <si>
    <t>2021-06-08 18:23:00</t>
  </si>
  <si>
    <t>Mantenimiento preventivo, correctivo, suministro e instalación de repuestos del vehículo de la dirección territorial Nariño</t>
  </si>
  <si>
    <t>2021-07-14 08:40:00</t>
  </si>
  <si>
    <t>FORTALECIMIENTO INFRAESTRUCTURA
VERIFICACION SERVIVIO DE EXTERMINACION O FUMIGACION</t>
  </si>
  <si>
    <t>2021-02-10 13:41:00</t>
  </si>
  <si>
    <t>Territorial Norte de Santander</t>
  </si>
  <si>
    <t>PRESTACIÓN DE SERVICIOS PERSONALES PARA REALIZAR ACTIVIDADES DE RECONOCIMIENTO PREDIAL URBANO Y RURAL PARA LA ATENCIÓN DE TRÁMITES EN LOS PROCESOS CATASTRALES DE LA TERRITORIAL NORTE DE SANTANDER.</t>
  </si>
  <si>
    <t>15921, 16021, 17321, 17421, 22621, 22921, 26321, 26421, 30421, 30521, 34321, 34421</t>
  </si>
  <si>
    <t>73695321, 73703821, 87832721, 87835021, 121173921, 121574521, 145183921, 145185021, 177787521, 177789621, 212697821, 212699121</t>
  </si>
  <si>
    <t>2021-02-10 13:44:00</t>
  </si>
  <si>
    <t>PRESTACIÓN DE SERVICIOS PROFESIONALES PARA GESTIONAR DESDE EL COMPONENTE JURÍDICO LAS ACTIVIDADES DE LOS PROCESOS CATASTRALES EN LA TERRITORIAL NORTE DE SANTANDER.</t>
  </si>
  <si>
    <t>17521, 22321, 26121, 31521, 37521</t>
  </si>
  <si>
    <t>87867121, 121162721, 145176921, 178017821, 213712421</t>
  </si>
  <si>
    <t>2021-02-10 13:49:00</t>
  </si>
  <si>
    <t>PRESTACIÓN DE SERVICIOS PERSONALES PARA REALIZAR ACTIVIDADES DE APOYO OPERATIVO EN LOS PROCESOS CATASTRALES DE CONSERVACIÓN EN LA TERRITORIAL NORTE DE SANTANDER.</t>
  </si>
  <si>
    <t>2021, 2121</t>
  </si>
  <si>
    <t>4021, 4121</t>
  </si>
  <si>
    <t>16221, 16321, 17121, 17221, 22121, 22221, 23821, 25521, 30221, 30321, 34121, 34221</t>
  </si>
  <si>
    <t>73745221, 73754721, 87819121, 87828521, 121157921, 121160821, 145121821, 145139221, 177769721, 177781121, 212693921, 212695621</t>
  </si>
  <si>
    <t>2021-02-10 13:53:00</t>
  </si>
  <si>
    <t>PRESTACIÓN DE SERVICIOS PERSONALES PARA REALIZAR ACTIVIDADES DE DIGITALIZACIÓN Y GENERACIÓN DE PRODUCTOS DE LA INFORMACIÓN CATASTRAL EN LA TERRITORIAL NORTE DE SANTANDER.</t>
  </si>
  <si>
    <t>16121, 17621, 22421, 26221, 31421, 34721</t>
  </si>
  <si>
    <t>73733321, 87847621, 121168821, 145180721, 178015321, 212707421</t>
  </si>
  <si>
    <t>2021-02-10 13:57:00</t>
  </si>
  <si>
    <t>PRESTACIÓN DE PROFESIONALES PARA REALIZAR ACTIVIDADES DE APOYO Y SOPORTE A LA GESTIÓN DE SISTEMAS Y TELECOMUNICACIONES DE LA TERRITORIAL NORTE DE SANTANDER</t>
  </si>
  <si>
    <t>17021, 17921, 22521, 23921, 31221, 37421</t>
  </si>
  <si>
    <t>84594621, 88303821, 121171421, 145129521, 177973621, 213708421</t>
  </si>
  <si>
    <t>2021-02-10 14:01:00</t>
  </si>
  <si>
    <t>PRESTACIÓN DE SERVICIOS PERSONALES PARA REALIZAR ACTIVIDADES DE APOYO OPERATIVO A LA GESTIÓN DE LOS REQUERIMIENTOS ENMARCADOS DENTRO DE LA POLITICA DE ATENCIÓN Y REPARACIÓN  INTEGRAL A LAS VÍCTIMAS, RESTITUCIÓN DE TIERRAS Y LOS PROCESOS DE REGULACIÓN</t>
  </si>
  <si>
    <t>16821, 17721, 22021, 25421, 30821, 34521</t>
  </si>
  <si>
    <t>79730921, 87878921, 121154821, 145132521, 177802821, 212701021</t>
  </si>
  <si>
    <t>2021-02-16 20:40:00</t>
  </si>
  <si>
    <t>VIÁTICOS PROCESO DE CONSERVACIÓN.</t>
  </si>
  <si>
    <t>1921, 3421, 3521, 7721, 7821, 7921, 8021, 8521, 10221, 10721, 10821, 10921, 11421, 11521</t>
  </si>
  <si>
    <t>1521, 3021, 3121, 11821, 11921, 12021, 12121, 12621, 12821, 17521, 17621, 17721, 22021, 22121</t>
  </si>
  <si>
    <t>10021, 11121, 11221, 27321, 27421, 27521, 27621, 28121, 28321, 33221, 33321, 33421, 38421, 38521</t>
  </si>
  <si>
    <t>41871821, 58698821, 58701221, 161847221, 165415121, 165415821, 165422421, 171048621, 175077021, 193393321, 193398821, 193404921, 226032021, 226038221, 226085121</t>
  </si>
  <si>
    <t>2021-02-16 20:45:00</t>
  </si>
  <si>
    <t>VIÁTICOS PROCESO POLÍTICA DE TIERRAS Y LEY DE VÍCTIMAS.</t>
  </si>
  <si>
    <t>1621, 1721, 2721, 2821, 4021, 11821</t>
  </si>
  <si>
    <t>1221, 1421, 1921, 2021, 3221, 22221</t>
  </si>
  <si>
    <t>9821, 9921, 10421, 10521, 15621, 38621</t>
  </si>
  <si>
    <t>34325521, 41867321, 47269421, 47276321, 62621121, 226043621</t>
  </si>
  <si>
    <t>121, 221, 421</t>
  </si>
  <si>
    <t>2021-03-08 15:06:00</t>
  </si>
  <si>
    <t>VIÁTICOS PROCESO DE AVALÚOS.</t>
  </si>
  <si>
    <t>3121, 3221, 4321, 4421, 4521, 6521, 8121, 8221</t>
  </si>
  <si>
    <t>2421, 2521, 4521, 4621, 4721, 8721, 12221, 12321</t>
  </si>
  <si>
    <t>10821, 10921, 16521, 16621, 16721, 23221, 27721, 27821</t>
  </si>
  <si>
    <t>54004921, 54007321, 76898321, 76900121, 76901721, 136601221, 166865921, 166866521</t>
  </si>
  <si>
    <t>321, 521, 621, 721, 821</t>
  </si>
  <si>
    <t>2021-04-21 13:07:00</t>
  </si>
  <si>
    <t>PRESTACIÓN DE SERVICIOS PERSONALES PARA LA REALIZACIÓN DE LOS PROCESOS ARCHIVÍSTICOS EN ARCHIVOS DE GESTIÓN Y ARCHIVO CENTRAL DE LA DIRECCIÓN TERRITORIAL NORTE DE SANTANDER, DE ACUERDO A LAS DIRECTRICES DE LA ENTIDAD Y LAS NORMAS DEL ARCHIVO GENERAL</t>
  </si>
  <si>
    <t>5521, 5621, 5721, 5821, 5921</t>
  </si>
  <si>
    <t>7221, 7321, 7421, 8321, 8421</t>
  </si>
  <si>
    <t>21721, 21821, 21921, 22721, 22821, 25621, 25721, 25821, 25921, 26021, 30621, 30721, 30921, 31021, 31121, 34621, 34821, 34921, 35721, 38321</t>
  </si>
  <si>
    <t>121141821, 121144121, 121150421, 121517621, 121521421, 145146021, 145165121, 145168921, 145172121, 145174421, 177792321, 177799621, 177822621, 177826921, 177829421, 212708721, 212710321, 212735321, 212871521, 219321621</t>
  </si>
  <si>
    <t>2021-06-30 08:56:00</t>
  </si>
  <si>
    <t>PRESTACIÓN DE SERVICIOS PERSONALES PARA REALIZAR ACTIVIDADES DE APOYO OPERATIVO EN EL MARCO DEL PROYECTO DE CONSERVACIÓN CATASTRAL DEL MUNICIPIO DE CHINÁCOTA</t>
  </si>
  <si>
    <t>8621, 8721, 8821, 8921, 9021, 9121</t>
  </si>
  <si>
    <t>14521, 14621, 14721, 14821, 14921, 15621</t>
  </si>
  <si>
    <t>31621, 31821, 31921, 32021, 32121, 32421, 35121, 35221, 35321, 35421, 35521, 35621</t>
  </si>
  <si>
    <t>178168321, 178174521, 178180221, 178184421, 178200421, 178258921, 212715421, 212717921, 212719821, 212720621, 212725221, 212733721</t>
  </si>
  <si>
    <t>PRESTACIÓN DE SERVICIOS PERSONALES PARA REALIZAR ACTIVIDADES DE RECONOCIMIENTO PREDIAL RURAL Y URBANO EN EL MARCO DEL PROYECTO DE CONSERVACIÓN CATASTRAL DEL MUNICIPIO DE CHINÁCOTA</t>
  </si>
  <si>
    <t>9221, 9321, 9421, 9521, 9621, 9721</t>
  </si>
  <si>
    <t>15021, 15121, 15721, 15821, 16021, 16921</t>
  </si>
  <si>
    <t>32221, 32321, 32521, 32621, 32821, 32921, 37621, 37721, 38021, 38121, 38221</t>
  </si>
  <si>
    <t>178217421, 178236221, 178278021, 178281921, 178287321, 189060121, 213715121, 213717421, 217716521, 217733821, 217753221</t>
  </si>
  <si>
    <t>PRESTACIÓN DE SERVICIOS PROFESIONALES PARA GESTIONAR DESDE EL COMPONENTE JURÍDICO LAS ACTIVIDADES DERIVADAS DEL PROYECTO DE CONSERVACIÓN CATASTRAL DEL MUNICIPIO DE CHINÁCOTA</t>
  </si>
  <si>
    <t>32721, 37921</t>
  </si>
  <si>
    <t>178285121, 214646321</t>
  </si>
  <si>
    <t>2021-06-30 08:59:00</t>
  </si>
  <si>
    <t>PRESTACIÓN DE SERVICIOS PERSONALES PARA REALIZAR ACTIVIDADES DE DIGITALIZACIÓN Y GENERACIÓN DE PRODUCTOS DE LA INFORMACIÓN CATASTRAL, EN EL MARCO DEL PROYECTO DE CONSERVACIÓN CATASTRAL DEL MUNICIPIO DE CHINÁCOTA</t>
  </si>
  <si>
    <t>31721, 35021</t>
  </si>
  <si>
    <t>178171821, 212714021</t>
  </si>
  <si>
    <t>2021-07-02 15:53:00</t>
  </si>
  <si>
    <t>SERVICIO DE MANTENIMIENTO PREVENTIVO Y CORRECTIVO DE LOS AIRES ACONDICIONADOS DE LA DIRECCIÓN TERRITORIAL NORTE DE SANTANDER</t>
  </si>
  <si>
    <t>2021-07-19 12:20:00</t>
  </si>
  <si>
    <t>BRINDAR APOYO A LA TERRITORIAL DEL CESAR, EN LOS PROCESOS ENMARCADOS EN LA RESOLUCIÓN CONJUNTA SNR No.1732 IGAC No.221 DEL 21 DE FEBRERO DEL 2018, RESOLUCIÓN CONJUNTA  SNR No.5204 IGAC 479 DEL 23 DE ABRIL DE 2019,DECRETO 148 DEL 4 DE FEBRERO DE 2020</t>
  </si>
  <si>
    <t>2021-08-19 09:19:00</t>
  </si>
  <si>
    <t>PRESTACION DE SERVICIOS PERSONALES PARA REALIZAR ACTIVIDADES DE DIGITALIZACIÓN Y GENERACIÓN DE PRODUCTOS DE LA INFORMACIÓN CATASTRAL, EN EL MARCO DE LOS PROYECTOS Y/O CONTRATOS QUE ADELANTE EL INSTITUTO A TRAVÉS DE LA TERRITORIAL NORTE DE SANTANDER.</t>
  </si>
  <si>
    <t>2021-01-28 10:13:00</t>
  </si>
  <si>
    <t>Territorial Quindío</t>
  </si>
  <si>
    <t>VIATICOS PROCESO DE AVALUOS</t>
  </si>
  <si>
    <t>2221, 4521, 6321, 6421</t>
  </si>
  <si>
    <t>1321, 5221, 8921, 9021</t>
  </si>
  <si>
    <t>8321, 18121, 23821, 23921</t>
  </si>
  <si>
    <t>53333721, 119099521, 179388721, 179422721</t>
  </si>
  <si>
    <t>2021-02-04 12:30:00</t>
  </si>
  <si>
    <t>PRESTACIÓN DE SERVICIOS PERSONALES PARA REALIZAR ACTIVIDADES DE RECONOCIMIENTO PREDIAL URBANO Y RURAL PARA LA ATENCIÓN DE TRÁMITES EN LOS PROCESOS CATASTRALES DE LA DIRECCIÓN TERRITORIAL QUINDÍO SEGÚN PAA APROBADO Y ASIGNACIÓN PRESUPUESTAL</t>
  </si>
  <si>
    <t>2621, 2721</t>
  </si>
  <si>
    <t>13021, 13121, 14121, 15521, 18421, 18521, 20821, 20921, 21621, 24021, 26821</t>
  </si>
  <si>
    <t>75366221, 75373621, 90253021, 91990221, 121105121, 122255921, 145920121, 145924121, 171671921, 181664321, 217596421</t>
  </si>
  <si>
    <t>2021-02-04 12:54:00</t>
  </si>
  <si>
    <t>PRESTACIÓN DE SERVICIOS PERSONALES PARA REALIZAR ACTIVIDADES DE  APOYO OPERATIVO EN LOS PROCESOS CATASTRALES EN LA DIRECCIÓN TERRITORIAL QUINDÍO SEGÚN PAA APROBADO Y ASIGNACIÓN PRESUPUESTAL</t>
  </si>
  <si>
    <t>2021, 2221, 2421</t>
  </si>
  <si>
    <t>12421, 12521, 12621, 12721, 12821, 12921, 13721, 13821, 13921, 16521, 17921, 18021, 19221, 19321, 21021, 21521, 22021, 22121, 23721, 25021, 25121, 25221</t>
  </si>
  <si>
    <t>75343621, 75351321, 75355521, 75359221, 75419621, 75425721, 87007621, 87012021, 87580721, 116032221, 116453221, 116461221, 144489721, 144491121, 147354021, 170109521, 176468321, 176469921, 178404821, 211491221, 213239921, 213776321</t>
  </si>
  <si>
    <t>2021-03-09 09:43:00</t>
  </si>
  <si>
    <t>VIATICOS PROCESO DE CONSERVACION</t>
  </si>
  <si>
    <t>3821, 3921, 4621, 4721, 6921</t>
  </si>
  <si>
    <t>4121, 4221, 5321, 5421, 9821</t>
  </si>
  <si>
    <t>15821, 15921, 18221, 18321, 24521</t>
  </si>
  <si>
    <t>107044221, 107054921, 119102021, 119104721, 191466021</t>
  </si>
  <si>
    <t>2021-04-16 09:30:00</t>
  </si>
  <si>
    <t>Prestación de servicios personales para la realización de los procesos archivísticos en archivos de gestión y archivo central de la Dirección Territorial Quindío, de acuerdo a las directrices de la entidad y las normas del Archivo General de la Nació</t>
  </si>
  <si>
    <t>18621, 21121, 22221, 24621</t>
  </si>
  <si>
    <t>123535021, 148078921, 176471821, 195227421</t>
  </si>
  <si>
    <t>2021-07-26 09:14:00</t>
  </si>
  <si>
    <t>VIATICOS DE CONSERVACION PROCESO DE TITULACION GENOVA LA TEBAIDA CONTRATO INTERAMDINISTRATIVO 845 MINVIENDA MEMORANDO 9688-IE-001</t>
  </si>
  <si>
    <t>6521, 6621, 6721, 6821</t>
  </si>
  <si>
    <t>9221, 9321, 9421, 9521</t>
  </si>
  <si>
    <t>24121, 24221, 24321, 24421</t>
  </si>
  <si>
    <t>183856021, 183859221, 183862021, 183864021</t>
  </si>
  <si>
    <t>2021-08-27 11:38:00</t>
  </si>
  <si>
    <t>PRESTACIÓN DE SERVICIOS PERSONALES PARA REALIZAR ACTIVIDADES DE DIGITALIZACIÓN DE INFORMACIÓN CARTOGRÁFICA Y CATASTRAL DENTRO DEL PROCESO DE CONSERVACIÓN Y TITULACIÓN DE LOS MUNICIPIOS DE GÉNOVA Y LA TEBAIDA EN LA TERRITORIAL QUINDÍO. SEGUN MEMORANDO</t>
  </si>
  <si>
    <t>2021-08-27 12:02:00</t>
  </si>
  <si>
    <t>PRESTACION DE SERVICIOS PARA DESARROLLAR ACTIVIDADES DE RECONOCIMIENTO PREDIAL URBANO Y RURAL EN LOS DIFERENTES TRAMITES DE LOS PROCESOS CATASTRALES DE LA DIRECCION TERRITORIAL QUINDIO SEGUN PAA AGOSTO APROBADO</t>
  </si>
  <si>
    <t>2021-01-27 11:13:00</t>
  </si>
  <si>
    <t>Territorial Risaralda</t>
  </si>
  <si>
    <t>PARA 4 CONTRATOS PROCESO DE CONSERVACION T.RISARALDA AÑO 2021</t>
  </si>
  <si>
    <t>2821, 2921, 3021, 3421, 12021</t>
  </si>
  <si>
    <t>8421, 8521, 9521, 12321, 24721</t>
  </si>
  <si>
    <t>22221, 22321, 23321, 26021, 26121, 26221, 29321, 29521, 29621, 29721, 30621, 30821, 34721, 34821, 34921, 35921, 39021, 39121, 40421, 40721, 43821, 44121, 44221, 44321, 44721</t>
  </si>
  <si>
    <t>78466321, 78470921, 83683321, 94291821, 94294621, 94297421, 118163521, 118797921, 118799421, 118800721, 130223621, 130227121, 151635521, 151644221, 151646021, 168829021, 183215421, 183219721, 192986021, 194099821, 217755421, 219384721, 219399321, 219407721, 227569821</t>
  </si>
  <si>
    <t>2021-01-27 11:37:00</t>
  </si>
  <si>
    <t>PARA VIATICOS FUNCIONARIOS T. RISARALDA PROCESO DE CONSERVACION AÑO 2021</t>
  </si>
  <si>
    <t>1221, 1321, 1621, 1721, 1821, 2221, 2321, 2421, 2521, 2621, 2721, 3621, 3721, 3821, 3921, 4321, 4421, 4521, 4621, 4721, 4821, 4921, 5021, 5121, 5221, 5321, 7021, 7321, 7421, 7521, 7621, 7921, 8421, 9421, 9521, 9721, 9821, 10121, 10221, 10321, 10421, 10721, 10821, 10921, 11021</t>
  </si>
  <si>
    <t>1121, 1221, 1321, 1421, 1521, 2121, 2221, 2321, 3421, 3521, 3621, 3721, 3821, 3921, 4121, 4521, 4621, 4721, 4821, 4921, 5021, 5121, 5221, 5321, 5421, 5521, 8621, 9121, 9221, 9321, 9421, 9621, 10921, 13421, 13521, 13621, 13721, 14621, 14721, 14821, 14921, 15621, 15721, 15821, 15921</t>
  </si>
  <si>
    <t>6621, 6721, 6821, 6921, 7021, 7421, 7521, 7621, 13621, 13721, 13821, 13921, 14021, 14121, 14221, 14521, 14621, 14721, 14821, 14921, 15021, 15121, 15221, 15321, 15421, 15521, 22421, 22821, 22921, 23021, 23121, 25121, 26321, 30221, 30321, 30421, 30521, 31021, 31121, 31221, 31321, 31621, 31721, 31821, 31921</t>
  </si>
  <si>
    <t>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t>
  </si>
  <si>
    <t>2021-01-27 11:40:00</t>
  </si>
  <si>
    <t>PARA CONTRATOS POLITICA DE TIERRAS T. RISARALDA AÑO 2021</t>
  </si>
  <si>
    <t>22521, 26721, 30721, 35721, 40521, 44621</t>
  </si>
  <si>
    <t>83347521, 105179921, 130225621, 159689821, 192989021, 227559321</t>
  </si>
  <si>
    <t>2021-01-27 11:42:00</t>
  </si>
  <si>
    <t>VIATICOS FUNCIONARIOS POLITICA DE TIERRAS T. RISARALDA AÑO 2021</t>
  </si>
  <si>
    <t>2021-01-27 11:44:00</t>
  </si>
  <si>
    <t>PARA CONTRATOS PERITOS AVALUADORES T. RISARALDA AÑO 2021</t>
  </si>
  <si>
    <t>148178821</t>
  </si>
  <si>
    <t>2021-01-27 11:47:00</t>
  </si>
  <si>
    <t>PARA VIATICOS FUNCIONARIOS REALIZAR AVALUOS T. RISARALDA AÑO 2021</t>
  </si>
  <si>
    <t>2021-03-18 00:00:00</t>
  </si>
  <si>
    <t>2021-03-18 10:00:00</t>
  </si>
  <si>
    <t>CONTRATO PRESTACION DE SERVICIOS GESTION DOCUMENTAL</t>
  </si>
  <si>
    <t>7721, 7821</t>
  </si>
  <si>
    <t>12221, 12421</t>
  </si>
  <si>
    <t>29221, 29421, 34121, 34221, 35621, 38721, 43921</t>
  </si>
  <si>
    <t>118157121, 118166421, 147242921, 147245321, 159669021, 179833921, 217763421</t>
  </si>
  <si>
    <t>2021-04-21 09:33:00</t>
  </si>
  <si>
    <t>VIATICOS Y GASTOS CONSERVACION T.RISARALDA</t>
  </si>
  <si>
    <t>12221, 12321, 14321, 14421, 14521, 15121, 15221, 15321</t>
  </si>
  <si>
    <t>18321, 18421, 21921, 22121, 22221, 23221, 23321, 23421</t>
  </si>
  <si>
    <t>36021, 36121, 40621, 40821, 40921, 41521, 41621, 41721</t>
  </si>
  <si>
    <t>168834121, 168842921, 194095921, 197457721, 197460821, 211167121, 211168421, 211170121</t>
  </si>
  <si>
    <t>2021-07-26 10:01:00</t>
  </si>
  <si>
    <t>PARA CONTRATOS PROCESO DE CONSERVACION</t>
  </si>
  <si>
    <t>2021-07-28 00:00:00</t>
  </si>
  <si>
    <t>2021-07-28 11:31:00</t>
  </si>
  <si>
    <t>PARA VIATICOS PROCESO DE TITULACION FUNCIONARIOS T. RISARALDA</t>
  </si>
  <si>
    <t>15821, 15921, 16021, 16121, 16221, 16321</t>
  </si>
  <si>
    <t>219369021</t>
  </si>
  <si>
    <t>2021-07-28 11:34:00</t>
  </si>
  <si>
    <t>PARA COMPRA SCANER PROCESO DE TITULACION</t>
  </si>
  <si>
    <t>2021-07-28 14:30:00</t>
  </si>
  <si>
    <t>VIATICOS Y GASTOS COMISIONES</t>
  </si>
  <si>
    <t>13221, 13321, 13421, 13521, 13621, 13721, 13821</t>
  </si>
  <si>
    <t>20621, 20721, 20821, 20921, 21021, 21121, 21221</t>
  </si>
  <si>
    <t>39321, 39421, 39521, 39621, 39721, 39821, 39921</t>
  </si>
  <si>
    <t>184819321, 184830021, 184831721, 184834521, 184836221, 184837421, 184842421</t>
  </si>
  <si>
    <t>521, 621, 721, 821</t>
  </si>
  <si>
    <t>2021-08-13 00:00:00</t>
  </si>
  <si>
    <t>2021-08-13 17:42:00</t>
  </si>
  <si>
    <t>MANTENIMIENTO 3 VEHICULOS TERRITORIALES QUINDIO Y RISARALDA</t>
  </si>
  <si>
    <t>2021-01-12 11:12:00</t>
  </si>
  <si>
    <t>Territorial Santander</t>
  </si>
  <si>
    <t>ASIGN. PPTAL. GASTOS Y VIATICOS CONDUCTOR LUIS EDUARDO ARDILA</t>
  </si>
  <si>
    <t>2338021</t>
  </si>
  <si>
    <t>2021-02-04 12:33:00</t>
  </si>
  <si>
    <t>PRESTACIÓN DE SERVICIOS PERSONALES PARA ADELANTAR ACTIVIDADES DE RECONOCIMIENTO PREDIAL URBANO Y RURAL  PARA LA ATENCIÓN DE TRAMITES EN LOS PROCESOS CATASTRALES DE LA DIRECCIÓN TERRITORIAL SANTANDER</t>
  </si>
  <si>
    <t>7721, 8821, 15221</t>
  </si>
  <si>
    <t>14921, 15421, 29421</t>
  </si>
  <si>
    <t>33521, 33921, 39321, 39521, 44021, 44221, 49021, 49721, 49821, 52321, 52621, 53021</t>
  </si>
  <si>
    <t>91177721, 99143721, 118154621, 123416621, 147311221, 147316721, 178106821, 179984121, 179990321, 214765221, 214773321, 219564121</t>
  </si>
  <si>
    <t>2021-02-04 12:35:00</t>
  </si>
  <si>
    <t>PRESTACIÓN DE SERVICIOS PERSONALES PARA REALIZAR LAS ACTIVIDADES DE APOYO Y VERIFICACIÓN A LOS TRAMITES CATASTRALES EN LA DIRECCIÓN TERRITORIAL SANTANDER</t>
  </si>
  <si>
    <t>27421, 30821</t>
  </si>
  <si>
    <t>67558621, 88022121</t>
  </si>
  <si>
    <t>2021-02-04 12:36:00</t>
  </si>
  <si>
    <t>PRESTACIÓN DE SERVICIOS PERSONALES PARA REALIZAR ACTIVIDADES DE APOYO EN OFICINA EN LA DIRECCIÓN TERRITORIAL SANTANDER</t>
  </si>
  <si>
    <t>27521, 31421, 39221, 44421, 48721</t>
  </si>
  <si>
    <t>67560821, 98499521, 118145621, 147320021, 178086821</t>
  </si>
  <si>
    <t>2021-02-04 12:38:00</t>
  </si>
  <si>
    <t>PRESTACIÓN DE SERVICIOS PERSONALES COMO TÉCNICO DE APOYO A LA GESTIÓN DESARROLLADA EN PROCESOS CATASTRALES DE LA DIRECCIÓN TERRITORIAL SANTANDER</t>
  </si>
  <si>
    <t>17921, 27721, 30921, 38621, 42021, 49421, 52821</t>
  </si>
  <si>
    <t>46083621, 67567121, 88023321, 117390921, 147237821, 179971021, 214933921</t>
  </si>
  <si>
    <t>2021-02-04 12:39:00</t>
  </si>
  <si>
    <t>PRESTACIÓN DE SERVICIOS PERSONALES COMO TÉCNICO DE APOYO PARA REALIZAR LAS ACTIVIDADES DE APOYO EN EL PROCESO DE CONSERVACIÓN CATASTRAL EN LA DIRECCIÓN TERRITORIAL SANTANDER</t>
  </si>
  <si>
    <t>17821, 27921, 30721, 38521, 41921</t>
  </si>
  <si>
    <t>46077121, 67571821, 88020721, 117388321, 147229321</t>
  </si>
  <si>
    <t>2021-02-04 12:40:00</t>
  </si>
  <si>
    <t>PRESTACIÓN DE SERVICIOS PERSONALES PARA REALIZAR ACTIVIDADES DE DIGITALIZACIÓN Y GENERACIÓN DE PRODUCTOS DE LA INFORMACIÓN CATASTRAL EN LA DIRECCIÓN TERRITORIAL SANTANDER</t>
  </si>
  <si>
    <t>39721, 44821, 49521, 52221</t>
  </si>
  <si>
    <t>123445021, 147246321, 179973521, 214763321</t>
  </si>
  <si>
    <t>2021-02-04 12:43:00</t>
  </si>
  <si>
    <t>PRESTACIÓN DE SERVICIOS PERSONALES PARA ADELANTAR ACTIVIDADES DE RECONOCIMIENTO PREDIAL URBANO Y RURAL EN ATENCIÓN A LOS REQUERIMIENTOS ADMINISTRATIVOS Y JUDICIALES DEL PROCESO DE RESTITUCIÓN DE TIERRAS EN LA DIRECCIÓN TERRITORIAL SANTANDER.</t>
  </si>
  <si>
    <t>49221, 52721</t>
  </si>
  <si>
    <t>179965521, 214775021</t>
  </si>
  <si>
    <t>2021-02-04 12:45:00</t>
  </si>
  <si>
    <t>PRESTACIÓN DE SERVICIOS PERSONALES PARA REALIZAR ACTIVIDADES DE APOYO OPERATIVO EN LOS PROCESOS CATASTRALES EN LA DIRECCIÓN TERRITORIAL SANTANDER</t>
  </si>
  <si>
    <t>3121, 4821, 4921</t>
  </si>
  <si>
    <t>4821, 9621, 9821</t>
  </si>
  <si>
    <t>17721, 27621, 27821, 28021, 31021, 31121, 31221, 38721, 38921, 39021, 39121, 44521, 44621, 44721, 45521, 48821, 49321, 49621, 52121, 52421, 52521</t>
  </si>
  <si>
    <t>46074921, 67563321, 67569421, 67574721, 88024521, 88033821, 88039621, 117393721, 118124521, 118126921, 147242121, 147244421, 147321521, 159448421, 178091221, 179968521, 179975921, 214761721, 214768121, 214770421</t>
  </si>
  <si>
    <t>2021-02-04 12:46:00</t>
  </si>
  <si>
    <t>PRESTACIÓN DE SERVICIOS PROFESIONALES PARA REALIZAR LAS ACTIVIDADES DE PLANEACIÓN Y SEGUIMIENTO A LOS PROCESOS CATASTRALES DE LA DIRECCIÓN TERRITORIAL SANTANDER.</t>
  </si>
  <si>
    <t>7321, 7421</t>
  </si>
  <si>
    <t>33721, 38821, 45121, 48621, 55221</t>
  </si>
  <si>
    <t>92781221, 117396621, 152646821, 178079521, 223129821</t>
  </si>
  <si>
    <t>2021-02-04 12:47:00</t>
  </si>
  <si>
    <t>PRESTACIÓN DE SERVICIOS PROFESIONALES PARA REALIZAR AVALÚOS COMERCIALES, A NIVEL NACIONAL DE LOS BIENES URBANOS Y RURALES</t>
  </si>
  <si>
    <t>2021-02-15 15:43:00</t>
  </si>
  <si>
    <t>ASIGN. PPTAL. VIATICOS PARA PROYECTO DE AVALUOS</t>
  </si>
  <si>
    <t>3221, 3321, 3421, 6321, 6421, 7821, 7921, 8021, 11121</t>
  </si>
  <si>
    <t>4121, 4221, 4321, 8421, 8521, 11121, 11221, 11321, 16921</t>
  </si>
  <si>
    <t>17321, 17421, 17521, 20521, 20621, 28921, 29021, 29121, 34821</t>
  </si>
  <si>
    <t>36187021, 36189421, 36197721, 58676921, 58677221, 78506921, 78509221, 78511621, 104994721</t>
  </si>
  <si>
    <t>2021-02-23 11:52:00</t>
  </si>
  <si>
    <t>ASIGN. PPTAL. VIATICOS CONSERVACION 2021</t>
  </si>
  <si>
    <t>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t>
  </si>
  <si>
    <t>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t>
  </si>
  <si>
    <t>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t>
  </si>
  <si>
    <t>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t>
  </si>
  <si>
    <t>221, 321, 621, 1221, 1321, 1421</t>
  </si>
  <si>
    <t>2021-04-15 14:34:00</t>
  </si>
  <si>
    <t>PRESTACIÓN DE SERVICIOS PERSONALES PARA REALIZAR ACTIVIDADES DE APOYO EN OFICINA Y TERRENO DENTRO DE LOS PROCESOS DE CONSERVACIÓN CATASTRAL EN LA DIRECCIÓN TERRITORIAL SANTANDER</t>
  </si>
  <si>
    <t>33621, 39621, 44321, 45421, 49121, 52921</t>
  </si>
  <si>
    <t>91667321, 123433421, 147318221, 159446421, 179963721, 214937621</t>
  </si>
  <si>
    <t>2021-04-15 14:36:00</t>
  </si>
  <si>
    <t>PRESTACIÓN DE SERVICIOS DE APOYO A LA GESTIÓN EN VENTANILLA PARA ATENCIÓN AL PÚBLICO EN LOS PROCESOS CATASTRALES DE LA DIRECCIÓN TERRITORIAL SANTANDER</t>
  </si>
  <si>
    <t>39821, 44121, 48921, 52021</t>
  </si>
  <si>
    <t>123453221, 147315021, 178093921, 214760121</t>
  </si>
  <si>
    <t>2021-06-21 14:36:00</t>
  </si>
  <si>
    <t>GASTOS DE VIAJE Y MANUTENCION PARA ADELANTAR ACTIVIDADES DE RECONOCIMIENTO PREDIAL URBANO Y RURAL EN ATENCIÓN A LOS REQUERIMIENTOS ADMINISTRATIVOS Y JUDICIALES DEL PROCESO DE RESTITUCIÓN DE TIERRAS EN LA DIRECCIÓN TERRITORIAL SANTANDER.</t>
  </si>
  <si>
    <t>227077621</t>
  </si>
  <si>
    <t>2021-07-14 09:48:00</t>
  </si>
  <si>
    <t>PRESTACIÓN DE SERVICIOS PERSONALES PARA  REALIZAR ACTIVIDADES DE RECONOCIMIENTO PREDIAL URBANO Y RURAL  EN EL TRAMITE DE MUTACIONES EN CAMPO Y OFICINA DENTRO DEL PROCESO DE CONSERVACIÓN CATASTRAL DE LA  DIRECCIÓN TERRITORIAL SANTANDER</t>
  </si>
  <si>
    <t>223128921</t>
  </si>
  <si>
    <t>2021-07-14 09:49:00</t>
  </si>
  <si>
    <t>PRESTACIÓN DE SERVICIOS PERSONALES PARA REALIZAR ACTIVIDADES DE APOYO CATASTRAL PARA OFICINA Y TERRENO URBANO Y RURAL EN EL PROCESO DE CONSERVACIÓN CATASTRAL EN LA DIRECCIÓN TERRITORIAL SANTANDER</t>
  </si>
  <si>
    <t>17021, 17121, 18521</t>
  </si>
  <si>
    <t>33721, 34021</t>
  </si>
  <si>
    <t>53121, 55121, 55321</t>
  </si>
  <si>
    <t>214941321, 225251021</t>
  </si>
  <si>
    <t>2021-07-19 08:38:00</t>
  </si>
  <si>
    <t>LAVADO Y DESINFECCIÓN DE 2 TANQUES ELEVADOS DE CAPACIDAD DE 2000 LITROS DE AGUA POTABLE DE LA DIRECCIÓN TERRITORIAL SANTANDER</t>
  </si>
  <si>
    <t>2021-07-19 08:39:00</t>
  </si>
  <si>
    <t>CONTROL DE PLAGAS Y FUMIGACIÓN GENERAL DE ÁREAS  DE LA SEDE A Y SEDE B DE LA DIRECCION TERRITORIAL SANTANDER</t>
  </si>
  <si>
    <t>2021-07-27 00:00:00</t>
  </si>
  <si>
    <t>2021-07-27 10:18:00</t>
  </si>
  <si>
    <t>MEMO 2050-2021-0007501-IE-001 ASIGN. PPTAL. MANTENIMIENTO DE VEHICULOS T. SANTANDER</t>
  </si>
  <si>
    <t>2021-08-02 00:00:00</t>
  </si>
  <si>
    <t>2021-08-02 08:44:00</t>
  </si>
  <si>
    <t>ASIGN. PPTAL. APOYO DE TRANSPORTE PARA INICIAR EL RECORRIDO DEL IVP</t>
  </si>
  <si>
    <t>214282421</t>
  </si>
  <si>
    <t>2021-08-18 09:35:00</t>
  </si>
  <si>
    <t>PRESTACIÓN DE SERVICIOS PERSONALES PARA  REALIZAR LAS ACTIVIDADES DE APOYO EN LOS TRAMITES CATASTRALES DENTRO DEL PROCESO DE CONSERVACIÓN CATASTRAL EN LA DIRECCIÓN TERRITORIAL SANTANDER</t>
  </si>
  <si>
    <t>18621, 18721</t>
  </si>
  <si>
    <t>2021-09-03 15:45:00</t>
  </si>
  <si>
    <t>MEMO 2050-2021-0010579 GASTOS COMISION PROCESO DIVISORIO DE PARTICION MATERIAL-TRIBUNAL SUPERIOR DE BUCARAMANGA</t>
  </si>
  <si>
    <t>2021-01-28 11:24:00</t>
  </si>
  <si>
    <t>Territorial Sucre</t>
  </si>
  <si>
    <t>PARA CONTRATACION APROBADA POR LA SUBDIRECCION DE CATASTRO PARA LA REALIZACION DE LABORES EB CONSERVACION</t>
  </si>
  <si>
    <t>1421, 1521, 1621, 1721, 1821</t>
  </si>
  <si>
    <t>2221, 2321, 2521, 2621, 2721</t>
  </si>
  <si>
    <t>12821, 12921, 13121, 13221, 13321, 15521, 15621, 15721, 15821, 16021, 17921, 18021, 18121, 18221, 18421, 19721, 19821, 20021, 20121, 20321, 22921, 23021, 23121, 23321, 23421, 25821, 25921, 26021, 26221, 26321</t>
  </si>
  <si>
    <t>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t>
  </si>
  <si>
    <t>2021-01-28 11:28:00</t>
  </si>
  <si>
    <t>PARA CONTRATACION AVALUOS 2021</t>
  </si>
  <si>
    <t>1921, 3221, 5821</t>
  </si>
  <si>
    <t>2121, 2421, 7421</t>
  </si>
  <si>
    <t>12721, 13021, 15921, 18321, 19921, 20521, 22821, 26121</t>
  </si>
  <si>
    <t>68768221, 75343721, 91097921, 119188221, 144234021, 144723621, 174797021, 211725221</t>
  </si>
  <si>
    <t>2021-04-05 14:35:00</t>
  </si>
  <si>
    <t>PARA VIATICOS Y GASTOS DE COMISION</t>
  </si>
  <si>
    <t>3321, 4921, 5021, 5121, 6021, 6121, 7121, 7221, 7321, 8321, 8421</t>
  </si>
  <si>
    <t>2921, 5721, 5821, 5921, 7821, 7921, 9921, 10021, 10221, 12121, 12421</t>
  </si>
  <si>
    <t>13521, 18921, 19021, 19121, 21921, 22021, 24921, 25021, 25221, 28121, 28421</t>
  </si>
  <si>
    <t>75358221, 141722821, 141723421, 141724721, 149431121, 149433721, 183449121, 183451021, 194364521, 219092921</t>
  </si>
  <si>
    <t>2021-07-23 09:23:00</t>
  </si>
  <si>
    <t>PARA REALIZAR CONTRATACION PARA TITULACION DE LOS MUNICIPIOS DEL ROBLE ,LOS  PALMITOS Y GALERAS</t>
  </si>
  <si>
    <t>8721, 8821, 8921, 9021, 9121, 9221, 9321, 9421, 9521</t>
  </si>
  <si>
    <t>2021-08-24 10:11:00</t>
  </si>
  <si>
    <t>PARA VIATICOS DE GASTOS DE COMISION PARA TITULACION 2021 DE LOS MUNICIPIOS DE ROBLE LOS PALMITOS Y GALERAS</t>
  </si>
  <si>
    <t>2021-08-24 14:11:00</t>
  </si>
  <si>
    <t>PARA VIATICOS Y GASTOS DE COMISION EN EL PROGRAMA DE TITULACION EN LOS MUNICIPIOS DE EL ROBLE, GALERAS Y LOS PALMITOS</t>
  </si>
  <si>
    <t>8121, 8221, 8521, 8621</t>
  </si>
  <si>
    <t>11921, 12021, 12221, 12321</t>
  </si>
  <si>
    <t>27921, 28021, 28221, 28321</t>
  </si>
  <si>
    <t>219086421, 219088121</t>
  </si>
  <si>
    <t>2021-08-31 16:16:00</t>
  </si>
  <si>
    <t>PARA MANTENIMIENTO CORRECTIVO Y PREVENTIVO PARA LOS AIRES DE LA TERRITORIAL</t>
  </si>
  <si>
    <t>2021-02-04 12:42:00</t>
  </si>
  <si>
    <t>Territorial Tolima</t>
  </si>
  <si>
    <t>Prestación de servicios personales para realizar actividades de reconocimiento predial urbano y rural para la atencion de tramites en los procesos catastrales en la Dirección Territorial Tolima según Paa aprobado el 03-02-2021</t>
  </si>
  <si>
    <t>1721, 1821, 1921, 2221, 2321</t>
  </si>
  <si>
    <t>1521, 1621, 2321, 2421, 5921</t>
  </si>
  <si>
    <t>9921, 10021, 10721, 10821, 16721, 16821, 16921, 17121, 17221, 23121, 23221, 23321, 23421, 23721, 26921, 27021, 27121, 27221, 27321, 30321, 30421, 30521, 30621, 30721, 37021, 37121, 37221, 37321, 37421, 40721, 40821, 40921, 41021, 41121</t>
  </si>
  <si>
    <t>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t>
  </si>
  <si>
    <t>2021-02-04 12:57:00</t>
  </si>
  <si>
    <t>Prestación de servicios personales para realizar actividades de apoyo operativo en los procesos catastrales en la Dirección Territorial Tolima segun Paa aprobado 03-02-2021</t>
  </si>
  <si>
    <t>1121, 1221, 1321, 1421, 1521, 1621</t>
  </si>
  <si>
    <t>1721, 1821, 1921, 2021, 2121, 2221</t>
  </si>
  <si>
    <t>10121, 10221, 10321, 10421, 10521, 10621, 16021, 16121, 16221, 16321, 16421, 17021, 22421, 22521, 22621, 22721, 22821, 22921, 27521, 27621, 27721, 27821, 27921, 28021, 31121, 31221, 31321, 31421, 31621, 33021, 34221, 34821, 37621, 37721, 37821, 37921, 38221, 39521, 39621, 39721, 39821, 40121, 40521</t>
  </si>
  <si>
    <t>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t>
  </si>
  <si>
    <t>2021-02-04 13:02:00</t>
  </si>
  <si>
    <t>Prestación de servicios técnicos y administrativos para realizar el inventario, organización, prestamo, devolución y custodia de las fichas prediales dentro de los procesos catastrales en la Dirección Territorial Tolima segun Paa aprobado 03-02-2021</t>
  </si>
  <si>
    <t>821, 921</t>
  </si>
  <si>
    <t>2521, 2721</t>
  </si>
  <si>
    <t>10921, 11121, 19421, 19721, 24021, 24121, 24421, 28921, 29021, 33421, 33521, 38821, 39021, 43321, 43421</t>
  </si>
  <si>
    <t>48735521, 48736421, 75256721, 76660021, 110439321, 110465721, 136296621, 136299021, 163193121, 163197321, 200887221, 200890121, 227545121, 227556021</t>
  </si>
  <si>
    <t>2021-02-04 13:10:00</t>
  </si>
  <si>
    <t>Prestación de servicios de apoyo a la gestión en ventanilla para la atención al público en los procesos catastrales en la Dirección Territorial Tolima segun Paa aprobado</t>
  </si>
  <si>
    <t>11021, 19521, 24321, 29121, 33621, 38721, 38921, 43521</t>
  </si>
  <si>
    <t>48735921, 75258421, 110459321, 136300821, 163198821, 200886121, 227558521</t>
  </si>
  <si>
    <t>Prestación de servicios personales para realizar actividades de digitalización de información catastral en los procesos catastrales en la Dirección Territorial Tolima segun Paa Aprobado 03-02-2021</t>
  </si>
  <si>
    <t>9721, 9821, 16521, 16621, 23821, 23921, 26721, 26821, 30121, 30221, 34621, 34721, 39921, 40021</t>
  </si>
  <si>
    <t>48727921, 48728921, 64652221, 64655121, 91391721, 91398221, 122586221, 122587921, 146786821, 146788721, 175318621, 175333121, 213768321, 213771521</t>
  </si>
  <si>
    <t>2021-02-04 16:27:00</t>
  </si>
  <si>
    <t>Prestación de servicios personales para adelantar actividades de reconocimiento predial urbano y rural, en atención a los requerimientos administrativos y judiciales del proceso de restitución de tierras en la Dirección Territorial Tolima segun Paa A</t>
  </si>
  <si>
    <t>17721, 23521, 27421, 30821, 37521, 41221</t>
  </si>
  <si>
    <t>66304021, 91385021, 122568921, 146810221, 183080921, 218361921</t>
  </si>
  <si>
    <t>2021-02-04 16:45:00</t>
  </si>
  <si>
    <t>Prestación de servicios personales para el seguimiento a las solicitudes realizadas en el marco de la politica integral de reparación a victimas en la Dirección Territorial Tolima según CI192 y Paa Aprobado 03-02-2021</t>
  </si>
  <si>
    <t>19321, 23021, 28121, 31021, 38021, 40621</t>
  </si>
  <si>
    <t>66313621, 91377621, 122662421, 146811221, 183087721, 218336921</t>
  </si>
  <si>
    <t>2021-02-04 16:51:00</t>
  </si>
  <si>
    <t>Prestación de servicios profesionales para realizar el control de calidad a los infomes de avaluos comerciales, así como realizar avaluos a bienes inmuebles urbanos y rurales en todo el país segun Paa aprobado el 03-02-2021</t>
  </si>
  <si>
    <t>19221, 23621, 28221, 30921, 38121, 41321</t>
  </si>
  <si>
    <t>66309221, 91388821, 122667721, 146785121, 183090421, 218363821</t>
  </si>
  <si>
    <t>2021-02-04 17:12:00</t>
  </si>
  <si>
    <t>Prestación de servicios profesionales para gestionar desde el componente juridico las actividades de los procesos catastrales en la Dirección Territorial Tolima Segun Paa Aprobado</t>
  </si>
  <si>
    <t>19621, 24221, 40221</t>
  </si>
  <si>
    <t>75259121, 110454821, 213786621</t>
  </si>
  <si>
    <t>2021-02-08 14:39:00</t>
  </si>
  <si>
    <t>Viáticos Proceso de Conservación.</t>
  </si>
  <si>
    <t>2821, 4321, 4721, 5021, 5921, 6621, 6721, 8121, 8221, 8321, 8721, 9221, 9821, 10021, 10521, 11621, 12521, 12621, 12821, 12921</t>
  </si>
  <si>
    <t>3321, 3821, 3921, 4021, 8121, 8921, 9021, 14721, 14821, 14921, 15521, 16521, 18921, 19221, 20321, 24021, 27421, 27521, 27721, 27821</t>
  </si>
  <si>
    <t>11721, 12221, 12321, 12421, 19821, 20421, 20521, 28421, 28521, 28621, 29221, 29721, 33121, 33321, 34121, 38421, 39321, 42821, 42921, 43121, 43221</t>
  </si>
  <si>
    <t>56378621, 56403221, 56407521, 60613921, 76661221, 85861021, 85872121, 124551221, 124552721, 124558521, 136342321, 143531521, 152001721, 159442621, 169243021, 194389921, 208549021, 219780821, 219783721, 227530921, 227537321</t>
  </si>
  <si>
    <t>2021-02-08 14:50:00</t>
  </si>
  <si>
    <t>Viaticos politica de tierras y ley de victimas.</t>
  </si>
  <si>
    <t>2921, 3521, 3921, 4221, 5321, 5721, 6021, 6121, 6521, 8021, 8621, 9121, 10421, 10921, 11221, 11321, 11721, 12221</t>
  </si>
  <si>
    <t>3421, 3521, 3621, 3721, 4421, 6021, 8421, 8521, 8821, 14621, 16421, 20221, 21321, 21521, 21621, 25121, 27321</t>
  </si>
  <si>
    <t>11821, 11921, 12021, 12121, 12821, 17421, 19921, 20021, 20321, 28321, 29621, 34021, 34921, 36421, 36521, 39421, 41421</t>
  </si>
  <si>
    <t>56395921, 56397921, 56399221, 56400721, 61531021, 64676221, 79570221, 79578321, 90256721, 124548221, 146693721, 169241021, 176956821, 179854421, 179856821, 208547821, 218365521</t>
  </si>
  <si>
    <t>2021-02-08 15:38:00</t>
  </si>
  <si>
    <t>gastos de manutención, alojamiento y transporte de los contratistas del proyecto de avalúos según e-mail 08-02-2021 Direccion Territorial</t>
  </si>
  <si>
    <t>5421, 7021, 7321, 8421, 9021, 10121, 10621, 11521</t>
  </si>
  <si>
    <t>6421, 9421, 12421, 15021, 16321, 20121, 20621, 23921</t>
  </si>
  <si>
    <t>19121, 20821, 24521, 28721, 29521, 33921, 34321, 38321</t>
  </si>
  <si>
    <t>66307121, 90259621, 114326121, 124584021, 140707521, 167121421, 170879021, 196171021</t>
  </si>
  <si>
    <t>2021-04-14 11:35:00</t>
  </si>
  <si>
    <t>Prestación de servicios personales para la realización de los procesos archivísticos en archivos de gestión y archivo central</t>
  </si>
  <si>
    <t>219786821</t>
  </si>
  <si>
    <t>2021-07-29 08:12:00</t>
  </si>
  <si>
    <t>Prestación de servicios para el control de plagas y lavado de tanques en la DT Tolima.</t>
  </si>
  <si>
    <t>2021-08-18 16:08:00</t>
  </si>
  <si>
    <t>Prestación de servicios personales para realizar actividades de reconocimiento predial urbano y rural de los trámites en el proceso de titulación y conservación catastral en la Dirección Territorial Tolima.</t>
  </si>
  <si>
    <t>12721, 13021</t>
  </si>
  <si>
    <t>2021-08-18 16:10:00</t>
  </si>
  <si>
    <t>Prestación de servicios técnicos administrativos para realizar actividades de apoyo técnico de los trámites en el proceso de titulación y conservación catastral en la Dirección Territorial Tolima</t>
  </si>
  <si>
    <t>2021-08-18 16:27:00</t>
  </si>
  <si>
    <t>Prestación de servicios personales para realizar actividades de apoyo operativo de los trámites en el proceso de titulación y conservación catastral en la Dirección Territorial Tolima.</t>
  </si>
  <si>
    <t>2021-08-18 16:29:00</t>
  </si>
  <si>
    <t>Prestación de servicios personales para realizar actividades de digitalización y generación de productos para la atención de trámites en el proceso de titulación y conservación catastral en la Dirección Territorial Tolima</t>
  </si>
  <si>
    <t>2021-08-18 16:30:00</t>
  </si>
  <si>
    <t>Prestación de servicios profesionales en labores de topografía para la atención de trámites en el proceso de titulación y conservación catastral en la Dirección Territorial Tolima</t>
  </si>
  <si>
    <t>2021-09-01 16:56:00</t>
  </si>
  <si>
    <t>Viáticos proceso de titulación Dirección Territorial Tolima  , contrato interadministrativo 845 suscrito con Ministerio de Hacienda, ciudad y territorio.</t>
  </si>
  <si>
    <t>2021-01-13 00:00:00</t>
  </si>
  <si>
    <t>2021-01-13 17:23:00</t>
  </si>
  <si>
    <t>Territorial Valle</t>
  </si>
  <si>
    <t>CDP PARA PAGO TRASLADO DE LAS UOC ADSCRITAS A LA TVALLE Y ADECUACIONES UOC PARA ENTREGAR (COSTOS MUDANZA, OPERARIO CARGUE Y DESCARGUE, EMPACADO TABLA MESA, ADECUACIONES UOC)</t>
  </si>
  <si>
    <t>2021-01-13 17:24:00</t>
  </si>
  <si>
    <t>721, 821, 921, 1021, 1121, 1221, 1321, 1421, 1621, 1721, 1821, 1921, 2021, 2121, 2221, 2321, 2421, 2521, 2621, 2721, 2821, 2921, 3021, 3121, 3221, 3321, 3421, 3521, 3621, 3821, 3921, 4021, 4121, 4221</t>
  </si>
  <si>
    <t>521, 621, 721, 821, 921, 1021, 1121, 1221, 1321, 1421, 1521, 1621, 1721, 1821, 1921, 2021, 2121, 2221, 2321, 2421, 2521, 2621, 2721, 2821, 2921, 3021, 3121, 3221, 3321</t>
  </si>
  <si>
    <t>6921, 7021, 7121, 8721, 8821, 8921, 9021, 9121, 9221, 9321, 9421, 9521, 9621, 9721, 9821, 9921, 10021, 10121, 10221, 10321, 10421, 10521, 10621, 10721, 10821</t>
  </si>
  <si>
    <t>8321421, 8695121, 8696621, 9002121, 9003721, 9006221, 9007421, 9008421, 9025821, 9027121, 9029621, 9037021, 9044221, 9067721, 9100921, 9349821, 9350921, 9351521, 9351921, 9352121, 9353021, 9427221, 9427721, 9429721, 9430121</t>
  </si>
  <si>
    <t>2021-02-04 14:21:00</t>
  </si>
  <si>
    <t>CDP PARA PRESTACION DE SERVICIOS DE APOYO A LA GESTION DESARROLLADA EN PROCESOS CATASTRALES DE LA TERRITORIAL VALLE</t>
  </si>
  <si>
    <t>19921, 26921, 30521, 33521, 35121, 39821, 44221</t>
  </si>
  <si>
    <t>53908221, 68659321, 92551221, 118299321, 145361621, 177212321, 213354221</t>
  </si>
  <si>
    <t>2021-02-04 14:29:00</t>
  </si>
  <si>
    <t>CDP PARA PRESTACION DE SERVICIOS PROFESIONALES PARA ATENDER DESDE EL COMPONENTE JURIDICO LAS ACTIVIDADES DE LOS PROCESOS CATATRALES EN LA DIRECCION TERRITORIAL VALLE</t>
  </si>
  <si>
    <t>20021, 27621, 31121, 33421, 34921, 39221, 41721, 46621</t>
  </si>
  <si>
    <t>55413921, 76370421, 92964721, 118295821, 138111121, 171553921, 179880421, 215881321</t>
  </si>
  <si>
    <t>2021-02-04 14:35:00</t>
  </si>
  <si>
    <t>CDP PARA PRESTACION DE SERVICIOS PERSONALES PARA REALIZAR ACTIVIDADES DE APOYO OPERATIVO EN LOS PROCESOS CATASTRALES EN LA  DIRECCION TERRITORIAL VALLE</t>
  </si>
  <si>
    <t>19621, 27021, 30721, 34221, 37021, 40021, 44521</t>
  </si>
  <si>
    <t>53906621, 68658921, 92956521, 129868321, 150434721, 177202621, 213485121</t>
  </si>
  <si>
    <t>2021-02-04 14:41:00</t>
  </si>
  <si>
    <t>CDP PARA PRESTACION DE SERVICIOS PERSONALES PARA REALIZAR ACTIVIDADES DE DIGITALIZACION Y GENERACION DE PRODUCTOS DE LA INFORMACION CATASTRAL DE LA   DIRECCION TERRITORIAL VALLE DEL CAUCA</t>
  </si>
  <si>
    <t>19721, 26821, 30321, 31821, 35221, 41921, 44421</t>
  </si>
  <si>
    <t>53907721, 68659621, 92544421, 118293521, 145362521, 181664221, 213360421</t>
  </si>
  <si>
    <t>2021-02-04 15:12:00</t>
  </si>
  <si>
    <t>CDP para Prestación de servicios profesionales para realizar el control de calidad a los informes de avalúos comerciales, así como realizar avalúos a bienes inmuebles urbanos y rurales en todo el país</t>
  </si>
  <si>
    <t>34421, 34521</t>
  </si>
  <si>
    <t>136200021, 137308421</t>
  </si>
  <si>
    <t>CDP para Gastos de manutención  alojamiento y transporte para avalúos comerciales</t>
  </si>
  <si>
    <t>6521, 6621, 11621, 11721, 11821, 13521, 13621, 13721, 13821</t>
  </si>
  <si>
    <t>4621, 4721, 16921, 17321, 17421, 21021, 21121, 21221, 21321</t>
  </si>
  <si>
    <t>18421, 18521, 37321, 37721, 37821, 42321, 42421, 42521, 42621</t>
  </si>
  <si>
    <t>36991021, 36993921, 152723021, 160465921, 160470121, 185385721, 185386521, 185393121, 189115121</t>
  </si>
  <si>
    <t>2021-02-04 15:22:00</t>
  </si>
  <si>
    <t>CDP para Prestación de servicios profesionales para apoyar a la dirección territorial valle del cauca  en los requerimientos del trámite administrativo, judicial y el postfallo del proceso de restitución de tierras en el marco de la ley 1448 de 2011</t>
  </si>
  <si>
    <t>19521, 27121, 30621, 31721, 35321, 39721, 46521</t>
  </si>
  <si>
    <t>53902421, 68658721, 92554721, 118289221, 145363321, 177213421, 215877921</t>
  </si>
  <si>
    <t>2021-02-04 15:26:00</t>
  </si>
  <si>
    <t>CDP Gastos de manutención  alojamiento y transporte para procesos  de restitución  de tierras</t>
  </si>
  <si>
    <t>2021-02-04 16:42:00</t>
  </si>
  <si>
    <t>CDP PARA VIATICOS Y GASTOS DE COMISION PROCESO DE CONSERVACION CATASTRAL</t>
  </si>
  <si>
    <t>4921, 5021, 6721, 6821, 7021, 7121, 7221, 7321, 9321, 9421, 9521, 12221, 12321, 12421, 12521, 12621, 12721, 13021, 13221, 14121, 14621, 14721, 14821, 14921, 15021, 15121, 15221, 15321, 15621, 15721, 15821, 15921, 16021, 16121</t>
  </si>
  <si>
    <t>3721, 3821, 8121, 8221, 8321, 8421, 8521, 8621, 12021, 12121, 12221, 17921, 18021, 18121, 18221, 18321, 18421, 18921, 19221, 22421, 22821, 22921, 23021, 23121, 23221, 23321, 23421, 23521, 24821, 24921, 25021, 25121, 25221, 25321</t>
  </si>
  <si>
    <t>11221, 11321, 18721, 18821, 18921, 19021, 19121, 19221, 19321, 28221, 28321, 28421, 38221, 38321, 38421, 38521, 38621, 38721, 38821, 38921, 39121, 39421, 42721, 43121, 43221, 43321, 43421, 43521, 43621, 43721, 43821, 46821, 46921, 47021, 47121, 47221, 47321</t>
  </si>
  <si>
    <t>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t>
  </si>
  <si>
    <t>2021-03-15 17:56:00</t>
  </si>
  <si>
    <t>APOYO DE TRANSPOPRTE PARA COMISION PARA DILIGENCIA DE CAMPO DEL PROCESO DE DESLINDE DE LOS MUNICIPIOS DE VIJES Y YUMBO</t>
  </si>
  <si>
    <t>58397721</t>
  </si>
  <si>
    <t>2021-03-18 09:38:00</t>
  </si>
  <si>
    <t>CDP para llevar a cabo la contratación de Prestación de servicios personales para la realización de los procesos archivísticos en archivos de gestión y archivo central, incluidos en el último plan de compras.</t>
  </si>
  <si>
    <t>8121, 8221, 8321</t>
  </si>
  <si>
    <t>13121, 13221, 13321</t>
  </si>
  <si>
    <t>30821, 30921, 31021, 33921, 34021, 34321, 37421, 37521, 37621, 39921, 41821, 42121</t>
  </si>
  <si>
    <t>92957721, 92960621, 92962321, 123579721, 123581821, 132762521, 152744821, 158054221, 158055921, 177205521, 179884021, 183123021</t>
  </si>
  <si>
    <t>2021-04-16 12:05:00</t>
  </si>
  <si>
    <t>CDP PARA CONTRATACION DE PRESTACION DE SERVICIOS PERSONALES PARA APOYAR EL PROCESO DE GESTION DOCUMENTAL PARA LA HABILITACION CATASTRAL DE LA DIRECCION TERRITORIAL VALLE</t>
  </si>
  <si>
    <t>10921, 13921, 14021</t>
  </si>
  <si>
    <t>16621, 24021, 24421</t>
  </si>
  <si>
    <t>37221, 39621, 44321, 44621, 46721</t>
  </si>
  <si>
    <t>152747121, 177222621, 213356621, 213504621, 217713821</t>
  </si>
  <si>
    <t>2021-06-01 08:46:00</t>
  </si>
  <si>
    <t>CDP PARA MANTENIMIENTO PREVENTIVO, CORRECTIVO, SUMINISTRO E INSTALACION DE REPUESTOS DE LOS VEHICULOS DE LA DIRECCION TERRITORIAL VALLE DEL CAUCA</t>
  </si>
  <si>
    <t>181663021</t>
  </si>
  <si>
    <t>2021-07-13 00:00:00</t>
  </si>
  <si>
    <t>2021-07-13 18:55:00</t>
  </si>
  <si>
    <t>CDP PARA SANEAMIENTO AMBIENTAL LAVADO Y DESINFECCION DE TANQUES DE ALMACENAMIENTO DE AGUA POTABLE Y FUMIGACION DE OFICINAS TVALLE</t>
  </si>
  <si>
    <t>2021-07-26 14:52:00</t>
  </si>
  <si>
    <t>CDP PARA CONTROL INTEGRADO DE PLAGAS</t>
  </si>
  <si>
    <t>2021-02-19 00:00:00</t>
  </si>
  <si>
    <t>2021-02-19 20:27:00</t>
  </si>
  <si>
    <t>Territorial Cundinamarca</t>
  </si>
  <si>
    <t>ACTIVIDADES  DE APOYO OPERATIVO</t>
  </si>
  <si>
    <t>2221, 2521, 2621, 2721, 4421, 4521, 4621, 4721, 5921, 6021, 7221, 7421, 10121</t>
  </si>
  <si>
    <t>1421, 1521, 1621, 1921, 4521, 4721, 6021, 6321, 10821, 11521, 16221, 16321, 22221</t>
  </si>
  <si>
    <t>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t>
  </si>
  <si>
    <t>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t>
  </si>
  <si>
    <t>2021-02-19 21:18:00</t>
  </si>
  <si>
    <t>PRESTACION DE SERVICIOS PERSONALES PARA REALIZAR ACTIVIDADES COMO TECNICOS DE APOYO</t>
  </si>
  <si>
    <t>1121, 1221, 1721, 2021, 2321, 9321</t>
  </si>
  <si>
    <t>1221, 1721, 2121, 2221, 8021, 21721</t>
  </si>
  <si>
    <t>20721, 21121, 21521, 21621, 25521, 26721, 27221, 27421, 28021, 30821, 30921, 31121, 33121, 33821, 36621, 38221, 38921, 39221, 39521, 40521, 40821, 41921, 45121, 45621, 47321, 47421, 47621, 49121, 49421</t>
  </si>
  <si>
    <t>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t>
  </si>
  <si>
    <t>2021-02-19 21:20:00</t>
  </si>
  <si>
    <t>PRESTACION DE SERVICIOS PERSONALES PARA REALIZAR ACTIVIDADES DE RECONOCIMIENTO PREDIAL</t>
  </si>
  <si>
    <t>3021, 3121, 3221, 3321, 3421, 3521, 3621, 3721, 3821, 3921, 9521, 9621</t>
  </si>
  <si>
    <t>4321, 4421, 4621, 5021, 5521, 5621, 7321, 7521, 7721, 8121, 22521, 22621</t>
  </si>
  <si>
    <t>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t>
  </si>
  <si>
    <t>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t>
  </si>
  <si>
    <t>2021-02-19 21:24:00</t>
  </si>
  <si>
    <t>PRESTACION DE SERVICIOS PERSONALES PARA REALIZAR ACTIVIDADESDE RECONOCIMIENTO CAVIDA Y LINDEROS</t>
  </si>
  <si>
    <t>20821, 27021, 30721, 37421, 41621, 49021</t>
  </si>
  <si>
    <t>70360721, 99463021, 119231021, 146886521, 176945821, 215261421</t>
  </si>
  <si>
    <t>2021-02-19 21:26:00</t>
  </si>
  <si>
    <t>PRESTACION DE SERVICIOS PERSONALES PARA REALIZAR ACTIVIDADES DE DIGITALIZACION</t>
  </si>
  <si>
    <t>2121, 2821</t>
  </si>
  <si>
    <t>1121, 7921</t>
  </si>
  <si>
    <t>20521, 20621, 25621, 26521, 27521, 31521, 31621, 36721, 38721, 41721, 42121, 50021, 50221</t>
  </si>
  <si>
    <t>70423521, 96003921, 99439621, 99529221, 120718321, 120722021, 146446821, 147733121, 176884021, 180466421, 216579621, 216920921</t>
  </si>
  <si>
    <t>2021-02-19 21:30:00</t>
  </si>
  <si>
    <t>E SERVICIOS PROFESIONALES EN LA VERIFICACION DE LEVANTAM. TOPOGRAFICOS</t>
  </si>
  <si>
    <t>45321, 50521, 50621</t>
  </si>
  <si>
    <t>183934221, 218682621, 218683221</t>
  </si>
  <si>
    <t>2021-02-19 21:32:00</t>
  </si>
  <si>
    <t>PRESTACION DE SERVICIOS PERSONALES PARA REALIZAR ACTIVIDADES DE CONTRO A LOS TRAMITES DEL PROCESO DE CONCERV.</t>
  </si>
  <si>
    <t>1821, 2021</t>
  </si>
  <si>
    <t>21221, 21421, 26821, 27921, 33621, 33721, 38321, 39121, 44121, 44421, 49621, 49721</t>
  </si>
  <si>
    <t>70310421, 70319821, 99472721, 101567221, 129040321, 129079921, 146908721, 150553921, 180435121, 180547721, 216420621, 216428921</t>
  </si>
  <si>
    <t>2021-02-19 21:37:00</t>
  </si>
  <si>
    <t>SERVICIOS PROFESIONALES PARA REALIZAR PROCESOS DE PLANEACIONY SEGIMIENTOAL PLAN DE ACCION DE LA DIRECCION TERRITORIAL</t>
  </si>
  <si>
    <t>20421, 25721, 32221, 38821, 45521, 50121</t>
  </si>
  <si>
    <t>70416721, 96008621, 120727121, 147747621, 184137421, 216601221</t>
  </si>
  <si>
    <t>2021-02-19 21:40:00</t>
  </si>
  <si>
    <t>VIATICOS Y GASTOS DE COMISION FUNCIONARIOS T.C</t>
  </si>
  <si>
    <t>921, 1021, 2421, 2921, 4821, 4921, 5021, 5121, 5521, 5621, 5721, 5821, 6421, 6521, 6821, 6921, 7021, 7721, 7821, 7921, 8021, 8121, 8221, 8321, 8421, 8621, 8721, 8821, 8921, 9021, 9121, 9721, 9821, 9921, 10021, 11921, 12521, 12621</t>
  </si>
  <si>
    <t>221, 321, 621, 721, 2421, 2521, 2921, 3021, 3221, 3621, 3721, 3821, 5421, 5721, 9021, 9121, 9221, 10121, 10321, 10421, 10521, 11621, 11721, 11821, 11921, 14421, 14521, 14621, 14821, 14921, 15021, 19021, 19121, 19221, 19521, 20121, 23121, 23221</t>
  </si>
  <si>
    <t>13321, 13421, 13521, 13621, 21821, 21921, 22121, 22221, 22621, 22821, 22921, 23021, 25821, 26121, 28421, 28521, 28621, 31021, 31221, 31321, 31421, 32521, 32621, 32721, 32821, 34421, 34521, 34621, 34721, 34821, 34921, 39621, 39721, 39821, 40121, 40321, 44721, 44821</t>
  </si>
  <si>
    <t>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t>
  </si>
  <si>
    <t>121, 221, 321, 421, 521</t>
  </si>
  <si>
    <t>2021-02-19 21:43:00</t>
  </si>
  <si>
    <t>VIATICOS Y GASTOS DE COMISIONPARA TIERRAS</t>
  </si>
  <si>
    <t>2021-02-19 21:45:00</t>
  </si>
  <si>
    <t>PRESTACION DE SERVICIOS PROFESIONALES PARA REALIZAR AVALUOS COMERCIALES</t>
  </si>
  <si>
    <t>6721, 7521</t>
  </si>
  <si>
    <t>2021-03-29 00:00:00</t>
  </si>
  <si>
    <t>2021-03-29 17:04:00</t>
  </si>
  <si>
    <t>PARA CONTRATACION MANEJO ARCHIVO</t>
  </si>
  <si>
    <t>25421, 32321, 37521, 40221</t>
  </si>
  <si>
    <t>92681521, 120895321, 146888321, 167530921</t>
  </si>
  <si>
    <t>2021-06-25 10:12:00</t>
  </si>
  <si>
    <t>CONTRATACION CONVENIO RICAURTE</t>
  </si>
  <si>
    <t>2021-06-25 14:57:00</t>
  </si>
  <si>
    <t>Prestación de servicios para realizar actividades de digitalización y generación de productos resultantes del proceso de actualización catastral del municipio de Ricaurte- Territorial Cundinamarca.</t>
  </si>
  <si>
    <t>10821, 11321, 12721</t>
  </si>
  <si>
    <t>2021-06-25 15:03:00</t>
  </si>
  <si>
    <t>Prestación de servicios técnicos de apoyo al seguimiento, planeación y gestión del reconocimiento predial en el proceso de actualizacion catastral del municipio de Ricaurte – Territorial  Cundinamarca.</t>
  </si>
  <si>
    <t>10921, 11521, 11621</t>
  </si>
  <si>
    <t>2021-06-25 15:07:00</t>
  </si>
  <si>
    <t>Prestación de servicios para realizar actividades de reconocimiento predial en el proceso de Actualización Catastral del municipio de Ricaurte -  Territorial Cundinamarca.-</t>
  </si>
  <si>
    <t>10221, 10321, 10421, 10521, 10621, 10721, 11221, 11421, 12021, 12821, 12921, 13021</t>
  </si>
  <si>
    <t>2021-06-25 15:13:00</t>
  </si>
  <si>
    <t>Prestación de servicios para realizar el control calidad de los productos geográficos, alfanuméricos y documentales generados en el  proceso de actualización catastral del municipio de Ricaurte- Territorial Cundinamarca</t>
  </si>
  <si>
    <t>2021-06-25 15:23:00</t>
  </si>
  <si>
    <t>Prestacion de servicios personales para realizar las ediciones, depuración, y consolidación de los productos cartográficos para los componentes Geográficos del proceso de actualización catasrtal del Municipio de Ricaurte-Territorial Cundinamarca</t>
  </si>
  <si>
    <t>11721, 12121</t>
  </si>
  <si>
    <t>2021-06-25 15:36:00</t>
  </si>
  <si>
    <t>Prestación de servicios profesionales para realizar las socializaciones requeridas en el proceso de actualización catastral del municipio de Ricaurte- Territorial Cundinamarca</t>
  </si>
  <si>
    <t>2021-06-25 15:44:00</t>
  </si>
  <si>
    <t>Prestación de servicios profesionales para el seguimiento y control de las actividades de la etapa operativa del proyecto de actualización catastral del municipio de Ricaurte- Territorial Cundinamarca</t>
  </si>
  <si>
    <t>2021-06-25 15:49:00</t>
  </si>
  <si>
    <t>Prestación de servicios profesionales para realizar las actividades de topografia urbana para la atención de trámites en el proceso de actualización catastral municipio de Ricaurte- Territorial  Cundinamarca..</t>
  </si>
  <si>
    <t>2021-06-25 15:58:00</t>
  </si>
  <si>
    <t>VIATICOS Y GASTOS FUNCIONARIOS	CONTRATO RICAURTE</t>
  </si>
  <si>
    <t>2021-06-29 12:21:00</t>
  </si>
  <si>
    <t>Prestación de servicios personales para realizar actividades de apoyo operativo del proceso de actualización catastral del municipio de Ricaurte- Territorial Cundinamarca</t>
  </si>
  <si>
    <t>2021-07-23 21:44:00</t>
  </si>
  <si>
    <t>Prestación de servicios personales para realizar actividades de apoyo en los tramites de Conservación Catastral en la Dirección Territorial Cundinamarca.</t>
  </si>
  <si>
    <t>2021-07-23 21:45:00</t>
  </si>
  <si>
    <t>Prestación de servicios personales para realizar actividades de reconocimiento predial en los procesos de Conservación Catastral de la Dirección Territorial Cundinamarca.</t>
  </si>
  <si>
    <t>2021-07-23 21:47:00</t>
  </si>
  <si>
    <t>Prestación de servicios personales para realizar actividades de digitalización y generación de productos resultantes en los procesos catastrales de la Dirección Territorial Cundinamarca.</t>
  </si>
  <si>
    <t>2021-07-23 21:49:00</t>
  </si>
  <si>
    <t>Prestación de servicios personales para realizar actividades de apoyo en los procesos de conservación catastral de la Dirección Territorial Cundinamarca.</t>
  </si>
  <si>
    <t>2021-07-23 21:51:00</t>
  </si>
  <si>
    <t>Compra de una Antena de sistema de posicionamiento geográfico GPS y distanciómetro.</t>
  </si>
  <si>
    <t>2021-07-23 21:53:00</t>
  </si>
  <si>
    <t>VIATICOS Y GASTOS FUNCIONARIOS</t>
  </si>
  <si>
    <t>2021-09-02 09:51:00</t>
  </si>
  <si>
    <t>Prestación de servicios profesionales para el seguimiento y control de las actividades técnicas de la etapa operativa del proyecto de gestión catastral multipropósito en el municipio de Gachancipa - Cundinamarca</t>
  </si>
  <si>
    <t>2021-09-02 09:58:00</t>
  </si>
  <si>
    <t>Prestación de servicios personales para realizar actividades de apoyo operativo del proceso de actualización catastral multipropósito en el municipio de Gachancipa - Cundinamarca</t>
  </si>
  <si>
    <t>2021-09-02 10:01:00</t>
  </si>
  <si>
    <t>Prestación de servicios personales para realizar actividades de reconocimiento predial en el proceso de actualización catastra multipropósito en el municipio de Gachancipa - Cundinamarca</t>
  </si>
  <si>
    <t>2021-09-02 10:26:00</t>
  </si>
  <si>
    <t>Prestación de servicios de apoyo a la gestión reconocedor predial  y atención de requerimientos administrativos y judiciales en el proceso de actualización catastral multipropósito en el municipio de Gachancipa - Cundinamarca</t>
  </si>
  <si>
    <t>2021-09-02 10:29:00</t>
  </si>
  <si>
    <t>Prestación de servicios profesionales para realizar las actividades de topografía urbano y rural para la atención de trámites en el proceso de actualización catastral multipropósito en el municipio de Gachancipa - Cundinamarca</t>
  </si>
  <si>
    <t>2021-09-02 10:35:00</t>
  </si>
  <si>
    <t>Prestación de servicios técnicos de apoyo al seguimiento, planeación y gestión del reconocimiento predial  en el proceso de actualización catastral multipropósito  en el municipio de Gachancipa - Cundinamarca</t>
  </si>
  <si>
    <t>2021-09-02 10:38:00</t>
  </si>
  <si>
    <t>Prestación de servicios profesionales para realizar las socializaciones requeridas en el proceso de actualización catastral multipropósito en el municipio de Gachancipa - Cundinamarca</t>
  </si>
  <si>
    <t>2021-09-02 10:45:00</t>
  </si>
  <si>
    <t>Prestación de servicios personales para realizar actividades de digitalización y generación de productos resultantes del proceso de actualización catastral multipropósito en el municipio de Gachancipa – Cundinamarca</t>
  </si>
  <si>
    <t>2021-09-02 10:48:00</t>
  </si>
  <si>
    <t>Prestación de servicios para realizar la edición, depuración y consolidación de los productos cartográficos requeridos para el componente geográfico de los procesos de actualización catastral multipropósito en el municipio de Gachancipa - Cundinamarc</t>
  </si>
  <si>
    <t>2021-09-02 10:56:00</t>
  </si>
  <si>
    <t>Prestación de servicios para realizar el control calidad de los productos geográficos, alfanuméricos y documentales generados en los procesos de actualización multipropósito en el municipio de Gachancipa - Cundinamarca</t>
  </si>
  <si>
    <t>2021-09-02 11:00:00</t>
  </si>
  <si>
    <t>VIÁTICOS Y GASTOS</t>
  </si>
  <si>
    <t>Ejecución Presupuestal Proyectos</t>
  </si>
  <si>
    <t>Ejecución Presupuestal Territoriales</t>
  </si>
  <si>
    <t>Ejecución Presupuestal Productos</t>
  </si>
  <si>
    <t>Ejecución de Reservas Presupuestales</t>
  </si>
  <si>
    <t>Informe Ejecución Comité Reducido</t>
  </si>
  <si>
    <t>Informe Reservas Comité Reducido</t>
  </si>
  <si>
    <t>Saldos de CDP por Comrpometer</t>
  </si>
  <si>
    <t>Ahorros Plan de Compra</t>
  </si>
  <si>
    <t>Avance Plan Anual de Acción Sede Central</t>
  </si>
  <si>
    <t>Avance Plan Anual de Acción Territoriales</t>
  </si>
  <si>
    <t>Apropiación Vigente</t>
  </si>
  <si>
    <t>Apropiación adicionada</t>
  </si>
  <si>
    <t>Bloqueo</t>
  </si>
  <si>
    <t xml:space="preserve">Disponible aplicado el bloqueo </t>
  </si>
  <si>
    <t>%</t>
  </si>
  <si>
    <t>Pagos</t>
  </si>
  <si>
    <t>Saldo por ejecutar</t>
  </si>
  <si>
    <t>Presupuesto General</t>
  </si>
  <si>
    <t>Total</t>
  </si>
  <si>
    <t>Créditos</t>
  </si>
  <si>
    <t>Informe por Proyectos</t>
  </si>
  <si>
    <t>Proyectos de Inversión</t>
  </si>
  <si>
    <t>Apropiación Inicial</t>
  </si>
  <si>
    <t>Apropiación reducida</t>
  </si>
  <si>
    <t>Total General</t>
  </si>
  <si>
    <t>Informe por Dependencias</t>
  </si>
  <si>
    <t>Crédito</t>
  </si>
  <si>
    <t xml:space="preserve">Laboratorio Nacional de Suelos
</t>
  </si>
  <si>
    <t>Subdirección Cartográfica &amp; Geodésica</t>
  </si>
  <si>
    <t>Dirección de investigación y prospectiva</t>
  </si>
  <si>
    <t>Observatorio inmobiliario</t>
  </si>
  <si>
    <t>Subdirección de información</t>
  </si>
  <si>
    <t>Subdirección Sistemas de Información</t>
  </si>
  <si>
    <t>Dirección general</t>
  </si>
  <si>
    <t>Oficina Asesora Planeación</t>
  </si>
  <si>
    <t>Secretaria General</t>
  </si>
  <si>
    <t>Subdirección de talento humano</t>
  </si>
  <si>
    <t>Subdirección General</t>
  </si>
  <si>
    <t>Oficina Comercial</t>
  </si>
  <si>
    <t>Direcciones Territoriales</t>
  </si>
  <si>
    <t>CréditoS</t>
  </si>
  <si>
    <t>Plan de compras con corte al 03 de septiembre de 2021</t>
  </si>
  <si>
    <t>Dependencia de Destino</t>
  </si>
  <si>
    <t xml:space="preserve"> Ahorro con proceso </t>
  </si>
  <si>
    <t xml:space="preserve">Ahorro sin proceso </t>
  </si>
  <si>
    <t>DIRECCIÓN DE GESTIÓN CATASTRAL</t>
  </si>
  <si>
    <t>DIRECCIÓN DE INVESTIGACIÓN Y PROSPECTIVA</t>
  </si>
  <si>
    <t>DIRECCIÓN DE TECNOLOGÍAS DE LA INFORMACIÓN Y COMUNICACIONES</t>
  </si>
  <si>
    <t>DIRECCIÓN GENERAL</t>
  </si>
  <si>
    <t>OBSERVATORIO INMOBILIARIO CATASTRAL</t>
  </si>
  <si>
    <t>OFICINA ASESORA DE COMUNICACIONES</t>
  </si>
  <si>
    <t>OFICINA ASESORA DE PLANEACIÓN</t>
  </si>
  <si>
    <t>OFICINA ASESORA JURIDICA</t>
  </si>
  <si>
    <t>OFICINA DE CONTROL INTERNO</t>
  </si>
  <si>
    <t>OFICINA DE CONTROL INTERNO DISCIPLINARIO</t>
  </si>
  <si>
    <t>OFICINA DE RELACIÓN CON EL CIUDADANO</t>
  </si>
  <si>
    <t>SUBDIRECCIÓN ADMINISTRATIVA Y FINANCIERA</t>
  </si>
  <si>
    <t>SUBDIRECCIÓN DE AGROLOGÍA</t>
  </si>
  <si>
    <t>SUBDIRECCIÓN DE GEOGRAFÍA</t>
  </si>
  <si>
    <t>SUBDIRECCIÓN DE SISTEMAS DE INFORMACIÓN</t>
  </si>
  <si>
    <t>SUBDIRECCIÓN DE TALENTO HUMANO</t>
  </si>
  <si>
    <t>Plan de compras con corte al 06 de agosto de 2021</t>
  </si>
  <si>
    <t>CATASTRO</t>
  </si>
  <si>
    <t>DIFUSION Y MERCADEO</t>
  </si>
  <si>
    <t xml:space="preserve">DIRECCION </t>
  </si>
  <si>
    <t>GEOGRAFIA Y CARTOGRAFIA</t>
  </si>
  <si>
    <t>INFORMATICA Y TELECOMUNICACIONES</t>
  </si>
  <si>
    <t>PLANEACION</t>
  </si>
  <si>
    <t>Plan de compras con corte al 23 de julio de 2021</t>
  </si>
  <si>
    <t>Plan de compras con corte al 09 de julio de 2021</t>
  </si>
  <si>
    <t>JURIDICA</t>
  </si>
  <si>
    <t>Plan de compras con corte al 25 de junio de 2021</t>
  </si>
  <si>
    <t>Plan de compras con corte al 11 de junio de 2021</t>
  </si>
  <si>
    <t>Plan de compras con corte al 31 de mayo de 2021</t>
  </si>
  <si>
    <t>CONTROL INTERNO</t>
  </si>
  <si>
    <t>Plan de compras con corte al 21 de mayo de 2021</t>
  </si>
  <si>
    <t>Plan de compras con corte al 30 de abril de 2021</t>
  </si>
  <si>
    <t xml:space="preserve"> Ahorro con proceso</t>
  </si>
  <si>
    <t xml:space="preserve"> Ahorro sin proceso</t>
  </si>
  <si>
    <t>Oficina Asesora de Planeación - Instituto Geográfico Agustín Codazzi</t>
  </si>
  <si>
    <t>Recursos crédito</t>
  </si>
  <si>
    <t>Direcciones territoriales</t>
  </si>
  <si>
    <t>Reserva</t>
  </si>
  <si>
    <t>Ejecución</t>
  </si>
  <si>
    <t>Dirección de gestión catastral</t>
  </si>
  <si>
    <t>Subdirección de Cartografía &amp; geodesia</t>
  </si>
  <si>
    <t xml:space="preserve">Subdirección de Geografía </t>
  </si>
  <si>
    <t>Dirección de tecnologías de la información y comunicaciones</t>
  </si>
  <si>
    <t>Sin Ejecutar</t>
  </si>
  <si>
    <t>Ejecutado</t>
  </si>
  <si>
    <t>Ejecución Cdp`s</t>
  </si>
  <si>
    <t>Ejecución Compromisos</t>
  </si>
  <si>
    <t>Ejecución Obligaciones</t>
  </si>
  <si>
    <t>Ejecución Pagos</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</si>
  <si>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</si>
  <si>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</si>
  <si>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</si>
  <si>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</si>
  <si>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</si>
  <si>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</si>
  <si>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</si>
  <si>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</si>
  <si>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</si>
  <si>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</si>
  <si>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</si>
  <si>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</si>
  <si>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</si>
  <si>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</si>
  <si>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</si>
  <si>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</si>
  <si>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</si>
  <si>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</si>
  <si>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</si>
  <si>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</si>
  <si>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</si>
  <si>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</si>
  <si>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</si>
  <si>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</si>
  <si>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</si>
  <si>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</si>
  <si>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</si>
  <si>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</si>
  <si>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</si>
  <si>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</si>
  <si>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</si>
  <si>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</si>
  <si>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</si>
  <si>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</si>
  <si>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</si>
  <si>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</si>
  <si>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</si>
  <si>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</si>
  <si>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</si>
  <si>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</si>
  <si>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</si>
  <si>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</si>
  <si>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</si>
  <si>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</si>
  <si>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</si>
  <si>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</si>
  <si>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</si>
  <si>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</si>
  <si>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</si>
  <si>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</si>
  <si>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</si>
  <si>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</si>
  <si>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</si>
  <si>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</si>
  <si>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</si>
  <si>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</si>
  <si>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</si>
  <si>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</si>
  <si>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</si>
  <si>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</si>
  <si>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</si>
  <si>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</si>
  <si>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</si>
  <si>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</si>
  <si>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</si>
  <si>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</si>
  <si>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</si>
  <si>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</si>
  <si>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</si>
  <si>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</si>
  <si>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</si>
  <si>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</si>
  <si>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</si>
  <si>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</si>
  <si>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</si>
  <si>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</si>
  <si>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</si>
  <si>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</si>
  <si>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</si>
  <si>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</si>
  <si>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</si>
  <si>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</si>
  <si>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</si>
  <si>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</si>
  <si>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</si>
  <si>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</si>
  <si>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</si>
  <si>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</si>
  <si>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</si>
  <si>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</si>
  <si>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</si>
  <si>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</si>
  <si>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</si>
  <si>
    <t>04-03-00-022</t>
  </si>
  <si>
    <t>IGAC - TERRITORIAL VALLE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</si>
</sst>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7" formatCode="&quot;$&quot;\ #,##0.00;\-&quot;$&quot;\ #,##0.00"/>
    <numFmt numFmtId="41" formatCode="_-* #,##0_-;\-* #,##0_-;_-* &quot;-&quot;_-;_-@_-"/>
    <numFmt numFmtId="44" formatCode="_-&quot;$&quot;\ * #,##0.00_-;\-&quot;$&quot;\ * #,##0.00_-;_-&quot;$&quot;\ * &quot;-&quot;??_-;_-@_-"/>
    <numFmt numFmtId="164" formatCode="_-* #,##0\ &quot;€&quot;_-;\-* #,##0\ &quot;€&quot;_-;_-* &quot;-&quot;\ &quot;€&quot;_-;_-@_-"/>
    <numFmt numFmtId="165" formatCode="[$-1240A]&quot;$&quot;\ #,##0.00;\(&quot;$&quot;\ #,##0.00\)"/>
    <numFmt numFmtId="166" formatCode="&quot;$&quot;\ #,##0"/>
    <numFmt numFmtId="167" formatCode="&quot;$&quot;\ #,##0.00"/>
    <numFmt numFmtId="168" formatCode="0.0%"/>
    <numFmt numFmtId="169" formatCode="[$-1240A]&quot;$&quot;\ #,##0.00;\-&quot;$&quot;\ #,##0.00"/>
    <numFmt numFmtId="170" formatCode="[$$-240A]\ #,##0"/>
    <numFmt numFmtId="171" formatCode="_-[$$-240A]\ * #,##0_-;\-[$$-240A]\ * #,##0_-;_-[$$-240A]\ * &quot;-&quot;_-;_-@_-"/>
    <numFmt numFmtId="172" formatCode="_-&quot;$&quot;* #,##0_-;\-&quot;$&quot;* #,##0_-;_-&quot;$&quot;* &quot;-&quot;??_-;_-@_-"/>
    <numFmt numFmtId="173" formatCode="#,##0_ ;\-#,##0\ "/>
  </numFmts>
  <fonts count="32" x14ac:knownFonts="1">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
      <b/>
      <sz val="11"/>
      <color theme="0"/>
      <name val="Calibri"/>
      <family val="2"/>
      <scheme val="minor"/>
    </font>
    <font>
      <b/>
      <sz val="16"/>
      <color theme="0"/>
      <name val="Calibri"/>
      <family val="2"/>
      <scheme val="minor"/>
    </font>
    <font>
      <sz val="8"/>
      <color rgb="FF000000"/>
      <name val="Times New Roman"/>
    </font>
  </fonts>
  <fills count="28">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rgb="FFE2EFDA"/>
        <bgColor indexed="64"/>
      </patternFill>
    </fill>
    <fill>
      <patternFill patternType="solid">
        <fgColor rgb="FFFF0000"/>
        <bgColor indexed="64"/>
      </patternFill>
    </fill>
    <fill>
      <patternFill patternType="solid">
        <fgColor rgb="FFFFFFFF"/>
        <bgColor indexed="64"/>
      </patternFill>
    </fill>
  </fills>
  <borders count="3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s>
  <cellStyleXfs count="6">
    <xf numFmtId="0" fontId="0" fillId="0" borderId="0"/>
    <xf numFmtId="0" fontId="3" fillId="0" borderId="0"/>
    <xf numFmtId="164"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41" fontId="20" fillId="0" borderId="0" applyFont="0" applyFill="0" applyBorder="0" applyAlignment="0" applyProtection="0"/>
  </cellStyleXfs>
  <cellXfs count="285">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68"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6" fillId="0" borderId="1" xfId="0" applyFont="1" applyBorder="1" applyAlignment="1">
      <alignment horizontal="left" vertical="center" wrapText="1" readingOrder="1"/>
    </xf>
    <xf numFmtId="0" fontId="6" fillId="0" borderId="1" xfId="0" applyFont="1" applyBorder="1" applyAlignment="1">
      <alignment vertical="center" wrapText="1" readingOrder="1"/>
    </xf>
    <xf numFmtId="165" fontId="6" fillId="0" borderId="1" xfId="0" applyNumberFormat="1" applyFont="1" applyBorder="1" applyAlignment="1">
      <alignment horizontal="right"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169"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6"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6" fontId="16" fillId="0" borderId="14" xfId="0" applyNumberFormat="1" applyFont="1" applyBorder="1"/>
    <xf numFmtId="0" fontId="18" fillId="0" borderId="14" xfId="0" applyFont="1" applyBorder="1"/>
    <xf numFmtId="6"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6" fontId="16" fillId="0" borderId="0" xfId="0" applyNumberFormat="1" applyFont="1"/>
    <xf numFmtId="10" fontId="16" fillId="0" borderId="0" xfId="0" applyNumberFormat="1" applyFont="1" applyAlignment="1">
      <alignment horizontal="center"/>
    </xf>
    <xf numFmtId="6" fontId="0" fillId="0" borderId="0" xfId="0" applyNumberFormat="1"/>
    <xf numFmtId="0" fontId="0" fillId="0" borderId="0" xfId="0" applyAlignment="1">
      <alignment horizontal="right"/>
    </xf>
    <xf numFmtId="0" fontId="16" fillId="8" borderId="0" xfId="0" applyFont="1" applyFill="1"/>
    <xf numFmtId="6"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7"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9" fontId="0" fillId="0" borderId="26" xfId="3" applyFont="1" applyBorder="1" applyAlignment="1">
      <alignment horizontal="center"/>
    </xf>
    <xf numFmtId="0" fontId="0" fillId="0" borderId="26" xfId="0" applyBorder="1"/>
    <xf numFmtId="0" fontId="21" fillId="16" borderId="26" xfId="0" applyFont="1" applyFill="1" applyBorder="1"/>
    <xf numFmtId="170" fontId="0" fillId="0" borderId="26" xfId="2" applyNumberFormat="1" applyFont="1" applyBorder="1"/>
    <xf numFmtId="170" fontId="0" fillId="0" borderId="0" xfId="0" applyNumberFormat="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0" fontId="0" fillId="0" borderId="3" xfId="2" applyNumberFormat="1" applyFont="1" applyBorder="1"/>
    <xf numFmtId="10" fontId="0" fillId="0" borderId="3" xfId="3" applyNumberFormat="1" applyFont="1" applyBorder="1" applyAlignment="1">
      <alignment horizontal="center"/>
    </xf>
    <xf numFmtId="171" fontId="0" fillId="0" borderId="3" xfId="2" applyNumberFormat="1" applyFont="1" applyBorder="1"/>
    <xf numFmtId="0" fontId="21" fillId="16" borderId="3" xfId="0" applyFont="1" applyFill="1" applyBorder="1"/>
    <xf numFmtId="170" fontId="21" fillId="16" borderId="3" xfId="2" applyNumberFormat="1" applyFont="1" applyFill="1" applyBorder="1"/>
    <xf numFmtId="10" fontId="21" fillId="16" borderId="3" xfId="3" applyNumberFormat="1" applyFont="1" applyFill="1" applyBorder="1" applyAlignment="1">
      <alignment horizontal="center"/>
    </xf>
    <xf numFmtId="171" fontId="21" fillId="16" borderId="3" xfId="2" applyNumberFormat="1" applyFont="1" applyFill="1" applyBorder="1"/>
    <xf numFmtId="170" fontId="24" fillId="18" borderId="3" xfId="2" applyNumberFormat="1" applyFont="1" applyFill="1" applyBorder="1" applyAlignment="1">
      <alignment horizontal="center" vertical="center" wrapText="1"/>
    </xf>
    <xf numFmtId="164" fontId="24" fillId="18" borderId="3" xfId="2" applyFont="1" applyFill="1" applyBorder="1" applyAlignment="1">
      <alignment horizontal="center" vertical="center" wrapText="1"/>
    </xf>
    <xf numFmtId="0" fontId="0" fillId="0" borderId="26" xfId="0" applyBorder="1" applyAlignment="1">
      <alignment horizontal="left" vertical="center" wrapText="1"/>
    </xf>
    <xf numFmtId="170" fontId="21" fillId="16" borderId="26" xfId="2" applyNumberFormat="1" applyFont="1" applyFill="1" applyBorder="1" applyAlignment="1">
      <alignment horizontal="center"/>
    </xf>
    <xf numFmtId="0" fontId="24" fillId="18" borderId="29" xfId="0" applyFont="1" applyFill="1" applyBorder="1" applyAlignment="1">
      <alignment vertical="center"/>
    </xf>
    <xf numFmtId="3" fontId="24" fillId="18" borderId="26" xfId="0" applyNumberFormat="1" applyFont="1" applyFill="1" applyBorder="1" applyAlignment="1">
      <alignment horizontal="center"/>
    </xf>
    <xf numFmtId="0" fontId="24" fillId="18" borderId="26" xfId="0" applyFont="1" applyFill="1" applyBorder="1" applyAlignment="1">
      <alignment horizontal="center"/>
    </xf>
    <xf numFmtId="170" fontId="5" fillId="0" borderId="0" xfId="2" applyNumberFormat="1" applyFont="1"/>
    <xf numFmtId="0" fontId="0" fillId="0" borderId="0" xfId="0" applyAlignment="1">
      <alignment horizontal="left" vertical="top"/>
    </xf>
    <xf numFmtId="0" fontId="0" fillId="0" borderId="0" xfId="0" applyAlignment="1">
      <alignment horizontal="center" vertical="center" wrapText="1"/>
    </xf>
    <xf numFmtId="0" fontId="0" fillId="0" borderId="26" xfId="0" applyBorder="1" applyAlignment="1">
      <alignment vertical="center" wrapText="1"/>
    </xf>
    <xf numFmtId="0" fontId="0" fillId="17" borderId="26" xfId="0" applyFill="1" applyBorder="1" applyAlignment="1">
      <alignment horizontal="center" vertical="center" wrapText="1"/>
    </xf>
    <xf numFmtId="0" fontId="0" fillId="21"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2"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168" fontId="0" fillId="0" borderId="3" xfId="3" applyNumberFormat="1" applyFont="1" applyBorder="1" applyAlignment="1">
      <alignment horizontal="center"/>
    </xf>
    <xf numFmtId="168" fontId="21" fillId="16" borderId="3" xfId="3" applyNumberFormat="1" applyFont="1" applyFill="1" applyBorder="1" applyAlignment="1">
      <alignment horizontal="center"/>
    </xf>
    <xf numFmtId="168" fontId="0" fillId="0" borderId="26" xfId="3" applyNumberFormat="1" applyFont="1" applyBorder="1" applyAlignment="1">
      <alignment horizontal="center"/>
    </xf>
    <xf numFmtId="170" fontId="0" fillId="0" borderId="26" xfId="0" applyNumberFormat="1" applyBorder="1"/>
    <xf numFmtId="0" fontId="0" fillId="13" borderId="0" xfId="0" applyFill="1"/>
    <xf numFmtId="0" fontId="0" fillId="9" borderId="26" xfId="0" applyFill="1" applyBorder="1"/>
    <xf numFmtId="170" fontId="0" fillId="9" borderId="26" xfId="0" applyNumberFormat="1" applyFill="1" applyBorder="1"/>
    <xf numFmtId="9" fontId="0" fillId="9" borderId="26" xfId="3" applyFont="1" applyFill="1" applyBorder="1" applyAlignment="1">
      <alignment horizontal="center"/>
    </xf>
    <xf numFmtId="168" fontId="0" fillId="9" borderId="26" xfId="3" applyNumberFormat="1" applyFont="1" applyFill="1" applyBorder="1" applyAlignment="1">
      <alignment horizontal="center"/>
    </xf>
    <xf numFmtId="166" fontId="0" fillId="0" borderId="26" xfId="0" applyNumberFormat="1" applyBorder="1"/>
    <xf numFmtId="170" fontId="0" fillId="23" borderId="26" xfId="0" applyNumberFormat="1" applyFill="1" applyBorder="1"/>
    <xf numFmtId="166" fontId="0" fillId="9" borderId="26" xfId="0" applyNumberFormat="1" applyFill="1" applyBorder="1"/>
    <xf numFmtId="0" fontId="0" fillId="23" borderId="26" xfId="0" applyFill="1" applyBorder="1"/>
    <xf numFmtId="166" fontId="0" fillId="23" borderId="26" xfId="0" applyNumberFormat="1" applyFill="1" applyBorder="1"/>
    <xf numFmtId="9" fontId="0" fillId="23" borderId="26" xfId="3" applyFont="1" applyFill="1" applyBorder="1" applyAlignment="1">
      <alignment horizontal="center"/>
    </xf>
    <xf numFmtId="168" fontId="0" fillId="23" borderId="26" xfId="3" applyNumberFormat="1" applyFont="1" applyFill="1" applyBorder="1" applyAlignment="1">
      <alignment horizontal="center"/>
    </xf>
    <xf numFmtId="0" fontId="0" fillId="24" borderId="26" xfId="0" applyFill="1" applyBorder="1"/>
    <xf numFmtId="170" fontId="0" fillId="24" borderId="26" xfId="0" applyNumberFormat="1" applyFill="1" applyBorder="1"/>
    <xf numFmtId="166" fontId="0" fillId="24" borderId="26" xfId="0" applyNumberFormat="1" applyFill="1" applyBorder="1"/>
    <xf numFmtId="9" fontId="0" fillId="24" borderId="26" xfId="3" applyFont="1" applyFill="1" applyBorder="1" applyAlignment="1">
      <alignment horizontal="center"/>
    </xf>
    <xf numFmtId="168" fontId="0" fillId="24" borderId="26" xfId="3" applyNumberFormat="1" applyFont="1" applyFill="1" applyBorder="1" applyAlignment="1">
      <alignment horizontal="center"/>
    </xf>
    <xf numFmtId="0" fontId="0" fillId="25" borderId="26" xfId="0" applyFill="1" applyBorder="1"/>
    <xf numFmtId="170" fontId="0" fillId="25" borderId="26" xfId="0" applyNumberFormat="1" applyFill="1" applyBorder="1"/>
    <xf numFmtId="166" fontId="0" fillId="25" borderId="26" xfId="0" applyNumberFormat="1" applyFill="1" applyBorder="1"/>
    <xf numFmtId="9" fontId="0" fillId="25" borderId="26" xfId="3" applyFont="1" applyFill="1" applyBorder="1" applyAlignment="1">
      <alignment horizontal="center"/>
    </xf>
    <xf numFmtId="168" fontId="0" fillId="25" borderId="26" xfId="3" applyNumberFormat="1" applyFont="1" applyFill="1" applyBorder="1" applyAlignment="1">
      <alignment horizontal="center"/>
    </xf>
    <xf numFmtId="166" fontId="0" fillId="24" borderId="26" xfId="0" applyNumberFormat="1" applyFill="1" applyBorder="1" applyAlignment="1">
      <alignment wrapText="1"/>
    </xf>
    <xf numFmtId="0" fontId="0" fillId="0" borderId="0" xfId="0" applyAlignment="1">
      <alignment wrapText="1"/>
    </xf>
    <xf numFmtId="10" fontId="0" fillId="0" borderId="0" xfId="0" applyNumberFormat="1"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26" xfId="0" applyBorder="1" applyAlignment="1">
      <alignment vertical="center"/>
    </xf>
    <xf numFmtId="166" fontId="0" fillId="0" borderId="26" xfId="0" applyNumberFormat="1" applyBorder="1" applyAlignment="1">
      <alignment vertical="center"/>
    </xf>
    <xf numFmtId="10" fontId="0" fillId="0" borderId="26" xfId="0" applyNumberFormat="1" applyBorder="1"/>
    <xf numFmtId="0" fontId="29" fillId="18" borderId="26" xfId="0" applyFont="1" applyFill="1" applyBorder="1" applyAlignment="1">
      <alignment horizontal="center" vertical="center"/>
    </xf>
    <xf numFmtId="170" fontId="29" fillId="18" borderId="26" xfId="2" applyNumberFormat="1" applyFont="1" applyFill="1" applyBorder="1" applyAlignment="1">
      <alignment horizontal="center" vertical="center"/>
    </xf>
    <xf numFmtId="170" fontId="29" fillId="18" borderId="26" xfId="2" applyNumberFormat="1" applyFont="1" applyFill="1" applyBorder="1" applyAlignment="1">
      <alignment horizontal="center" vertical="center" wrapText="1"/>
    </xf>
    <xf numFmtId="10" fontId="29" fillId="18" borderId="26" xfId="0" applyNumberFormat="1" applyFont="1" applyFill="1" applyBorder="1" applyAlignment="1">
      <alignment horizontal="center" vertical="center"/>
    </xf>
    <xf numFmtId="0" fontId="0" fillId="16" borderId="26" xfId="0" applyFill="1" applyBorder="1"/>
    <xf numFmtId="170" fontId="0" fillId="16" borderId="26" xfId="0" applyNumberFormat="1" applyFill="1" applyBorder="1"/>
    <xf numFmtId="166" fontId="0" fillId="16" borderId="26" xfId="0" applyNumberFormat="1" applyFill="1" applyBorder="1"/>
    <xf numFmtId="10" fontId="0" fillId="16" borderId="26" xfId="3" applyNumberFormat="1" applyFont="1" applyFill="1" applyBorder="1" applyAlignment="1">
      <alignment horizontal="center"/>
    </xf>
    <xf numFmtId="10" fontId="0" fillId="16" borderId="26" xfId="0" applyNumberFormat="1" applyFill="1" applyBorder="1"/>
    <xf numFmtId="171" fontId="0" fillId="0" borderId="0" xfId="0" applyNumberFormat="1"/>
    <xf numFmtId="0" fontId="0" fillId="0" borderId="0" xfId="0" applyAlignment="1">
      <alignment horizontal="left" vertical="top" indent="1"/>
    </xf>
    <xf numFmtId="0" fontId="0" fillId="0" borderId="0" xfId="0" applyAlignment="1">
      <alignment horizontal="left" vertical="top" wrapText="1" indent="1"/>
    </xf>
    <xf numFmtId="0" fontId="24" fillId="18" borderId="3" xfId="0" applyFont="1" applyFill="1" applyBorder="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horizontal="center"/>
    </xf>
    <xf numFmtId="0" fontId="0" fillId="0" borderId="26" xfId="0" applyBorder="1" applyAlignment="1">
      <alignment horizontal="center" vertical="center" wrapText="1"/>
    </xf>
    <xf numFmtId="14" fontId="0" fillId="0" borderId="26" xfId="0" applyNumberFormat="1" applyBorder="1" applyAlignment="1">
      <alignment horizontal="center" vertical="center" wrapText="1"/>
    </xf>
    <xf numFmtId="3" fontId="0" fillId="0" borderId="26" xfId="0" applyNumberFormat="1" applyBorder="1" applyAlignment="1">
      <alignment horizontal="center" vertical="center" wrapText="1"/>
    </xf>
    <xf numFmtId="14" fontId="0" fillId="0" borderId="26" xfId="0" applyNumberFormat="1" applyBorder="1" applyAlignment="1">
      <alignment wrapText="1"/>
    </xf>
    <xf numFmtId="0" fontId="0" fillId="0" borderId="26" xfId="0" applyBorder="1" applyAlignment="1">
      <alignment wrapText="1"/>
    </xf>
    <xf numFmtId="10" fontId="0" fillId="0" borderId="26" xfId="0" applyNumberFormat="1" applyBorder="1" applyAlignment="1">
      <alignment horizontal="center" vertical="center" wrapText="1"/>
    </xf>
    <xf numFmtId="0" fontId="26" fillId="0" borderId="26" xfId="0" applyFont="1" applyBorder="1" applyAlignment="1">
      <alignment horizontal="left" vertical="center" wrapText="1"/>
    </xf>
    <xf numFmtId="14" fontId="0" fillId="0" borderId="26" xfId="0" applyNumberFormat="1" applyBorder="1" applyAlignment="1">
      <alignment vertical="center" wrapText="1"/>
    </xf>
    <xf numFmtId="1" fontId="26" fillId="0" borderId="26" xfId="0" applyNumberFormat="1" applyFont="1" applyBorder="1" applyAlignment="1">
      <alignment horizontal="center" vertical="center" wrapText="1"/>
    </xf>
    <xf numFmtId="10" fontId="26" fillId="0" borderId="26" xfId="0" applyNumberFormat="1" applyFont="1" applyBorder="1" applyAlignment="1">
      <alignment horizontal="center" vertical="center" wrapText="1"/>
    </xf>
    <xf numFmtId="9" fontId="0" fillId="0" borderId="26" xfId="0" applyNumberFormat="1" applyBorder="1" applyAlignment="1">
      <alignment horizontal="center" vertical="center" wrapText="1"/>
    </xf>
    <xf numFmtId="9" fontId="0" fillId="0" borderId="26" xfId="3" applyFont="1" applyBorder="1" applyAlignment="1">
      <alignment horizontal="center" vertical="center" wrapText="1"/>
    </xf>
    <xf numFmtId="10" fontId="0" fillId="0" borderId="26" xfId="0" applyNumberFormat="1" applyBorder="1" applyAlignment="1">
      <alignment vertical="center" wrapText="1"/>
    </xf>
    <xf numFmtId="3" fontId="26" fillId="0" borderId="26" xfId="0" applyNumberFormat="1" applyFont="1" applyBorder="1" applyAlignment="1">
      <alignment horizontal="center" vertical="center" wrapText="1"/>
    </xf>
    <xf numFmtId="3" fontId="26" fillId="0" borderId="26" xfId="3" applyNumberFormat="1" applyFont="1" applyFill="1" applyBorder="1" applyAlignment="1">
      <alignment horizontal="center" vertical="center" wrapText="1"/>
    </xf>
    <xf numFmtId="0" fontId="0" fillId="0" borderId="27" xfId="0" applyBorder="1" applyAlignment="1">
      <alignment vertical="center" wrapText="1"/>
    </xf>
    <xf numFmtId="0" fontId="0" fillId="0" borderId="3" xfId="0" applyBorder="1" applyAlignment="1">
      <alignment vertical="center" wrapText="1"/>
    </xf>
    <xf numFmtId="3" fontId="0" fillId="0" borderId="26" xfId="0" applyNumberFormat="1"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31"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0" fontId="31" fillId="0" borderId="1" xfId="0" applyFont="1" applyBorder="1" applyAlignment="1">
      <alignment vertical="center" wrapText="1" readingOrder="1"/>
    </xf>
    <xf numFmtId="169" fontId="31" fillId="0" borderId="1" xfId="0" applyNumberFormat="1" applyFont="1" applyBorder="1" applyAlignment="1">
      <alignment horizontal="right" vertical="center" wrapText="1" readingOrder="1"/>
    </xf>
    <xf numFmtId="0" fontId="0" fillId="27" borderId="3" xfId="0" applyFill="1" applyBorder="1"/>
    <xf numFmtId="170" fontId="0" fillId="27" borderId="3" xfId="2" applyNumberFormat="1" applyFont="1" applyFill="1" applyBorder="1"/>
    <xf numFmtId="10" fontId="0" fillId="27" borderId="3" xfId="3" applyNumberFormat="1" applyFont="1" applyFill="1" applyBorder="1" applyAlignment="1">
      <alignment horizontal="center"/>
    </xf>
    <xf numFmtId="171" fontId="0" fillId="27" borderId="3" xfId="2" applyNumberFormat="1" applyFont="1" applyFill="1" applyBorder="1"/>
    <xf numFmtId="168" fontId="0" fillId="27" borderId="3" xfId="3" applyNumberFormat="1" applyFont="1" applyFill="1" applyBorder="1" applyAlignment="1">
      <alignment horizontal="center"/>
    </xf>
    <xf numFmtId="0" fontId="0" fillId="27" borderId="0" xfId="0" applyFill="1"/>
    <xf numFmtId="9" fontId="1" fillId="0" borderId="26" xfId="3" applyFont="1" applyFill="1" applyBorder="1" applyAlignment="1">
      <alignment horizontal="center" vertical="center" wrapText="1"/>
    </xf>
    <xf numFmtId="10" fontId="1" fillId="0" borderId="26" xfId="3" applyNumberFormat="1" applyFont="1" applyFill="1" applyBorder="1" applyAlignment="1">
      <alignment horizontal="center" vertical="center" wrapText="1"/>
    </xf>
    <xf numFmtId="3" fontId="1" fillId="0" borderId="26" xfId="5" applyNumberFormat="1" applyFont="1" applyFill="1" applyBorder="1" applyAlignment="1">
      <alignment horizontal="center" vertical="center" wrapText="1"/>
    </xf>
    <xf numFmtId="173" fontId="1" fillId="0" borderId="26" xfId="5" applyNumberFormat="1" applyFont="1" applyFill="1" applyBorder="1" applyAlignment="1">
      <alignment horizontal="center" vertical="center" wrapText="1"/>
    </xf>
    <xf numFmtId="41" fontId="1" fillId="0" borderId="26" xfId="5" applyFont="1" applyFill="1" applyBorder="1" applyAlignment="1">
      <alignment horizontal="center" vertical="center" wrapText="1"/>
    </xf>
    <xf numFmtId="0" fontId="1" fillId="0" borderId="26" xfId="5" applyNumberFormat="1" applyFont="1" applyFill="1" applyBorder="1" applyAlignment="1">
      <alignment horizontal="center" vertical="center" wrapText="1"/>
    </xf>
    <xf numFmtId="0" fontId="1" fillId="0" borderId="26" xfId="3" applyNumberFormat="1" applyFont="1" applyFill="1" applyBorder="1" applyAlignment="1">
      <alignment horizontal="center" vertical="center" wrapText="1"/>
    </xf>
    <xf numFmtId="3" fontId="1" fillId="0" borderId="26" xfId="3" applyNumberFormat="1" applyFont="1" applyFill="1" applyBorder="1" applyAlignment="1">
      <alignment horizontal="center" vertical="center" wrapText="1"/>
    </xf>
    <xf numFmtId="0" fontId="23" fillId="18" borderId="0" xfId="4" applyFont="1" applyFill="1" applyAlignment="1">
      <alignment horizontal="center"/>
    </xf>
    <xf numFmtId="0" fontId="0" fillId="0" borderId="26" xfId="0" applyBorder="1" applyAlignment="1">
      <alignment horizontal="center" vertical="center" wrapText="1"/>
    </xf>
    <xf numFmtId="0" fontId="19" fillId="18" borderId="31" xfId="0" applyFont="1" applyFill="1" applyBorder="1" applyAlignment="1">
      <alignment horizontal="center" vertical="center" wrapText="1"/>
    </xf>
    <xf numFmtId="0" fontId="19" fillId="18" borderId="32" xfId="0" applyFont="1" applyFill="1" applyBorder="1" applyAlignment="1">
      <alignment horizontal="center" vertical="center" wrapText="1"/>
    </xf>
    <xf numFmtId="0" fontId="19" fillId="18" borderId="33" xfId="0" applyFont="1" applyFill="1" applyBorder="1" applyAlignment="1">
      <alignment horizontal="center" vertical="center" wrapText="1"/>
    </xf>
    <xf numFmtId="0" fontId="30" fillId="18" borderId="0" xfId="0" applyFont="1" applyFill="1" applyAlignment="1">
      <alignment horizontal="center" wrapText="1"/>
    </xf>
    <xf numFmtId="0" fontId="24" fillId="18" borderId="3"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0" fillId="19" borderId="4" xfId="0" applyFill="1" applyBorder="1" applyAlignment="1">
      <alignment horizontal="center" vertical="center"/>
    </xf>
    <xf numFmtId="0" fontId="0" fillId="19" borderId="37" xfId="0" applyFill="1" applyBorder="1" applyAlignment="1">
      <alignment horizontal="center" vertical="center"/>
    </xf>
    <xf numFmtId="0" fontId="0" fillId="19" borderId="6" xfId="0" applyFill="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26" borderId="31" xfId="0" applyFill="1" applyBorder="1" applyAlignment="1">
      <alignment horizontal="center" vertical="center" wrapText="1"/>
    </xf>
    <xf numFmtId="0" fontId="0" fillId="26" borderId="32" xfId="0" applyFill="1" applyBorder="1" applyAlignment="1">
      <alignment horizontal="center" vertical="center" wrapText="1"/>
    </xf>
    <xf numFmtId="0" fontId="0" fillId="26" borderId="33" xfId="0" applyFill="1" applyBorder="1" applyAlignment="1">
      <alignment horizontal="center" vertical="center" wrapText="1"/>
    </xf>
    <xf numFmtId="0" fontId="2" fillId="2" borderId="0" xfId="0" applyFont="1" applyFill="1" applyAlignment="1">
      <alignment horizontal="center"/>
    </xf>
    <xf numFmtId="0" fontId="2" fillId="2" borderId="0" xfId="0" applyFont="1" applyFill="1" applyAlignment="1">
      <alignment horizontal="center" vertical="center"/>
    </xf>
    <xf numFmtId="0" fontId="21" fillId="20" borderId="28" xfId="0" applyFont="1" applyFill="1" applyBorder="1" applyAlignment="1">
      <alignment horizontal="center"/>
    </xf>
    <xf numFmtId="0" fontId="21" fillId="20" borderId="30" xfId="0" applyFont="1" applyFill="1" applyBorder="1" applyAlignment="1">
      <alignment horizontal="center"/>
    </xf>
    <xf numFmtId="0" fontId="21" fillId="20" borderId="27" xfId="0" applyFont="1" applyFill="1" applyBorder="1" applyAlignment="1">
      <alignment horizontal="center"/>
    </xf>
    <xf numFmtId="0" fontId="21" fillId="21" borderId="28" xfId="0" applyFont="1" applyFill="1" applyBorder="1" applyAlignment="1">
      <alignment horizontal="center"/>
    </xf>
    <xf numFmtId="0" fontId="21" fillId="21" borderId="30" xfId="0" applyFont="1" applyFill="1" applyBorder="1" applyAlignment="1">
      <alignment horizontal="center"/>
    </xf>
    <xf numFmtId="0" fontId="21" fillId="21" borderId="27" xfId="0" applyFont="1" applyFill="1" applyBorder="1" applyAlignment="1">
      <alignment horizontal="center"/>
    </xf>
    <xf numFmtId="0" fontId="21" fillId="9" borderId="28" xfId="0" applyFont="1" applyFill="1" applyBorder="1" applyAlignment="1">
      <alignment horizontal="center"/>
    </xf>
    <xf numFmtId="0" fontId="21" fillId="9" borderId="30" xfId="0" applyFont="1" applyFill="1" applyBorder="1" applyAlignment="1">
      <alignment horizontal="center"/>
    </xf>
    <xf numFmtId="0" fontId="21" fillId="9" borderId="27" xfId="0" applyFont="1" applyFill="1" applyBorder="1" applyAlignment="1">
      <alignment horizontal="center"/>
    </xf>
    <xf numFmtId="0" fontId="21" fillId="14" borderId="28" xfId="0" applyFont="1" applyFill="1" applyBorder="1" applyAlignment="1">
      <alignment horizontal="center"/>
    </xf>
    <xf numFmtId="0" fontId="21" fillId="14" borderId="30" xfId="0" applyFont="1" applyFill="1" applyBorder="1" applyAlignment="1">
      <alignment horizontal="center"/>
    </xf>
    <xf numFmtId="0" fontId="21" fillId="14" borderId="27"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xf numFmtId="0" fontId="0" fillId="0" borderId="0" xfId="0" applyNumberFormat="1"/>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113">
    <dxf>
      <alignment horizontal="center" readingOrder="0"/>
    </dxf>
    <dxf>
      <numFmt numFmtId="166" formatCode="&quot;$&quot;\ #,##0"/>
    </dxf>
    <dxf>
      <numFmt numFmtId="166" formatCode="&quot;$&quot;\ #,##0"/>
    </dxf>
    <dxf>
      <numFmt numFmtId="166" formatCode="&quot;$&quot;\ #,##0"/>
    </dxf>
    <dxf>
      <numFmt numFmtId="166" formatCode="&quot;$&quot;\ #,##0"/>
    </dxf>
    <dxf>
      <alignment horizontal="center" readingOrder="0"/>
    </dxf>
    <dxf>
      <numFmt numFmtId="166" formatCode="&quot;$&quot;\ #,##0"/>
    </dxf>
    <dxf>
      <numFmt numFmtId="166" formatCode="&quot;$&quot;\ #,##0"/>
    </dxf>
    <dxf>
      <numFmt numFmtId="166" formatCode="&quot;$&quot;\ #,##0"/>
    </dxf>
    <dxf>
      <numFmt numFmtId="166" formatCode="&quot;$&quot;\ #,##0"/>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alignment horizontal="center" readingOrder="0"/>
    </dxf>
    <dxf>
      <font>
        <color theme="0"/>
      </font>
    </dxf>
    <dxf>
      <alignment horizontal="center" readingOrder="0"/>
    </dxf>
    <dxf>
      <font>
        <color theme="0"/>
      </font>
    </dxf>
    <dxf>
      <alignment wrapText="1"/>
    </dxf>
    <dxf>
      <alignment vertical="top"/>
    </dxf>
    <dxf>
      <alignment vertical="top"/>
    </dxf>
    <dxf>
      <alignment wrapText="1"/>
    </dxf>
    <dxf>
      <alignment horizontal="center"/>
    </dxf>
    <dxf>
      <alignment vertical="center"/>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numFmt numFmtId="14" formatCode="0.00%"/>
    </dxf>
    <dxf>
      <numFmt numFmtId="3" formatCode="#,##0"/>
    </dxf>
    <dxf>
      <numFmt numFmtId="14" formatCode="0.00%"/>
    </dxf>
    <dxf>
      <numFmt numFmtId="3" formatCode="#,##0"/>
    </dxf>
    <dxf>
      <alignment horizontal="center"/>
    </dxf>
    <dxf>
      <alignment horizontal="center"/>
    </dxf>
    <dxf>
      <alignment vertical="center"/>
    </dxf>
    <dxf>
      <alignment vertical="center"/>
    </dxf>
    <dxf>
      <alignment horizontal="center"/>
    </dxf>
    <dxf>
      <alignment horizontal="center"/>
    </dxf>
    <dxf>
      <numFmt numFmtId="166" formatCode="&quot;$&quot;\ #,##0"/>
    </dxf>
    <dxf>
      <numFmt numFmtId="166" formatCode="&quot;$&quot;\ #,##0"/>
    </dxf>
    <dxf>
      <numFmt numFmtId="166" formatCode="&quot;$&quot;\ #,##0"/>
    </dxf>
    <dxf>
      <numFmt numFmtId="166" formatCode="&quot;$&quot;\ #,##0"/>
    </dxf>
    <dxf>
      <alignment horizontal="center" readingOrder="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vertical="center"/>
    </dxf>
    <dxf>
      <alignment horizontal="center"/>
    </dxf>
    <dxf>
      <alignment wrapText="1"/>
    </dxf>
    <dxf>
      <alignment vertical="top"/>
    </dxf>
    <dxf>
      <alignment vertical="top"/>
    </dxf>
    <dxf>
      <alignment wrapText="1"/>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1.xml"/><Relationship Id="rId47" Type="http://schemas.microsoft.com/office/2007/relationships/slicerCache" Target="slicerCaches/slicerCache6.xml"/><Relationship Id="rId50" Type="http://schemas.microsoft.com/office/2007/relationships/slicerCache" Target="slicerCaches/slicerCache9.xml"/><Relationship Id="rId55" Type="http://schemas.microsoft.com/office/2007/relationships/slicerCache" Target="slicerCaches/slicerCache14.xml"/><Relationship Id="rId63" Type="http://schemas.microsoft.com/office/2007/relationships/slicerCache" Target="slicerCaches/slicerCache22.xml"/><Relationship Id="rId68" Type="http://schemas.microsoft.com/office/2007/relationships/slicerCache" Target="slicerCaches/slicerCache27.xml"/><Relationship Id="rId76" Type="http://schemas.microsoft.com/office/2007/relationships/slicerCache" Target="slicerCaches/slicerCache35.xml"/><Relationship Id="rId84" Type="http://schemas.openxmlformats.org/officeDocument/2006/relationships/sharedStrings" Target="sharedStrings.xml"/><Relationship Id="rId7" Type="http://schemas.openxmlformats.org/officeDocument/2006/relationships/worksheet" Target="worksheets/sheet7.xml"/><Relationship Id="rId71" Type="http://schemas.microsoft.com/office/2007/relationships/slicerCache" Target="slicerCaches/slicerCache3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microsoft.com/office/2007/relationships/slicerCache" Target="slicerCaches/slicerCache25.xml"/><Relationship Id="rId74" Type="http://schemas.microsoft.com/office/2007/relationships/slicerCache" Target="slicerCaches/slicerCache33.xml"/><Relationship Id="rId79" Type="http://schemas.microsoft.com/office/2007/relationships/slicerCache" Target="slicerCaches/slicerCache38.xml"/><Relationship Id="rId5" Type="http://schemas.openxmlformats.org/officeDocument/2006/relationships/worksheet" Target="worksheets/sheet5.xml"/><Relationship Id="rId61" Type="http://schemas.microsoft.com/office/2007/relationships/slicerCache" Target="slicerCaches/slicerCache20.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microsoft.com/office/2007/relationships/slicerCache" Target="slicerCaches/slicerCache28.xml"/><Relationship Id="rId77" Type="http://schemas.microsoft.com/office/2007/relationships/slicerCache" Target="slicerCaches/slicerCache36.xml"/><Relationship Id="rId8" Type="http://schemas.openxmlformats.org/officeDocument/2006/relationships/worksheet" Target="worksheets/sheet8.xml"/><Relationship Id="rId51" Type="http://schemas.microsoft.com/office/2007/relationships/slicerCache" Target="slicerCaches/slicerCache10.xml"/><Relationship Id="rId72" Type="http://schemas.microsoft.com/office/2007/relationships/slicerCache" Target="slicerCaches/slicerCache31.xml"/><Relationship Id="rId80" Type="http://schemas.microsoft.com/office/2007/relationships/slicerCache" Target="slicerCaches/slicerCache3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microsoft.com/office/2007/relationships/slicerCache" Target="slicerCaches/slicerCache5.xml"/><Relationship Id="rId59" Type="http://schemas.microsoft.com/office/2007/relationships/slicerCache" Target="slicerCaches/slicerCache18.xml"/><Relationship Id="rId67" Type="http://schemas.microsoft.com/office/2007/relationships/slicerCache" Target="slicerCaches/slicerCache26.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13.xml"/><Relationship Id="rId62" Type="http://schemas.microsoft.com/office/2007/relationships/slicerCache" Target="slicerCaches/slicerCache21.xml"/><Relationship Id="rId70" Type="http://schemas.microsoft.com/office/2007/relationships/slicerCache" Target="slicerCaches/slicerCache29.xml"/><Relationship Id="rId75" Type="http://schemas.microsoft.com/office/2007/relationships/slicerCache" Target="slicerCaches/slicerCache3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microsoft.com/office/2007/relationships/slicerCache" Target="slicerCaches/slicerCache32.xml"/><Relationship Id="rId78" Type="http://schemas.microsoft.com/office/2007/relationships/slicerCache" Target="slicerCaches/slicerCache37.xml"/><Relationship Id="rId81" Type="http://schemas.microsoft.com/office/2007/relationships/slicerCache" Target="slicerCaches/slicerCache40.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8.3480140153771032E-2</c:v>
                </c:pt>
                <c:pt idx="1">
                  <c:v>0.91651985984622897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"$"#,##0_);[Red]\("$"#,##0\)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"$"#,##0_);[Red]\("$"#,##0\)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"$"#,##0_);[Red]\("$"#,##0\)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0.12096650466779679</c:v>
                </c:pt>
                <c:pt idx="1">
                  <c:v>0.87903349533220321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0.19632985836355155</c:v>
                </c:pt>
                <c:pt idx="1">
                  <c:v>0.80367014163644845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0.19640899858046068</c:v>
                </c:pt>
                <c:pt idx="1">
                  <c:v>0.80359100141953932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0.41320051780939682</c:v>
                </c:pt>
                <c:pt idx="1">
                  <c:v>0.58679948219060318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0.54092587866243624</c:v>
                </c:pt>
                <c:pt idx="1">
                  <c:v>0.4590741213375637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0.66101676542993371</c:v>
                </c:pt>
                <c:pt idx="1">
                  <c:v>0.33898323457006635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0.66604244519645162</c:v>
                </c:pt>
                <c:pt idx="1">
                  <c:v>0.33395755480354838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6377571126.6199999</c:v>
                </c:pt>
                <c:pt idx="1">
                  <c:v>6099299686.6199999</c:v>
                </c:pt>
                <c:pt idx="2">
                  <c:v>5198018070.2799997</c:v>
                </c:pt>
                <c:pt idx="3">
                  <c:v>5103699968.2799997</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31253817809.709999</c:v>
                </c:pt>
                <c:pt idx="1">
                  <c:v>27058109778.950001</c:v>
                </c:pt>
                <c:pt idx="2">
                  <c:v>20087061727.119999</c:v>
                </c:pt>
                <c:pt idx="3">
                  <c:v>19300458066.119999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380135</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758031</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758031</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6</xdr:col>
      <xdr:colOff>457200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6</xdr:col>
      <xdr:colOff>457200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273846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532636</xdr:colOff>
      <xdr:row>0</xdr:row>
      <xdr:rowOff>127000</xdr:rowOff>
    </xdr:from>
    <xdr:to>
      <xdr:col>7</xdr:col>
      <xdr:colOff>256118</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350309</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95250</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1494017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643911</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902701</xdr:colOff>
      <xdr:row>0</xdr:row>
      <xdr:rowOff>127000</xdr:rowOff>
    </xdr:from>
    <xdr:to>
      <xdr:col>9</xdr:col>
      <xdr:colOff>308329</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370417</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1428750</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931333</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303390</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603825</xdr:colOff>
      <xdr:row>0</xdr:row>
      <xdr:rowOff>86398</xdr:rowOff>
    </xdr:from>
    <xdr:to>
      <xdr:col>3</xdr:col>
      <xdr:colOff>656171</xdr:colOff>
      <xdr:row>3</xdr:row>
      <xdr:rowOff>153735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3093228C-EAB6-4EE2-A497-5EC98F4AAECB}"/>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36658" y="86398"/>
          <a:ext cx="3174430" cy="67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42334</xdr:colOff>
      <xdr:row>0</xdr:row>
      <xdr:rowOff>76740</xdr:rowOff>
    </xdr:from>
    <xdr:to>
      <xdr:col>1</xdr:col>
      <xdr:colOff>507576</xdr:colOff>
      <xdr:row>3</xdr:row>
      <xdr:rowOff>132241</xdr:rowOff>
    </xdr:to>
    <xdr:pic>
      <xdr:nvPicPr>
        <xdr:cNvPr id="3" name="Imagen 2">
          <a:hlinkClick xmlns:r="http://schemas.openxmlformats.org/officeDocument/2006/relationships" r:id="rId1"/>
          <a:extLst>
            <a:ext uri="{FF2B5EF4-FFF2-40B4-BE49-F238E27FC236}">
              <a16:creationId xmlns:a16="http://schemas.microsoft.com/office/drawing/2014/main" id="{6A371789-9D7D-4AE1-B483-54D88555287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75167" y="76740"/>
          <a:ext cx="465242" cy="658751"/>
        </a:xfrm>
        <a:prstGeom prst="rect">
          <a:avLst/>
        </a:prstGeom>
      </xdr:spPr>
    </xdr:pic>
    <xdr:clientData/>
  </xdr:twoCellAnchor>
  <xdr:twoCellAnchor editAs="absolute">
    <xdr:from>
      <xdr:col>3</xdr:col>
      <xdr:colOff>731325</xdr:colOff>
      <xdr:row>0</xdr:row>
      <xdr:rowOff>95249</xdr:rowOff>
    </xdr:from>
    <xdr:to>
      <xdr:col>12</xdr:col>
      <xdr:colOff>1316831</xdr:colOff>
      <xdr:row>3</xdr:row>
      <xdr:rowOff>161599</xdr:rowOff>
    </xdr:to>
    <xdr:sp macro="" textlink="">
      <xdr:nvSpPr>
        <xdr:cNvPr id="4" name="Rectángulo 3">
          <a:extLst>
            <a:ext uri="{FF2B5EF4-FFF2-40B4-BE49-F238E27FC236}">
              <a16:creationId xmlns:a16="http://schemas.microsoft.com/office/drawing/2014/main" id="{4F8161BF-5918-4E43-8274-A89776287C36}"/>
            </a:ext>
          </a:extLst>
        </xdr:cNvPr>
        <xdr:cNvSpPr/>
      </xdr:nvSpPr>
      <xdr:spPr>
        <a:xfrm>
          <a:off x="4086242" y="95249"/>
          <a:ext cx="9598008" cy="6696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Comité</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Reducido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1</xdr:col>
      <xdr:colOff>4429923</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1</xdr:col>
      <xdr:colOff>4688712</xdr:colOff>
      <xdr:row>0</xdr:row>
      <xdr:rowOff>171450</xdr:rowOff>
    </xdr:from>
    <xdr:to>
      <xdr:col>8</xdr:col>
      <xdr:colOff>200023</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4</xdr:col>
      <xdr:colOff>785813</xdr:colOff>
      <xdr:row>135</xdr:row>
      <xdr:rowOff>11906</xdr:rowOff>
    </xdr:from>
    <xdr:to>
      <xdr:col>7</xdr:col>
      <xdr:colOff>333375</xdr:colOff>
      <xdr:row>148</xdr:row>
      <xdr:rowOff>47624</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8524876" y="27336750"/>
              <a:ext cx="2047874"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135</xdr:row>
      <xdr:rowOff>0</xdr:rowOff>
    </xdr:from>
    <xdr:to>
      <xdr:col>10</xdr:col>
      <xdr:colOff>703106</xdr:colOff>
      <xdr:row>148</xdr:row>
      <xdr:rowOff>35718</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10751344" y="273248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526257</xdr:colOff>
      <xdr:row>119</xdr:row>
      <xdr:rowOff>0</xdr:rowOff>
    </xdr:from>
    <xdr:to>
      <xdr:col>10</xdr:col>
      <xdr:colOff>717394</xdr:colOff>
      <xdr:row>132</xdr:row>
      <xdr:rowOff>35718</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10765632" y="240863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119</xdr:row>
      <xdr:rowOff>0</xdr:rowOff>
    </xdr:from>
    <xdr:to>
      <xdr:col>7</xdr:col>
      <xdr:colOff>319092</xdr:colOff>
      <xdr:row>132</xdr:row>
      <xdr:rowOff>35718</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8524876" y="24086344"/>
              <a:ext cx="2033591"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524382</xdr:colOff>
      <xdr:row>103</xdr:row>
      <xdr:rowOff>2382</xdr:rowOff>
    </xdr:from>
    <xdr:to>
      <xdr:col>10</xdr:col>
      <xdr:colOff>715519</xdr:colOff>
      <xdr:row>116</xdr:row>
      <xdr:rowOff>38100</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10763757" y="20850226"/>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103</xdr:row>
      <xdr:rowOff>2382</xdr:rowOff>
    </xdr:from>
    <xdr:to>
      <xdr:col>7</xdr:col>
      <xdr:colOff>319504</xdr:colOff>
      <xdr:row>116</xdr:row>
      <xdr:rowOff>38100</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8524876" y="20850226"/>
              <a:ext cx="2034003"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535783</xdr:colOff>
      <xdr:row>88</xdr:row>
      <xdr:rowOff>0</xdr:rowOff>
    </xdr:from>
    <xdr:to>
      <xdr:col>10</xdr:col>
      <xdr:colOff>726920</xdr:colOff>
      <xdr:row>100</xdr:row>
      <xdr:rowOff>11906</xdr:rowOff>
    </xdr:to>
    <mc:AlternateContent xmlns:mc="http://schemas.openxmlformats.org/markup-compatibility/2006" xmlns:a14="http://schemas.microsoft.com/office/drawing/2010/main">
      <mc:Choice Requires="a14">
        <xdr:graphicFrame macro="">
          <xdr:nvGraphicFramePr>
            <xdr:cNvPr id="11" name="FUENTE DE LOS RECURSOS 3">
              <a:extLst>
                <a:ext uri="{FF2B5EF4-FFF2-40B4-BE49-F238E27FC236}">
                  <a16:creationId xmlns:a16="http://schemas.microsoft.com/office/drawing/2014/main" id="{793B6181-E580-4F86-BFBE-A92E5B645F16}"/>
                </a:ext>
              </a:extLst>
            </xdr:cNvPr>
            <xdr:cNvGraphicFramePr/>
          </xdr:nvGraphicFramePr>
          <xdr:xfrm>
            <a:off x="0" y="0"/>
            <a:ext cx="0" cy="0"/>
          </xdr:xfrm>
          <a:graphic>
            <a:graphicData uri="http://schemas.microsoft.com/office/drawing/2010/slicer">
              <sle:slicer xmlns:sle="http://schemas.microsoft.com/office/drawing/2010/slicer" name="FUENTE DE LOS RECURSOS 3"/>
            </a:graphicData>
          </a:graphic>
        </xdr:graphicFrame>
      </mc:Choice>
      <mc:Fallback xmlns="">
        <xdr:sp macro="" textlink="">
          <xdr:nvSpPr>
            <xdr:cNvPr id="0" name=""/>
            <xdr:cNvSpPr>
              <a:spLocks noTextEdit="1"/>
            </xdr:cNvSpPr>
          </xdr:nvSpPr>
          <xdr:spPr>
            <a:xfrm>
              <a:off x="10775158" y="17811750"/>
              <a:ext cx="269145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88</xdr:row>
      <xdr:rowOff>0</xdr:rowOff>
    </xdr:from>
    <xdr:to>
      <xdr:col>7</xdr:col>
      <xdr:colOff>280991</xdr:colOff>
      <xdr:row>100</xdr:row>
      <xdr:rowOff>11906</xdr:rowOff>
    </xdr:to>
    <mc:AlternateContent xmlns:mc="http://schemas.openxmlformats.org/markup-compatibility/2006" xmlns:a14="http://schemas.microsoft.com/office/drawing/2010/main">
      <mc:Choice Requires="a14">
        <xdr:graphicFrame macro="">
          <xdr:nvGraphicFramePr>
            <xdr:cNvPr id="12" name="Tipo de Recurso 3">
              <a:extLst>
                <a:ext uri="{FF2B5EF4-FFF2-40B4-BE49-F238E27FC236}">
                  <a16:creationId xmlns:a16="http://schemas.microsoft.com/office/drawing/2014/main" id="{F3A04D78-B8F6-4613-BF39-3CBCC9772AD3}"/>
                </a:ext>
              </a:extLst>
            </xdr:cNvPr>
            <xdr:cNvGraphicFramePr/>
          </xdr:nvGraphicFramePr>
          <xdr:xfrm>
            <a:off x="0" y="0"/>
            <a:ext cx="0" cy="0"/>
          </xdr:xfrm>
          <a:graphic>
            <a:graphicData uri="http://schemas.microsoft.com/office/drawing/2010/slicer">
              <sle:slicer xmlns:sle="http://schemas.microsoft.com/office/drawing/2010/slicer" name="Tipo de Recurso 3"/>
            </a:graphicData>
          </a:graphic>
        </xdr:graphicFrame>
      </mc:Choice>
      <mc:Fallback xmlns="">
        <xdr:sp macro="" textlink="">
          <xdr:nvSpPr>
            <xdr:cNvPr id="0" name=""/>
            <xdr:cNvSpPr>
              <a:spLocks noTextEdit="1"/>
            </xdr:cNvSpPr>
          </xdr:nvSpPr>
          <xdr:spPr>
            <a:xfrm>
              <a:off x="8524876" y="17811750"/>
              <a:ext cx="199549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72</xdr:row>
      <xdr:rowOff>166687</xdr:rowOff>
    </xdr:from>
    <xdr:to>
      <xdr:col>10</xdr:col>
      <xdr:colOff>726918</xdr:colOff>
      <xdr:row>84</xdr:row>
      <xdr:rowOff>190500</xdr:rowOff>
    </xdr:to>
    <mc:AlternateContent xmlns:mc="http://schemas.openxmlformats.org/markup-compatibility/2006" xmlns:a14="http://schemas.microsoft.com/office/drawing/2010/main">
      <mc:Choice Requires="a14">
        <xdr:graphicFrame macro="">
          <xdr:nvGraphicFramePr>
            <xdr:cNvPr id="15" name="FUENTE DE LOS RECURSOS 4">
              <a:extLst>
                <a:ext uri="{FF2B5EF4-FFF2-40B4-BE49-F238E27FC236}">
                  <a16:creationId xmlns:a16="http://schemas.microsoft.com/office/drawing/2014/main" id="{B9246804-4B98-447A-8CD9-EA0741C0C5C9}"/>
                </a:ext>
              </a:extLst>
            </xdr:cNvPr>
            <xdr:cNvGraphicFramePr/>
          </xdr:nvGraphicFramePr>
          <xdr:xfrm>
            <a:off x="0" y="0"/>
            <a:ext cx="0" cy="0"/>
          </xdr:xfrm>
          <a:graphic>
            <a:graphicData uri="http://schemas.microsoft.com/office/drawing/2010/slicer">
              <sle:slicer xmlns:sle="http://schemas.microsoft.com/office/drawing/2010/slicer" name="FUENTE DE LOS RECURSOS 4"/>
            </a:graphicData>
          </a:graphic>
        </xdr:graphicFrame>
      </mc:Choice>
      <mc:Fallback xmlns="">
        <xdr:sp macro="" textlink="">
          <xdr:nvSpPr>
            <xdr:cNvPr id="0" name=""/>
            <xdr:cNvSpPr>
              <a:spLocks noTextEdit="1"/>
            </xdr:cNvSpPr>
          </xdr:nvSpPr>
          <xdr:spPr>
            <a:xfrm>
              <a:off x="10775156" y="14739937"/>
              <a:ext cx="2691450" cy="24526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72</xdr:row>
      <xdr:rowOff>166687</xdr:rowOff>
    </xdr:from>
    <xdr:to>
      <xdr:col>7</xdr:col>
      <xdr:colOff>273844</xdr:colOff>
      <xdr:row>84</xdr:row>
      <xdr:rowOff>178593</xdr:rowOff>
    </xdr:to>
    <mc:AlternateContent xmlns:mc="http://schemas.openxmlformats.org/markup-compatibility/2006" xmlns:a14="http://schemas.microsoft.com/office/drawing/2010/main">
      <mc:Choice Requires="a14">
        <xdr:graphicFrame macro="">
          <xdr:nvGraphicFramePr>
            <xdr:cNvPr id="16" name="Tipo de Recurso 4">
              <a:extLst>
                <a:ext uri="{FF2B5EF4-FFF2-40B4-BE49-F238E27FC236}">
                  <a16:creationId xmlns:a16="http://schemas.microsoft.com/office/drawing/2014/main" id="{9B9B02CF-27FF-4407-B761-05FB5DE25A96}"/>
                </a:ext>
              </a:extLst>
            </xdr:cNvPr>
            <xdr:cNvGraphicFramePr/>
          </xdr:nvGraphicFramePr>
          <xdr:xfrm>
            <a:off x="0" y="0"/>
            <a:ext cx="0" cy="0"/>
          </xdr:xfrm>
          <a:graphic>
            <a:graphicData uri="http://schemas.microsoft.com/office/drawing/2010/slicer">
              <sle:slicer xmlns:sle="http://schemas.microsoft.com/office/drawing/2010/slicer" name="Tipo de Recurso 4"/>
            </a:graphicData>
          </a:graphic>
        </xdr:graphicFrame>
      </mc:Choice>
      <mc:Fallback xmlns="">
        <xdr:sp macro="" textlink="">
          <xdr:nvSpPr>
            <xdr:cNvPr id="0" name=""/>
            <xdr:cNvSpPr>
              <a:spLocks noTextEdit="1"/>
            </xdr:cNvSpPr>
          </xdr:nvSpPr>
          <xdr:spPr>
            <a:xfrm>
              <a:off x="8524876" y="14739937"/>
              <a:ext cx="1988343"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535180</xdr:colOff>
      <xdr:row>57</xdr:row>
      <xdr:rowOff>179681</xdr:rowOff>
    </xdr:from>
    <xdr:to>
      <xdr:col>10</xdr:col>
      <xdr:colOff>726317</xdr:colOff>
      <xdr:row>70</xdr:row>
      <xdr:rowOff>0</xdr:rowOff>
    </xdr:to>
    <mc:AlternateContent xmlns:mc="http://schemas.openxmlformats.org/markup-compatibility/2006" xmlns:a14="http://schemas.microsoft.com/office/drawing/2010/main">
      <mc:Choice Requires="a14">
        <xdr:graphicFrame macro="">
          <xdr:nvGraphicFramePr>
            <xdr:cNvPr id="13" name="FUENTE DE LOS RECURSOS 5">
              <a:extLst>
                <a:ext uri="{FF2B5EF4-FFF2-40B4-BE49-F238E27FC236}">
                  <a16:creationId xmlns:a16="http://schemas.microsoft.com/office/drawing/2014/main" id="{95FD1722-B4B0-49C1-B2AA-90E1177C2F11}"/>
                </a:ext>
              </a:extLst>
            </xdr:cNvPr>
            <xdr:cNvGraphicFramePr/>
          </xdr:nvGraphicFramePr>
          <xdr:xfrm>
            <a:off x="0" y="0"/>
            <a:ext cx="0" cy="0"/>
          </xdr:xfrm>
          <a:graphic>
            <a:graphicData uri="http://schemas.microsoft.com/office/drawing/2010/slicer">
              <sle:slicer xmlns:sle="http://schemas.microsoft.com/office/drawing/2010/slicer" name="FUENTE DE LOS RECURSOS 5"/>
            </a:graphicData>
          </a:graphic>
        </xdr:graphicFrame>
      </mc:Choice>
      <mc:Fallback xmlns="">
        <xdr:sp macro="" textlink="">
          <xdr:nvSpPr>
            <xdr:cNvPr id="0" name=""/>
            <xdr:cNvSpPr>
              <a:spLocks noTextEdit="1"/>
            </xdr:cNvSpPr>
          </xdr:nvSpPr>
          <xdr:spPr>
            <a:xfrm>
              <a:off x="10774555" y="11716837"/>
              <a:ext cx="2691450" cy="24516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58</xdr:row>
      <xdr:rowOff>0</xdr:rowOff>
    </xdr:from>
    <xdr:to>
      <xdr:col>7</xdr:col>
      <xdr:colOff>271463</xdr:colOff>
      <xdr:row>70</xdr:row>
      <xdr:rowOff>22725</xdr:rowOff>
    </xdr:to>
    <mc:AlternateContent xmlns:mc="http://schemas.openxmlformats.org/markup-compatibility/2006" xmlns:a14="http://schemas.microsoft.com/office/drawing/2010/main">
      <mc:Choice Requires="a14">
        <xdr:graphicFrame macro="">
          <xdr:nvGraphicFramePr>
            <xdr:cNvPr id="14" name="Tipo de Recurso 5">
              <a:extLst>
                <a:ext uri="{FF2B5EF4-FFF2-40B4-BE49-F238E27FC236}">
                  <a16:creationId xmlns:a16="http://schemas.microsoft.com/office/drawing/2014/main" id="{182EE988-DC42-47A3-AD4D-506069BFD1AF}"/>
                </a:ext>
              </a:extLst>
            </xdr:cNvPr>
            <xdr:cNvGraphicFramePr/>
          </xdr:nvGraphicFramePr>
          <xdr:xfrm>
            <a:off x="0" y="0"/>
            <a:ext cx="0" cy="0"/>
          </xdr:xfrm>
          <a:graphic>
            <a:graphicData uri="http://schemas.microsoft.com/office/drawing/2010/slicer">
              <sle:slicer xmlns:sle="http://schemas.microsoft.com/office/drawing/2010/slicer" name="Tipo de Recurso 5"/>
            </a:graphicData>
          </a:graphic>
        </xdr:graphicFrame>
      </mc:Choice>
      <mc:Fallback xmlns="">
        <xdr:sp macro="" textlink="">
          <xdr:nvSpPr>
            <xdr:cNvPr id="0" name=""/>
            <xdr:cNvSpPr>
              <a:spLocks noTextEdit="1"/>
            </xdr:cNvSpPr>
          </xdr:nvSpPr>
          <xdr:spPr>
            <a:xfrm>
              <a:off x="8524876" y="11739563"/>
              <a:ext cx="1985962" cy="24516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537367</xdr:colOff>
      <xdr:row>43</xdr:row>
      <xdr:rowOff>187325</xdr:rowOff>
    </xdr:from>
    <xdr:to>
      <xdr:col>10</xdr:col>
      <xdr:colOff>728504</xdr:colOff>
      <xdr:row>55</xdr:row>
      <xdr:rowOff>31750</xdr:rowOff>
    </xdr:to>
    <mc:AlternateContent xmlns:mc="http://schemas.openxmlformats.org/markup-compatibility/2006" xmlns:a14="http://schemas.microsoft.com/office/drawing/2010/main">
      <mc:Choice Requires="a14">
        <xdr:graphicFrame macro="">
          <xdr:nvGraphicFramePr>
            <xdr:cNvPr id="17" name="FUENTE DE LOS RECURSOS 6">
              <a:extLst>
                <a:ext uri="{FF2B5EF4-FFF2-40B4-BE49-F238E27FC236}">
                  <a16:creationId xmlns:a16="http://schemas.microsoft.com/office/drawing/2014/main" id="{FB89DFA2-8487-0C42-ACD9-FD71C37A28B7}"/>
                </a:ext>
              </a:extLst>
            </xdr:cNvPr>
            <xdr:cNvGraphicFramePr/>
          </xdr:nvGraphicFramePr>
          <xdr:xfrm>
            <a:off x="0" y="0"/>
            <a:ext cx="0" cy="0"/>
          </xdr:xfrm>
          <a:graphic>
            <a:graphicData uri="http://schemas.microsoft.com/office/drawing/2010/slicer">
              <sle:slicer xmlns:sle="http://schemas.microsoft.com/office/drawing/2010/slicer" name="FUENTE DE LOS RECURSOS 6"/>
            </a:graphicData>
          </a:graphic>
        </xdr:graphicFrame>
      </mc:Choice>
      <mc:Fallback xmlns="">
        <xdr:sp macro="" textlink="">
          <xdr:nvSpPr>
            <xdr:cNvPr id="0" name=""/>
            <xdr:cNvSpPr>
              <a:spLocks noTextEdit="1"/>
            </xdr:cNvSpPr>
          </xdr:nvSpPr>
          <xdr:spPr>
            <a:xfrm>
              <a:off x="10776742" y="8890794"/>
              <a:ext cx="2691450"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43</xdr:row>
      <xdr:rowOff>187325</xdr:rowOff>
    </xdr:from>
    <xdr:to>
      <xdr:col>7</xdr:col>
      <xdr:colOff>269876</xdr:colOff>
      <xdr:row>55</xdr:row>
      <xdr:rowOff>31750</xdr:rowOff>
    </xdr:to>
    <mc:AlternateContent xmlns:mc="http://schemas.openxmlformats.org/markup-compatibility/2006" xmlns:a14="http://schemas.microsoft.com/office/drawing/2010/main">
      <mc:Choice Requires="a14">
        <xdr:graphicFrame macro="">
          <xdr:nvGraphicFramePr>
            <xdr:cNvPr id="19" name="Tipo de Recurso 7">
              <a:extLst>
                <a:ext uri="{FF2B5EF4-FFF2-40B4-BE49-F238E27FC236}">
                  <a16:creationId xmlns:a16="http://schemas.microsoft.com/office/drawing/2014/main" id="{5E2E7BE4-B43F-4D45-AC9C-B69609A28C8F}"/>
                </a:ext>
              </a:extLst>
            </xdr:cNvPr>
            <xdr:cNvGraphicFramePr/>
          </xdr:nvGraphicFramePr>
          <xdr:xfrm>
            <a:off x="0" y="0"/>
            <a:ext cx="0" cy="0"/>
          </xdr:xfrm>
          <a:graphic>
            <a:graphicData uri="http://schemas.microsoft.com/office/drawing/2010/slicer">
              <sle:slicer xmlns:sle="http://schemas.microsoft.com/office/drawing/2010/slicer" name="Tipo de Recurso 7"/>
            </a:graphicData>
          </a:graphic>
        </xdr:graphicFrame>
      </mc:Choice>
      <mc:Fallback xmlns="">
        <xdr:sp macro="" textlink="">
          <xdr:nvSpPr>
            <xdr:cNvPr id="0" name=""/>
            <xdr:cNvSpPr>
              <a:spLocks noTextEdit="1"/>
            </xdr:cNvSpPr>
          </xdr:nvSpPr>
          <xdr:spPr>
            <a:xfrm>
              <a:off x="8524876" y="8890794"/>
              <a:ext cx="1984375"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29</xdr:row>
      <xdr:rowOff>157163</xdr:rowOff>
    </xdr:from>
    <xdr:to>
      <xdr:col>10</xdr:col>
      <xdr:colOff>726918</xdr:colOff>
      <xdr:row>40</xdr:row>
      <xdr:rowOff>178593</xdr:rowOff>
    </xdr:to>
    <mc:AlternateContent xmlns:mc="http://schemas.openxmlformats.org/markup-compatibility/2006" xmlns:a14="http://schemas.microsoft.com/office/drawing/2010/main">
      <mc:Choice Requires="a14">
        <xdr:graphicFrame macro="">
          <xdr:nvGraphicFramePr>
            <xdr:cNvPr id="18" name="FUENTE DE LOS RECURSOS 7">
              <a:extLst>
                <a:ext uri="{FF2B5EF4-FFF2-40B4-BE49-F238E27FC236}">
                  <a16:creationId xmlns:a16="http://schemas.microsoft.com/office/drawing/2014/main" id="{74F4B911-A75A-490A-991C-821FB0AAEFEF}"/>
                </a:ext>
              </a:extLst>
            </xdr:cNvPr>
            <xdr:cNvGraphicFramePr/>
          </xdr:nvGraphicFramePr>
          <xdr:xfrm>
            <a:off x="0" y="0"/>
            <a:ext cx="0" cy="0"/>
          </xdr:xfrm>
          <a:graphic>
            <a:graphicData uri="http://schemas.microsoft.com/office/drawing/2010/slicer">
              <sle:slicer xmlns:sle="http://schemas.microsoft.com/office/drawing/2010/slicer" name="FUENTE DE LOS RECURSOS 7"/>
            </a:graphicData>
          </a:graphic>
        </xdr:graphicFrame>
      </mc:Choice>
      <mc:Fallback xmlns="">
        <xdr:sp macro="" textlink="">
          <xdr:nvSpPr>
            <xdr:cNvPr id="0" name=""/>
            <xdr:cNvSpPr>
              <a:spLocks noTextEdit="1"/>
            </xdr:cNvSpPr>
          </xdr:nvSpPr>
          <xdr:spPr>
            <a:xfrm>
              <a:off x="10775156" y="6026944"/>
              <a:ext cx="2691450"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29</xdr:row>
      <xdr:rowOff>166687</xdr:rowOff>
    </xdr:from>
    <xdr:to>
      <xdr:col>7</xdr:col>
      <xdr:colOff>238126</xdr:colOff>
      <xdr:row>40</xdr:row>
      <xdr:rowOff>188117</xdr:rowOff>
    </xdr:to>
    <mc:AlternateContent xmlns:mc="http://schemas.openxmlformats.org/markup-compatibility/2006" xmlns:a14="http://schemas.microsoft.com/office/drawing/2010/main">
      <mc:Choice Requires="a14">
        <xdr:graphicFrame macro="">
          <xdr:nvGraphicFramePr>
            <xdr:cNvPr id="22" name="Tipo de Recurso 6">
              <a:extLst>
                <a:ext uri="{FF2B5EF4-FFF2-40B4-BE49-F238E27FC236}">
                  <a16:creationId xmlns:a16="http://schemas.microsoft.com/office/drawing/2014/main" id="{D20CE895-6A42-4D48-8421-BC32DE662332}"/>
                </a:ext>
              </a:extLst>
            </xdr:cNvPr>
            <xdr:cNvGraphicFramePr/>
          </xdr:nvGraphicFramePr>
          <xdr:xfrm>
            <a:off x="0" y="0"/>
            <a:ext cx="0" cy="0"/>
          </xdr:xfrm>
          <a:graphic>
            <a:graphicData uri="http://schemas.microsoft.com/office/drawing/2010/slicer">
              <sle:slicer xmlns:sle="http://schemas.microsoft.com/office/drawing/2010/slicer" name="Tipo de Recurso 6"/>
            </a:graphicData>
          </a:graphic>
        </xdr:graphicFrame>
      </mc:Choice>
      <mc:Fallback xmlns="">
        <xdr:sp macro="" textlink="">
          <xdr:nvSpPr>
            <xdr:cNvPr id="0" name=""/>
            <xdr:cNvSpPr>
              <a:spLocks noTextEdit="1"/>
            </xdr:cNvSpPr>
          </xdr:nvSpPr>
          <xdr:spPr>
            <a:xfrm>
              <a:off x="8524876" y="6036468"/>
              <a:ext cx="1952625"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536529</xdr:colOff>
      <xdr:row>7</xdr:row>
      <xdr:rowOff>185737</xdr:rowOff>
    </xdr:from>
    <xdr:to>
      <xdr:col>10</xdr:col>
      <xdr:colOff>727666</xdr:colOff>
      <xdr:row>21</xdr:row>
      <xdr:rowOff>19050</xdr:rowOff>
    </xdr:to>
    <mc:AlternateContent xmlns:mc="http://schemas.openxmlformats.org/markup-compatibility/2006" xmlns:a14="http://schemas.microsoft.com/office/drawing/2010/main">
      <mc:Choice Requires="a14">
        <xdr:graphicFrame macro="">
          <xdr:nvGraphicFramePr>
            <xdr:cNvPr id="20" name="FUENTE DE LOS RECURSOS 8">
              <a:extLst>
                <a:ext uri="{FF2B5EF4-FFF2-40B4-BE49-F238E27FC236}">
                  <a16:creationId xmlns:a16="http://schemas.microsoft.com/office/drawing/2014/main" id="{62B0C8D3-D276-459A-8FDE-1A55AF483CAF}"/>
                </a:ext>
              </a:extLst>
            </xdr:cNvPr>
            <xdr:cNvGraphicFramePr/>
          </xdr:nvGraphicFramePr>
          <xdr:xfrm>
            <a:off x="0" y="0"/>
            <a:ext cx="0" cy="0"/>
          </xdr:xfrm>
          <a:graphic>
            <a:graphicData uri="http://schemas.microsoft.com/office/drawing/2010/slicer">
              <sle:slicer xmlns:sle="http://schemas.microsoft.com/office/drawing/2010/slicer" name="FUENTE DE LOS RECURSOS 8"/>
            </a:graphicData>
          </a:graphic>
        </xdr:graphicFrame>
      </mc:Choice>
      <mc:Fallback xmlns="">
        <xdr:sp macro="" textlink="">
          <xdr:nvSpPr>
            <xdr:cNvPr id="0" name=""/>
            <xdr:cNvSpPr>
              <a:spLocks noTextEdit="1"/>
            </xdr:cNvSpPr>
          </xdr:nvSpPr>
          <xdr:spPr>
            <a:xfrm>
              <a:off x="10775904" y="1602581"/>
              <a:ext cx="2691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xdr:row>
      <xdr:rowOff>185737</xdr:rowOff>
    </xdr:from>
    <xdr:to>
      <xdr:col>7</xdr:col>
      <xdr:colOff>238951</xdr:colOff>
      <xdr:row>21</xdr:row>
      <xdr:rowOff>19050</xdr:rowOff>
    </xdr:to>
    <mc:AlternateContent xmlns:mc="http://schemas.openxmlformats.org/markup-compatibility/2006" xmlns:a14="http://schemas.microsoft.com/office/drawing/2010/main">
      <mc:Choice Requires="a14">
        <xdr:graphicFrame macro="">
          <xdr:nvGraphicFramePr>
            <xdr:cNvPr id="21" name="Tipo de Recurso 8">
              <a:extLst>
                <a:ext uri="{FF2B5EF4-FFF2-40B4-BE49-F238E27FC236}">
                  <a16:creationId xmlns:a16="http://schemas.microsoft.com/office/drawing/2014/main" id="{8BA742C0-5DDA-4AFC-A9F1-7708684091D6}"/>
                </a:ext>
              </a:extLst>
            </xdr:cNvPr>
            <xdr:cNvGraphicFramePr/>
          </xdr:nvGraphicFramePr>
          <xdr:xfrm>
            <a:off x="0" y="0"/>
            <a:ext cx="0" cy="0"/>
          </xdr:xfrm>
          <a:graphic>
            <a:graphicData uri="http://schemas.microsoft.com/office/drawing/2010/slicer">
              <sle:slicer xmlns:sle="http://schemas.microsoft.com/office/drawing/2010/slicer" name="Tipo de Recurso 8"/>
            </a:graphicData>
          </a:graphic>
        </xdr:graphicFrame>
      </mc:Choice>
      <mc:Fallback xmlns="">
        <xdr:sp macro="" textlink="">
          <xdr:nvSpPr>
            <xdr:cNvPr id="0" name=""/>
            <xdr:cNvSpPr>
              <a:spLocks noTextEdit="1"/>
            </xdr:cNvSpPr>
          </xdr:nvSpPr>
          <xdr:spPr>
            <a:xfrm>
              <a:off x="8524876" y="1602581"/>
              <a:ext cx="1953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$ 24.529.253.778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$ 19.827.886.421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$ 1.117.278.930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$ 43.239.861.270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$ 39.630.191.591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$ 3.609.669.679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$ 38.009.286.390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$ 34.750.585.431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$ 34.747.163.419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91,65%</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87,90%</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80,37%</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80,36%</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$ 296.222.088.884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$ 4.590.312.563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$ 173.822.968.371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$ 117.808.807.950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$ 135.987.895.175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$ 37.835.073.195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$ 100.414.321.841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$ 98.925.604.483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45,91%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33,90%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33,40%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$ 291.631.776.321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58,68%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namedSheetView name="Ver1" id="{8D327D74-06D5-4316-9BCC-8D0098A618FD}"/>
</namedSheetView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PAA%20SEDE%20CENTRAL%2028-05-2021.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PAA%20CORTE%2011-06-20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APROBADO%20JUNIO.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PAA%20JULIO.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PAA%2023-07-2021.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06-08-202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PAA%2003-09-2021.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2">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8773148" createdVersion="6" refreshedVersion="7"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Desarrollos informáticos adquiridos o actualizados_x000a_" u="1"/>
        <s v="Actividades De Soporte Realizada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9120371" createdVersion="6" refreshedVersion="7"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9351855" createdVersion="6" refreshedVersion="7"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5">
      <sharedItems containsSemiMixedTypes="0" containsString="0" containsNumber="1" minValue="0" maxValue="4959466935.8100004"/>
    </cacheField>
    <cacheField name="OBLIGACION" numFmtId="165">
      <sharedItems containsSemiMixedTypes="0" containsString="0" containsNumber="1" minValue="0" maxValue="4734466935.8100004"/>
    </cacheField>
    <cacheField name="PAGOS" numFmtId="165">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9930556" createdVersion="7" refreshedVersion="7" minRefreshableVersion="3" recordCount="944" xr:uid="{8B96984F-C5FD-49F7-8AE1-4B1EA0B93AE9}">
  <cacheSource type="worksheet">
    <worksheetSource ref="A1:Y945"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3">
        <s v="Sede Central"/>
        <s v="Territorial Atlántico"/>
        <s v="Territorial Bolívar"/>
        <s v="Territorial Boyacá"/>
        <s v="Territorial Caldas"/>
        <s v="Territorial Caquetá"/>
        <s v="Territorial Casanare"/>
        <s v="Territorial Cauca"/>
        <s v="Territorial Cesar"/>
        <s v="Territorial Córdoba"/>
        <s v="Territorial Guajira"/>
        <s v="Territorial Huila"/>
        <s v="Territorial Magdalena"/>
        <s v="Territorial Meta"/>
        <s v="Territorial Nariño"/>
        <s v="Territorial Norte de Santander"/>
        <s v="Territorial Quindío"/>
        <s v="Territorial Risaralda"/>
        <s v="Territorial Santander"/>
        <s v="Territorial Sucre"/>
        <s v="Territorial Tolima"/>
        <s v="Territorial Valle"/>
        <s v="Territorial Cundinamarca"/>
      </sharedItems>
    </cacheField>
    <cacheField name="Rubro" numFmtId="0">
      <sharedItems count="95">
        <s v="C-0499-1003-5-0-0499065-02"/>
        <s v="C-0404-1003-2-0-0404004-02"/>
        <s v="C-0499-1003-8-0-0499053-02"/>
        <s v="C-0499-1003-8-0-0499063-02"/>
        <s v="C-0402-1003-8-0-0402016-02"/>
        <s v="C-0405-1003-4-0-0405006-02"/>
        <s v="C-0499-1003-5-0-0499054-02"/>
        <s v="C-0499-1003-5-0-0499060-02"/>
        <s v="C-0499-1003-7-0-0499052-02"/>
        <s v="C-0402-1003-7-0-0402009-02"/>
        <s v="C-0402-1003-7-0-0402003-02"/>
        <s v="C-0402-1003-7-0-0402011-02"/>
        <s v="C-0402-1003-8-0-0402014-02"/>
        <s v="C-0403-1003-2-0-0403005-02"/>
        <s v="C-0403-1003-2-0-0403002-02"/>
        <s v="C-0499-1003-7-0-0499063-02"/>
        <s v="C-0404-1003-2-0-0404007-02"/>
        <s v="C-0402-1003-8-0-0402003-02"/>
        <s v="C-0499-1003-6-0-0499011-02"/>
        <s v="C-0499-1003-6-0-0499016-02"/>
        <s v="C-0405-1003-4-0-0405005-02"/>
        <s v="C-0499-1003-5-0-0499058-02"/>
        <s v="A-03-04-02-012-001" u="1"/>
        <s v="C-0404-1003-2-0-0404004-02042" u="1"/>
        <s v="A-03-04-02-012-002" u="1"/>
        <s v="C-0404-1003-2-0-0404004-01022" u="1"/>
        <s v="C-0404-1003-2-0-0404004-03022" u="1"/>
        <s v="C-0404-1003-2-0-0404004-02012" u="1"/>
        <s v="C-0404-1003-2-0-0404004-04022" u="1"/>
        <s v="A-01-01-02-007" u="1"/>
        <s v="A-02-02-02-006-003" u="1"/>
        <s v="A-01-01-02-002" u="1"/>
        <s v="A-08-01-02-003" u="1"/>
        <s v="A-02-02-02-006-004" u="1"/>
        <s v="A-02-02-02-006-005" u="1"/>
        <s v="A-02-02-01-004-005" u="1"/>
        <s v="A-02-02-01-004-007" u="1"/>
        <s v="A-02-02-02-006-008" u="1"/>
        <s v="A-02-02-02-006-009" u="1"/>
        <s v="A-01-01-02-006" u="1"/>
        <s v="A-02-02-01-003-002" u="1"/>
        <s v="A-01-01-02-001" u="1"/>
        <s v="A-02-02-01-003-003" u="1"/>
        <s v="A-02-02-02-005-004" u="1"/>
        <s v="A-02-02-01-003-005" u="1"/>
        <s v="A-02-02-01-003-006" u="1"/>
        <s v="A-01-01-03-001-001" u="1"/>
        <s v="A-01-01-03-001-002" u="1"/>
        <s v="A-01-01-03-001-003" u="1"/>
        <s v="C-0499-1003-6-0-0499010-02" u="1"/>
        <s v="C-0402-1003-7-0-0402020-02" u="1"/>
        <s v="A-01-01-01-001-010" u="1"/>
        <s v="A-01-01-01-001-012" u="1"/>
        <s v="A-01-01-02-005" u="1"/>
        <s v="A-08-01-02-006" u="1"/>
        <s v="A-02-02-02-009-004" u="1"/>
        <s v="A-01-01-03-002" u="1"/>
        <s v="A-08-01-02-001" u="1"/>
        <s v="A-02-02-02-009-006" u="1"/>
        <s v="A-02-02-01-002-007" u="1"/>
        <s v="A-02-02-01-002-008" u="1"/>
        <s v="A-01-01-01-001-001" u="1"/>
        <s v="A-01-01-01-001-003" u="1"/>
        <s v="A-01-01-01-001-004" u="1"/>
        <s v="A-01-01-01-001-005" u="1"/>
        <s v="A-01-01-01-001-006" u="1"/>
        <s v="A-01-01-01-001-007" u="1"/>
        <s v="A-01-01-01-001-008" u="1"/>
        <s v="A-01-01-01-001-009" u="1"/>
        <s v="C-0402-1003-7-0-0402017-02" u="1"/>
        <s v="C-0404-1003-2-0-0404004-02041" u="1"/>
        <s v="A-02-02-02-010" u="1"/>
        <s v="A-01-01-03-016" u="1"/>
        <s v="C-0404-1003-2-0-0404004-03021" u="1"/>
        <s v="C-0404-1003-2-0-0404004-02011" u="1"/>
        <s v="C-0404-1003-2-0-0404004-04021" u="1"/>
        <s v="A-02-02-02-008-002" u="1"/>
        <s v="A-02-02-02-008-003" u="1"/>
        <s v="A-01-01-02-004" u="1"/>
        <s v="A-02-02-02-008-004" u="1"/>
        <s v="A-02-02-02-008-005" u="1"/>
        <s v="A-02-02-02-008-007" u="1"/>
        <s v="A-02-02-02-008-008" u="1"/>
        <s v="A-02-02-02-008-009" u="1"/>
        <s v="A-03-10-01-002" u="1"/>
        <s v="C-0402-1003-7-0-0402012-02" u="1"/>
        <s v="A-08-05-01-003" u="1"/>
        <s v="C-0402-1003-7-0-0402008-02" u="1"/>
        <s v="A-01-01-03-030" u="1"/>
        <s v="C-0405-1003-4-0-0405007-02" u="1"/>
        <s v="A-08-04-01" u="1"/>
        <s v="A-02-02-02-007-001" u="1"/>
        <s v="A-02-02-02-007-002" u="1"/>
        <s v="A-01-01-02-003" u="1"/>
        <s v="A-03-10-01-001" u="1"/>
      </sharedItems>
      <fieldGroup par="26"/>
    </cacheField>
    <cacheField name="Descripcion" numFmtId="0">
      <sharedItems/>
    </cacheField>
    <cacheField name="Fuente" numFmtId="0">
      <sharedItems/>
    </cacheField>
    <cacheField name="Recurso" numFmtId="0">
      <sharedItems count="2">
        <s v="OTROS RECURSOS DEL TESORO"/>
        <s v="INGRESOS CORRIENTES"/>
      </sharedItems>
    </cacheField>
    <cacheField name="Sit" numFmtId="0">
      <sharedItems/>
    </cacheField>
    <cacheField name="Valor Inicial" numFmtId="0">
      <sharedItems containsSemiMixedTypes="0" containsString="0" containsNumber="1" minValue="0" maxValue="1481463643"/>
    </cacheField>
    <cacheField name="Valor Operaciones" numFmtId="0">
      <sharedItems containsSemiMixedTypes="0" containsString="0" containsNumber="1" minValue="-631687974" maxValue="239562787"/>
    </cacheField>
    <cacheField name="Valor Actual" numFmtId="0">
      <sharedItems containsSemiMixedTypes="0" containsString="0" containsNumber="1" minValue="0" maxValue="1454161873"/>
    </cacheField>
    <cacheField name="Saldo por Comprometer" numFmtId="0">
      <sharedItems containsSemiMixedTypes="0" containsString="0" containsNumber="1" minValue="0" maxValue="416038434"/>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longText="1"/>
    </cacheField>
    <cacheField name="Tipo de gasto" numFmtId="0">
      <sharedItems count="1">
        <s v="Inversión"/>
      </sharedItems>
    </cacheField>
    <cacheField name="Fuente dependencia" numFmtId="0">
      <sharedItems count="7">
        <s v="SECRETARIA GENERAL"/>
        <s v="CATASTRO ACTUALIZACION"/>
        <s v="MERCADEO"/>
        <s v="CARTOGRAFIA"/>
        <s v="CIAF"/>
        <s v="AGROLOGIA"/>
        <s v="CATASTRO AVALUOS"/>
      </sharedItems>
    </cacheField>
    <cacheField name="% ejec" numFmtId="0" formula="('Saldo por Comprometer'/'Valor Actual')" databaseField="0"/>
    <cacheField name="Rubro2" numFmtId="0" databaseField="0">
      <fieldGroup par="27" base="7">
        <discretePr count="95">
          <x v="6"/>
          <x v="10"/>
          <x v="5"/>
          <x v="5"/>
          <x v="12"/>
          <x v="4"/>
          <x v="6"/>
          <x v="6"/>
          <x v="8"/>
          <x v="11"/>
          <x v="11"/>
          <x v="11"/>
          <x v="12"/>
          <x v="9"/>
          <x v="9"/>
          <x v="8"/>
          <x v="10"/>
          <x v="12"/>
          <x v="7"/>
          <x v="7"/>
          <x v="4"/>
          <x v="6"/>
          <x v="2"/>
          <x v="24"/>
          <x v="2"/>
          <x v="15"/>
          <x v="21"/>
          <x v="23"/>
          <x v="10"/>
          <x v="0"/>
          <x v="1"/>
          <x v="0"/>
          <x v="3"/>
          <x v="1"/>
          <x v="17"/>
          <x v="1"/>
          <x v="27"/>
          <x v="1"/>
          <x v="1"/>
          <x v="0"/>
          <x v="1"/>
          <x v="0"/>
          <x v="1"/>
          <x v="1"/>
          <x v="30"/>
          <x v="28"/>
          <x v="0"/>
          <x v="0"/>
          <x v="0"/>
          <x v="7"/>
          <x v="11"/>
          <x v="0"/>
          <x v="0"/>
          <x v="0"/>
          <x v="3"/>
          <x v="1"/>
          <x v="0"/>
          <x v="13"/>
          <x v="1"/>
          <x v="31"/>
          <x v="1"/>
          <x v="0"/>
          <x v="0"/>
          <x v="0"/>
          <x v="0"/>
          <x v="0"/>
          <x v="0"/>
          <x v="0"/>
          <x v="20"/>
          <x v="11"/>
          <x v="25"/>
          <x v="1"/>
          <x v="0"/>
          <x v="22"/>
          <x v="16"/>
          <x v="14"/>
          <x v="1"/>
          <x v="1"/>
          <x v="0"/>
          <x v="1"/>
          <x v="1"/>
          <x v="1"/>
          <x v="1"/>
          <x v="1"/>
          <x v="19"/>
          <x v="11"/>
          <x v="26"/>
          <x v="11"/>
          <x v="0"/>
          <x v="4"/>
          <x v="29"/>
          <x v="1"/>
          <x v="1"/>
          <x v="0"/>
          <x v="18"/>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2"/>
          <x v="12"/>
          <x v="1"/>
          <x v="1"/>
          <x v="7"/>
          <x v="0"/>
          <x v="2"/>
          <x v="2"/>
          <x v="4"/>
          <x v="6"/>
          <x v="6"/>
          <x v="6"/>
          <x v="7"/>
          <x v="5"/>
          <x v="5"/>
          <x v="4"/>
          <x v="12"/>
          <x v="7"/>
          <x v="3"/>
          <x v="3"/>
          <x v="0"/>
          <x v="2"/>
          <x v="10"/>
          <x v="16"/>
          <x v="10"/>
          <x v="12"/>
          <x v="13"/>
          <x v="15"/>
          <x v="12"/>
          <x v="8"/>
          <x v="9"/>
          <x v="8"/>
          <x v="11"/>
          <x v="9"/>
          <x v="9"/>
          <x v="9"/>
          <x v="19"/>
          <x v="9"/>
          <x v="9"/>
          <x v="8"/>
          <x v="9"/>
          <x v="8"/>
          <x v="9"/>
          <x v="9"/>
          <x v="22"/>
          <x v="20"/>
          <x v="8"/>
          <x v="8"/>
          <x v="8"/>
          <x v="3"/>
          <x v="6"/>
          <x v="8"/>
          <x v="8"/>
          <x v="8"/>
          <x v="11"/>
          <x v="9"/>
          <x v="8"/>
          <x v="11"/>
          <x v="9"/>
          <x v="23"/>
          <x v="9"/>
          <x v="8"/>
          <x v="8"/>
          <x v="8"/>
          <x v="8"/>
          <x v="8"/>
          <x v="8"/>
          <x v="8"/>
          <x v="8"/>
          <x v="6"/>
          <x v="17"/>
          <x v="9"/>
          <x v="8"/>
          <x v="14"/>
          <x v="12"/>
          <x v="12"/>
          <x v="9"/>
          <x v="9"/>
          <x v="8"/>
          <x v="9"/>
          <x v="9"/>
          <x v="9"/>
          <x v="9"/>
          <x v="9"/>
          <x v="10"/>
          <x v="6"/>
          <x v="18"/>
          <x v="6"/>
          <x v="8"/>
          <x v="0"/>
          <x v="21"/>
          <x v="9"/>
          <x v="9"/>
          <x v="8"/>
          <x v="10"/>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2"/>
          <x v="11"/>
          <x v="1"/>
          <x v="1"/>
          <x v="7"/>
          <x v="0"/>
          <x v="2"/>
          <x v="2"/>
          <x v="4"/>
          <x v="6"/>
          <x v="6"/>
          <x v="6"/>
          <x v="7"/>
          <x v="5"/>
          <x v="5"/>
          <x v="4"/>
          <x v="11"/>
          <x v="7"/>
          <x v="3"/>
          <x v="3"/>
          <x v="0"/>
          <x v="2"/>
          <x v="10"/>
          <x v="14"/>
          <x v="10"/>
          <x v="11"/>
          <x v="11"/>
          <x v="13"/>
          <x v="11"/>
          <x v="8"/>
          <x v="9"/>
          <x v="8"/>
          <x v="16"/>
          <x v="9"/>
          <x v="9"/>
          <x v="9"/>
          <x v="17"/>
          <x v="9"/>
          <x v="9"/>
          <x v="8"/>
          <x v="9"/>
          <x v="8"/>
          <x v="9"/>
          <x v="9"/>
          <x v="20"/>
          <x v="18"/>
          <x v="8"/>
          <x v="8"/>
          <x v="8"/>
          <x v="3"/>
          <x v="6"/>
          <x v="8"/>
          <x v="8"/>
          <x v="8"/>
          <x v="16"/>
          <x v="9"/>
          <x v="8"/>
          <x v="16"/>
          <x v="9"/>
          <x v="21"/>
          <x v="9"/>
          <x v="8"/>
          <x v="8"/>
          <x v="8"/>
          <x v="8"/>
          <x v="8"/>
          <x v="8"/>
          <x v="8"/>
          <x v="8"/>
          <x v="6"/>
          <x v="15"/>
          <x v="9"/>
          <x v="8"/>
          <x v="12"/>
          <x v="11"/>
          <x v="11"/>
          <x v="9"/>
          <x v="9"/>
          <x v="8"/>
          <x v="9"/>
          <x v="9"/>
          <x v="9"/>
          <x v="9"/>
          <x v="9"/>
          <x v="10"/>
          <x v="6"/>
          <x v="16"/>
          <x v="6"/>
          <x v="8"/>
          <x v="0"/>
          <x v="19"/>
          <x v="9"/>
          <x v="9"/>
          <x v="8"/>
          <x v="10"/>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2"/>
          <x v="10"/>
          <x v="1"/>
          <x v="1"/>
          <x v="7"/>
          <x v="0"/>
          <x v="2"/>
          <x v="2"/>
          <x v="4"/>
          <x v="6"/>
          <x v="6"/>
          <x v="6"/>
          <x v="7"/>
          <x v="5"/>
          <x v="5"/>
          <x v="4"/>
          <x v="10"/>
          <x v="7"/>
          <x v="3"/>
          <x v="3"/>
          <x v="0"/>
          <x v="2"/>
          <x v="9"/>
          <x v="10"/>
          <x v="9"/>
          <x v="10"/>
          <x v="10"/>
          <x v="10"/>
          <x v="10"/>
          <x v="8"/>
          <x v="11"/>
          <x v="8"/>
          <x v="14"/>
          <x v="11"/>
          <x v="11"/>
          <x v="11"/>
          <x v="11"/>
          <x v="11"/>
          <x v="11"/>
          <x v="8"/>
          <x v="11"/>
          <x v="8"/>
          <x v="11"/>
          <x v="11"/>
          <x v="12"/>
          <x v="11"/>
          <x v="8"/>
          <x v="8"/>
          <x v="8"/>
          <x v="3"/>
          <x v="6"/>
          <x v="8"/>
          <x v="8"/>
          <x v="8"/>
          <x v="14"/>
          <x v="11"/>
          <x v="8"/>
          <x v="14"/>
          <x v="11"/>
          <x v="13"/>
          <x v="11"/>
          <x v="8"/>
          <x v="8"/>
          <x v="8"/>
          <x v="8"/>
          <x v="8"/>
          <x v="8"/>
          <x v="8"/>
          <x v="8"/>
          <x v="6"/>
          <x v="10"/>
          <x v="11"/>
          <x v="8"/>
          <x v="10"/>
          <x v="10"/>
          <x v="10"/>
          <x v="11"/>
          <x v="11"/>
          <x v="8"/>
          <x v="11"/>
          <x v="11"/>
          <x v="11"/>
          <x v="11"/>
          <x v="11"/>
          <x v="9"/>
          <x v="6"/>
          <x v="14"/>
          <x v="6"/>
          <x v="8"/>
          <x v="0"/>
          <x v="14"/>
          <x v="11"/>
          <x v="11"/>
          <x v="8"/>
          <x v="9"/>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2"/>
          <x v="10"/>
          <x v="1"/>
          <x v="1"/>
          <x v="7"/>
          <x v="0"/>
          <x v="2"/>
          <x v="2"/>
          <x v="4"/>
          <x v="6"/>
          <x v="6"/>
          <x v="6"/>
          <x v="7"/>
          <x v="5"/>
          <x v="5"/>
          <x v="4"/>
          <x v="10"/>
          <x v="7"/>
          <x v="3"/>
          <x v="3"/>
          <x v="0"/>
          <x v="2"/>
          <x v="9"/>
          <x v="10"/>
          <x v="9"/>
          <x v="10"/>
          <x v="10"/>
          <x v="10"/>
          <x v="10"/>
          <x v="8"/>
          <x v="12"/>
          <x v="8"/>
          <x v="11"/>
          <x v="12"/>
          <x v="12"/>
          <x v="12"/>
          <x v="12"/>
          <x v="12"/>
          <x v="12"/>
          <x v="8"/>
          <x v="12"/>
          <x v="8"/>
          <x v="12"/>
          <x v="12"/>
          <x v="12"/>
          <x v="12"/>
          <x v="8"/>
          <x v="8"/>
          <x v="8"/>
          <x v="3"/>
          <x v="6"/>
          <x v="8"/>
          <x v="8"/>
          <x v="8"/>
          <x v="11"/>
          <x v="12"/>
          <x v="8"/>
          <x v="11"/>
          <x v="12"/>
          <x v="12"/>
          <x v="12"/>
          <x v="8"/>
          <x v="8"/>
          <x v="8"/>
          <x v="8"/>
          <x v="8"/>
          <x v="8"/>
          <x v="8"/>
          <x v="8"/>
          <x v="6"/>
          <x v="10"/>
          <x v="12"/>
          <x v="8"/>
          <x v="10"/>
          <x v="10"/>
          <x v="10"/>
          <x v="12"/>
          <x v="12"/>
          <x v="8"/>
          <x v="12"/>
          <x v="12"/>
          <x v="12"/>
          <x v="12"/>
          <x v="12"/>
          <x v="9"/>
          <x v="6"/>
          <x v="11"/>
          <x v="6"/>
          <x v="8"/>
          <x v="0"/>
          <x v="11"/>
          <x v="12"/>
          <x v="12"/>
          <x v="8"/>
          <x v="9"/>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479019913"/>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29.952057291666" createdVersion="7" refreshedVersion="7" minRefreshableVersion="3" recordCount="396" xr:uid="{0C4758E1-1620-40A2-97CF-BCFF8653FD6C}">
  <cacheSource type="worksheet">
    <worksheetSource ref="A2:BB398" sheet="archivo_PAA"/>
  </cacheSource>
  <cacheFields count="54">
    <cacheField name="N°" numFmtId="0">
      <sharedItems containsSemiMixedTypes="0" containsString="0" containsNumber="1" containsInteger="1" minValue="1" maxValue="66"/>
    </cacheField>
    <cacheField name="Proceso" numFmtId="0">
      <sharedItems count="30">
        <s v="Direccionamiento Estratégico y Planeación"/>
        <s v="Gestión Administrativa"/>
        <s v="Gestión Catastral"/>
        <s v="Gestión Comercial"/>
        <s v="Gestión Contractual"/>
        <s v="Gestión de Comunicaciones"/>
        <s v="Gestión de Información Geográfica"/>
        <s v="Gestión de Regulación y Habilitación"/>
        <s v="Gestión de Servicio al Ciudadano"/>
        <s v="Gestión de Sistemas de Información e Infraestructura"/>
        <s v="Gestión del Talento Humano"/>
        <s v="Gestión Disciplinaria"/>
        <s v="Gestión Documental"/>
        <s v="Gestión Financiera"/>
        <s v="Gestión Jurídica"/>
        <s v="Innovación y Gestión del Conocimiento Aplicado"/>
        <s v="Seguimiento y Evaluación"/>
        <s v="Gestión de comunicaciones y mercadeo" u="1"/>
        <s v="Gestión Informática de Soporte" u="1"/>
        <s v="Gestión Agrológica" u="1"/>
        <s v="Gestión de Tecnologías de la Información" u="1"/>
        <s v="Gestión Cartográfica" u="1"/>
        <s v="Seguimiento y Evaluación Institucional" u="1"/>
        <s v="Gestión Geodésica" u="1"/>
        <s v="Control Disciplinario" u="1"/>
        <s v="Servicio al Ciudadano y Participación" u="1"/>
        <s v="Gestión del conocimiento, investigación e innovación " u="1"/>
        <s v="Gestión Geográfica" u="1"/>
        <s v="Regulación" u="1"/>
        <s v="Gestión de Servicios Administrativos" u="1"/>
      </sharedItems>
    </cacheField>
    <cacheField name="Sub Proceso" numFmtId="0">
      <sharedItems/>
    </cacheField>
    <cacheField name="Producto"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1"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containsMixedTypes="1" containsNumber="1" containsInteger="1" minValue="0" maxValue="0" longText="1"/>
    </cacheField>
    <cacheField name="EJECUTADO _x000a_II P" numFmtId="0">
      <sharedItems containsString="0" containsBlank="1" containsNumber="1" minValue="0" maxValue="20735682"/>
    </cacheField>
    <cacheField name="Observación IIP" numFmtId="0">
      <sharedItems containsBlank="1" longText="1"/>
    </cacheField>
    <cacheField name="EJECUTADO _x000a_III P" numFmtId="0">
      <sharedItems containsSemiMixedTypes="0" containsString="0" containsNumber="1" minValue="0" maxValue="13071871"/>
    </cacheField>
    <cacheField name="Observación IIIP" numFmtId="0">
      <sharedItems longText="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14">
      <sharedItems containsNonDate="0" containsDate="1" containsString="0" containsBlank="1" minDate="2021-04-09T00:00:00" maxDate="2021-04-11T00:00:00"/>
    </cacheField>
    <cacheField name="Fecha _x000a_II P" numFmtId="14">
      <sharedItems containsNonDate="0" containsDate="1" containsString="0" containsBlank="1" minDate="2021-07-02T00:00:00" maxDate="2021-07-08T00:00:00"/>
    </cacheField>
    <cacheField name="Fecha _x000a_III P" numFmtId="14">
      <sharedItems containsSemiMixedTypes="0" containsNonDate="0" containsDate="1" containsString="0" minDate="2021-10-05T00:00:00" maxDate="2021-10-18T00:00:00"/>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acheField>
    <cacheField name="Aprobación OAP 1" numFmtId="0">
      <sharedItems containsBlank="1"/>
    </cacheField>
    <cacheField name="Aprobación OAP 2" numFmtId="0">
      <sharedItems containsBlank="1"/>
    </cacheField>
    <cacheField name="Aprobación OAP 3" numFmtId="0">
      <sharedItems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containsBlank="1" longText="1"/>
    </cacheField>
    <cacheField name="Observación Planeación 3" numFmtId="0">
      <sharedItems containsBlank="1"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sharedItems>
    </cacheField>
    <cacheField name="Aprobación OCI 2" numFmtId="0">
      <sharedItems containsBlank="1" count="5">
        <s v="Concepto Favorable"/>
        <s v="Sin meta asignada en el periodo"/>
        <s v="Concepto No Favorable"/>
        <m/>
        <s v="Concepto Favorable "/>
      </sharedItems>
    </cacheField>
    <cacheField name="Aprobación OCI 3" numFmtId="0">
      <sharedItems containsBlank="1" count="4">
        <s v="Concepto Favorable"/>
        <s v="Sin meta asignada en el periodo"/>
        <s v="Concepto No Favorable"/>
        <m u="1"/>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Blank="1" longText="1"/>
    </cacheField>
    <cacheField name="Observación OCI 3" numFmtId="0">
      <sharedItems longText="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29.952196527775" createdVersion="7" refreshedVersion="7" minRefreshableVersion="3" recordCount="221" xr:uid="{80B67894-C0D9-46F8-B684-5191DF2CC536}">
  <cacheSource type="worksheet">
    <worksheetSource ref="A2:BD223"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quetá"/>
        <s v="Casanare"/>
        <s v="Cauca"/>
        <s v="Cesar"/>
        <s v="Córdoba"/>
        <s v="Cundinamarca"/>
        <s v="Guajira"/>
        <s v="Huila"/>
        <s v="Magdalena"/>
        <s v="Meta"/>
        <s v="Nariño"/>
        <s v="Norte de Santander"/>
        <s v="Quindío"/>
        <s v="Risaralda"/>
        <s v="Santander"/>
        <s v="Sucre"/>
        <s v="Tolima"/>
        <s v="Valle del Cauc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minValue="8.3333333333333329E-2" maxValue="0.125"/>
    </cacheField>
    <cacheField name="Meta Anual" numFmtId="0">
      <sharedItems containsSemiMixedTypes="0" containsString="0" containsNumber="1" minValue="1" maxValue="609744234.60280323"/>
    </cacheField>
    <cacheField name="META I P" numFmtId="0">
      <sharedItems containsSemiMixedTypes="0" containsString="0" containsNumber="1" minValue="0" maxValue="120396561.20165437"/>
    </cacheField>
    <cacheField name="META II P" numFmtId="0">
      <sharedItems containsSemiMixedTypes="0" containsString="0" containsNumber="1" minValue="0" maxValue="156073683.70729411"/>
    </cacheField>
    <cacheField name="META III P" numFmtId="0">
      <sharedItems containsSemiMixedTypes="0" containsString="0" containsNumber="1" minValue="0" maxValue="158901525.69204906"/>
    </cacheField>
    <cacheField name="META IV P" numFmtId="0">
      <sharedItems containsSemiMixedTypes="0" containsString="0" containsNumber="1" minValue="0.25" maxValue="174372464.00180572"/>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String="0" containsBlank="1" containsNumber="1" minValue="0" maxValue="447444570"/>
    </cacheField>
    <cacheField name="Observación IIP" numFmtId="0">
      <sharedItems containsBlank="1" longText="1"/>
    </cacheField>
    <cacheField name="EJECUTADO _x000a_III P" numFmtId="0">
      <sharedItems containsString="0" containsBlank="1" containsNumber="1" minValue="0" maxValue="128393722"/>
    </cacheField>
    <cacheField name="Observación IIIP" numFmtId="0">
      <sharedItems containsBlank="1" longText="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492941833"/>
    </cacheField>
    <cacheField name="Fecha_x000a_ I P" numFmtId="0">
      <sharedItems containsNonDate="0" containsDate="1" containsString="0" containsBlank="1" minDate="2021-04-07T00:00:00" maxDate="2021-04-20T00:00:00"/>
    </cacheField>
    <cacheField name="Fecha _x000a_II P" numFmtId="0">
      <sharedItems containsNonDate="0" containsDate="1" containsString="0" containsBlank="1" minDate="2021-07-08T00:00:00" maxDate="2021-07-16T00:00:00"/>
    </cacheField>
    <cacheField name="Fecha _x000a_III P" numFmtId="14">
      <sharedItems containsNonDate="0" containsDate="1" containsString="0" containsBlank="1" minDate="2021-10-05T00:00:00" maxDate="2021-10-23T00:00:00"/>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acheField>
    <cacheField name="Aprobación OAP 3" numFmtId="0">
      <sharedItems/>
    </cacheField>
    <cacheField name="Aprobación OAP 4" numFmtId="0">
      <sharedItems containsNonDate="0" containsString="0" containsBlank="1"/>
    </cacheField>
    <cacheField name="Observación Planeación 1" numFmtId="0">
      <sharedItems longText="1"/>
    </cacheField>
    <cacheField name="Observación Planeación 2" numFmtId="0">
      <sharedItems longText="1"/>
    </cacheField>
    <cacheField name="Observación Planeación 3" numFmtId="0">
      <sharedItems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u="1"/>
      </sharedItems>
    </cacheField>
    <cacheField name="Aprobación OCI 2" numFmtId="0">
      <sharedItems containsBlank="1" count="4">
        <s v="Concepto Favorable"/>
        <s v="Sin meta asignada en el periodo"/>
        <s v="Concepto No Favorable"/>
        <m u="1"/>
      </sharedItems>
    </cacheField>
    <cacheField name="Aprobación OCI 3" numFmtId="0">
      <sharedItems containsBlank="1" count="4">
        <s v="Concepto Favorable"/>
        <s v="Concepto No Favorable"/>
        <s v="Sin meta asignada en el periodo"/>
        <m/>
      </sharedItems>
    </cacheField>
    <cacheField name="Aprobación OCI 4" numFmtId="0">
      <sharedItems containsNonDate="0" containsString="0" containsBlank="1" count="1">
        <m/>
      </sharedItems>
    </cacheField>
    <cacheField name="Observación OCI 1" numFmtId="0">
      <sharedItems longText="1"/>
    </cacheField>
    <cacheField name="Observación OCI 2" numFmtId="0">
      <sharedItems longText="1"/>
    </cacheField>
    <cacheField name="Observación OCI 3" numFmtId="0">
      <sharedItems containsBlank="1" longText="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31.304827083331" createdVersion="7" refreshedVersion="7" minRefreshableVersion="3" recordCount="34" xr:uid="{A2B4B1A8-FFF9-41C9-BA89-90A95C7DF9C2}">
  <cacheSource type="worksheet">
    <worksheetSource ref="A4:AA38"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11"/>
        <n v="20"/>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9">
      <sharedItems containsSemiMixedTypes="0" containsString="0" containsNumber="1" containsInteger="1" minValue="0" maxValue="134445997196"/>
    </cacheField>
    <cacheField name="APR. ADICIONADA" numFmtId="169">
      <sharedItems containsSemiMixedTypes="0" containsString="0" containsNumber="1" containsInteger="1" minValue="0" maxValue="8283571415"/>
    </cacheField>
    <cacheField name="APR. REDUCIDA" numFmtId="169">
      <sharedItems containsSemiMixedTypes="0" containsString="0" containsNumber="1" containsInteger="1" minValue="0" maxValue="11133639390"/>
    </cacheField>
    <cacheField name="APR. VIGENTE" numFmtId="169">
      <sharedItems containsSemiMixedTypes="0" containsString="0" containsNumber="1" containsInteger="1" minValue="0" maxValue="134445997196"/>
    </cacheField>
    <cacheField name="APR BLOQUEADA" numFmtId="169">
      <sharedItems containsSemiMixedTypes="0" containsString="0" containsNumber="1" containsInteger="1" minValue="0" maxValue="3015344783"/>
    </cacheField>
    <cacheField name="CDP" numFmtId="169">
      <sharedItems containsSemiMixedTypes="0" containsString="0" containsNumber="1" minValue="0" maxValue="60450665807.019997"/>
    </cacheField>
    <cacheField name="APR. DISPONIBLE" numFmtId="169">
      <sharedItems containsSemiMixedTypes="0" containsString="0" containsNumber="1" minValue="0" maxValue="73995331388.979996"/>
    </cacheField>
    <cacheField name="COMPROMISO" numFmtId="169">
      <sharedItems containsSemiMixedTypes="0" containsString="0" containsNumber="1" minValue="0" maxValue="29589312278.43"/>
    </cacheField>
    <cacheField name="OBLIGACION" numFmtId="169">
      <sharedItems containsSemiMixedTypes="0" containsString="0" containsNumber="1" minValue="0" maxValue="29554839717"/>
    </cacheField>
    <cacheField name="ORDEN PAGO" numFmtId="169">
      <sharedItems containsSemiMixedTypes="0" containsString="0" containsNumber="1" minValue="0" maxValue="29554839717"/>
    </cacheField>
    <cacheField name="PAGOS" numFmtId="169">
      <sharedItems containsSemiMixedTypes="0" containsString="0" containsNumber="1" minValue="0" maxValue="29554839717"/>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137831509"/>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31.307480439813" createdVersion="7" refreshedVersion="7" minRefreshableVersion="3" recordCount="761" xr:uid="{B2625741-0B9D-4B74-880F-161CEB636873}">
  <cacheSource type="worksheet">
    <worksheetSource ref="A4:AB765"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ount="50">
        <s v="SUELDO BÁSICO"/>
        <s v="PRIMA TÉCNICA SALARIAL"/>
        <s v="SUBSIDIO DE ALIMENTACIÓN"/>
        <s v="AUXILIO DE TRANSPORTE"/>
        <s v="PRIMA DE SERVICIO"/>
        <s v="BONIFICACIÓN POR SERVICIOS PRESTADOS"/>
        <s v="PRIMA DE NAVIDAD"/>
        <s v="PRIMA DE VACACIONES"/>
        <s v="AUXILIO DE CONECTIVIDAD DIGITAL "/>
        <s v="APORTES A LA SEGURIDAD SOCIAL EN PENSIONES"/>
        <s v="APORTES A LA SEGURIDAD SOCIAL EN SALUD"/>
        <s v="APORTES A CAJAS DE COMPENSACIÓN FAMILIAR"/>
        <s v="APORTES GENERALES AL SISTEMA DE RIESGOS LABORALES"/>
        <s v="APORTES AL ICBF"/>
        <s v="APORTES AL SENA"/>
        <s v="APORTES A LA ESAP"/>
        <s v="APORTES A ESCUELAS INDUSTRIALES E INSTITUTOS TÉCNICOS"/>
        <s v="VACACIONES"/>
        <s v="INDEMNIZACIÓN POR VACACIONES"/>
        <s v="BONIFICACIÓN ESPECIAL DE RECREACIÓN"/>
        <s v="PRIMA TÉCNICA NO SALARIAL"/>
        <s v="SERVICIOS DE TRANSPORTE DE PASAJEROS"/>
        <s v="SERVICIOS DE DISTRIBUCIÓN DE ELECTRICIDAD, GAS Y AGUA (POR CUENTA PROPIA)"/>
        <s v="SERVICIOS DE TELECOMUNICACIONES, TRANSMISIÓN Y SUMINISTRO DE INFORMACIÓN"/>
        <s v="SERVICIOS DE ALCANTARILLADO, RECOLECCIÓN, TRATAMIENTO Y DISPOSICIÓN DE DESECHOS Y OTROS SERVICIOS DE SANEAMIENTO AMBIENTAL"/>
        <s v="VIÁTICOS DE LOS FUNCIONARIOS EN COMISIÓN"/>
        <s v="INCAPACIDADES (NO DE PENSIONES)"/>
        <s v="IMPUESTO PREDIAL Y SOBRETASA AMBIENTAL"/>
        <s v="IMPUESTO DE INDUSTRIA Y COMERCIO"/>
        <s v="IMPUESTO SOBRE VEHÍCULOS AUTOMOTORES"/>
        <s v="SERVICIOS INMOBILIARIOS"/>
        <s v="LICENCIAS DE MATERNIDAD Y PATERNIDAD (NO DE PENSIONES)"/>
        <s v="PRODUCTOS DE HORNOS DE COQUE; PRODUCTOS DE REFINACIÓN DE PETRÓLEO Y COMBUSTIBLE NUCLEAR"/>
        <s v="SERVICIOS JURÍDICOS Y CONTABLES"/>
        <s v="MAQUINARIA PARA USO GENERAL"/>
        <s v="HORAS EXTRAS, DOMINICALES, FESTIVOS Y RECARGOS"/>
        <s v="SERVICIOS FINANCIEROS Y SERVICIOS CONEXOS"/>
        <s v="PRIMA DE COORDINACIÓN"/>
        <s v="SERVICIOS DE SOPORTE"/>
        <s v="SERVICIOS DE MANTENIMIENTO, REPARACIÓN E INSTALACIÓN (EXCEPTO SERVICIOS DE CONSTRUCCIÓN)"/>
        <s v="OTROS SERVICIOS PROFESIONALES, CIENTÍFICOS Y TÉCNICOS"/>
        <s v=" DOCUMENTOS DE ESTUDIOS TÉCNICOS DE DESLINDES Y DE TERRITORIOS INDÍGENAS "/>
        <s v=" SEDES ADECUADAS "/>
        <s v=" SEDES CON REFORZAMIENTO ESTRUCTURAL "/>
        <s v=" SEDES MANTENIDAS "/>
        <s v=" SERVICIO DE AVALÚOS "/>
        <s v=" SERVICIO DE INFORMACIÓN CARTOGRÁFICA ACTUALIZADO "/>
        <s v=" SERVICIO DE INFORMACIÓN CATASTRAL "/>
        <s v=" SERVICIOS DE INFORMACIÓN GEODÉSICA ACTUALIZADO "/>
        <s v=" SERVICIOS TECNOLÓGICOS "/>
      </sharedItems>
    </cacheField>
    <cacheField name="PROYECTO" numFmtId="0">
      <sharedItems containsBlank="1"/>
    </cacheField>
    <cacheField name="APR. INICIAL" numFmtId="169">
      <sharedItems containsSemiMixedTypes="0" containsString="0" containsNumber="1" containsInteger="1" minValue="0" maxValue="944000000"/>
    </cacheField>
    <cacheField name="APR. ADICIONADA" numFmtId="169">
      <sharedItems containsSemiMixedTypes="0" containsString="0" containsNumber="1" minValue="0" maxValue="3562820471"/>
    </cacheField>
    <cacheField name="APR. REDUCIDA" numFmtId="169">
      <sharedItems containsSemiMixedTypes="0" containsString="0" containsNumber="1" minValue="0" maxValue="223000000"/>
    </cacheField>
    <cacheField name="APR. VIGENTE" numFmtId="169">
      <sharedItems containsSemiMixedTypes="0" containsString="0" containsNumber="1" minValue="0" maxValue="3554573771"/>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539242529"/>
    </cacheField>
    <cacheField name="APR. DISPONIBLE" numFmtId="169">
      <sharedItems containsSemiMixedTypes="0" containsString="0" containsNumber="1" minValue="0" maxValue="161361194"/>
    </cacheField>
    <cacheField name="COMPROMISO" numFmtId="169">
      <sharedItems containsSemiMixedTypes="0" containsString="0" containsNumber="1" minValue="0" maxValue="3115096537"/>
    </cacheField>
    <cacheField name="OBLIGACION" numFmtId="169">
      <sharedItems containsSemiMixedTypes="0" containsString="0" containsNumber="1" minValue="0" maxValue="2188160232"/>
    </cacheField>
    <cacheField name="ORDEN PAGO" numFmtId="169">
      <sharedItems containsSemiMixedTypes="0" containsString="0" containsNumber="1" minValue="0" maxValue="2188160232"/>
    </cacheField>
    <cacheField name="PAGOS" numFmtId="169">
      <sharedItems containsSemiMixedTypes="0" containsString="0" containsNumber="1" minValue="0" maxValue="2188160232"/>
    </cacheField>
  </cacheFields>
  <extLst>
    <ext xmlns:x14="http://schemas.microsoft.com/office/spreadsheetml/2009/9/main" uri="{725AE2AE-9491-48be-B2B4-4EB974FC3084}">
      <x14:pivotCacheDefinition pivotCacheId="657721680"/>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31.30787488426" createdVersion="7" refreshedVersion="7" minRefreshableVersion="3" recordCount="52" xr:uid="{291F9D07-D472-43B9-A2FC-7CACF1CA09F0}">
  <cacheSource type="worksheet">
    <worksheetSource ref="A4:AB56"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4" u="1"/>
        <n v="20" u="1"/>
        <n v="11" u="1"/>
      </sharedItems>
    </cacheField>
    <cacheField name="SIT" numFmtId="0">
      <sharedItems/>
    </cacheField>
    <cacheField name="DESCRIPCION" numFmtId="0">
      <sharedItems count="30">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 BID"/>
        <s v=" BM"/>
        <s v="INSUMOS GEODÉSICOS, CARTOGRÁFICOS Y LEVANTAMIENTO CATASTRAL " u="1"/>
        <s v="FORTALECIMIENTO DE LA ICDE " u="1"/>
        <s v="FORTALECIMIENTO INSTITUCIONAL CARTOGRÁFICA Y CATASTRAL PARA EL IGAC " u="1"/>
        <s v="GESTIÓN DEL PROYECTO IGAC " u="1"/>
        <s v="FORTALECIMIENTO TECNOLÓGICO DEL IGAC Y CREACIÓN DEL RMD " u="1"/>
      </sharedItems>
    </cacheField>
    <cacheField name="Proyecto" numFmtId="0">
      <sharedItems containsBlank="1" count="13">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m/>
        <s v=" BM" u="1"/>
        <s v=" BID" u="1"/>
      </sharedItems>
    </cacheField>
    <cacheField name="APR INICIAL" numFmtId="169">
      <sharedItems containsSemiMixedTypes="0" containsString="0" containsNumber="1" containsInteger="1" minValue="11819668" maxValue="55360538760"/>
    </cacheField>
    <cacheField name="APR ADICIONADA" numFmtId="169">
      <sharedItems containsSemiMixedTypes="0" containsString="0" containsNumber="1" containsInteger="1" minValue="0" maxValue="669600617"/>
    </cacheField>
    <cacheField name="APR REDUCIDA" numFmtId="169">
      <sharedItems containsSemiMixedTypes="0" containsString="0" containsNumber="1" containsInteger="1" minValue="0" maxValue="800000000"/>
    </cacheField>
    <cacheField name="APR VIGENTE" numFmtId="169">
      <sharedItems containsSemiMixedTypes="0" containsString="0" containsNumber="1" containsInteger="1" minValue="0" maxValue="5536053876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3932881737.169998"/>
    </cacheField>
    <cacheField name="APR DISPONIBLE" numFmtId="169">
      <sharedItems containsSemiMixedTypes="0" containsString="0" containsNumber="1" minValue="0" maxValue="24549979013.970001"/>
    </cacheField>
    <cacheField name="COMPROMISO" numFmtId="169">
      <sharedItems containsSemiMixedTypes="0" containsString="0" containsNumber="1" minValue="0" maxValue="13539704943.780001"/>
    </cacheField>
    <cacheField name="OBLIGACION" numFmtId="169">
      <sharedItems containsSemiMixedTypes="0" containsString="0" containsNumber="1" minValue="0" maxValue="9646186588.6800003"/>
    </cacheField>
    <cacheField name="ORDEN PAGO" numFmtId="169">
      <sharedItems containsSemiMixedTypes="0" containsString="0" containsNumber="1" minValue="0" maxValue="9492481619.6800003"/>
    </cacheField>
    <cacheField name="PAGOS" numFmtId="169">
      <sharedItems containsSemiMixedTypes="0" containsString="0" containsNumber="1" minValue="0" maxValue="9492481619.6800003"/>
    </cacheField>
  </cacheFields>
  <extLst>
    <ext xmlns:x14="http://schemas.microsoft.com/office/spreadsheetml/2009/9/main" uri="{725AE2AE-9491-48be-B2B4-4EB974FC3084}">
      <x14:pivotCacheDefinition pivotCacheId="76259694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2">
      <sharedItems containsSemiMixedTypes="0" containsString="0" containsNumber="1" minValue="0" maxValue="17901027671"/>
    </cacheField>
    <cacheField name=" VALOR TOTAL ESTIMADO (INCLUIDO IVA)2" numFmtId="172">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44">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44">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58.689406481484" createdVersion="7" refreshedVersion="7" minRefreshableVersion="3" recordCount="613" xr:uid="{CA2020B1-494E-4022-B014-E875FD176187}">
  <cacheSource type="worksheet">
    <worksheetSource ref="A1:AR614" sheet="Hoja1" r:id="rId2"/>
  </cacheSource>
  <cacheFields count="44">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ORDENADORA" numFmtId="0">
      <sharedItems count="11">
        <s v="AGROLOGIA"/>
        <s v="CATASTRO"/>
        <s v="SECRETARIA GENERAL"/>
        <s v="CIAF"/>
        <s v="CONTROL INTERNO"/>
        <s v="DIRECCION "/>
        <s v="DIFUSION Y MERCADEO"/>
        <s v="GEOGRAFIA Y CARTOGRAFIA"/>
        <s v="INFORMATICA Y TELECOMUNICACIONES"/>
        <s v="JURIDICA"/>
        <s v="PLANEACION"/>
      </sharedItems>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ount="9">
        <n v="1"/>
        <n v="2"/>
        <n v="3"/>
        <n v="5"/>
        <n v="7"/>
        <n v="4"/>
        <n v="6"/>
        <n v="8"/>
        <n v="10"/>
      </sharedItems>
    </cacheField>
    <cacheField name="CANTIDADES COMPROMETIDAS" numFmtId="0">
      <sharedItems containsString="0" containsBlank="1" containsNumber="1" containsInteger="1" minValue="0" maxValue="10" count="11">
        <n v="1"/>
        <n v="2"/>
        <n v="3"/>
        <n v="5"/>
        <n v="7"/>
        <n v="0"/>
        <n v="4"/>
        <m/>
        <n v="6"/>
        <n v="8"/>
        <n v="10"/>
      </sharedItems>
    </cacheField>
    <cacheField name="CANTIDADES _x000a_PENDIENTES" numFmtId="0">
      <sharedItems containsString="0" containsBlank="1" containsNumber="1" containsInteger="1" minValue="0" maxValue="5" count="7">
        <n v="0"/>
        <n v="1"/>
        <n v="4"/>
        <n v="2"/>
        <m/>
        <n v="3"/>
        <n v="5"/>
      </sharedItems>
    </cacheField>
    <cacheField name="FECHA DEL PAA" numFmtId="14">
      <sharedItems containsSemiMixedTypes="0" containsNonDate="0" containsDate="1" containsString="0" minDate="2021-01-07T00:00:00" maxDate="2021-06-12T00:00:00" count="18">
        <d v="2021-02-03T00:00:00"/>
        <d v="2021-03-24T00:00:00"/>
        <d v="2021-04-12T00:00:00"/>
        <d v="2021-01-07T00:00:00"/>
        <d v="2021-03-11T00:00:00"/>
        <d v="2021-05-31T00:00:00"/>
        <d v="2021-05-11T00:00:00"/>
        <d v="2021-05-25T00:00:00"/>
        <d v="2021-04-14T00:00:00"/>
        <d v="2021-06-11T00:00:00"/>
        <d v="2021-03-04T00:00:00"/>
        <d v="2021-01-20T00:00:00"/>
        <d v="2021-04-26T00:00:00"/>
        <d v="2021-03-05T00:00:00"/>
        <d v="2021-02-11T00:00:00"/>
        <d v="2021-04-20T00:00:00"/>
        <d v="2021-05-14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Febrero"/>
        <s v="Marzo"/>
        <s v="Enero"/>
        <s v="Agosto"/>
        <s v="Julio"/>
        <s v="Junio"/>
        <s v="Septiembre"/>
        <s v="Abril"/>
        <s v="Mayo"/>
        <s v="Noviembre"/>
      </sharedItems>
    </cacheField>
    <cacheField name="Fecha estimada de presentación de ofertas (mes)" numFmtId="0">
      <sharedItems count="11">
        <s v="Febrero"/>
        <s v="Marzo"/>
        <s v="Enero"/>
        <s v="Agosto"/>
        <s v="Julio"/>
        <s v="Junio"/>
        <s v="Septiembre"/>
        <s v="Abril"/>
        <s v="Mayo"/>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Selección abreviada menor cuantía"/>
        <s v="Licitación pública"/>
        <s v="Seléccion abreviada - acuerdo marco"/>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CANTIDAD" numFmtId="0">
      <sharedItems containsMixedTypes="1" containsNumber="1" containsInteger="1" minValue="1" maxValue="10" count="10">
        <n v="1"/>
        <n v="2"/>
        <n v="3"/>
        <n v="5"/>
        <n v="7"/>
        <n v="4"/>
        <n v="6"/>
        <n v="8"/>
        <s v=" "/>
        <n v="10"/>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Secretaría General"/>
        <s v="Secretaria General"/>
        <s v="Oficina CIAF"/>
        <s v="CENTRO DE INVESTIGACIÓN Y DESARROLLO EN INFORMACIÓN GEOGRÁFICA - CIAF"/>
        <s v="Secretaría General - GIT Control Disciplinario"/>
        <s v="Dirección General"/>
        <s v="Oficina de Difusión y Mercadeo"/>
        <s v="Subdirección de Geografía y Cartografía "/>
        <s v="Subdirección de Geografia y Cartografia "/>
        <s v="Secretaría General - GIT Gestión Contractual"/>
        <s v="Secretaría General - GIT Gestión Documental"/>
        <s v="Secretaria General - GIT Gestión Financiera"/>
        <m/>
        <s v="Oficina de Informática y Telecomunicaciones"/>
        <s v="Informática y Telecomunicaciones"/>
        <s v="Oficina Asesora Jurídica"/>
        <s v="Oficina Asesora de Planeación "/>
        <s v="Secretaría General - Grupo Interno de Trabajo Servicio al Ciudadano"/>
        <s v="Secretaria General - GIT Servicio al Ciudadano"/>
        <s v="Secretaria General - GIT Talento Humano"/>
        <s v="Secretaria General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7">
        <s v="Sede Central  "/>
        <s v="GIT Gestión de Suelos y Aplicaciones Agrologicas"/>
        <s v="GIT Laboratorio Nacional de Suelos"/>
        <s v="GIT Modernización y Administración de la Información"/>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m/>
        <s v="Actualización y gestión catastral nacional "/>
        <s v="Fortalecimiento de la infraestructura física del IGAC a nivel Nacional4"/>
      </sharedItems>
    </cacheField>
    <cacheField name="Producto" numFmtId="0">
      <sharedItems containsBlank="1" count="25">
        <s v="Servicio de Información agrológica"/>
        <s v="Servicio de análisis químicos, físicos, mineralógicos y biológicos de suelos"/>
        <s v="Servicio de Información Catastral"/>
        <s v="Sedes adecuadas"/>
        <s v=" Servicio de avalúos"/>
        <s v="Servicio de asistencia técnica para la gestión de los recursos geográficos"/>
        <s v="Servicio de Gestión del conocimiento e Innovación Geográfica"/>
        <s v="N/A"/>
        <s v="Servicio de implementación de sistemas de gestión"/>
        <s v="Documentos de planeación"/>
        <s v="Servicios de información implementados"/>
        <s v="Documentos de lineamientos técnicos"/>
        <s v="Servicio de información cartográfica actualizado"/>
        <s v="Servicios de información geográfica, geodésica y cartográfica "/>
        <s v="Documentos de estudios técnicos de deslindes y de Territorios Indígenas"/>
        <s v="Servicios de información geográfica, geodésica y cartográfica"/>
        <s v="Servicio de información geodésica actualizado"/>
        <s v="Servicio de información geográfica, geodésica y cartográfica"/>
        <s v="Documentos de estudios técnicos sobre geografía"/>
        <s v="Servicio de información Cartográfica actualizado "/>
        <s v="Servicio de Gestión Documental"/>
        <s v="Servicios tecnológicos"/>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16"/>
    </cacheField>
    <cacheField name="PROCESO - FECHA INGRESO" numFmtId="14">
      <sharedItems containsDate="1" containsBlank="1" containsMixedTypes="1" minDate="2021-01-07T00:00:00" maxDate="2021-06-0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583356.125" count="3">
        <n v="0"/>
        <n v="1454651"/>
        <n v="2583356.125"/>
      </sharedItems>
    </cacheField>
    <cacheField name="NO. CONTRATO" numFmtId="0">
      <sharedItems containsBlank="1" containsMixedTypes="1" containsNumber="1" containsInteger="1" minValue="24154" maxValue="24763"/>
    </cacheField>
    <cacheField name="CANTIDADES COMPROMETIDAS2" numFmtId="0">
      <sharedItems containsString="0" containsBlank="1" containsNumber="1" containsInteger="1" minValue="0" maxValue="10" count="12">
        <n v="1"/>
        <n v="2"/>
        <n v="3"/>
        <n v="5"/>
        <n v="7"/>
        <n v="0"/>
        <n v="4"/>
        <m/>
        <n v="6"/>
        <n v="8"/>
        <n v="10"/>
        <n v="9"/>
      </sharedItems>
    </cacheField>
    <cacheField name="CANTIDADES NO UTILIZADOS" numFmtId="0">
      <sharedItems containsString="0" containsBlank="1" containsNumber="1" containsInteger="1" minValue="0" maxValue="8" count="7">
        <n v="0"/>
        <n v="1"/>
        <n v="4"/>
        <n v="2"/>
        <m/>
        <n v="5"/>
        <n v="8"/>
      </sharedItems>
    </cacheField>
  </cacheFields>
  <extLst>
    <ext xmlns:x14="http://schemas.microsoft.com/office/spreadsheetml/2009/9/main" uri="{725AE2AE-9491-48be-B2B4-4EB974FC3084}">
      <x14:pivotCacheDefinition pivotCacheId="1803688463"/>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72.681306134262" createdVersion="7" refreshedVersion="7" minRefreshableVersion="3" recordCount="619" xr:uid="{8E747977-65B0-42F8-9528-69B94CFAB75C}">
  <cacheSource type="worksheet">
    <worksheetSource ref="A1:AQ620" sheet="Hoja1" r:id="rId2"/>
  </cacheSource>
  <cacheFields count="43">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FUSION Y MERCADEO"/>
        <s v="GEOGRAFIA Y CARTOGRAFIA"/>
        <s v="INFORMATICA Y TELECOMUNICACIONES"/>
        <s v="JURIDICA"/>
        <s v="PLANEACION"/>
        <s v="DIRECCION "/>
      </sharedItems>
    </cacheField>
    <cacheField name="CANTIDADES APROBADAS" numFmtId="0">
      <sharedItems containsSemiMixedTypes="0" containsString="0" containsNumber="1" containsInteger="1" minValue="1" maxValue="10" count="10">
        <n v="2"/>
        <n v="1"/>
        <n v="7"/>
        <n v="3"/>
        <n v="5"/>
        <n v="4"/>
        <n v="6"/>
        <n v="10"/>
        <n v="8"/>
        <n v="9"/>
      </sharedItems>
    </cacheField>
    <cacheField name="CANTIDADES COMPROMETIDAS" numFmtId="0">
      <sharedItems containsString="0" containsBlank="1" containsNumber="1" containsInteger="1" minValue="0" maxValue="10" count="11">
        <n v="2"/>
        <n v="1"/>
        <n v="7"/>
        <n v="3"/>
        <n v="5"/>
        <n v="4"/>
        <n v="0"/>
        <m/>
        <n v="6"/>
        <n v="10"/>
        <n v="8"/>
      </sharedItems>
    </cacheField>
    <cacheField name="CANTIDADES _x000a_PENDIENTES" numFmtId="0">
      <sharedItems containsSemiMixedTypes="0" containsString="0" containsNumber="1" containsInteger="1" minValue="0" maxValue="9" count="8">
        <n v="0"/>
        <n v="1"/>
        <n v="5"/>
        <n v="2"/>
        <n v="8"/>
        <n v="9"/>
        <n v="3"/>
        <n v="4"/>
      </sharedItems>
    </cacheField>
    <cacheField name="FECHA DEL PAA" numFmtId="14">
      <sharedItems containsSemiMixedTypes="0" containsNonDate="0" containsDate="1" containsString="0" minDate="2021-01-07T00:00:00" maxDate="2021-06-24T00:00:00" count="20">
        <d v="2021-01-07T00:00:00"/>
        <d v="2021-02-03T00:00:00"/>
        <d v="2021-03-11T00:00:00"/>
        <d v="2021-03-04T00:00:00"/>
        <d v="2021-04-14T00:00:00"/>
        <d v="2021-05-11T00:00:00"/>
        <d v="2021-01-20T00:00:00"/>
        <d v="2021-02-11T00:00:00"/>
        <d v="2021-05-31T00:00:00"/>
        <d v="2021-06-11T00:00:00"/>
        <d v="2021-06-17T00:00:00"/>
        <d v="2021-04-12T00:00:00"/>
        <d v="2021-03-05T00:00:00"/>
        <d v="2021-05-25T00:00:00"/>
        <d v="2021-03-24T00:00:00"/>
        <d v="2021-06-23T00:00:00"/>
        <d v="2021-04-26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NUEVO"/>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Febrero"/>
        <s v="Marzo"/>
        <s v="Abril"/>
        <s v="Mayo"/>
        <s v="Junio"/>
        <s v="Noviembre"/>
        <s v="Julio"/>
        <s v="Agosto"/>
        <s v="Septiembre"/>
        <s v="Octubre"/>
      </sharedItems>
    </cacheField>
    <cacheField name="Fecha estimada de presentación de ofertas (mes)" numFmtId="0">
      <sharedItems count="11">
        <s v="Enero"/>
        <s v="Febrero"/>
        <s v="Marzo"/>
        <s v="Abril"/>
        <s v="Mayo"/>
        <s v="Junio"/>
        <s v="Noviembre"/>
        <s v="Julio"/>
        <s v="Agosto"/>
        <s v="Sept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éccion abreviada - acuerdo marco"/>
        <s v="Selección abreviada subasta inversa"/>
        <s v="Licitación pública"/>
        <s v="Selección abreviada menor cuantía"/>
      </sharedItems>
    </cacheField>
    <cacheField name="FUENTE DE LOS RECURSOS" numFmtId="0">
      <sharedItems count="4">
        <s v="Presupuesto de entidad nacional"/>
        <s v="Recursos de crédito"/>
        <s v="Recursos propios"/>
        <s v="Recursos propios "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4">
        <s v="No"/>
        <s v="Sí"/>
        <s v="Si"/>
        <s v=" NO"/>
      </sharedItems>
    </cacheField>
    <cacheField name="ESTADO DE SOLICITUD DE VIGENCIAS FUTURAS" numFmtId="0">
      <sharedItems count="6">
        <s v="NA"/>
        <s v="N/A"/>
        <s v=" NA "/>
        <s v="No solicitadas"/>
        <s v="Solicitadas"/>
        <s v="N.A"/>
      </sharedItems>
    </cacheField>
    <cacheField name="CANTIDAD" numFmtId="0">
      <sharedItems containsMixedTypes="1" containsNumber="1" containsInteger="1" minValue="1" maxValue="10" count="11">
        <n v="2"/>
        <n v="1"/>
        <n v="7"/>
        <n v="3"/>
        <n v="5"/>
        <n v="4"/>
        <s v=" "/>
        <n v="6"/>
        <n v="10"/>
        <n v="8"/>
        <n v="9"/>
      </sharedItems>
    </cacheField>
    <cacheField name="Tipo de Recurso" numFmtId="0">
      <sharedItems containsBlank="1" count="3">
        <s v="Inversión"/>
        <s v="Funcionamiento"/>
        <m u="1"/>
      </sharedItems>
    </cacheField>
    <cacheField name="Dependencia Origen2" numFmtId="0">
      <sharedItems containsBlank="1" count="29">
        <s v="Subdirección de Agrología"/>
        <s v="Subdirección de catastro"/>
        <s v="Secretaría General"/>
        <s v="Oficina CIAF"/>
        <s v="Secretaría General - GIT Control Disciplinario"/>
        <s v="Dirección General"/>
        <s v="Subdirección de Geografía y Cartografía "/>
        <s v="Secretaría General - GIT Gestión Contractual"/>
        <s v="Secretaria General"/>
        <s v="Secretaria General - GIT Gestión Financiera"/>
        <s v="Oficina de Informática y Telecomunicaciones"/>
        <s v="Oficina Asesora Jurídica"/>
        <s v="Oficina Asesora de Planeación "/>
        <s v="Secretaría General - Grupo Interno de Trabajo Servicio al Ciudadano"/>
        <s v="Secretaria General "/>
        <m/>
        <s v="Secretaría General - GIT Servicios Administrativos"/>
        <s v="Secretaría General - Servicios Administrativos"/>
        <s v="Secretaría General - GIT de Talento Humano"/>
        <s v="Informática y Telecomunicaciones"/>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Talento Humano"/>
        <s v="Secretaria General - GIT servicios administrativos"/>
        <s v="Secretaría General - GIT Gestión Financiera"/>
        <s v="Secretaría General - GIT servicios admnistrativos "/>
      </sharedItems>
    </cacheField>
    <cacheField name="Dependencia Destino2" numFmtId="0">
      <sharedItems containsBlank="1"/>
    </cacheField>
    <cacheField name="Ubicación" numFmtId="0">
      <sharedItems containsBlank="1" count="8">
        <s v="GIT Laboratorio Nacional de Suelos"/>
        <s v="GIT Modernización y Administración de la Información"/>
        <s v="GIT Gestión de Suelos y Aplicaciones Agrologicas"/>
        <s v="Sede Central  "/>
        <s v="Dirección Territorial"/>
        <s v="Sede Central"/>
        <m/>
        <s v="Subdirección de Agrología"/>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
        <s v="Fortalecimiento de la gestión institucional del IGAC a nivel Nacional"/>
        <m/>
        <s v="Fortalecimiento de la infraestructura física del IGAC a nivel Nacional4"/>
        <s v="Actualización y gestión catastral nacional "/>
        <s v="GIT Gestión de Suelos y Aplicaciones Agrologicas"/>
      </sharedItems>
    </cacheField>
    <cacheField name="Producto" numFmtId="0">
      <sharedItems containsBlank="1" count="26">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N/A"/>
        <s v="Servicios de información implementados"/>
        <s v="Servicio de información Cartográfica actualizado "/>
        <s v="Servicio de información geográfica, geodésica y cartográfica"/>
        <s v="Servicio de información cartográfica actualizado"/>
        <s v="Servicio de información geodésica actualizado"/>
        <s v="Documentos de estudios técnicos de deslindes y de Territorios Indígenas"/>
        <s v="Servicios de información geográfica, geodésica y cartográfica "/>
        <s v="Documentos de estudios técnicos sobre geografía"/>
        <s v="Servicio de Gestión Documental"/>
        <s v="Servicios tecnológicos"/>
        <s v="Documentos de planeación"/>
        <s v="Servicio de Educación informal para la gestión Administrativa"/>
        <m/>
        <s v="Sedes Mantenidas"/>
        <s v="Servicio de Gestión del conocimiento e Innovación Geográfica"/>
        <s v="Servicio de implementación de sistemas de gestión"/>
        <s v="Documentos de lineamientos técnicos"/>
        <s v="Servicios de información geográfica, geodésica y cartográfica"/>
        <s v="Subdirector de Agrología "/>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25"/>
    </cacheField>
    <cacheField name="PROCESO - FECHA INGRESO" numFmtId="14">
      <sharedItems containsDate="1" containsBlank="1" containsMixedTypes="1" minDate="2021-01-07T00:00:00" maxDate="2021-06-2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809523.80952381" count="29">
        <n v="0"/>
        <n v="2226235.8333333335"/>
        <n v="2603943.3333333335"/>
        <n v="3004166.666666667"/>
        <n v="3033530"/>
        <n v="4147019.9999999995"/>
        <n v="4798160.897435898"/>
        <n v="2161394.1666666665"/>
        <n v="4152020.208333333"/>
        <n v="4026233.3333333335"/>
        <n v="4658408.333333334"/>
        <n v="4798160.833333333"/>
        <n v="5407325"/>
        <n v="6108638.333333333"/>
        <n v="6291897.5"/>
        <n v="7981621.666666666"/>
        <n v="8221070"/>
        <n v="9185493.333333334"/>
        <n v="9854288.333333334"/>
        <n v="5569545"/>
        <n v="6291897.435897436"/>
        <n v="7256646.666666666"/>
        <n v="14513293.333333332"/>
        <n v="3552935"/>
        <n v="10149916.666666668"/>
        <n v="23809523.80952381"/>
        <n v="5104024.615384615"/>
        <n v="1944444.4444444445"/>
        <n v="7307692.307692308"/>
      </sharedItems>
    </cacheField>
    <cacheField name="NO. CONTRATO" numFmtId="0">
      <sharedItems containsBlank="1" containsMixedTypes="1" containsNumber="1" containsInteger="1" minValue="24154" maxValue="24769"/>
    </cacheField>
    <cacheField name="CANTIDADES COMPROMETIDAS2" numFmtId="0">
      <sharedItems containsString="0" containsBlank="1" containsNumber="1" containsInteger="1" minValue="0" maxValue="10" count="12">
        <n v="2"/>
        <n v="1"/>
        <n v="7"/>
        <n v="3"/>
        <n v="5"/>
        <n v="4"/>
        <n v="0"/>
        <m/>
        <n v="6"/>
        <n v="10"/>
        <n v="9"/>
        <n v="8"/>
      </sharedItems>
    </cacheField>
  </cacheFields>
  <extLst>
    <ext xmlns:x14="http://schemas.microsoft.com/office/spreadsheetml/2009/9/main" uri="{725AE2AE-9491-48be-B2B4-4EB974FC3084}">
      <x14:pivotCacheDefinition pivotCacheId="1202735562"/>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86.787531018519" createdVersion="7" refreshedVersion="7" minRefreshableVersion="3" recordCount="626" xr:uid="{0C0D7605-AFE7-47B6-8F44-00994BB4A274}">
  <cacheSource type="worksheet">
    <worksheetSource ref="A1:AV627" sheet="Hoja1" r:id="rId2"/>
  </cacheSource>
  <cacheFields count="48">
    <cacheField name="PAA" numFmtId="0">
      <sharedItems containsMixedTypes="1" containsNumber="1" containsInteger="1" minValue="1" maxValue="6"/>
    </cacheField>
    <cacheField name="ITEM" numFmtId="0">
      <sharedItems containsBlank="1" containsMixedTypes="1" containsNumber="1" containsInteger="1" minValue="1" maxValue="98"/>
    </cacheField>
    <cacheField name="DEPENDENCIA ORIGEN" numFmtId="0">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09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53467632"/>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63025153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402.942252199071" createdVersion="7" refreshedVersion="7" minRefreshableVersion="3" recordCount="625" xr:uid="{3716964B-D402-504A-9403-0391CC3FF954}">
  <cacheSource type="worksheet">
    <worksheetSource ref="A1:AV626" sheet="Hoja1" r:id="rId2"/>
  </cacheSource>
  <cacheFields count="48">
    <cacheField name="PAA" numFmtId="0">
      <sharedItems containsMixedTypes="1" containsNumber="1" containsInteger="1" minValue="1" maxValue="6"/>
    </cacheField>
    <cacheField name="ITEM" numFmtId="0">
      <sharedItems containsDate="1" containsBlank="1" containsMixedTypes="1" minDate="1899-12-31T04:01:03" maxDate="1899-12-31T01:30:04"/>
    </cacheField>
    <cacheField name="DEPENDENCIA ORIGEN" numFmtId="0">
      <sharedItems/>
    </cacheField>
    <cacheField name="DEPENDENCIA DESTINO" numFmtId="0">
      <sharedItems count="9">
        <s v="AGROLOGIA"/>
        <s v="CATASTRO"/>
        <s v="CIAF"/>
        <s v="DIRECCION "/>
        <s v="DIFUSION Y MERCADEO"/>
        <s v="INFORMATICA Y TELECOMUNICACIONES"/>
        <s v="PLANEACION"/>
        <s v="GEOGRAFIA Y CARTOGRAFIA"/>
        <s v="SECRETARIA GENERAL"/>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24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94459483.199999988"/>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342492603"/>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17.395772685188" createdVersion="7" refreshedVersion="7" minRefreshableVersion="3" recordCount="625" xr:uid="{E0CA832E-7035-4777-AA1B-9F017E930A77}">
  <cacheSource type="worksheet">
    <worksheetSource ref="A1:AU626" sheet="Hoja1" r:id="rId2"/>
  </cacheSource>
  <cacheFields count="47">
    <cacheField name="PAA" numFmtId="0">
      <sharedItems containsMixedTypes="1" containsNumber="1" containsInteger="1" minValue="1" maxValue="6" count="9">
        <n v="4"/>
        <n v="5"/>
        <s v="5//3"/>
        <n v="3"/>
        <n v="2"/>
        <n v="6"/>
        <s v="6//4"/>
        <n v="1"/>
        <s v="1//1"/>
      </sharedItems>
    </cacheField>
    <cacheField name="ITEM" numFmtId="0">
      <sharedItems containsDate="1" containsBlank="1" containsMixedTypes="1" minDate="1899-12-31T04:01:03" maxDate="1899-12-31T01:30:04"/>
    </cacheField>
    <cacheField name="DEPENDENCIA ORIGEN" numFmtId="0">
      <sharedItems count="6">
        <s v="AGROLOGIA"/>
        <s v="CATASTRO"/>
        <s v="CIAF"/>
        <s v="DIRECCION "/>
        <s v="GEOGRAFIA Y CARTOGRAFIA"/>
        <s v="SECRETARIA GENERAL"/>
      </sharedItems>
    </cacheField>
    <cacheField name="DEPENDENCIA DESTINO" numFmtId="0">
      <sharedItems count="9">
        <s v="AGROLOGIA"/>
        <s v="CATASTRO"/>
        <s v="CIAF"/>
        <s v="DIFUSION Y MERCADEO"/>
        <s v="DIRECCION "/>
        <s v="GEOGRAFIA Y CARTOGRAFIA"/>
        <s v="INFORMATICA Y TELECOMUNICACIONES"/>
        <s v="PLANEACION"/>
        <s v="SECRETARIA GENERAL"/>
      </sharedItems>
    </cacheField>
    <cacheField name="CANTIDADES APROBADAS" numFmtId="0">
      <sharedItems containsSemiMixedTypes="0" containsString="0" containsNumber="1" containsInteger="1" minValue="1" maxValue="10" count="10">
        <n v="1"/>
        <n v="4"/>
        <n v="2"/>
        <n v="3"/>
        <n v="5"/>
        <n v="7"/>
        <n v="6"/>
        <n v="8"/>
        <n v="10"/>
        <n v="9"/>
      </sharedItems>
    </cacheField>
    <cacheField name="CANTIDADES COMPROMETIDAS" numFmtId="0">
      <sharedItems containsString="0" containsBlank="1" containsNumber="1" containsInteger="1" minValue="0" maxValue="10" count="11">
        <n v="0"/>
        <n v="1"/>
        <n v="2"/>
        <n v="3"/>
        <n v="5"/>
        <n v="7"/>
        <n v="4"/>
        <m/>
        <n v="6"/>
        <n v="8"/>
        <n v="10"/>
      </sharedItems>
    </cacheField>
    <cacheField name="CANTIDADES _x000a_PENDIENTES" numFmtId="0">
      <sharedItems containsSemiMixedTypes="0" containsString="0" containsNumber="1" containsInteger="1" minValue="0" maxValue="9" count="7">
        <n v="1"/>
        <n v="4"/>
        <n v="2"/>
        <n v="0"/>
        <n v="3"/>
        <n v="8"/>
        <n v="9"/>
      </sharedItems>
    </cacheField>
    <cacheField name="FECHA DEL PAA" numFmtId="14">
      <sharedItems containsSemiMixedTypes="0" containsNonDate="0" containsDate="1" containsString="0" minDate="2021-01-07T00:00:00" maxDate="2021-07-07T00:00:00" count="22">
        <d v="2021-05-11T00:00:00"/>
        <d v="2021-05-31T00:00:00"/>
        <d v="2021-05-25T00:00:00"/>
        <d v="2021-06-11T00:00:00"/>
        <d v="2021-06-17T00:00:00"/>
        <d v="2021-02-03T00:00:00"/>
        <d v="2021-03-24T00:00:00"/>
        <d v="2021-04-12T00:00:00"/>
        <d v="2021-07-02T00:00:00"/>
        <d v="2021-01-07T00:00:00"/>
        <d v="2021-03-11T00:00:00"/>
        <d v="2021-04-26T00:00:00"/>
        <d v="2021-03-04T00:00:00"/>
        <d v="2021-04-14T00:00:00"/>
        <d v="2021-01-20T00:00:00"/>
        <d v="2021-03-05T00:00:00"/>
        <d v="2021-02-11T00:00:00"/>
        <d v="2021-07-06T00:00:00"/>
        <d v="2021-06-23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MODIFICACION"/>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Septiembre"/>
        <s v="Julio"/>
        <s v="Febrero"/>
        <s v="Marzo"/>
        <s v="Enero"/>
        <s v="Junio"/>
        <s v="Mayo"/>
        <s v="Abril"/>
        <s v="Noviembre"/>
        <s v="Octubre"/>
      </sharedItems>
    </cacheField>
    <cacheField name="Fecha estimada de presentación de ofertas (mes)" numFmtId="0">
      <sharedItems count="11">
        <s v="Agosto"/>
        <s v="Septiembre"/>
        <s v="Julio"/>
        <s v="Febrero"/>
        <s v="Marzo"/>
        <s v="Enero"/>
        <s v="Junio"/>
        <s v="Mayo"/>
        <s v="Abril"/>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Licitación pública"/>
        <s v="Selección abreviada menor cuantía"/>
        <s v="Seléccion abreviada - acuerdo marco"/>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No"/>
        <s v=" NO"/>
        <s v="SI"/>
        <s v="Sí"/>
      </sharedItems>
    </cacheField>
    <cacheField name="ESTADO DE SOLICITUD DE VIGENCIAS FUTURAS" numFmtId="0">
      <sharedItems count="6">
        <s v="N/A"/>
        <s v="NA"/>
        <s v="No solicitadas"/>
        <s v="Solicitadas"/>
        <s v=" NA "/>
        <s v="N.A"/>
      </sharedItems>
    </cacheField>
    <cacheField name="CANTIDAD" numFmtId="0">
      <sharedItems containsMixedTypes="1" containsNumber="1" containsInteger="1" minValue="1" maxValue="10" count="11">
        <n v="1"/>
        <n v="4"/>
        <n v="2"/>
        <n v="3"/>
        <n v="5"/>
        <n v="7"/>
        <n v="6"/>
        <n v="8"/>
        <s v=" "/>
        <n v="10"/>
        <n v="9"/>
      </sharedItems>
    </cacheField>
    <cacheField name="Tipo de Recurso" numFmtId="0">
      <sharedItems containsBlank="1" count="3">
        <s v="Inversión"/>
        <s v="Funcionamiento"/>
        <m/>
      </sharedItems>
    </cacheField>
    <cacheField name="Dependencia Origen2" numFmtId="0">
      <sharedItems containsBlank="1" count="29">
        <s v="Subdirección de Agrología"/>
        <s v="Subdirección de Catastro"/>
        <s v="Oficina CIAF"/>
        <s v="CENTRO DE INVESTIGACIÓN Y DESARROLLO EN INFORMACIÓN GEOGRÁFICA - CIAF"/>
        <s v="Dirección General"/>
        <s v="Oficina de Difusión y Mercadeo"/>
        <s v="Secretaria General"/>
        <s v="Subdirección de Geografía y Cartografía "/>
        <s v="Subdirección de Geografia y Cartografia "/>
        <s v="Oficina de Informática y Telecomunicaciones"/>
        <s v="Informática y Telecomunicaciones"/>
        <s v="Oficina Asesora Jurídica"/>
        <s v="Oficina Asesora de Planeación "/>
        <s v="Secretaría General"/>
        <s v="Secretaría General - GIT Control Disciplinario"/>
        <s v="Secretaría General - GIT Gestión Contractual"/>
        <s v="Secretaría General - GIT Gestión Documental"/>
        <s v="Secretaria General - GIT Gestión Financiera"/>
        <s v="Secretaría General - GIT Gestión Financiera"/>
        <m/>
        <s v="Secretaria General - GIT Servicio al Ciudadano"/>
        <s v="Secretaria General - GIT Talento Humano"/>
        <s v="Secretaría General - Grupo Interno de Trabajo Servicio al Ciudadano"/>
        <s v="Secretaria General "/>
        <s v="Secretaría General - GIT servicios admnistrativos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8">
        <s v="GIT Modernización y Administración de la Información"/>
        <s v="GIT Gestión de Suelos y Aplicaciones Agrologicas"/>
        <s v="GIT Laboratorio Nacional de Suelos"/>
        <s v="Subdirección de Agrología"/>
        <s v="Sede Central  "/>
        <s v="Sede Central"/>
        <s v="Dirección Territorial"/>
        <m/>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GIT Gestión de Suelos y Aplicaciones Agrologicas"/>
        <s v="Actualización y gestión catastral Nacional"/>
        <s v="Fortalecimiento de la gestión del conocimiento y la innovación en el ámbito geográfico del territorio Nacional"/>
        <s v="Fortalecimiento de los procesos de difusión y acceso a la información geográfica a nivel Nacional"/>
        <s v="Fortalecimiento de la gestión institucional del IGAC a nivel Nacional "/>
        <s v="N/A"/>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Fortalecimiento de la infraestructura física del IGAC a nivel Nacional"/>
        <s v="Implementación de un sistema de gestión documental en el IGAC a nivel Nacional"/>
        <m/>
        <s v="Actualización y gestión catastral nacional "/>
        <s v="Fortalecimiento de la infraestructura física del IGAC a nivel Nacional4"/>
      </sharedItems>
    </cacheField>
    <cacheField name="Producto" numFmtId="0">
      <sharedItems containsBlank="1" count="26">
        <s v="Servicio de Información agrológica"/>
        <s v="Servicio de análisis químicos, físicos, mineralógicos y biológicos de suelos"/>
        <s v="Subdirector de Agrología "/>
        <s v="Servicio de Información Catastral"/>
        <s v=" Servicio de avalúos"/>
        <s v="Servicio de asistencia técnica para la gestión de los recursos geográficos"/>
        <s v="Servicio de Gestión del conocimiento e Innovación Geográfica"/>
        <s v="Servicios de información implementados"/>
        <s v="Documentos de lineamientos técnicos"/>
        <s v="Servicio de implementación de sistemas de gestión"/>
        <s v="N/A"/>
        <s v="Documentos de planeación"/>
        <s v="Servicio de información cartográfica actualizado"/>
        <s v="Servicio de información geodésica actualizado"/>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s tecnológicos"/>
        <s v="Sedes adecuadas"/>
        <s v="Servicio de Gestión Documental"/>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8-03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650292" count="29">
        <n v="0"/>
        <n v="4196430"/>
        <n v="9952848"/>
        <n v="14211740"/>
        <n v="19316929.333333332"/>
        <n v="5342966"/>
        <n v="7210000"/>
        <n v="11515586"/>
        <n v="7280472"/>
        <n v="11515586.153846154"/>
        <n v="9662960"/>
        <n v="11180180"/>
        <n v="12977580"/>
        <n v="14660732"/>
        <n v="19155892"/>
        <n v="19730568"/>
        <n v="22045184"/>
        <n v="23650292"/>
        <n v="8278684"/>
        <n v="19325920"/>
        <n v="4257515.1219512196"/>
        <n v="7550276.923076923"/>
        <n v="13366908"/>
        <n v="15100554"/>
        <n v="17415952"/>
        <n v="5187346"/>
        <n v="12249659.076923076"/>
        <n v="17538461.53846154"/>
        <n v="4666666.666666667"/>
      </sharedItems>
    </cacheField>
    <cacheField name="NO. CONTRATO" numFmtId="0">
      <sharedItems containsBlank="1" containsMixedTypes="1" containsNumber="1" containsInteger="1" minValue="1" maxValue="24782"/>
    </cacheField>
    <cacheField name="CANTIDADES COMPROMETIDAS2" numFmtId="0">
      <sharedItems containsString="0" containsBlank="1" containsNumber="1" containsInteger="1" minValue="0" maxValue="10" count="12">
        <n v="0"/>
        <n v="1"/>
        <n v="2"/>
        <n v="3"/>
        <n v="5"/>
        <n v="7"/>
        <n v="4"/>
        <m/>
        <n v="6"/>
        <n v="8"/>
        <n v="10"/>
        <n v="9"/>
      </sharedItems>
    </cacheField>
    <cacheField name="CANTIDADES NO UTILIZADOS" numFmtId="0">
      <sharedItems containsString="0" containsBlank="1" containsNumber="1" containsInteger="1" minValue="0" maxValue="9" count="9">
        <n v="1"/>
        <n v="4"/>
        <n v="2"/>
        <n v="0"/>
        <m/>
        <n v="3"/>
        <n v="5"/>
        <n v="8"/>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s>
  <extLst>
    <ext xmlns:x14="http://schemas.microsoft.com/office/spreadsheetml/2009/9/main" uri="{725AE2AE-9491-48be-B2B4-4EB974FC3084}">
      <x14:pivotCacheDefinition pivotCacheId="884323943"/>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05581365738" createdVersion="7" refreshedVersion="7" minRefreshableVersion="3" recordCount="640" xr:uid="{8F5D171A-99ED-4FBC-A3C8-A1C21CA1CE3C}">
  <cacheSource type="worksheet">
    <worksheetSource ref="A1:AZ641" sheet="Hoja1" r:id="rId2"/>
  </cacheSource>
  <cacheFields count="52">
    <cacheField name="PAA ANTIGUO" numFmtId="0">
      <sharedItems containsBlank="1" containsMixedTypes="1" containsNumber="1" containsInteger="1" minValue="1" maxValue="6" count="12">
        <m/>
        <n v="5"/>
        <s v="5//3"/>
        <n v="4"/>
        <s v="4//10"/>
        <n v="6"/>
        <s v="6//4"/>
        <n v="3"/>
        <n v="2"/>
        <s v="2//11"/>
        <n v="1"/>
        <s v="1//1"/>
      </sharedItems>
    </cacheField>
    <cacheField name="ITEM ANTIGUO" numFmtId="0">
      <sharedItems containsBlank="1" containsMixedTypes="1" containsNumber="1" containsInteger="1" minValue="1" maxValue="100"/>
    </cacheField>
    <cacheField name="PAA NUEVO" numFmtId="0">
      <sharedItems containsString="0" containsBlank="1" containsNumber="1" containsInteger="1" minValue="29" maxValue="35" count="7">
        <n v="33"/>
        <m/>
        <n v="32"/>
        <n v="31"/>
        <n v="34"/>
        <n v="29"/>
        <n v="35"/>
      </sharedItems>
    </cacheField>
    <cacheField name="ITEM NUEVO" numFmtId="0">
      <sharedItems containsString="0" containsBlank="1" containsNumber="1" containsInteger="1" minValue="1" maxValue="13" count="14">
        <m/>
        <n v="11"/>
        <n v="8"/>
        <n v="5"/>
        <n v="9"/>
        <n v="10"/>
        <n v="3"/>
        <n v="7"/>
        <n v="12"/>
        <n v="6"/>
        <n v="4"/>
        <n v="13"/>
        <n v="1"/>
        <n v="2"/>
      </sharedItems>
    </cacheField>
    <cacheField name="NUEVA DEPENDENCIA ORDENADORA" numFmtId="0">
      <sharedItems count="6">
        <s v="DIRECCIÓN DE GESTIÓN CATASTRAL"/>
        <s v="DIRECCIÓN DE GESTIÓN DE INFORMACIÓN GEOGRÁFICA"/>
        <s v="DIRECCIÓN DE INVESTIGACIÓN Y PROSPECTIVA"/>
        <s v="DIRECCIÓN DE TECNOLOGÍAS DE LA INFORMACIÓN Y COMUNICACIONES"/>
        <s v="DIRECCIÓN GENERAL"/>
        <s v="SECRETARIA GENERAL"/>
      </sharedItems>
    </cacheField>
    <cacheField name="DEPENDENCIA DESTINO" numFmtId="0">
      <sharedItems containsBlank="1" count="21">
        <s v="DIRECCIÓN DE GESTIÓN CATASTRAL"/>
        <s v="SUBDIRECCIÓN DE AGROLOGÍA"/>
        <s v="SUBDIRECCIÓN DE GEOGRAFÍA"/>
        <s v="OBSERVATORIO INMOBILIARIO CATASTRAL"/>
        <s v="DIRECCIÓN DE INVESTIGACIÓN Y PROSPECTIVA"/>
        <s v="DIRECCIÓN DE TECNOLOGÍAS DE LA INFORMACIÓN Y COMUNICACIONES"/>
        <s v="SUBDIRECCIÓN DE SISTEMAS DE INFORMACIÓN"/>
        <s v="OFICINA ASESORA DE COMUNICACIONES"/>
        <s v="OFICINA ASESORA DE PLANEACIÓN"/>
        <s v="OFICINA ASESORA JURIDICA"/>
        <s v="OFICINA DE CONTROL INTERNO"/>
        <s v="OFICINA DE CONTROL INTERNO DISCIPLINARIO"/>
        <s v="OFICINA DE RELACIÓN CON EL CIUDADANO"/>
        <s v="DIRECCIÓN GENERAL"/>
        <s v="SECRETARIA GENERAL"/>
        <s v="SUBDIRECCIÓN ADMINISTRATIVA Y FINANCIERA"/>
        <s v="SUBDIRECCIÓN DE TALENTO HUMANO"/>
        <m u="1"/>
        <s v="DIRECCIÓN TERRITORIAL BOLIVAR" u="1"/>
        <s v="BANCO-MUNDIAL" u="1"/>
        <s v="CASANARE" u="1"/>
      </sharedItems>
    </cacheField>
    <cacheField name="DEPENDENCIA ORIGEN" numFmtId="0">
      <sharedItems containsBlank="1" count="7">
        <m/>
        <s v="CATASTRO"/>
        <s v="AGROLOGIA"/>
        <s v="GEOGRAFIA Y CARTOGRAFIA"/>
        <s v="CIAF"/>
        <s v="DIRECCION "/>
        <s v="SECRETARIA GENERAL"/>
      </sharedItems>
    </cacheField>
    <cacheField name="DEPENDENCIA DESTINO2" numFmtId="0">
      <sharedItems containsBlank="1" count="27">
        <m/>
        <s v="CASANARE"/>
        <s v="GESTION CONTRACTUAL"/>
        <s v="CATASTRO"/>
        <s v="CATASTRO-BANCO"/>
        <s v="AGROLOGIA"/>
        <s v="AGROLOGIA-BANCO"/>
        <s v="GEOGRAFIA Y CARTOGRAFIA"/>
        <s v="GEOGRAFIA Y CARTOGRAFIA-BANCO"/>
        <s v="CIAF"/>
        <s v="CIAF-BANCO"/>
        <s v="INFORMATICA Y TELECOMUNICACIONES"/>
        <s v="INFORMATICA Y TELECOMUNICACIONES - BANCO "/>
        <s v="DIFUSION Y MERCADEO"/>
        <s v="PLANEACION"/>
        <s v="PLANEACION - BANCO "/>
        <s v="JURIDICA"/>
        <s v="CONTROL INTERNO"/>
        <s v="CONTROL DISCIPLINARIO"/>
        <s v="PQRD Y ATENCION AL CIUDADANO"/>
        <s v="DESPACHO"/>
        <s v="SERVICIOS ADMINISTRATIVOS"/>
        <s v="SECRETARIA GENERAL"/>
        <s v="GESTION DOCUMENTAL"/>
        <s v="GESTION FINANCIERA"/>
        <s v="SECRETARIA GENERAL-BANCO"/>
        <s v="TALENTO HUMANO"/>
      </sharedItems>
    </cacheField>
    <cacheField name="CANTIDADES APROBADAS" numFmtId="0">
      <sharedItems containsSemiMixedTypes="0" containsString="0" containsNumber="1" containsInteger="1" minValue="1" maxValue="10" count="10">
        <n v="1"/>
        <n v="2"/>
        <n v="6"/>
        <n v="5"/>
        <n v="3"/>
        <n v="4"/>
        <n v="8"/>
        <n v="7"/>
        <n v="10"/>
        <n v="9"/>
      </sharedItems>
    </cacheField>
    <cacheField name="CANTIDADES COMPROMETIDAS" numFmtId="0">
      <sharedItems containsString="0" containsBlank="1" containsNumber="1" containsInteger="1" minValue="0" maxValue="10" count="11">
        <n v="0"/>
        <n v="2"/>
        <n v="1"/>
        <n v="5"/>
        <n v="3"/>
        <n v="4"/>
        <n v="7"/>
        <n v="6"/>
        <n v="8"/>
        <n v="10"/>
        <m/>
      </sharedItems>
    </cacheField>
    <cacheField name="CANTIDADES _x000a_PENDIENTES" numFmtId="0">
      <sharedItems containsSemiMixedTypes="0" containsString="0" containsNumber="1" containsInteger="1" minValue="0" maxValue="9" count="7">
        <n v="1"/>
        <n v="0"/>
        <n v="3"/>
        <n v="2"/>
        <n v="8"/>
        <n v="4"/>
        <n v="9"/>
      </sharedItems>
    </cacheField>
    <cacheField name="FECHA DEL PAA" numFmtId="14">
      <sharedItems containsSemiMixedTypes="0" containsNonDate="0" containsDate="1" containsString="0" minDate="2021-01-07T00:00:00" maxDate="2021-08-27T00:00:00" count="25">
        <d v="2021-08-12T00:00:00"/>
        <d v="2021-04-26T00:00:00"/>
        <d v="2021-03-04T00:00:00"/>
        <d v="2021-04-14T00:00:00"/>
        <d v="2021-05-11T00:00:00"/>
        <d v="2021-03-24T00:00:00"/>
        <d v="2021-06-11T00:00:00"/>
        <d v="2021-08-26T00:00:00"/>
        <d v="2021-01-20T00:00:00"/>
        <d v="2021-01-07T00:00:00"/>
        <d v="2021-05-31T00:00:00"/>
        <d v="2021-02-03T00:00:00"/>
        <d v="2021-03-11T00:00:00"/>
        <d v="2021-03-05T00:00:00"/>
        <d v="2021-02-11T00:00:00"/>
        <d v="2021-07-06T00:00:00"/>
        <d v="2021-04-12T00:00:00"/>
        <d v="2021-07-02T00:00:00"/>
        <d v="2021-05-25T00:00:00"/>
        <d v="2021-06-17T00:00:00"/>
        <d v="2021-08-20T00:00:00"/>
        <d v="2021-06-23T00:00:00"/>
        <d v="2021-05-14T00:00:00"/>
        <d v="2021-04-20T00:00:00"/>
        <d v="2021-05-06T00:00:00"/>
      </sharedItems>
    </cacheField>
    <cacheField name="CREDITO" numFmtId="0">
      <sharedItems containsString="0" containsBlank="1" containsNumber="1" containsInteger="1" minValue="1" maxValue="1" count="2">
        <n v="1"/>
        <m/>
      </sharedItems>
    </cacheField>
    <cacheField name="VERIFICACION CODIGO" numFmtId="0">
      <sharedItems/>
    </cacheField>
    <cacheField name="TRAMITE" numFmtId="0">
      <sharedItems containsNonDate="0" containsString="0" containsBlank="1" count="1">
        <m/>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Mayo"/>
        <s v="Marzo"/>
        <s v="Abril"/>
        <s v="Junio"/>
        <s v="Enero"/>
        <s v="Febrero"/>
        <s v="Julio"/>
        <s v="Noviembre"/>
        <s v="Octubre"/>
        <s v="Septiembre"/>
      </sharedItems>
    </cacheField>
    <cacheField name="Fecha estimada de presentación de ofertas (mes)" numFmtId="0">
      <sharedItems count="11">
        <s v="Agosto"/>
        <s v="Mayo"/>
        <s v="Marzo"/>
        <s v="Abril"/>
        <s v="Junio"/>
        <s v="Enero"/>
        <s v="Febrero"/>
        <s v="Julio"/>
        <s v="Noviembre"/>
        <s v="Octubre"/>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49">
      <sharedItems count="6">
        <s v="Licitación pública"/>
        <s v="Contratación directa"/>
        <s v="Mínima cuantía"/>
        <s v="Selección abreviada subasta inversa"/>
        <s v="Selección abreviada menor cuantía"/>
        <s v="Seléccion abreviada - acuerdo marco"/>
      </sharedItems>
    </cacheField>
    <cacheField name="FUENTE DE LOS RECURSOS" numFmtId="0">
      <sharedItems count="4">
        <s v="Recursos de crédito"/>
        <s v="Recursos propios"/>
        <s v="Presupuesto de entidad nacional"/>
        <s v="Recursos propios "/>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SI"/>
        <s v="No"/>
        <s v=" NO"/>
        <s v="Sí"/>
      </sharedItems>
    </cacheField>
    <cacheField name="ESTADO DE SOLICITUD DE VIGENCIAS FUTURAS" numFmtId="0">
      <sharedItems count="6">
        <s v="No solicitadas"/>
        <s v="NA"/>
        <s v="N/A"/>
        <s v="Solicitadas"/>
        <s v=" NA "/>
        <s v="N.A"/>
      </sharedItems>
    </cacheField>
    <cacheField name="CANTIDAD" numFmtId="0">
      <sharedItems containsMixedTypes="1" containsNumber="1" containsInteger="1" minValue="1" maxValue="10" count="11">
        <n v="1"/>
        <n v="2"/>
        <n v="6"/>
        <n v="5"/>
        <n v="3"/>
        <n v="4"/>
        <n v="8"/>
        <n v="7"/>
        <n v="10"/>
        <n v="9"/>
        <s v=" "/>
      </sharedItems>
    </cacheField>
    <cacheField name="Tipo de Recurso" numFmtId="0">
      <sharedItems count="2">
        <s v="Inversión"/>
        <s v="Funcionamiento"/>
      </sharedItems>
    </cacheField>
    <cacheField name="Dependencia Origen2" numFmtId="0">
      <sharedItems containsBlank="1"/>
    </cacheField>
    <cacheField name="Dependencia Destino3" numFmtId="0">
      <sharedItems containsBlank="1"/>
    </cacheField>
    <cacheField name="Ubicación" numFmtId="0">
      <sharedItems containsBlank="1" count="11">
        <s v="Sede Central  "/>
        <s v="Sede Central"/>
        <s v="Dirección Territorial"/>
        <s v="Dirección Territorial Casanare"/>
        <s v="Subdirección de Catastro"/>
        <s v="Dirección Territorial Córdoba"/>
        <s v="GIT Gestión de Suelos y Aplicaciones Agrologicas"/>
        <s v="GIT Laboratorio Nacional de Suelos"/>
        <s v="GIT Modernización y Administración de la Información"/>
        <s v="Subdirección de Agrología"/>
        <m/>
      </sharedItems>
    </cacheField>
    <cacheField name="Nombre del responsable Dependendencia (Cargo)" numFmtId="0">
      <sharedItems containsBlank="1"/>
    </cacheField>
    <cacheField name="Proyecto de inversión " numFmtId="0">
      <sharedItems containsBlank="1" count="15">
        <s v="Actualización y gestión catastral Nacional"/>
        <s v="Generación de estudios de suelos, tierras y aplicaciones agrológicas como insumo para el ordenamiento integral y el manejo sostenible del territorio a nivel Nacional"/>
        <s v="GIT Gestión de Suelos y Aplicaciones Agrologicas"/>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del conocimiento y la innovación en el ámbito geográfico del territorio Nacional"/>
        <s v="Fortalecimiento de la gestión institucional del IGAC a nivel Nacional "/>
        <s v="Fortalecimiento de la gestión institucional del IGAC a nivel Nacional"/>
        <s v="Fortalecimiento de los procesos de difusión y acceso a la información geográfica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9">
        <s v="Servicio de Información Catastral"/>
        <s v=" Servicio de avalúos"/>
        <s v="Servicio de avalúos"/>
        <s v="Servicio de Información agrológica"/>
        <s v="Servicio de análisis químicos, físicos, mineralógicos y biológicos de suelos"/>
        <s v="Subdirector de Agrología "/>
        <s v="Servicio de información cartográfica actualizado"/>
        <s v="Servicio de información geodésica actualizado"/>
        <s v="Servicios de información geográfica, geodésica y cartográfica "/>
        <s v="Servicios de Información Geográfica, geodésica y cartográfica _x000a_"/>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 de asistencia técnica para la gestión de los recursos geográficos"/>
        <s v="Servicio de Gestión del conocimiento e Innovación Geográfica"/>
        <s v="Servicios tecnológicos"/>
        <s v="Servicios de información implementados"/>
        <s v="Documentos de lineamientos técnicos"/>
        <s v="Servicio de implementación de sistemas de gestión"/>
        <s v="Documentos de planeación"/>
        <s v="N/A"/>
        <s v="Servicio de Educación informal para la gestión Administrativa"/>
        <s v="Sedes adecuadas"/>
        <s v="Sedes con reforzamiento estructural"/>
        <s v="Servicio de Gestión Documental"/>
        <s v="Sedes Mantenidas"/>
        <m/>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748"/>
    </cacheField>
    <cacheField name="PROCESO - FECHA INGRESO" numFmtId="14">
      <sharedItems containsDate="1" containsBlank="1" containsMixedTypes="1" minDate="2021-01-07T00:00:00" maxDate="2021-09-03T00:00:00"/>
    </cacheField>
    <cacheField name="HONORARIOS MENSUALES" numFmtId="0">
      <sharedItems containsBlank="1" containsMixedTypes="1" containsNumber="1" minValue="0" maxValue="7792544260.1700001"/>
    </cacheField>
    <cacheField name="PROCESO - HONORARIOS (SIN IVA)" numFmtId="0">
      <sharedItems containsMixedTypes="1" containsNumber="1" minValue="678300" maxValue="7792544260.1700001"/>
    </cacheField>
    <cacheField name="PROCESO TOTAL- VALOR INGRESO (INCLUIDO IVA)" numFmtId="4">
      <sharedItems containsMixedTypes="1" containsNumber="1" minValue="0" maxValue="7792544260.1700001"/>
    </cacheField>
    <cacheField name="VALOR" numFmtId="0">
      <sharedItems containsBlank="1" count="4">
        <e v="#N/A"/>
        <s v="OK"/>
        <s v="CORREGIR"/>
        <m/>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35475438"/>
    </cacheField>
    <cacheField name="NO. CONTRATO" numFmtId="0">
      <sharedItems containsBlank="1" containsMixedTypes="1" containsNumber="1" containsInteger="1" minValue="24154" maxValue="24834"/>
    </cacheField>
    <cacheField name="CANTIDADES COMPROMETIDAS2" numFmtId="0">
      <sharedItems containsString="0" containsBlank="1" containsNumber="1" containsInteger="1" minValue="0" maxValue="10" count="12">
        <n v="0"/>
        <n v="1"/>
        <n v="5"/>
        <n v="2"/>
        <n v="3"/>
        <n v="4"/>
        <n v="7"/>
        <n v="6"/>
        <n v="8"/>
        <n v="10"/>
        <n v="9"/>
        <m/>
      </sharedItems>
    </cacheField>
    <cacheField name="CANTIDADES NO UTILIZADOS" numFmtId="0">
      <sharedItems containsString="0" containsBlank="1" containsNumber="1" containsInteger="1" minValue="0" maxValue="9" count="9">
        <n v="1"/>
        <n v="0"/>
        <n v="3"/>
        <n v="2"/>
        <n v="5"/>
        <n v="8"/>
        <n v="4"/>
        <m/>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ount="3">
        <s v="OK"/>
        <n v="30"/>
        <n v="1"/>
      </sharedItems>
    </cacheField>
  </cacheFields>
  <extLst>
    <ext xmlns:x14="http://schemas.microsoft.com/office/spreadsheetml/2009/9/main" uri="{725AE2AE-9491-48be-B2B4-4EB974FC3084}">
      <x14:pivotCacheDefinition pivotCacheId="114284902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34"/>
    <m/>
    <x v="0"/>
    <x v="0"/>
  </r>
  <r>
    <x v="2"/>
    <x v="9"/>
    <x v="2"/>
    <x v="65"/>
    <x v="24"/>
    <x v="31"/>
    <x v="35"/>
    <m/>
    <x v="1"/>
    <x v="0"/>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s v="4521"/>
    <s v="2021-01-08 00:00:00"/>
    <s v="2021-01-08 11:33:00"/>
    <s v="Gasto"/>
    <s v="Con Compromiso"/>
    <s v="0200"/>
    <x v="0"/>
    <x v="0"/>
    <s v="ADQUISICIÓN DE BIENES Y SERVICIOS - SERVICIOS TECNOLÓGICOS - FORTALECIMIENTO DE LA GESTIÓN INSTITUCIONAL DEL IGAC A NIVEL   NACIONAL"/>
    <s v="Nación"/>
    <x v="0"/>
    <s v="CSF"/>
    <n v="155531053.15000001"/>
    <n v="69165777.890000001"/>
    <n v="224696831.03999999"/>
    <n v="0"/>
    <s v="Prestación de servicios para la transmisión de datos, voz, video y acceso a internet a nivel nacional -VIGENCIAS FUTURAS"/>
    <s v="4621"/>
    <s v="2221, 33021"/>
    <s v="261721"/>
    <s v="362621, 574721, 575021"/>
    <s v="215240121, 215254321, 216192721, 216195921, 220424521"/>
    <s v="-0"/>
    <x v="0"/>
    <x v="0"/>
  </r>
  <r>
    <s v="4521"/>
    <s v="2021-01-08 00:00:00"/>
    <s v="2021-01-08 11:33:00"/>
    <s v="Gasto"/>
    <s v="Con Compromiso"/>
    <s v="0500"/>
    <x v="0"/>
    <x v="1"/>
    <s v="ADQUISICIÓN DE BIENES Y SERVICIOS - SERVICIO DE INFORMACIÓN CATASTRAL - ACTUALIZACIÓN  Y GESTIÓN CATASTRAL  NACIONAL"/>
    <s v="Propios"/>
    <x v="1"/>
    <s v="CSF"/>
    <n v="0"/>
    <n v="8246700"/>
    <n v="8246700"/>
    <n v="0"/>
    <s v="Prestación de servicios para la transmisión de datos, voz, video y acceso a internet a nivel nacional -VIGENCIAS FUTURAS"/>
    <s v="4621"/>
    <s v="2221, 33021"/>
    <s v="261721"/>
    <s v="362621, 574721, 575021"/>
    <s v="215240121, 215254321, 216192721, 216195921, 220424521"/>
    <s v="-0"/>
    <x v="0"/>
    <x v="1"/>
  </r>
  <r>
    <s v="4621"/>
    <s v="2021-01-08 00:00:00"/>
    <s v="2021-01-08 19:07:00"/>
    <s v="Gasto"/>
    <s v="Generado"/>
    <s v="0160"/>
    <x v="0"/>
    <x v="2"/>
    <s v="ADQUISICIÓN DE BIENES Y SERVICIOS - DOCUMENTOS DE LINEAMIENTOS TÉCNICOS - FORTALECIMIENTO DE LOS PROCESOS DE DIFUSIÓN Y ACCESO A LA INFORMACIÓN GEOGRÁFICA A NIVEL   NACIONAL"/>
    <s v="Propios"/>
    <x v="1"/>
    <s v="CSF"/>
    <n v="71376690"/>
    <n v="-71376690"/>
    <n v="0"/>
    <n v="0"/>
    <s v="Prestación de servicios profesionales para la programación, control y seguimiento del presupuesto de ingresos de la Entidad."/>
    <s v="5521"/>
    <s v="-0"/>
    <s v="-0"/>
    <s v="-0"/>
    <s v="-0"/>
    <s v="-0"/>
    <x v="0"/>
    <x v="2"/>
  </r>
  <r>
    <s v="4721"/>
    <s v="2021-01-08 00:00:00"/>
    <s v="2021-01-08 19:09:00"/>
    <s v="Gasto"/>
    <s v="Con Compromiso"/>
    <s v="0160"/>
    <x v="0"/>
    <x v="3"/>
    <s v="ADQUISICIÓN DE BIENES Y SERVICIOS - SERVICIOS DE INFORMACIÓN IMPLEMENTADOS - FORTALECIMIENTO DE LOS PROCESOS DE DIFUSIÓN Y ACCESO A LA INFORMACIÓN GEOGRÁFICA A NIVEL   NACIONAL"/>
    <s v="Propios"/>
    <x v="1"/>
    <s v="CSF"/>
    <n v="23343057"/>
    <n v="0"/>
    <n v="23343057"/>
    <n v="0"/>
    <s v="Prestación de servicios personales para organizar y desarrollar las ferias, congresos, convenciones, conferencias y/o eventos tanto virtuales como presenciales requeridos por la entidad"/>
    <s v="4721"/>
    <s v="20921"/>
    <s v="93021"/>
    <s v="171421, 187221, 295521, 342521, 412721, 482621, 553021"/>
    <s v="43291121, 58636821, 87717721, 112785321, 143011421, 174722221, 209919521"/>
    <s v="-0"/>
    <x v="0"/>
    <x v="2"/>
  </r>
  <r>
    <s v="4821"/>
    <s v="2021-01-08 00:00:00"/>
    <s v="2021-01-08 19:10:00"/>
    <s v="Gasto"/>
    <s v="Con Compromiso"/>
    <s v="0160"/>
    <x v="0"/>
    <x v="3"/>
    <s v="ADQUISICIÓN DE BIENES Y SERVICIOS - SERVICIOS DE INFORMACIÓN IMPLEMENTADOS - FORTALECIMIENTO DE LOS PROCESOS DE DIFUSIÓN Y ACCESO A LA INFORMACIÓN GEOGRÁFICA A NIVEL   NACIONAL"/>
    <s v="Propios"/>
    <x v="1"/>
    <s v="CSF"/>
    <n v="43463091"/>
    <n v="0"/>
    <n v="43463091"/>
    <n v="0"/>
    <s v="Prestación de servicios profesionales para la diagramación, desarrollo, concepto gráfico, e ilustración de piezas de comunicación externa contempladas en el plan de comunicaciones de la entidad."/>
    <s v="4821"/>
    <s v="21021"/>
    <s v="75421"/>
    <s v="153321, 166821, 188621, 280021, 343021, 410421, 475721, 553221"/>
    <s v="34434921, 58638421, 83418421, 112825221, 141689421, 170365921, 210114521"/>
    <s v="-0"/>
    <x v="0"/>
    <x v="2"/>
  </r>
  <r>
    <s v="4921"/>
    <s v="2021-01-08 00:00:00"/>
    <s v="2021-01-08 19:12:00"/>
    <s v="Gasto"/>
    <s v="Con Compromiso"/>
    <s v="0160"/>
    <x v="0"/>
    <x v="3"/>
    <s v="ADQUISICIÓN DE BIENES Y SERVICIOS - SERVICIOS DE INFORMACIÓN IMPLEMENTADOS - FORTALECIMIENTO DE LOS PROCESOS DE DIFUSIÓN Y ACCESO A LA INFORMACIÓN GEOGRÁFICA A NIVEL   NACIONAL"/>
    <s v="Propios"/>
    <x v="1"/>
    <s v="CSF"/>
    <n v="92997806"/>
    <n v="0"/>
    <n v="92997806"/>
    <n v="0"/>
    <s v=":_x000a_Solicitud de Certificado de Disponibilidad Presupuestal – Comprobante Usuario Solicitante: MHmlasso MARIO ALEJANDRO LASSO LEDESMA_x000a_Unidad ó Subunidad Ejecutora_x000a_Solicitante:_x000a_04-03-00-000 IGAC - GESTION GENERAL_x000a_Fecha y Hora Sistema: 2021-01-08-3:31 p."/>
    <s v="4921"/>
    <s v="22621"/>
    <s v="85921"/>
    <s v="166021, 187521, 281721, 341821, 451121, 492321, 528921, 552921"/>
    <s v="41188121, 58637121, 83431021, 112514721, 151993921, 176949821, 187312121, 209912621"/>
    <s v="-0"/>
    <x v="0"/>
    <x v="2"/>
  </r>
  <r>
    <s v="5021"/>
    <s v="2021-01-08 00:00:00"/>
    <s v="2021-01-08 19:14:00"/>
    <s v="Gasto"/>
    <s v="Con Compromiso"/>
    <s v="0160"/>
    <x v="0"/>
    <x v="3"/>
    <s v="ADQUISICIÓN DE BIENES Y SERVICIOS - SERVICIOS DE INFORMACIÓN IMPLEMENTADOS - FORTALECIMIENTO DE LOS PROCESOS DE DIFUSIÓN Y ACCESO A LA INFORMACIÓN GEOGRÁFICA A NIVEL   NACIONAL"/>
    <s v="Propios"/>
    <x v="1"/>
    <s v="CSF"/>
    <n v="53146280"/>
    <n v="0"/>
    <n v="53146280"/>
    <n v="0"/>
    <s v="Prestación de servicios profesionales para desarrollar y ejecutar la estrategia de comunicaciones internas de la entidad, así como hacer control y seguimiento a los planes y estrategias del proceso de comunicaciones garantizando el_x000a_fortalecimiento de"/>
    <s v="5021"/>
    <s v="22721"/>
    <s v="78121"/>
    <s v="155721, 194621, 295221, 342921, 412321, 513221, 561421"/>
    <s v="37169521, 61034021, 87716921, 112821921, 142392621, 182401721, 211723421"/>
    <s v="-0"/>
    <x v="0"/>
    <x v="2"/>
  </r>
  <r>
    <s v="5121"/>
    <s v="2021-01-08 00:00:00"/>
    <s v="2021-01-08 19:16: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realización y registro de productos audiovisuales en las actividades y eventos del IGAC."/>
    <s v="5121"/>
    <s v="26221"/>
    <s v="81621"/>
    <s v="159921, 188821, 294321, 342421, 413421, 482521, 554821"/>
    <s v="40732121, 58639321, 87714721, 112781621, 143040121, 174679421, 210156021"/>
    <s v="-0"/>
    <x v="0"/>
    <x v="2"/>
  </r>
  <r>
    <s v="5221"/>
    <s v="2021-01-08 00:00:00"/>
    <s v="2021-01-08 19:17:00"/>
    <s v="Gasto"/>
    <s v="Con Compromiso"/>
    <s v="0160"/>
    <x v="0"/>
    <x v="3"/>
    <s v="ADQUISICIÓN DE BIENES Y SERVICIOS - SERVICIOS DE INFORMACIÓN IMPLEMENTADOS - FORTALECIMIENTO DE LOS PROCESOS DE DIFUSIÓN Y ACCESO A LA INFORMACIÓN GEOGRÁFICA A NIVEL   NACIONAL"/>
    <s v="Propios"/>
    <x v="1"/>
    <s v="CSF"/>
    <n v="48314800"/>
    <n v="0"/>
    <n v="48314800"/>
    <n v="0"/>
    <s v="Prestación de servicios profesionales para diagramar y producir las piezas de comunicación interna contempladas en el plan de comunicaciones de la entidad"/>
    <s v="5221"/>
    <s v="22521"/>
    <s v="83721"/>
    <s v="161421, 196321, 294821, 346821, 422621, 481321, 555821"/>
    <s v="41113521, 61383821, 87716321, 114576821, 144915621, 173273121, 210293021"/>
    <s v="-0"/>
    <x v="0"/>
    <x v="2"/>
  </r>
  <r>
    <s v="5321"/>
    <s v="2021-01-08 00:00:00"/>
    <s v="2021-01-08 19:19: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permanente actualización de contenidos e información en la página web institucional, redacción y divulgación de las estrategias de comunicación interna y externa."/>
    <s v="5421"/>
    <s v="22821"/>
    <s v="77821"/>
    <s v="155421, 188721, 280821, 343421, 410621, 497921, 555921"/>
    <s v="36947321, 58639121, 84816721, 114355021, 141871621, 177659521, 210301321"/>
    <s v="-0"/>
    <x v="0"/>
    <x v="2"/>
  </r>
  <r>
    <s v="5421"/>
    <s v="2021-01-08 00:00:00"/>
    <s v="2021-01-08 19:20:00"/>
    <s v="Gasto"/>
    <s v="Con Compromiso"/>
    <s v="0160"/>
    <x v="0"/>
    <x v="2"/>
    <s v="ADQUISICIÓN DE BIENES Y SERVICIOS - DOCUMENTOS DE LINEAMIENTOS TÉCNICOS - FORTALECIMIENTO DE LOS PROCESOS DE DIFUSIÓN Y ACCESO A LA INFORMACIÓN GEOGRÁFICA A NIVEL   NACIONAL"/>
    <s v="Propios"/>
    <x v="1"/>
    <s v="CSF"/>
    <n v="80634026"/>
    <n v="0"/>
    <n v="80634026"/>
    <n v="0"/>
    <s v="Prestación de servicios profesionales para gestionar la etapa preparatoria de las solicitudes de bienes, servicios y obras públicas incluyendo la proyección de estudios de mercado, condiciones de contratación y análisis del sector, así_x000a_como registro,"/>
    <s v="5621"/>
    <s v="20621"/>
    <s v="104121"/>
    <s v="180521, 192121, 280721, 346621, 412621, 478521, 555521"/>
    <s v="51994421, 60939521, 84815121, 114581621, 143006921, 171800021, 210200721"/>
    <s v="-0"/>
    <x v="0"/>
    <x v="2"/>
  </r>
  <r>
    <s v="6321"/>
    <s v="2021-01-12 00:00:00"/>
    <s v="2021-01-12 09:10:00"/>
    <s v="Gasto"/>
    <s v="Con Compromiso"/>
    <s v="0300"/>
    <x v="0"/>
    <x v="4"/>
    <s v="ADQUISICIÓN DE BIENES Y SERVICIOS - SERVICIOS DE INFORMACIÓN GEODÉSICA ACTUALIZADO - LEVANTAMIENTO , GENERACIÓN Y ACTUALIZACIÓN DE LA RED GEODÉSICA Y LA CARTOGRAFÍA BÁSICA A NIVEL   NACIONAL"/>
    <s v="Nación"/>
    <x v="0"/>
    <s v="CSF"/>
    <n v="3673511"/>
    <n v="-50000"/>
    <n v="3623511"/>
    <n v="0"/>
    <s v="Exploración de estaciones de funcionamiento continuo GNSS de la red MAGNA-ECO (2 CORS)"/>
    <s v="6121"/>
    <s v="5421, 6421, 9821"/>
    <s v="421, 1821, 3521"/>
    <s v="421, 1821, 3221"/>
    <s v="1321421, 1441521, 3276121"/>
    <s v="621"/>
    <x v="0"/>
    <x v="3"/>
  </r>
  <r>
    <s v="6421"/>
    <s v="2021-01-12 00:00:00"/>
    <s v="2021-01-12 09:12:00"/>
    <s v="Gasto"/>
    <s v="Con Compromiso"/>
    <s v="0300"/>
    <x v="0"/>
    <x v="4"/>
    <s v="ADQUISICIÓN DE BIENES Y SERVICIOS - SERVICIOS DE INFORMACIÓN GEODÉSICA ACTUALIZADO - LEVANTAMIENTO , GENERACIÓN Y ACTUALIZACIÓN DE LA RED GEODÉSICA Y LA CARTOGRAFÍA BÁSICA A NIVEL   NACIONAL"/>
    <s v="Nación"/>
    <x v="0"/>
    <s v="CSF"/>
    <n v="17123248"/>
    <n v="-2229826"/>
    <n v="14893422"/>
    <n v="0"/>
    <s v="REALIZAR FOTOCONTROL Y PUNTOS DE VERIFICACÓN PARA ELABORACIONDE CARTOGRAFÍA VECTORIAL RURAL EN LOS DEPARTAMENTOS DE CESAR, BOLIVAR Y MAGDALENA"/>
    <s v="6021"/>
    <s v="5521, 5921, 6021, 6121"/>
    <s v="521, 1021, 1121, 1221"/>
    <s v="621, 1021, 1121, 1221"/>
    <s v="1321921, 1432121, 1433121, 1435021"/>
    <s v="1121, 1221, 1321"/>
    <x v="0"/>
    <x v="3"/>
  </r>
  <r>
    <s v="6521"/>
    <s v="2021-01-12 00:00:00"/>
    <s v="2021-01-12 09:14:00"/>
    <s v="Gasto"/>
    <s v="Con Compromiso"/>
    <s v="0300"/>
    <x v="0"/>
    <x v="4"/>
    <s v="ADQUISICIÓN DE BIENES Y SERVICIOS - SERVICIOS DE INFORMACIÓN GEODÉSICA ACTUALIZADO - LEVANTAMIENTO , GENERACIÓN Y ACTUALIZACIÓN DE LA RED GEODÉSICA Y LA CARTOGRAFÍA BÁSICA A NIVEL   NACIONAL"/>
    <s v="Nación"/>
    <x v="0"/>
    <s v="CSF"/>
    <n v="16463248"/>
    <n v="-1490779"/>
    <n v="14972469"/>
    <n v="0"/>
    <s v="REALIZAR FOTOCONTROL Y PUNTOS DE VERIFICACÓN PARA ELABORACIONDE CARTOGRAFÍA VECTORIAL RURAL EN EL DEPARTAMENTO DE CAQUETA Y CAUCA"/>
    <s v="5821"/>
    <s v="5721, 6821, 6921, 7021"/>
    <s v="721, 1421, 1521, 1621"/>
    <s v="921, 1421, 1521, 1621"/>
    <s v="1322721, 1437621, 1438521, 1440921"/>
    <s v="721, 821, 921"/>
    <x v="0"/>
    <x v="3"/>
  </r>
  <r>
    <s v="6621"/>
    <s v="2021-01-12 00:00:00"/>
    <s v="2021-01-12 09:16:00"/>
    <s v="Gasto"/>
    <s v="Con Compromiso"/>
    <s v="0300"/>
    <x v="0"/>
    <x v="4"/>
    <s v="ADQUISICIÓN DE BIENES Y SERVICIOS - SERVICIOS DE INFORMACIÓN GEODÉSICA ACTUALIZADO - LEVANTAMIENTO , GENERACIÓN Y ACTUALIZACIÓN DE LA RED GEODÉSICA Y LA CARTOGRAFÍA BÁSICA A NIVEL   NACIONAL"/>
    <s v="Nación"/>
    <x v="0"/>
    <s v="CSF"/>
    <n v="3920327"/>
    <n v="-102338"/>
    <n v="3817989"/>
    <n v="0"/>
    <s v="Construcción de cerramiento y mantenimiento de la estacion de funcionamiento continúo GNSS de la red MAGNA-ECO (1 CORS) en Socha (Boyacá)."/>
    <s v="6321"/>
    <s v="5821, 6321"/>
    <s v="321, 1721"/>
    <s v="321, 1721"/>
    <s v="1320521, 1441121"/>
    <s v="521"/>
    <x v="0"/>
    <x v="3"/>
  </r>
  <r>
    <s v="6721"/>
    <s v="2021-01-12 00:00:00"/>
    <s v="2021-01-12 09:25:00"/>
    <s v="Gasto"/>
    <s v="Con Compromiso"/>
    <s v="0300"/>
    <x v="0"/>
    <x v="4"/>
    <s v="ADQUISICIÓN DE BIENES Y SERVICIOS - SERVICIOS DE INFORMACIÓN GEODÉSICA ACTUALIZADO - LEVANTAMIENTO , GENERACIÓN Y ACTUALIZACIÓN DE LA RED GEODÉSICA Y LA CARTOGRAFÍA BÁSICA A NIVEL   NACIONAL"/>
    <s v="Nación"/>
    <x v="0"/>
    <s v="CSF"/>
    <n v="12216353"/>
    <n v="-1344781"/>
    <n v="10871572"/>
    <n v="0"/>
    <s v="REALIZAR FOTOCONTROL Y PUNTOS DE VERIFICACÓN PARA ELABORACIONDE CARTOGRAFÍA VECTORIAL RURAL EN EL DEPARTAMENTO DE CAUCA Y NARIÑO"/>
    <s v="5921"/>
    <s v="5621, 6521, 6621"/>
    <s v="621, 1921, 2021"/>
    <s v="821, 1921, 2021"/>
    <s v="1322421, 1448721, 1450221"/>
    <s v="1021"/>
    <x v="0"/>
    <x v="3"/>
  </r>
  <r>
    <s v="6821"/>
    <s v="2021-01-12 00:00:00"/>
    <s v="2021-01-12 12:26:00"/>
    <s v="Gasto"/>
    <s v="Con Compromiso"/>
    <s v="0300"/>
    <x v="0"/>
    <x v="4"/>
    <s v="ADQUISICIÓN DE BIENES Y SERVICIOS - SERVICIOS DE INFORMACIÓN GEODÉSICA ACTUALIZADO - LEVANTAMIENTO , GENERACIÓN Y ACTUALIZACIÓN DE LA RED GEODÉSICA Y LA CARTOGRAFÍA BÁSICA A NIVEL   NACIONAL"/>
    <s v="Nación"/>
    <x v="0"/>
    <s v="CSF"/>
    <n v="6777730"/>
    <n v="-296788"/>
    <n v="6480942"/>
    <n v="0"/>
    <s v="REALIZAR TRABAJOS DE AEROFOTOGRAFIA CON AERONAVE NO TRIPULADA TIPO DRON EN LOS MUNICIPIOS DE SAN ANDRÉS DE TUMACO (NARIÑO) Y SANTANDER DE QUILICHAO (CAUCA)"/>
    <s v="5721"/>
    <s v="6221, 6721"/>
    <s v="1321, 2121"/>
    <s v="1321, 2121"/>
    <s v="1437221, 1450621"/>
    <s v="-0"/>
    <x v="0"/>
    <x v="3"/>
  </r>
  <r>
    <s v="6921"/>
    <s v="2021-01-12 00:00:00"/>
    <s v="2021-01-12 13:3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17031787"/>
    <n v="-23346"/>
    <n v="17008441"/>
    <n v="0"/>
    <s v="Prestación de servicios profesionales para realizar actividades de gestión requerida en el desarrollo del proyecto de inversión y actividades a cargo de la jefatura de la oficina CIAF."/>
    <s v="8521"/>
    <s v="10421"/>
    <s v="83521"/>
    <s v="161221, 170621, 259721, 318721, 383321, 447421, 526821, 533321"/>
    <s v="40881321, 42692121, 70415021, 95603021, 126834521, 150033321, 187310021, 192690821"/>
    <s v="-0"/>
    <x v="0"/>
    <x v="4"/>
  </r>
  <r>
    <s v="7021"/>
    <s v="2021-01-12 00:00:00"/>
    <s v="2021-01-12 13:3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21403092"/>
    <n v="10701546"/>
    <n v="32104638"/>
    <n v="0"/>
    <s v="Prestación de servicios profesionales especializados en la planeación estratégica y ejecución de los proyectos de la oficina CIAF"/>
    <s v="8421"/>
    <s v="9521"/>
    <s v="93421"/>
    <s v="172721, 173121, 265521, 327021"/>
    <s v="44126921, 44335621, 71633721, 99221921"/>
    <s v="-0"/>
    <x v="0"/>
    <x v="4"/>
  </r>
  <r>
    <s v="7121"/>
    <s v="2021-01-12 00:00:00"/>
    <s v="2021-01-12 13:3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7467676"/>
    <n v="-4788973"/>
    <n v="52678703"/>
    <n v="0"/>
    <s v="Prestación de servicios profesionales para formular, desarrollar y controlar proyectos relacionados con desarrollo de aplicaciones de tecnologías de información geográfica a cargo de la oficina CIAF."/>
    <s v="8621"/>
    <s v="9721"/>
    <s v="96321"/>
    <s v="174121, 182021, 258921, 385121, 393421, 453521, 533221"/>
    <s v="44471821, 53154321, 70939821, 127042521, 130365021, 152509621, 192689021"/>
    <s v="-0"/>
    <x v="0"/>
    <x v="4"/>
  </r>
  <r>
    <s v="7221"/>
    <s v="2021-01-12 00:00:00"/>
    <s v="2021-01-12 13:3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57152855"/>
    <n v="11508240"/>
    <n v="68661095"/>
    <n v="11728586"/>
    <s v="Prestación de servicios profesionales para realizar la verificación, control, seguimiento y gestión de los proyectos de tecnologías de la información geográfica a cargo de la oficina CIAF"/>
    <s v="8321"/>
    <s v="9621"/>
    <s v="88521"/>
    <s v="167221, 168721, 261321, 303521, 381021, 457121, 528221, 604521"/>
    <s v="41176121, 42517821, 70525021, 90750721, 124882021, 157480921, 187311421, 226214521"/>
    <s v="-0"/>
    <x v="0"/>
    <x v="4"/>
  </r>
  <r>
    <s v="7321"/>
    <s v="2021-01-12 00:00:00"/>
    <s v="2021-01-12 14:00:00"/>
    <s v="Gasto"/>
    <s v="Con Compromiso"/>
    <s v="0200"/>
    <x v="0"/>
    <x v="6"/>
    <s v="ADQUISICIÓN DE BIENES Y SERVICIOS - DOCUMENTOS DE PLANEACIÓN - FORTALECIMIENTO DE LA GESTIÓN INSTITUCIONAL DEL IGAC A NIVEL   NACIONAL"/>
    <s v="Nación"/>
    <x v="0"/>
    <s v="CSF"/>
    <n v="332212188"/>
    <n v="0"/>
    <n v="332212188"/>
    <n v="0"/>
    <s v="Prestación de servicios profesionales para apoyar la formulación, actualización, control, seguimiento y programación financiera y presupuestal  de los proyectos de inversión del IGAC y la elaboración de los informes de gestión, en el marco del Modelo"/>
    <s v="6421"/>
    <s v="21921, 22021, 22121, 22921"/>
    <s v="88121, 89421, 92521, 92721"/>
    <s v="166121, 167721, 170721, 171121, 241121, 253421, 253621, 253921, 299321, 301921, 307721, 311521, 345821, 357021, 364721, 367921, 441121, 444321, 450521, 459221, 504921, 516121, 518121, 520221, 552121, 582621, 582921, 584221"/>
    <s v="41190821, 41200321, 42713021, 43031121, 64444621, 69343021, 69358821, 69366321, 89057921, 90546721, 92623721, 92811821, 114442421, 117327321, 120567221, 121250821, 148327521, 149814821, 151986421, 157660021, 179773521, 183417821, 184179321, 184877721, 209505221, 219140821, 219166221, 219212821"/>
    <s v="-0"/>
    <x v="0"/>
    <x v="0"/>
  </r>
  <r>
    <s v="7421"/>
    <s v="2021-01-12 00:00:00"/>
    <s v="2021-01-12 14:02:00"/>
    <s v="Gasto"/>
    <s v="Con Compromiso"/>
    <s v="0200"/>
    <x v="0"/>
    <x v="7"/>
    <s v="ADQUISICIÓN DE BIENES Y SERVICIOS - SERVICIO DE IMPLEMENTACIÓN SISTEMAS DE GESTIÓN - FORTALECIMIENTO DE LA GESTIÓN INSTITUCIONAL DEL IGAC A NIVEL   NACIONAL"/>
    <s v="Propios"/>
    <x v="1"/>
    <s v="CSF"/>
    <n v="40042599"/>
    <n v="6429791"/>
    <n v="46472390"/>
    <n v="0"/>
    <s v="Prestación de servicios profesionales para apoyar la implementación del Modelo Integrado de Planeación y Gestión en el Instituto, con énfasis en la actualización documental."/>
    <s v="6521"/>
    <s v="26321"/>
    <s v="88721"/>
    <s v="166921, 262021, 305521, 362721, 444421, 506121, 585821"/>
    <s v="41007121, 70940221, 91013021, 118873521, 149820121, 180834521, 219756621"/>
    <s v="-0"/>
    <x v="0"/>
    <x v="0"/>
  </r>
  <r>
    <s v="7521"/>
    <s v="2021-01-12 00:00:00"/>
    <s v="2021-01-12 14:03:00"/>
    <s v="Gasto"/>
    <s v="Con Compromiso"/>
    <s v="0200"/>
    <x v="0"/>
    <x v="7"/>
    <s v="ADQUISICIÓN DE BIENES Y SERVICIOS - SERVICIO DE IMPLEMENTACIÓN SISTEMAS DE GESTIÓN - FORTALECIMIENTO DE LA GESTIÓN INSTITUCIONAL DEL IGAC A NIVEL   NACIONAL"/>
    <s v="Propios"/>
    <x v="1"/>
    <s v="CSF"/>
    <n v="108518128"/>
    <n v="-4"/>
    <n v="108518124"/>
    <n v="0"/>
    <s v="Prestación de servicios profesionales para apoyar el proceso de direccionamiento estratégico y planeación, para apoyar la revisión y ajuste del Sistema Integrado de Gestión, así como realizar acciones tendientes al cumplimiento del plan para su imple"/>
    <s v="6621"/>
    <s v="21721"/>
    <s v="81921"/>
    <s v="159421, 199421, 322421, 389721, 459121, 522521, 581121"/>
    <s v="41155821, 62678221, 98369821, 127422521, 157658221, 187305821, 219025421"/>
    <s v="-0"/>
    <x v="0"/>
    <x v="0"/>
  </r>
  <r>
    <s v="7621"/>
    <s v="2021-01-12 00:00:00"/>
    <s v="2021-01-12 14:05:00"/>
    <s v="Gasto"/>
    <s v="Con Compromiso"/>
    <s v="0200"/>
    <x v="0"/>
    <x v="6"/>
    <s v="ADQUISICIÓN DE BIENES Y SERVICIOS - DOCUMENTOS DE PLANEACIÓN - FORTALECIMIENTO DE LA GESTIÓN INSTITUCIONAL DEL IGAC A NIVEL   NACIONAL"/>
    <s v="Propios"/>
    <x v="1"/>
    <s v="CSF"/>
    <n v="54740668"/>
    <n v="-4"/>
    <n v="54740664"/>
    <n v="0"/>
    <s v="Prestación de servicios profesionales para apoyar el proceso de direccionamiento estratégico y planeación, por medio de la gestión de procesos de parametrización administración manejo y montaje de bases de datos."/>
    <s v="6721"/>
    <s v="21821"/>
    <s v="74221"/>
    <s v="149821, 241221, 301821, 347621, 413621, 505221, 551821"/>
    <s v="34437421, 64488321, 90080021, 114927021, 143040821, 179836321, 209481921"/>
    <s v="-0"/>
    <x v="0"/>
    <x v="0"/>
  </r>
  <r>
    <s v="7721"/>
    <s v="2021-01-12 00:00:00"/>
    <s v="2021-01-12 14:07:00"/>
    <s v="Gasto"/>
    <s v="Con Compromiso"/>
    <s v="0200"/>
    <x v="0"/>
    <x v="7"/>
    <s v="ADQUISICIÓN DE BIENES Y SERVICIOS - SERVICIO DE IMPLEMENTACIÓN SISTEMAS DE GESTIÓN - FORTALECIMIENTO DE LA GESTIÓN INSTITUCIONAL DEL IGAC A NIVEL   NACIONAL"/>
    <s v="Propios"/>
    <x v="1"/>
    <s v="CSF"/>
    <n v="83053047"/>
    <n v="0"/>
    <n v="83053047"/>
    <n v="0"/>
    <s v="Prestar servicios profesionales a la Oficina Asesora de Planeación para apoyar la implementación del Modelo Integrado de Planeación y Gestión (MIPG) en la entidad y realizar las acciones tendientes al cumplimiento de los requisitos, promoción y divul"/>
    <s v="7121"/>
    <s v="24321"/>
    <s v="77621"/>
    <s v="155321, 248521, 303821, 383621, 458821, 527221, 582521"/>
    <s v="40629621, 67337621, 90797821, 126838421, 157652321, 187310421, 219137421"/>
    <s v="-0"/>
    <x v="0"/>
    <x v="0"/>
  </r>
  <r>
    <s v="7821"/>
    <s v="2021-01-12 00:00:00"/>
    <s v="2021-01-12 14:09:00"/>
    <s v="Gasto"/>
    <s v="Con Compromiso"/>
    <s v="0200"/>
    <x v="0"/>
    <x v="6"/>
    <s v="ADQUISICIÓN DE BIENES Y SERVICIOS - DOCUMENTOS DE PLANEACIÓN - FORTALECIMIENTO DE LA GESTIÓN INSTITUCIONAL DEL IGAC A NIVEL   NACIONAL"/>
    <s v="Nación"/>
    <x v="0"/>
    <s v="CSF"/>
    <n v="83053047"/>
    <n v="-3775138"/>
    <n v="79277909"/>
    <n v="0"/>
    <s v="Prestación de servicios profesionales para apoyar el proceso de direccionamiento estratégico y planeación, fortalecimiento del Modelo Integrado de Planeación y Gestión y apoyo en lo referente a cooperación internacional y los lineamientos nacionales"/>
    <s v="7321"/>
    <s v="39321"/>
    <s v="135021"/>
    <s v="246321, 264121, 310021, 385521, 458721, 516721, 552821"/>
    <s v="67086321, 70862021, 92599421, 127055521, 157651721, 184245721, 209911621"/>
    <s v="-0"/>
    <x v="0"/>
    <x v="0"/>
  </r>
  <r>
    <s v="7921"/>
    <s v="2021-01-12 00:00:00"/>
    <s v="2021-01-12 14:10:00"/>
    <s v="Gasto"/>
    <s v="Con Compromiso"/>
    <s v="0200"/>
    <x v="0"/>
    <x v="6"/>
    <s v="ADQUISICIÓN DE BIENES Y SERVICIOS - DOCUMENTOS DE PLANEACIÓN - FORTALECIMIENTO DE LA GESTIÓN INSTITUCIONAL DEL IGAC A NIVEL   NACIONAL"/>
    <s v="Propios"/>
    <x v="1"/>
    <s v="CSF"/>
    <n v="249159141"/>
    <n v="0"/>
    <n v="249159141"/>
    <n v="0"/>
    <s v="Prestación de servicios profesionales para apoyar la formulación, actualización y seguimiento físico y financiero de los planes, programas y proyectos de los procesos asignados en el marco del Modelo Integrado de Planeación y Gestión."/>
    <s v="7421"/>
    <s v="22221, 22321, 22421"/>
    <s v="74121, 74321, 78421"/>
    <s v="149721, 152321, 157321, 241021, 246421, 247221, 298021, 300421, 305621, 345121, 346521, 347721, 411921, 439821, 444821, 498721, 505021, 513921, 552621, 554421, 556021"/>
    <s v="37120721, 37854621, 40641721, 63933021, 67088121, 67132021, 89018721, 89652321, 91013921, 114573621, 114929321, 120568521, 142389021, 148215821, 149903521, 177776821, 179777821, 182462521, 209903221, 210204121, 210315321"/>
    <s v="-0"/>
    <x v="0"/>
    <x v="0"/>
  </r>
  <r>
    <s v="8021"/>
    <s v="2021-01-12 00:00:00"/>
    <s v="2021-01-12 14:12:00"/>
    <s v="Gasto"/>
    <s v="Con Compromiso"/>
    <s v="0200"/>
    <x v="0"/>
    <x v="7"/>
    <s v="ADQUISICIÓN DE BIENES Y SERVICIOS - SERVICIO DE IMPLEMENTACIÓN SISTEMAS DE GESTIÓN - FORTALECIMIENTO DE LA GESTIÓN INSTITUCIONAL DEL IGAC A NIVEL   NACIONAL"/>
    <s v="Propios"/>
    <x v="1"/>
    <s v="CSF"/>
    <n v="73517991"/>
    <n v="-8"/>
    <n v="73517983"/>
    <n v="0"/>
    <s v="Prestación de servicios profesionales para realizar las actividades del sistema de gestión ambiental del instituto en el marco del modelo de planeación y gestión vigente para la nación"/>
    <s v="7521"/>
    <s v="20021"/>
    <s v="83821"/>
    <s v="161521, 262521, 302121, 361021, 449821, 521721, 554521"/>
    <s v="40892121, 70769421, 90548421, 117964521, 151896121, 185201921, 210132121"/>
    <s v="-0"/>
    <x v="0"/>
    <x v="0"/>
  </r>
  <r>
    <s v="8121"/>
    <s v="2021-01-12 00:00:00"/>
    <s v="2021-01-12 15:47:00"/>
    <s v="Gasto"/>
    <s v="Con Compromiso"/>
    <s v="0200"/>
    <x v="0"/>
    <x v="0"/>
    <s v="ADQUISICIÓN DE BIENES Y SERVICIOS - SERVICIOS TECNOLÓGICOS - FORTALECIMIENTO DE LA GESTIÓN INSTITUCIONAL DEL IGAC A NIVEL   NACIONAL"/>
    <s v="Nación"/>
    <x v="0"/>
    <s v="CSF"/>
    <n v="5709827"/>
    <n v="7078213.96"/>
    <n v="12788040.960000001"/>
    <n v="2532503.96"/>
    <s v="VIATICOS - OFICINA DE INFORMÁTICA"/>
    <s v="8221"/>
    <s v="7821, 7921, 8721, 10321, 12921, 117521, 127421, 127521, 129821, 131021, 131521, 134921"/>
    <s v="2521, 2621, 2821, 3621, 5221, 380721, 442321, 442421, 452321, 455121, 455621, 490321"/>
    <s v="2421, 2521, 2721, 3321, 47721, 477421, 537121, 537221, 544821, 548021, 548121, 579821"/>
    <s v="1468221, 1471321, 2136121, 4502721, 7082321, 171536721, 195866121, 195866521, 204869221, 207797321, 208040321, 218079221"/>
    <s v="21321, 21521"/>
    <x v="0"/>
    <x v="0"/>
  </r>
  <r>
    <s v="8821"/>
    <s v="2021-01-14 00:00:00"/>
    <s v="2021-01-14 16:44:00"/>
    <s v="Gasto"/>
    <s v="Con Compromiso"/>
    <s v="0200"/>
    <x v="0"/>
    <x v="8"/>
    <s v="ADQUISICIÓN DE BIENES Y SERVICIOS - SERVICIO DE GESTIÓN DOCUMENTAL - IMPLEMENTACIÓN DE UN SISTEMA DE GESTIÓN DOCUMENTAL EN EL IGAC A NIVEL   NACIONAL"/>
    <s v="Nación"/>
    <x v="0"/>
    <s v="CSF"/>
    <n v="53527075"/>
    <n v="-1559041"/>
    <n v="51968034"/>
    <n v="0"/>
    <s v="Prestación de servicios personales para la organización de los archivos de gestión y archivo central, de acuerdo a las directrices de la entidad y las normas del Archivo General de la Nación."/>
    <s v="13621"/>
    <s v="12521, 12621, 12721"/>
    <s v="83221, 89221, 89321"/>
    <s v="160921, 167521, 167621, 194721, 198821, 198921, 295621, 295721, 296921, 354021, 354821, 384221, 420221, 420421, 422721, 485721, 486221, 488821, 561221, 561321, 562421"/>
    <s v="40748321, 41009321, 41434421, 61034921, 62521021, 62524921, 87717821, 87717921, 88165621, 116011921, 116670421, 126845621, 144402221, 144410421, 144917121, 174776421, 174781221, 176131221, 211714721, 211771121, 212054421"/>
    <s v="-0"/>
    <x v="0"/>
    <x v="0"/>
  </r>
  <r>
    <s v="8921"/>
    <s v="2021-01-14 00:00:00"/>
    <s v="2021-01-14 16:46:00"/>
    <s v="Gasto"/>
    <s v="Con Compromiso"/>
    <s v="0200"/>
    <x v="0"/>
    <x v="8"/>
    <s v="ADQUISICIÓN DE BIENES Y SERVICIOS - SERVICIO DE GESTIÓN DOCUMENTAL - IMPLEMENTACIÓN DE UN SISTEMA DE GESTIÓN DOCUMENTAL EN EL IGAC A NIVEL   NACIONAL"/>
    <s v="Nación"/>
    <x v="0"/>
    <s v="CSF"/>
    <n v="24043349"/>
    <n v="-700292"/>
    <n v="23343057"/>
    <n v="0"/>
    <s v="Prestación de servicios personales para el acompañamiento y seguimiento de las actividades del procesos de gestión documental de la entidad de acuerdo a las normas vigentes."/>
    <s v="13521"/>
    <s v="13521"/>
    <s v="82821"/>
    <s v="161321, 194921, 295821, 354921, 428221, 491521, 582821"/>
    <s v="40890921, 61038021, 87718021, 116680321, 145921821, 176443221, 219155721"/>
    <s v="-0"/>
    <x v="0"/>
    <x v="0"/>
  </r>
  <r>
    <s v="9021"/>
    <s v="2021-01-14 00:00:00"/>
    <s v="2021-01-14 17:18:00"/>
    <s v="Gasto"/>
    <s v="Anul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realizar actividades que promuevan la gestión y disposición de los datos geográficos, cartográficos y geodésicos."/>
    <s v="8721"/>
    <s v="-0"/>
    <s v="-0"/>
    <s v="-0"/>
    <s v="-0"/>
    <s v="-0"/>
    <x v="0"/>
    <x v="3"/>
  </r>
  <r>
    <s v="9121"/>
    <s v="2021-01-14 00:00:00"/>
    <s v="2021-01-14 17:20:00"/>
    <s v="Gasto"/>
    <s v="Gener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apoyar la actualización de los procesos de la Subdirección de Geografía y Cartografía"/>
    <s v="8821"/>
    <s v="-0"/>
    <s v="-0"/>
    <s v="-0"/>
    <s v="-0"/>
    <s v="-0"/>
    <x v="0"/>
    <x v="3"/>
  </r>
  <r>
    <s v="9221"/>
    <s v="2021-01-14 00:00:00"/>
    <s v="2021-01-14 17:21:00"/>
    <s v="Gasto"/>
    <s v="Anulado"/>
    <s v="0300"/>
    <x v="0"/>
    <x v="4"/>
    <s v="ADQUISICIÓN DE BIENES Y SERVICIOS - SERVICIOS DE INFORMACIÓN GEODÉSICA ACTUALIZADO - LEVANTAMIENTO , GENERACIÓN Y ACTUALIZACIÓN DE LA RED GEODÉSICA Y LA CARTOGRAFÍA BÁSICA A NIVEL   NACIONAL"/>
    <s v="Nación"/>
    <x v="0"/>
    <s v="CSF"/>
    <n v="85591209"/>
    <n v="-85591209"/>
    <n v="0"/>
    <n v="0"/>
    <s v="Prestación de servicios para la organización, administración y disposición de los productos cartográficos, geográficos y geodésicos de la subdirección de geografía y cartografía."/>
    <s v="8921"/>
    <s v="-0"/>
    <s v="-0"/>
    <s v="-0"/>
    <s v="-0"/>
    <s v="-0"/>
    <x v="0"/>
    <x v="3"/>
  </r>
  <r>
    <s v="9321"/>
    <s v="2021-01-14 00:00:00"/>
    <s v="2021-01-14 17:24:00"/>
    <s v="Gasto"/>
    <s v="Anulado"/>
    <s v="0300"/>
    <x v="0"/>
    <x v="4"/>
    <s v="ADQUISICIÓN DE BIENES Y SERVICIOS - SERVICIOS DE INFORMACIÓN GEODÉSICA ACTUALIZADO - LEVANTAMIENTO , GENERACIÓN Y ACTUALIZACIÓN DE LA RED GEODÉSICA Y LA CARTOGRAFÍA BÁSICA A NIVEL   NACIONAL"/>
    <s v="Nación"/>
    <x v="0"/>
    <s v="CSF"/>
    <n v="92997806"/>
    <n v="-92997806"/>
    <n v="0"/>
    <n v="0"/>
    <s v="Prestación de servicios profesionales para el acompañamiento y seguimiento a la ejecución de los proyectos y procesos de la Subdirección de Geografía y Cartografía"/>
    <s v="9021"/>
    <s v="-0"/>
    <s v="-0"/>
    <s v="-0"/>
    <s v="-0"/>
    <s v="-0"/>
    <x v="0"/>
    <x v="3"/>
  </r>
  <r>
    <s v="9421"/>
    <s v="2021-01-14 00:00:00"/>
    <s v="2021-01-14 17:25:00"/>
    <s v="Gasto"/>
    <s v="Anulado"/>
    <s v="0300"/>
    <x v="0"/>
    <x v="4"/>
    <s v="ADQUISICIÓN DE BIENES Y SERVICIOS - SERVICIOS DE INFORMACIÓN GEODÉSICA ACTUALIZADO - LEVANTAMIENTO , GENERACIÓN Y ACTUALIZACIÓN DE LA RED GEODÉSICA Y LA CARTOGRAFÍA BÁSICA A NIVEL   NACIONAL"/>
    <s v="Nación"/>
    <x v="0"/>
    <s v="CSF"/>
    <n v="265731400"/>
    <n v="-265731400"/>
    <n v="0"/>
    <n v="0"/>
    <s v="Prestación de servicios para realizar la asignación , seguimiento y control de calidad de los procesos de producción cartográfica, de conformidad con las especificaciones técnicas y rendimientos establecidos."/>
    <s v="9121"/>
    <s v="-0"/>
    <s v="-0"/>
    <s v="-0"/>
    <s v="-0"/>
    <s v="-0"/>
    <x v="0"/>
    <x v="3"/>
  </r>
  <r>
    <s v="9521"/>
    <s v="2021-01-14 00:00:00"/>
    <s v="2021-01-14 17:26:00"/>
    <s v="Gasto"/>
    <s v="Anulado"/>
    <s v="0300"/>
    <x v="0"/>
    <x v="4"/>
    <s v="ADQUISICIÓN DE BIENES Y SERVICIOS - SERVICIOS DE INFORMACIÓN GEODÉSICA ACTUALIZADO - LEVANTAMIENTO , GENERACIÓN Y ACTUALIZACIÓN DE LA RED GEODÉSICA Y LA CARTOGRAFÍA BÁSICA A NIVEL   NACIONAL"/>
    <s v="Nación"/>
    <x v="0"/>
    <s v="CSF"/>
    <n v="388763100"/>
    <n v="-388763100"/>
    <n v="0"/>
    <n v="0"/>
    <s v="Prestación de servicios para realizar la edición, estructuración e integración de la cartografía básica, de conformidad con las especificaciones técnicas establecidas"/>
    <s v="9221"/>
    <s v="-0"/>
    <s v="-0"/>
    <s v="-0"/>
    <s v="-0"/>
    <s v="-0"/>
    <x v="0"/>
    <x v="3"/>
  </r>
  <r>
    <s v="9621"/>
    <s v="2021-01-14 00:00:00"/>
    <s v="2021-01-14 17:36:00"/>
    <s v="Gasto"/>
    <s v="Anulado"/>
    <s v="0300"/>
    <x v="0"/>
    <x v="4"/>
    <s v="ADQUISICIÓN DE BIENES Y SERVICIOS - SERVICIOS DE INFORMACIÓN GEODÉSICA ACTUALIZADO - LEVANTAMIENTO , GENERACIÓN Y ACTUALIZACIÓN DE LA RED GEODÉSICA Y LA CARTOGRAFÍA BÁSICA A NIVEL   NACIONAL"/>
    <s v="Nación"/>
    <x v="0"/>
    <s v="CSF"/>
    <n v="116628930"/>
    <n v="-116628930"/>
    <n v="0"/>
    <n v="0"/>
    <s v="Prestación de servicios para realizar el proceso de aerotriangulación, de conformidad con las especificaciones técnicas y rendimientos establecidos"/>
    <s v="9521"/>
    <s v="-0"/>
    <s v="-0"/>
    <s v="-0"/>
    <s v="-0"/>
    <s v="-0"/>
    <x v="0"/>
    <x v="3"/>
  </r>
  <r>
    <s v="9721"/>
    <s v="2021-01-14 00:00:00"/>
    <s v="2021-01-14 17:41: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48553649"/>
    <n v="6065399"/>
    <n v="54619048"/>
    <n v="6177738"/>
    <s v="Prestación de servicios para gestionar, organizar y procesar información geográfica requerida para los estudios e investigaciones asignadas"/>
    <s v="13721"/>
    <s v="54221, 54921"/>
    <s v="144521, 160321"/>
    <s v="257521, 268721, 286221, 315421, 345521, 347221, 405421, 407821, 499721, 508421, 553421, 553521"/>
    <s v="70408321, 75606721, 85597521, 94349021, 114424721, 114890021, 139723521, 140826421, 177862521, 181505821, 210118421, 210118821"/>
    <s v="-0"/>
    <x v="0"/>
    <x v="3"/>
  </r>
  <r>
    <s v="9821"/>
    <s v="2021-01-14 00:00:00"/>
    <s v="2021-01-14 17:4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20163140"/>
    <n v="24596910"/>
    <n v="144760050"/>
    <n v="24874946"/>
    <s v="Prestación de servicios para analizar y desarrollar el componente temático de los estudios y/o investigaciones geográficas asignadas, de conformidad con la metodología"/>
    <s v="13821"/>
    <s v="48721, 48821, 48921, 49021"/>
    <s v="135621, 137721, 145021, 160421"/>
    <s v="247121, 247621, 258121, 268821, 311721, 311821, 317721, 317821, 348921, 349121, 352821, 358121, 439321, 441321, 441921, 446621, 482821, 482921, 487621, 487821, 549621, 549721, 551321, 554621"/>
    <s v="67122821, 67155921, 70411421, 75621121, 92821821, 92823121, 95523621, 95630721, 115485421, 115488321, 115992421, 117466621, 147846921, 148330721, 148353221, 150008721, 174725321, 174731321, 175399121, 175467421, 209315521, 209319821, 209425321, 210147921"/>
    <s v="-0"/>
    <x v="0"/>
    <x v="3"/>
  </r>
  <r>
    <s v="9921"/>
    <s v="2021-01-14 00:00:00"/>
    <s v="2021-01-14 17:49: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51873460"/>
    <n v="-51873460"/>
    <n v="0"/>
    <n v="0"/>
    <s v="Prestación de servicios para realizar de apoyo a la gestión administrativa de los procesos y proyectos misionales de la Subdirección de Geografía y Cartografía"/>
    <s v="13921"/>
    <s v="-0"/>
    <s v="-0"/>
    <s v="-0"/>
    <s v="-0"/>
    <s v="-0"/>
    <x v="0"/>
    <x v="3"/>
  </r>
  <r>
    <s v="10021"/>
    <s v="2021-01-14 00:00:00"/>
    <s v="2021-01-14 17:51: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84543460"/>
    <n v="-84543460"/>
    <n v="0"/>
    <n v="0"/>
    <s v="Prestación de servicios para el control y seguimiento de las actividades de fronteras y límites de entidades territoriales"/>
    <s v="14021"/>
    <s v="-0"/>
    <s v="-0"/>
    <s v="-0"/>
    <s v="-0"/>
    <s v="-0"/>
    <x v="0"/>
    <x v="3"/>
  </r>
  <r>
    <s v="10121"/>
    <s v="2021-01-14 00:00:00"/>
    <s v="2021-01-14 17:5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65464145"/>
    <n v="29024367"/>
    <n v="194488512"/>
    <n v="29407197"/>
    <s v="Prestación de servicios para analizar, consolidar e integrar los documentos técnicos de los estudios e investigaciones geográficas, de conformidad con la metodología establecida"/>
    <s v="14121"/>
    <s v="54321, 54421, 54521"/>
    <s v="156421, 160021, 160121"/>
    <s v="268521, 268621, 269121, 310721, 318521, 320421, 341021, 341221, 341621, 423221, 429921, 430721, 487421, 489921, 530721, 541621, 560021, 560821, 593521"/>
    <s v="75427321, 75433421, 75721021, 92605421, 95612721, 96626721, 112501421, 112509221, 112510421, 144939621, 146553121, 146593721, 175395721, 176265821, 188286321, 200022521, 211376621, 211491021, 222213921"/>
    <s v="-0"/>
    <x v="0"/>
    <x v="3"/>
  </r>
  <r>
    <s v="10221"/>
    <s v="2021-01-14 00:00:00"/>
    <s v="2021-01-14 17:5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5900900"/>
    <n v="5323632"/>
    <n v="61224532"/>
    <n v="5373940"/>
    <s v="Prestación de servicios profesionales para gestión de proyectos y atención a los requerimientos de la cancillería, en el marco de la demarcación de las fronteras del país"/>
    <s v="14221"/>
    <s v="23721"/>
    <s v="83921"/>
    <s v="161621, 242021, 297421, 367721, 425521, 502021, 588121"/>
    <s v="40893521, 65481921, 88169621, 120822421, 145825821, 179449721, 220743321"/>
    <s v="-0"/>
    <x v="0"/>
    <x v="3"/>
  </r>
  <r>
    <s v="10321"/>
    <s v="2021-01-14 00:00:00"/>
    <s v="2021-01-14 17:57: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84543460"/>
    <n v="0"/>
    <n v="0"/>
    <s v="Prestación de servicios profesionales para la gestión, análisis y respuesta oportuna asociada con los procesos y proyectos de la Subdirección"/>
    <s v="14821"/>
    <s v="-0"/>
    <s v="-0"/>
    <s v="-0"/>
    <s v="-0"/>
    <s v="-0"/>
    <x v="0"/>
    <x v="3"/>
  </r>
  <r>
    <s v="10421"/>
    <s v="2021-01-14 00:00:00"/>
    <s v="2021-01-14 17:58: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65973294"/>
    <n v="0"/>
    <n v="65973294"/>
    <n v="34208"/>
    <s v="Prestación de servicios para apoyar la implementación de métodos estadísticos en la subdirección y generación de nuevos productos."/>
    <s v="14921"/>
    <s v="12321"/>
    <s v="133421"/>
    <s v="244821, 244921, 319821, 356021, 418921, 480221, 556421"/>
    <s v="65965321, 65990621, 96371221, 117271321, 144387221, 173237621, 210800121"/>
    <s v="-0"/>
    <x v="0"/>
    <x v="3"/>
  </r>
  <r>
    <s v="10521"/>
    <s v="2021-01-14 00:00:00"/>
    <s v="2021-01-14 18:0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69086920"/>
    <n v="-70395553"/>
    <n v="98691367"/>
    <n v="14224000"/>
    <s v="Prestación de servicios para la gestión e integración de productos y aplicaciones de la subdirección de geografía y cartografía"/>
    <s v="15121"/>
    <s v="12221"/>
    <s v="96121"/>
    <s v="173921, 245321, 298821, 357521, 422321, 482321, 563721"/>
    <s v="44434021, 66131121, 66171521, 89037721, 117439421, 144691921, 174654521, 212771721"/>
    <s v="-0"/>
    <x v="0"/>
    <x v="3"/>
  </r>
  <r>
    <s v="10621"/>
    <s v="2021-01-14 00:00:00"/>
    <s v="2021-01-14 18:01: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46607320"/>
    <n v="0"/>
    <n v="146607320"/>
    <n v="131946"/>
    <s v="Prestación de servicios para el fortalecimiento de los productos y servicios de información geográfica, cartográfica y geodésica, promoviendo su descubrimiento y uso"/>
    <s v="15221"/>
    <s v="14921, 15021"/>
    <s v="107221, 108521"/>
    <s v="183221, 185121, 257121, 260921, 314721, 320121, 377821, 379621, 421021, 422521, 491721, 503021, 563821, 586421"/>
    <s v="55192421, 56649121, 70522921, 70939021, 93597321, 96387421, 123474621, 124500421, 144462521, 144912121, 176439021, 179471621, 212789921, 219828121"/>
    <s v="-0"/>
    <x v="0"/>
    <x v="3"/>
  </r>
  <r>
    <s v="10721"/>
    <s v="2021-01-14 00:00:00"/>
    <s v="2021-01-14 18:0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50310810"/>
    <n v="0"/>
    <n v="50310810"/>
    <n v="26085"/>
    <s v="Prestación de servicios para la generación de contenidos asociados a los procesos geográficos, cartográficos y geodésicos"/>
    <s v="15421"/>
    <s v="29121"/>
    <s v="106321"/>
    <s v="182421, 257221, 294221, 355921, 415921, 498521, 556921"/>
    <s v="55203221, 70939121, 87714121, 117250721, 143119321, 177762221, 211243821"/>
    <s v="-0"/>
    <x v="0"/>
    <x v="3"/>
  </r>
  <r>
    <s v="10821"/>
    <s v="2021-01-14 00:00:00"/>
    <s v="2021-01-14 18:04:00"/>
    <s v="Gasto"/>
    <s v="Anulado"/>
    <s v="0300"/>
    <x v="0"/>
    <x v="4"/>
    <s v="ADQUISICIÓN DE BIENES Y SERVICIOS - SERVICIOS DE INFORMACIÓN GEODÉSICA ACTUALIZADO - LEVANTAMIENTO , GENERACIÓN Y ACTUALIZACIÓN DE LA RED GEODÉSICA Y LA CARTOGRAFÍA BÁSICA A NIVEL   NACIONAL"/>
    <s v="Propios"/>
    <x v="1"/>
    <s v="CSF"/>
    <n v="352739640"/>
    <n v="-352739640"/>
    <n v="0"/>
    <n v="0"/>
    <s v="Prestación de servicios para la captura de información vectorial, de conformidad con las especificaciones técnicas y rendimientos establecidos."/>
    <s v="16021"/>
    <s v="-0"/>
    <s v="-0"/>
    <s v="-0"/>
    <s v="-0"/>
    <s v="-0"/>
    <x v="0"/>
    <x v="3"/>
  </r>
  <r>
    <s v="10921"/>
    <s v="2021-01-14 00:00:00"/>
    <s v="2021-01-14 18:05:00"/>
    <s v="Gasto"/>
    <s v="Anulado"/>
    <s v="0300"/>
    <x v="0"/>
    <x v="4"/>
    <s v="ADQUISICIÓN DE BIENES Y SERVICIOS - SERVICIOS DE INFORMACIÓN GEODÉSICA ACTUALIZADO - LEVANTAMIENTO , GENERACIÓN Y ACTUALIZACIÓN DE LA RED GEODÉSICA Y LA CARTOGRAFÍA BÁSICA A NIVEL   NACIONAL"/>
    <s v="Propios"/>
    <x v="1"/>
    <s v="CSF"/>
    <n v="212052600"/>
    <n v="-212052600"/>
    <n v="0"/>
    <n v="0"/>
    <s v="Prestación de servicios para implementar y optimizar los procesos de aseguramiento de la calidad de productos cartográficos, de conformidad con las especificaciones técnicas y rendimientos establecidos"/>
    <s v="16221"/>
    <s v="-0"/>
    <s v="-0"/>
    <s v="-0"/>
    <s v="-0"/>
    <s v="-0"/>
    <x v="0"/>
    <x v="3"/>
  </r>
  <r>
    <s v="11021"/>
    <s v="2021-01-14 00:00:00"/>
    <s v="2021-01-14 18:08: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66138661.5"/>
    <n v="-153031.5"/>
    <n v="65985630"/>
    <n v="0"/>
    <s v="Prestación de servicios para elaborar los mapas temáticos y salidas gráficas requeridas para los estudios y/o investigaciones geográficas asignadas, de conformidad con los lineamientos técnicos."/>
    <s v="17021"/>
    <s v="55321, 55421, 56021"/>
    <s v="136221, 138521, 150221"/>
    <s v="248121, 249621, 261021, 300221, 303321, 305421, 361421, 369221, 375921, 419221, 424021, 425321, 497321, 497421, 502421, 560321, 562621, 565921"/>
    <s v="67251721, 67448021, 70523521, 89649821, 90710121, 91012321, 118852621, 121291821, 123719121, 144388021, 145116921, 145815021, 177635921, 177642321, 179456121, 211378821, 212066421, 212945121"/>
    <s v="-0"/>
    <x v="0"/>
    <x v="3"/>
  </r>
  <r>
    <s v="11121"/>
    <s v="2021-01-14 00:00:00"/>
    <s v="2021-01-14 18:1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24276824.5"/>
    <n v="-56169.5"/>
    <n v="24220655"/>
    <n v="0"/>
    <s v="Prestación de servicios para procesar y analizar información geográfica requerida para los estudios e investigaciones asignadas"/>
    <s v="17221"/>
    <s v="54621"/>
    <s v="144421"/>
    <s v="256921, 280521, 347021, 427021, 527421, 536221, 596821"/>
    <s v="70938921, 83409121, 114591321, 145903021, 187310621, 195119021, 226451221"/>
    <s v="-0"/>
    <x v="0"/>
    <x v="3"/>
  </r>
  <r>
    <s v="11221"/>
    <s v="2021-01-14 00:00:00"/>
    <s v="2021-01-14 18:1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48314800"/>
    <n v="-43487"/>
    <n v="48271313"/>
    <n v="0"/>
    <s v="Prestación de servicios profesionales para la gestión y estructuración de la información de límites y fronteras."/>
    <s v="17621"/>
    <s v="53321"/>
    <s v="130721"/>
    <s v="242721, 297721, 379221, 414321, 501021, 587821"/>
    <s v="65520121, 88354121, 123754121, 143049721, 178826121, 220724621"/>
    <s v="-0"/>
    <x v="0"/>
    <x v="3"/>
  </r>
  <r>
    <s v="11321"/>
    <s v="2021-01-14 00:00:00"/>
    <s v="2021-01-14 1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6026300"/>
    <n v="12766735"/>
    <n v="118793035"/>
    <n v="12862168"/>
    <s v="Prestación de servicios profesionales para apoyar la gestión técnica de los procesos de deslindes, de conformidad con los criterios técnicos y normatividad establecida"/>
    <s v="17921"/>
    <s v="14621, 14721, 14821"/>
    <s v="79221, 87921, 92321"/>
    <s v="156721, 165721, 170421, 240721, 249221, 254621, 294021, 294521, 323821, 355221, 356921, 380921, 415121, 418321, 443921, 486021, 487721, 516221, 554021, 554321, 574921"/>
    <s v="37086121, 41148021, 42686721, 63844021, 67378921, 69448021, 87712921, 87715621, 98005321, 117209521, 117308321, 124857421, 143115121, 144349021, 149806021, 174778221, 175460321, 184107021, 210125521, 210126721, 215192321"/>
    <s v="-0"/>
    <x v="0"/>
    <x v="3"/>
  </r>
  <r>
    <s v="11421"/>
    <s v="2021-01-15 00:00:00"/>
    <s v="2021-01-15 08:54:00"/>
    <s v="Gasto"/>
    <s v="Con Compromiso"/>
    <s v="0200"/>
    <x v="0"/>
    <x v="7"/>
    <s v="ADQUISICIÓN DE BIENES Y SERVICIOS - SERVICIO DE IMPLEMENTACIÓN SISTEMAS DE GESTIÓN - FORTALECIMIENTO DE LA GESTIÓN INSTITUCIONAL DEL IGAC A NIVEL   NACIONAL"/>
    <s v="Propios"/>
    <x v="1"/>
    <s v="CSF"/>
    <n v="253342879"/>
    <n v="-767691"/>
    <n v="252575188"/>
    <n v="0"/>
    <s v="Prestación de servicios profesionales para la planeación, ejecución, y seguimiento de las evaluaciones al sistema de control interno de los procesos de la entidad de conformidad a la normatividad y procedimientos Institucionales_x000a_vigentes"/>
    <s v="24621"/>
    <s v="24821, 24921, 25021, 25121"/>
    <s v="91421, 95021, 95821, 96721"/>
    <s v="169721, 173221, 173321, 174321, 247421, 249321, 250021, 263121, 298921, 301721, 310621, 319421, 371521, 374821, 381721, 383021, 452421, 452521, 457321, 460321, 511721, 521921, 527621, 555721, 590221, 592321, 596721, 597021"/>
    <s v="42521821, 44347621, 44349921, 44577521, 67145921, 67408621, 67690321, 70771321, 89039221, 90082821, 92604721, 96328721, 121386821, 122799421, 126815321, 126829321, 152424521, 152427121, 157482221, 157670121, 182090121, 185217021, 187310821, 210277121, 225706521, 226238321, 226447221, 226450321"/>
    <s v="-0"/>
    <x v="0"/>
    <x v="0"/>
  </r>
  <r>
    <s v="11521"/>
    <s v="2021-01-15 00:00:00"/>
    <s v="2021-01-15 09:10:00"/>
    <s v="Gasto"/>
    <s v="Con Compromiso"/>
    <s v="0300"/>
    <x v="0"/>
    <x v="12"/>
    <s v="ADQUISICIÓN DE BIENES Y SERVICIOS - SERVICIO DE INFORMACIÓN CARTOGRÁFICA ACTUALIZADO - LEVANTAMIENTO , GENERACIÓN Y ACTUALIZACIÓN DE LA RED GEODÉSICA Y LA CARTOGRAFÍA BÁSICA A NIVEL   NACIONAL"/>
    <s v="Propios"/>
    <x v="1"/>
    <s v="CSF"/>
    <n v="300000000"/>
    <n v="0"/>
    <n v="3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3"/>
  </r>
  <r>
    <s v="11521"/>
    <s v="2021-01-15 00:00:00"/>
    <s v="2021-01-15 09:1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4"/>
  </r>
  <r>
    <s v="11521"/>
    <s v="2021-01-15 00:00:00"/>
    <s v="2021-01-15 09:10:00"/>
    <s v="Gasto"/>
    <s v="Con Compromiso"/>
    <s v="0500"/>
    <x v="0"/>
    <x v="1"/>
    <s v="ADQUISICIÓN DE BIENES Y SERVICIOS - SERVICIO DE INFORMACIÓN CATASTRAL - ACTUALIZACIÓN  Y GESTIÓN CATASTRAL  NACIONAL"/>
    <s v="Nación"/>
    <x v="0"/>
    <s v="CSF"/>
    <n v="200000000"/>
    <n v="0"/>
    <n v="2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500"/>
    <x v="0"/>
    <x v="1"/>
    <s v="ADQUISICIÓN DE BIENES Y SERVICIOS - SERVICIO DE INFORMACIÓN CATASTRAL - ACTUALIZACIÓN  Y GESTIÓN CATASTRAL  NACIONAL"/>
    <s v="Propios"/>
    <x v="1"/>
    <s v="CSF"/>
    <n v="20000000"/>
    <n v="0"/>
    <n v="2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160"/>
    <x v="0"/>
    <x v="3"/>
    <s v="ADQUISICIÓN DE BIENES Y SERVICIOS - SERVICIOS DE INFORMACIÓN IMPLEMENTADOS - FORTALECIMIENTO DE LOS PROCESOS DE DIFUSIÓN Y ACCESO A LA INFORMACIÓN GEOGRÁFICA A NIVEL   NACIONAL"/>
    <s v="Nación"/>
    <x v="0"/>
    <s v="CSF"/>
    <n v="4850240"/>
    <n v="0"/>
    <n v="485024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2"/>
  </r>
  <r>
    <s v="11621"/>
    <s v="2021-01-18 00:00:00"/>
    <s v="2021-01-18 08:55:00"/>
    <s v="Gasto"/>
    <s v="Con Compromiso"/>
    <s v="0500"/>
    <x v="0"/>
    <x v="1"/>
    <s v="ADQUISICIÓN DE BIENES Y SERVICIOS - SERVICIO DE INFORMACIÓN CATASTRAL - ACTUALIZACIÓN  Y GESTIÓN CATASTRAL  NACIONAL"/>
    <s v="Nación"/>
    <x v="0"/>
    <s v="CSF"/>
    <n v="190007160"/>
    <n v="-575769"/>
    <n v="189431391"/>
    <n v="0"/>
    <s v="Prestación de servicios profesionales para apoyar la gestión requerida para la habilitación de gestores catastrales"/>
    <s v="20121"/>
    <s v="31321, 31521, 31621"/>
    <s v="83321, 89521, 89921"/>
    <s v="161021, 167821, 168221, 184021, 185521, 185621, 283521, 283621, 283821, 344821, 346321, 346421, 406121, 406721, 407321, 485121, 485521, 505421, 547821, 550321, 595521"/>
    <s v="40934521, 41434821, 42515421, 56439521, 56738921, 58643621, 85021721, 85034321, 85044621, 114405421, 114569821, 114573021, 140325421, 140675021, 140712221, 174769521, 174775321, 180716821, 207576221, 209377821, 222218421"/>
    <s v="-0"/>
    <x v="0"/>
    <x v="1"/>
  </r>
  <r>
    <s v="11721"/>
    <s v="2021-01-18 00:00:00"/>
    <s v="2021-01-18 08:57:00"/>
    <s v="Gasto"/>
    <s v="Con Compromiso"/>
    <s v="0500"/>
    <x v="0"/>
    <x v="1"/>
    <s v="ADQUISICIÓN DE BIENES Y SERVICIOS - SERVICIO DE INFORMACIÓN CATASTRAL - ACTUALIZACIÓN  Y GESTIÓN CATASTRAL  NACIONAL"/>
    <s v="Nación"/>
    <x v="0"/>
    <s v="CSF"/>
    <n v="58772631"/>
    <n v="-5"/>
    <n v="58772626"/>
    <n v="0"/>
    <s v="Prestación de servicios para apoyar las actividades técnicas y operativas para la habilitación de gestores catastrales"/>
    <s v="20221"/>
    <s v="13221, 26921"/>
    <s v="98921, 117921"/>
    <s v="175621, 183921, 192921, 283721, 301621, 344921, 345021, 406621, 406821, 485021, 485821, 547721, 550221"/>
    <s v="46429221, 56402621, 60995621, 85038821, 90037521, 114411421, 114418321, 140673321, 140677221, 174768921, 174777421, 207562321, 209373121"/>
    <s v="-0"/>
    <x v="0"/>
    <x v="1"/>
  </r>
  <r>
    <s v="11821"/>
    <s v="2021-01-18 00:00:00"/>
    <s v="2021-01-18 08:58:00"/>
    <s v="Gasto"/>
    <s v="Con Compromiso"/>
    <s v="0500"/>
    <x v="0"/>
    <x v="1"/>
    <s v="ADQUISICIÓN DE BIENES Y SERVICIOS - SERVICIO DE INFORMACIÓN CATASTRAL - ACTUALIZACIÓN  Y GESTIÓN CATASTRAL  NACIONAL"/>
    <s v="Nación"/>
    <x v="0"/>
    <s v="CSF"/>
    <n v="146709293"/>
    <n v="-2222873"/>
    <n v="144486420"/>
    <n v="0"/>
    <s v="Prestación de servicios profesionales para apoyar el desarrollo de los proyectos programados en el marco de la habilitación de gestores catastrales."/>
    <s v="20321"/>
    <s v="30921"/>
    <s v="109421"/>
    <s v="185721, 263821, 325621, 387321, 440621, 518521, 587221"/>
    <s v="56760621, 70774021, 98024521, 127267721, 148298821, 184202121, 220429421, 220569721"/>
    <s v="-0"/>
    <x v="0"/>
    <x v="1"/>
  </r>
  <r>
    <s v="11921"/>
    <s v="2021-01-18 00:00:00"/>
    <s v="2021-01-18 08:59:00"/>
    <s v="Gasto"/>
    <s v="Con Compromiso"/>
    <s v="0500"/>
    <x v="0"/>
    <x v="1"/>
    <s v="ADQUISICIÓN DE BIENES Y SERVICIOS - SERVICIO DE INFORMACIÓN CATASTRAL - ACTUALIZACIÓN  Y GESTIÓN CATASTRAL  NACIONAL"/>
    <s v="Nación"/>
    <x v="0"/>
    <s v="CSF"/>
    <n v="92321463"/>
    <n v="-3"/>
    <n v="92321460"/>
    <n v="0"/>
    <s v="Prestación de servicios de apoyo orientados a la gestión y enrutamiento de la información derivada de los procesos catastrales"/>
    <s v="20421"/>
    <s v="13421, 14121, 14321, 23021"/>
    <s v="69921, 73121, 89621, 90121"/>
    <s v="109021, 158021, 167921, 169221, 184121, 185821, 191721, 192821, 282721, 283421, 284221, 286521, 339021, 339321, 343821, 344721, 401821, 407121, 408121, 416421, 478621, 481821, 491121, 508821, 547421, 549021, 550921, 551021"/>
    <s v="29149521, 40622721, 41435121, 42160221, 56431921, 56779721, 60878621, 60993421, 84840521, 85019721, 85061221, 85601021, 111297521, 111298921, 114388121, 114401721, 138914821, 140701921, 140829421, 143123621, 172803321, 173804621, 176429921, 181554821, 207328521, 208555321, 209387421, 209403321"/>
    <s v="-0"/>
    <x v="0"/>
    <x v="1"/>
  </r>
  <r>
    <s v="12021"/>
    <s v="2021-01-18 00:00:00"/>
    <s v="2021-01-18 09:00:00"/>
    <s v="Gasto"/>
    <s v="Con Compromiso"/>
    <s v="0500"/>
    <x v="0"/>
    <x v="1"/>
    <s v="ADQUISICIÓN DE BIENES Y SERVICIOS - SERVICIO DE INFORMACIÓN CATASTRAL - ACTUALIZACIÓN  Y GESTIÓN CATASTRAL  NACIONAL"/>
    <s v="Nación"/>
    <x v="0"/>
    <s v="CSF"/>
    <n v="164285000"/>
    <n v="0"/>
    <n v="164285000"/>
    <n v="0"/>
    <s v="Prestación de servicios profesionales para el desarrollo de procesos estadísticos en el marco de la gestión catastral a cargo del IGAC."/>
    <s v="20521"/>
    <s v="13021"/>
    <s v="91821"/>
    <s v="170021, 193721, 314821, 346021, 416121, 508221, 590121"/>
    <s v="45455721, 61020321, 93622221, 114466921, 143121121, 181501521, 224574021"/>
    <s v="-0"/>
    <x v="0"/>
    <x v="1"/>
  </r>
  <r>
    <s v="12121"/>
    <s v="2021-01-18 00:00:00"/>
    <s v="2021-01-18 09:02:00"/>
    <s v="Gasto"/>
    <s v="Con Compromiso"/>
    <s v="0500"/>
    <x v="0"/>
    <x v="1"/>
    <s v="ADQUISICIÓN DE BIENES Y SERVICIOS - SERVICIO DE INFORMACIÓN CATASTRAL - ACTUALIZACIÓN  Y GESTIÓN CATASTRAL  NACIONAL"/>
    <s v="Nación"/>
    <x v="0"/>
    <s v="CSF"/>
    <n v="108518129"/>
    <n v="-3288433"/>
    <n v="105229696"/>
    <n v="0"/>
    <s v="Prestación de servicios profesionales para adelantar los análisis estadísticos requeridos para el desarrollo de los procesos de catastro multipropósito."/>
    <s v="20621"/>
    <s v="32521"/>
    <s v="101121"/>
    <s v="177821, 246121, 328521, 377421, 455921, 528121, 597721"/>
    <s v="48990521, 66838821, 100176821, 123454321, 157401421, 187311321, 224131521"/>
    <s v="-0"/>
    <x v="0"/>
    <x v="1"/>
  </r>
  <r>
    <s v="12221"/>
    <s v="2021-01-18 00:00:00"/>
    <s v="2021-01-18 09:03: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os análisis estadísticos requeridos para los procesos de gestión catastral con enfoque multipropósito"/>
    <s v="20721"/>
    <s v="33321"/>
    <s v="141821"/>
    <s v="253221, 304321, 364121, 437221, 516921, 559621"/>
    <s v="69317921, 90957221, 120515121, 147575321, 184134221, 211353221"/>
    <s v="-0"/>
    <x v="0"/>
    <x v="1"/>
  </r>
  <r>
    <s v="12321"/>
    <s v="2021-01-18 00:00:00"/>
    <s v="2021-01-18 09:04:00"/>
    <s v="Gasto"/>
    <s v="Generado"/>
    <s v="0500"/>
    <x v="0"/>
    <x v="1"/>
    <s v="ADQUISICIÓN DE BIENES Y SERVICIOS - SERVICIO DE INFORMACIÓN CATASTRAL - ACTUALIZACIÓN  Y GESTIÓN CATASTRAL  NACIONAL"/>
    <s v="Nación"/>
    <x v="0"/>
    <s v="CSF"/>
    <n v="29386316"/>
    <n v="-29386316"/>
    <n v="0"/>
    <n v="0"/>
    <s v="Prestación de servicios profesionales para apoyar los análisis económicos y financieros en el desarrollo de metodologías masivas de valoración de predios, en la implementación del catastro multipropósito"/>
    <s v="20821"/>
    <s v="-0"/>
    <s v="-0"/>
    <s v="-0"/>
    <s v="-0"/>
    <s v="-0"/>
    <x v="0"/>
    <x v="1"/>
  </r>
  <r>
    <s v="12421"/>
    <s v="2021-01-18 00:00:00"/>
    <s v="2021-01-18 09:08:00"/>
    <s v="Gasto"/>
    <s v="Con Compromiso"/>
    <s v="0500"/>
    <x v="0"/>
    <x v="1"/>
    <s v="ADQUISICIÓN DE BIENES Y SERVICIOS - SERVICIO DE INFORMACIÓN CATASTRAL - ACTUALIZACIÓN  Y GESTIÓN CATASTRAL  NACIONAL"/>
    <s v="Nación"/>
    <x v="0"/>
    <s v="CSF"/>
    <n v="133978905"/>
    <n v="-12179905"/>
    <n v="121799000"/>
    <n v="0"/>
    <s v="Prestación de servicios profesionales para adelantar análisis económicos y financieros en el desarrollo de metodologías masivas de valoración de predios, en la implementación del catastro multipropósito"/>
    <s v="20921"/>
    <s v="34821"/>
    <s v="159521"/>
    <s v="268421, 310521, 356521, 420521, 509121, 584421"/>
    <s v="74929421, 92603421, 117297821, 144418821, 181721621, 219216821"/>
    <s v="-0"/>
    <x v="0"/>
    <x v="1"/>
  </r>
  <r>
    <s v="12521"/>
    <s v="2021-01-18 00:00:00"/>
    <s v="2021-01-18 09:09:00"/>
    <s v="Gasto"/>
    <s v="Con Compromiso"/>
    <s v="0500"/>
    <x v="0"/>
    <x v="1"/>
    <s v="ADQUISICIÓN DE BIENES Y SERVICIOS - SERVICIO DE INFORMACIÓN CATASTRAL - ACTUALIZACIÓN  Y GESTIÓN CATASTRAL  NACIONAL"/>
    <s v="Nación"/>
    <x v="0"/>
    <s v="CSF"/>
    <n v="120034875"/>
    <n v="23117827"/>
    <n v="143152702"/>
    <n v="3"/>
    <s v="Prestación de servicios profesionales para orientar el desarrollo de los proyectos programados para la gestión catastral, incluyendo los relacionados con la ejecución de los recursos de cooperación internacional"/>
    <s v="21021"/>
    <s v="29821"/>
    <s v="99021"/>
    <s v="175721, 195921, 287821, 346221, 420321, 516321, 594621"/>
    <s v="46429521, 61286221, 85923121, 114569221, 144408721, 184108621, 222216621"/>
    <s v="-0"/>
    <x v="0"/>
    <x v="1"/>
  </r>
  <r>
    <s v="12621"/>
    <s v="2021-01-18 00:00:00"/>
    <s v="2021-01-18 09:10:00"/>
    <s v="Gasto"/>
    <s v="Con Compromiso"/>
    <s v="0500"/>
    <x v="0"/>
    <x v="1"/>
    <s v="ADQUISICIÓN DE BIENES Y SERVICIOS - SERVICIO DE INFORMACIÓN CATASTRAL - ACTUALIZACIÓN  Y GESTIÓN CATASTRAL  NACIONAL"/>
    <s v="Nación"/>
    <x v="0"/>
    <s v="CSF"/>
    <n v="434072513"/>
    <n v="-17"/>
    <n v="434072496"/>
    <n v="0"/>
    <s v="Prestación de servicios profesionales para apoyar en la evaluación, seguimiento, control, planeación y ejecución de los proyectos programados en el marco de la &quot;Actualización y Gestión Catastral Nacional&quot;."/>
    <s v="21121"/>
    <s v="18821, 26721, 26821, 30721"/>
    <s v="83621, 93121, 100021, 100121"/>
    <s v="166621, 171521, 176721, 176821, 192521, 193121, 199321, 265021, 284021, 292021, 306721, 317321, 348621, 353221, 363121, 385321, 420021, 420921, 426321, 427421, 427521, 503321, 516021, 518321, 525621, 548721, 549221, 581921, 585021"/>
    <s v="41195021, 43291821, 47671921, 47676421, 60979321, 61012521, 62578021, 70866821, 85048921, 87068621, 92622321, 95504421, 115483421, 115996621, 119079421, 120533521, 127052621, 144401221, 144462221, 145860921, 145915621, 179474621, 183416721, 184184621, 187308921, 208534521, 208939321, 219104021, 219716921"/>
    <s v="-0"/>
    <x v="0"/>
    <x v="1"/>
  </r>
  <r>
    <s v="12721"/>
    <s v="2021-01-18 00:00:00"/>
    <s v="2021-01-18 09:11:00"/>
    <s v="Gasto"/>
    <s v="Con Compromiso"/>
    <s v="0500"/>
    <x v="0"/>
    <x v="1"/>
    <s v="ADQUISICIÓN DE BIENES Y SERVICIOS - SERVICIO DE INFORMACIÓN CATASTRAL - ACTUALIZACIÓN  Y GESTIÓN CATASTRAL  NACIONAL"/>
    <s v="Nación"/>
    <x v="0"/>
    <s v="CSF"/>
    <n v="121248517"/>
    <n v="0"/>
    <n v="121248517"/>
    <n v="0"/>
    <s v="Prestación de servicios profesionales para apoyar desde el componente social, el desarrollo de los proyectos programados para la gestión catastral"/>
    <s v="21221"/>
    <s v="10821"/>
    <s v="91221"/>
    <s v="169421, 194821, 310821, 355621, 421521, 515921, 589921"/>
    <s v="42838621, 61039521, 92606121, 117233821, 144694521, 183415621, 224544421"/>
    <s v="-0"/>
    <x v="0"/>
    <x v="1"/>
  </r>
  <r>
    <s v="12821"/>
    <s v="2021-01-18 00:00:00"/>
    <s v="2021-01-18 09:12:00"/>
    <s v="Gasto"/>
    <s v="Con Compromiso"/>
    <s v="0500"/>
    <x v="0"/>
    <x v="1"/>
    <s v="ADQUISICIÓN DE BIENES Y SERVICIOS - SERVICIO DE INFORMACIÓN CATASTRAL - ACTUALIZACIÓN  Y GESTIÓN CATASTRAL  NACIONAL"/>
    <s v="Nación"/>
    <x v="0"/>
    <s v="CSF"/>
    <n v="190007160"/>
    <n v="-70245066"/>
    <n v="119762094"/>
    <n v="0"/>
    <s v="Prestación de servicios profesionales para la gestión, control y seguimiento a los procesos catastrales de formación, actualización y conservación catastral con enfoque multipropósito"/>
    <s v="21321"/>
    <s v="47321, 47421"/>
    <s v="122921, 211421"/>
    <s v="254221, 313121, 321621, 322021, 361821, 376321, 409021, 409821, 486721, 489121, 550821, 584721"/>
    <s v="69383921, 93144921, 97074821, 97202021, 118860221, 123416921, 141023921, 141682621, 175140521, 176149121, 209385821, 219712521"/>
    <s v="-0"/>
    <x v="0"/>
    <x v="1"/>
  </r>
  <r>
    <s v="12921"/>
    <s v="2021-01-18 00:00:00"/>
    <s v="2021-01-18 09:13:00"/>
    <s v="Gasto"/>
    <s v="Con Compromiso"/>
    <s v="0500"/>
    <x v="0"/>
    <x v="1"/>
    <s v="ADQUISICIÓN DE BIENES Y SERVICIOS - SERVICIO DE INFORMACIÓN CATASTRAL - ACTUALIZACIÓN  Y GESTIÓN CATASTRAL  NACIONAL"/>
    <s v="Nación"/>
    <x v="0"/>
    <s v="CSF"/>
    <n v="63335720"/>
    <n v="-191923"/>
    <n v="63143797"/>
    <n v="0"/>
    <s v="Prestación de servicios profesionales para la atención, control y seguimiento a las peticiones presentadas en el área asignada."/>
    <s v="21421"/>
    <s v="15121"/>
    <s v="99921"/>
    <s v="176621, 242321, 319021, 389221, 425721, 518021"/>
    <s v="47671221, 65503221, 96248421, 127353721, 145829521, 184177421"/>
    <s v="-0"/>
    <x v="0"/>
    <x v="1"/>
  </r>
  <r>
    <s v="13021"/>
    <s v="2021-01-18 00:00:00"/>
    <s v="2021-01-18 09:14:00"/>
    <s v="Gasto"/>
    <s v="Con Compromiso"/>
    <s v="0500"/>
    <x v="0"/>
    <x v="1"/>
    <s v="ADQUISICIÓN DE BIENES Y SERVICIOS - SERVICIO DE INFORMACIÓN CATASTRAL - ACTUALIZACIÓN  Y GESTIÓN CATASTRAL  NACIONAL"/>
    <s v="Nación"/>
    <x v="0"/>
    <s v="CSF"/>
    <n v="83053047"/>
    <n v="0"/>
    <n v="83053047"/>
    <n v="0"/>
    <s v="Prestación de servicios profesionales para ejecutar las actividades requeridas para el cumplimiento del IGAC en los temas relacionados con la política de atención y reparación a víctimas, restitución de tierras y formalización de_x000a_acuerdo a las compet"/>
    <s v="21521"/>
    <s v="13321"/>
    <s v="83421"/>
    <s v="161121, 196121, 280121, 339121, 401721, 476821, 547321"/>
    <s v="40879621, 61354521, 82246921, 111298221, 138912221, 171421321, 207321821"/>
    <s v="-0"/>
    <x v="0"/>
    <x v="1"/>
  </r>
  <r>
    <s v="13121"/>
    <s v="2021-01-18 00:00:00"/>
    <s v="2021-01-18 09:16:00"/>
    <s v="Gasto"/>
    <s v="Con Compromiso"/>
    <s v="0500"/>
    <x v="0"/>
    <x v="1"/>
    <s v="ADQUISICIÓN DE BIENES Y SERVICIOS - SERVICIO DE INFORMACIÓN CATASTRAL - ACTUALIZACIÓN  Y GESTIÓN CATASTRAL  NACIONAL"/>
    <s v="Nación"/>
    <x v="0"/>
    <s v="CSF"/>
    <n v="54740668"/>
    <n v="-4"/>
    <n v="54740664"/>
    <n v="0"/>
    <s v="Prestación de servicios profesionales para adelantar las actividades asociadas al cumplimiento de la Política de Atención y Reparación Integral a las Victimas, Restitución de Tierras en el marco de las competencias del IGAC, desde_x000a_el componente técni"/>
    <s v="21621"/>
    <s v="23421"/>
    <s v="95121"/>
    <s v="173421, 258721, 318921, 367821, 424421, 484821, 578221"/>
    <s v="44411121, 70413421, 95629621, 120823421, 145791221, 174764421, 217489921"/>
    <s v="-0"/>
    <x v="0"/>
    <x v="1"/>
  </r>
  <r>
    <s v="13221"/>
    <s v="2021-01-18 00:00:00"/>
    <s v="2021-01-18 09:17:00"/>
    <s v="Gasto"/>
    <s v="Con Compromiso"/>
    <s v="0500"/>
    <x v="0"/>
    <x v="1"/>
    <s v="ADQUISICIÓN DE BIENES Y SERVICIOS - SERVICIO DE INFORMACIÓN CATASTRAL - ACTUALIZACIÓN  Y GESTIÓN CATASTRAL  NACIONAL"/>
    <s v="Nación"/>
    <x v="0"/>
    <s v="CSF"/>
    <n v="54740668"/>
    <n v="-4"/>
    <n v="54740664"/>
    <n v="0"/>
    <s v="Prestación de servicios profesionales para realizar las actividades requeridas en cuanto a la documentación, seguimiento y reporte de la implementación la política de atención y reparación integral a las víctimas, restitución de_x000a_tierras, y política"/>
    <s v="21721"/>
    <s v="33221"/>
    <s v="90221"/>
    <s v="169921, 185221, 279421, 338921, 403821, 481721, 546421"/>
    <s v="42535421, 56665821, 81951721, 111296921, 139069721, 173799321, 207260621"/>
    <s v="-0"/>
    <x v="0"/>
    <x v="1"/>
  </r>
  <r>
    <s v="13321"/>
    <s v="2021-01-18 00:00:00"/>
    <s v="2021-01-18 09:18:00"/>
    <s v="Gasto"/>
    <s v="Con Compromiso"/>
    <s v="0500"/>
    <x v="0"/>
    <x v="1"/>
    <s v="ADQUISICIÓN DE BIENES Y SERVICIOS - SERVICIO DE INFORMACIÓN CATASTRAL - ACTUALIZACIÓN  Y GESTIÓN CATASTRAL  NACIONAL"/>
    <s v="Nación"/>
    <x v="0"/>
    <s v="CSF"/>
    <n v="69093513"/>
    <n v="0"/>
    <n v="69093513"/>
    <n v="383849"/>
    <s v="Prestación de servicios profesionales para el seguimiento, control, análisis y generación de informes del estado de la información gráfica digital y catastral y la verificación de la calidad de las bases catastrales corporativas."/>
    <s v="21821"/>
    <s v="34621, 34721"/>
    <s v="146021, 146321"/>
    <s v="262121, 262621, 284821, 287021, 360321, 362821, 407521, 407621, 490921, 491021, 598021, 598221"/>
    <s v="70767221, 70770221, 85402321, 85864821, 117887421, 118874721, 120540921, 140733821, 140735921, 176330221, 176430921, 224154821, 224174321"/>
    <s v="-0"/>
    <x v="0"/>
    <x v="1"/>
  </r>
  <r>
    <s v="13421"/>
    <s v="2021-01-18 00:00:00"/>
    <s v="2021-01-18 09:19:00"/>
    <s v="Gasto"/>
    <s v="Con Compromiso"/>
    <s v="0500"/>
    <x v="0"/>
    <x v="1"/>
    <s v="ADQUISICIÓN DE BIENES Y SERVICIOS - SERVICIO DE INFORMACIÓN CATASTRAL - ACTUALIZACIÓN  Y GESTIÓN CATASTRAL  NACIONAL"/>
    <s v="Nación"/>
    <x v="0"/>
    <s v="CSF"/>
    <n v="29858547"/>
    <n v="0"/>
    <n v="29858547"/>
    <n v="3"/>
    <s v="Prestación de servicios profesionales para gestionar, controlar y hacer seguimiento de la información alfanumérica y gráfica de los procesos catastrales"/>
    <s v="21921"/>
    <s v="46921"/>
    <s v="152521"/>
    <s v="263921, 287321, 359621, 407721, 490321, 558521, 595621"/>
    <s v="70774521, 85879621, 117860521, 140824621, 176292721, 211312421, 222218821"/>
    <s v="-0"/>
    <x v="0"/>
    <x v="1"/>
  </r>
  <r>
    <s v="13521"/>
    <s v="2021-01-18 00:00:00"/>
    <s v="2021-01-18 09:20:00"/>
    <s v="Gasto"/>
    <s v="Con Compromiso"/>
    <s v="0500"/>
    <x v="0"/>
    <x v="1"/>
    <s v="ADQUISICIÓN DE BIENES Y SERVICIOS - SERVICIO DE INFORMACIÓN CATASTRAL - ACTUALIZACIÓN  Y GESTIÓN CATASTRAL  NACIONAL"/>
    <s v="Nación"/>
    <x v="0"/>
    <s v="CSF"/>
    <n v="29858547"/>
    <n v="0"/>
    <n v="29858547"/>
    <n v="3"/>
    <s v="Prestación de servicios profesionales para realizar los análisis estadísticos y econométricos de información catastral requeridos para el desarrollo del Proyecto de &quot;Actualización y gestión catastral Nacional&quot;"/>
    <s v="22021"/>
    <s v="41621"/>
    <s v="151321"/>
    <s v="262321, 285321, 359721, 407021, 491221, 557721, 597121"/>
    <s v="70768221, 85419121, 117866821, 140696121, 176431521, 211284521, 223999721"/>
    <s v="-0"/>
    <x v="0"/>
    <x v="1"/>
  </r>
  <r>
    <s v="13621"/>
    <s v="2021-01-18 00:00:00"/>
    <s v="2021-01-18 09:21:00"/>
    <s v="Gasto"/>
    <s v="Con Compromiso"/>
    <s v="0500"/>
    <x v="0"/>
    <x v="1"/>
    <s v="ADQUISICIÓN DE BIENES Y SERVICIOS - SERVICIO DE INFORMACIÓN CATASTRAL - ACTUALIZACIÓN  Y GESTIÓN CATASTRAL  NACIONAL"/>
    <s v="Nación"/>
    <x v="0"/>
    <s v="CSF"/>
    <n v="16028900"/>
    <n v="0"/>
    <n v="16028900"/>
    <n v="2"/>
    <s v="Prestación de servicios para la generación de productos de la información alfanumérica catastral en el marco del Proyecto de &quot;Actualización y gestión catastral Nacional&quot;"/>
    <s v="22121"/>
    <s v="39821"/>
    <s v="150721"/>
    <s v="261421, 287121, 360221, 407921, 488121"/>
    <s v="70620721, 85866321, 117885721, 140827521, 175484921"/>
    <s v="-0"/>
    <x v="0"/>
    <x v="1"/>
  </r>
  <r>
    <s v="13721"/>
    <s v="2021-01-18 00:00:00"/>
    <s v="2021-01-18 09:26:00"/>
    <s v="Gasto"/>
    <s v="Con Compromiso"/>
    <s v="0500"/>
    <x v="0"/>
    <x v="1"/>
    <s v="ADQUISICIÓN DE BIENES Y SERVICIOS - SERVICIO DE INFORMACIÓN CATASTRAL - ACTUALIZACIÓN  Y GESTIÓN CATASTRAL  NACIONAL"/>
    <s v="Nación"/>
    <x v="0"/>
    <s v="CSF"/>
    <n v="73517991"/>
    <n v="-2227815"/>
    <n v="71290176"/>
    <n v="0"/>
    <s v="Prestación de servicios profesionales para la programación, control y seguimiento presupuestal y financiero del proyecto de inversión &quot;Actualización y gestión catastral Nacional&quot;"/>
    <s v="22521"/>
    <s v="32321"/>
    <s v="97321"/>
    <s v="174821, 240821, 292221, 355821, 427321, 517821, 574821"/>
    <s v="45411021, 63859421, 87057621, 117238721, 145914621, 184167321, 215187821"/>
    <s v="-0"/>
    <x v="0"/>
    <x v="1"/>
  </r>
  <r>
    <s v="13821"/>
    <s v="2021-01-18 00:00:00"/>
    <s v="2021-01-18 09:27:00"/>
    <s v="Gasto"/>
    <s v="Con Compromiso"/>
    <s v="0500"/>
    <x v="0"/>
    <x v="1"/>
    <s v="ADQUISICIÓN DE BIENES Y SERVICIOS - SERVICIO DE INFORMACIÓN CATASTRAL - ACTUALIZACIÓN  Y GESTIÓN CATASTRAL  NACIONAL"/>
    <s v="Nación"/>
    <x v="0"/>
    <s v="CSF"/>
    <n v="83053047"/>
    <n v="-1258379"/>
    <n v="81794668"/>
    <n v="0"/>
    <s v="Prestación de servicios profesionales para gestionar la etapa preparatoria, registro, verificación y publicación de los trámites contractuales programados en el marco del proyecto de inversión &quot;Actualización y gestión catastral_x000a_Nacional&quot;."/>
    <s v="22621"/>
    <s v="26621"/>
    <s v="93321"/>
    <s v="172621, 197121, 305321, 361721, 456021, 512221, 593921"/>
    <s v="43860921, 62164721, 90998421, 118858921, 157441621, 182147121, 222214821"/>
    <s v="-0"/>
    <x v="0"/>
    <x v="1"/>
  </r>
  <r>
    <s v="13921"/>
    <s v="2021-01-18 00:00:00"/>
    <s v="2021-01-18 09:28: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a formulación, actualización, seguimiento y reporte del proyecto de inversión &quot;Actualización y gestión catastral Nacional&quot; y las metas de su competencia."/>
    <s v="22721"/>
    <s v="31421"/>
    <s v="104821"/>
    <s v="181421, 254121, 283321, 338421, 404921, 471321, 550421"/>
    <s v="52002521, 69381921, 85016321, 110980521, 139713321, 168441121, 209379021"/>
    <s v="-0"/>
    <x v="0"/>
    <x v="1"/>
  </r>
  <r>
    <s v="14021"/>
    <s v="2021-01-18 00:00:00"/>
    <s v="2021-01-18 09:33:00"/>
    <s v="Gasto"/>
    <s v="Con Compromiso"/>
    <s v="0500"/>
    <x v="0"/>
    <x v="1"/>
    <s v="ADQUISICIÓN DE BIENES Y SERVICIOS - SERVICIO DE INFORMACIÓN CATASTRAL - ACTUALIZACIÓN  Y GESTIÓN CATASTRAL  NACIONAL"/>
    <s v="Nación"/>
    <x v="0"/>
    <s v="CSF"/>
    <n v="40000000"/>
    <n v="-20769600"/>
    <n v="19230400"/>
    <n v="0"/>
    <s v="Compra y calibración de cintas métricas (patrón) metálicas de 20 metros por un ente acreditado"/>
    <s v="22821"/>
    <s v="70621"/>
    <s v="272921"/>
    <s v="379121"/>
    <s v="123755121"/>
    <s v="-0"/>
    <x v="0"/>
    <x v="1"/>
  </r>
  <r>
    <s v="14121"/>
    <s v="2021-01-18 00:00:00"/>
    <s v="2021-01-18 09:35:00"/>
    <s v="Gasto"/>
    <s v="Con Compromiso"/>
    <s v="0500"/>
    <x v="0"/>
    <x v="1"/>
    <s v="ADQUISICIÓN DE BIENES Y SERVICIOS - SERVICIO DE INFORMACIÓN CATASTRAL - ACTUALIZACIÓN  Y GESTIÓN CATASTRAL  NACIONAL"/>
    <s v="Nación"/>
    <x v="0"/>
    <s v="CSF"/>
    <n v="30000000"/>
    <n v="15000000"/>
    <n v="45000000"/>
    <n v="0"/>
    <s v="Prestación de servicios para la publicación de los actos administrativos de la entidad en el diario oficial"/>
    <s v="22921"/>
    <s v="68821"/>
    <s v="364421"/>
    <s v="464021, 529521"/>
    <s v="161115421, 187312721"/>
    <s v="-0"/>
    <x v="0"/>
    <x v="1"/>
  </r>
  <r>
    <s v="14221"/>
    <s v="2021-01-18 00:00:00"/>
    <s v="2021-01-18 09:37:00"/>
    <s v="Gasto"/>
    <s v="Con Compromiso"/>
    <s v="0500"/>
    <x v="0"/>
    <x v="1"/>
    <s v="ADQUISICIÓN DE BIENES Y SERVICIOS - SERVICIO DE INFORMACIÓN CATASTRAL - ACTUALIZACIÓN  Y GESTIÓN CATASTRAL  NACIONAL"/>
    <s v="Propios"/>
    <x v="1"/>
    <s v="CSF"/>
    <n v="133978905"/>
    <n v="-4059972"/>
    <n v="129918933"/>
    <n v="0"/>
    <s v="Prestación de servicios profesionales para el seguimiento y control de los proyectos de gestión catastral con enfoque multipropósito."/>
    <s v="23021"/>
    <s v="31721"/>
    <s v="88021"/>
    <s v="165921, 198621, 301221, 360821, 419121, 472621, 512921, 580421"/>
    <s v="41134321, 62513321, 89686321, 89936821, 117962221, 144389121, 168504221, 171373821, 182388721, 218176321"/>
    <s v="-0"/>
    <x v="0"/>
    <x v="1"/>
  </r>
  <r>
    <s v="14321"/>
    <s v="2021-01-18 00:00:00"/>
    <s v="2021-01-18 09:39:00"/>
    <s v="Gasto"/>
    <s v="Con Compromiso"/>
    <s v="0500"/>
    <x v="0"/>
    <x v="1"/>
    <s v="ADQUISICIÓN DE BIENES Y SERVICIOS - SERVICIO DE INFORMACIÓN CATASTRAL - ACTUALIZACIÓN  Y GESTIÓN CATASTRAL  NACIONAL"/>
    <s v="Propios"/>
    <x v="1"/>
    <s v="CSF"/>
    <n v="95787741"/>
    <n v="-5"/>
    <n v="95787736"/>
    <n v="0"/>
    <s v="Prestación de servicios profesionales para apoyar el componente jurídico en los proyectos de Gestión Catastral desarrollados por el IGAC"/>
    <s v="23121"/>
    <s v="10921"/>
    <s v="85621"/>
    <s v="163821, 200221, 287921, 355721, 426121, 522221, 549321"/>
    <s v="41157621, 62867521, 86134221, 117235721, 145839421, 185295621, 208939721"/>
    <s v="-0"/>
    <x v="0"/>
    <x v="1"/>
  </r>
  <r>
    <s v="14421"/>
    <s v="2021-01-18 00:00:00"/>
    <s v="2021-01-18 09:40:00"/>
    <s v="Gasto"/>
    <s v="Con Compromiso"/>
    <s v="0500"/>
    <x v="0"/>
    <x v="1"/>
    <s v="ADQUISICIÓN DE BIENES Y SERVICIOS - SERVICIO DE INFORMACIÓN CATASTRAL - ACTUALIZACIÓN  Y GESTIÓN CATASTRAL  NACIONAL"/>
    <s v="Propios"/>
    <x v="1"/>
    <s v="CSF"/>
    <n v="63335720"/>
    <n v="-8636687"/>
    <n v="54699033"/>
    <n v="0"/>
    <s v="Prestación de servicios profesionales para la coordinación y ejecución de actividades de procesamiento, análisis y generación de productos geográficos y alfanuméricos requeridos para la gestión catastral, así como la_x000a_documentación de los procedimient"/>
    <s v="23221"/>
    <s v="61621"/>
    <s v="217821"/>
    <s v="326621, 370521, 406421, 489221, 565521"/>
    <s v="98373421, 121327021, 140637721, 176152421, 212859921"/>
    <s v="-0"/>
    <x v="0"/>
    <x v="1"/>
  </r>
  <r>
    <s v="14521"/>
    <s v="2021-01-18 00:00:00"/>
    <s v="2021-01-18 09:41:00"/>
    <s v="Gasto"/>
    <s v="Con Compromiso"/>
    <s v="0500"/>
    <x v="0"/>
    <x v="1"/>
    <s v="ADQUISICIÓN DE BIENES Y SERVICIOS - SERVICIO DE INFORMACIÓN CATASTRAL - ACTUALIZACIÓN  Y GESTIÓN CATASTRAL  NACIONAL"/>
    <s v="Propios"/>
    <x v="1"/>
    <s v="CSF"/>
    <n v="191575481"/>
    <n v="-8707985"/>
    <n v="182867496"/>
    <n v="0"/>
    <s v="Prestación de servicios profesionales para orientar y controlar, la operación de los proyectos de Gestión Catastral adelantados por el IGAC"/>
    <s v="23321"/>
    <s v="35121, 45721"/>
    <s v="123721, 142121"/>
    <s v="253721, 253821, 284721, 313221, 319621, 364321, 368421, 405921, 406321, 484721, 490821, 555421, 589821"/>
    <s v="69344821, 69351121, 85406621, 93148421, 96362021, 120544721, 121266321, 139733521, 140632221, 174762121, 176328821, 210185921, 225704421"/>
    <s v="16521"/>
    <x v="0"/>
    <x v="1"/>
  </r>
  <r>
    <s v="14621"/>
    <s v="2021-01-18 00:00:00"/>
    <s v="2021-01-18 09:42:00"/>
    <s v="Gasto"/>
    <s v="Generado"/>
    <s v="0500"/>
    <x v="0"/>
    <x v="1"/>
    <s v="ADQUISICIÓN DE BIENES Y SERVICIOS - SERVICIO DE INFORMACIÓN CATASTRAL - ACTUALIZACIÓN  Y GESTIÓN CATASTRAL  NACIONAL"/>
    <s v="Propios"/>
    <x v="1"/>
    <s v="CSF"/>
    <n v="95787741"/>
    <n v="-95787741"/>
    <n v="0"/>
    <n v="0"/>
    <s v="Prestación de servicios profesionales para la elaboración, seguimiento y control del desarrollo del componente económico de los proyectos de Gestión Catastral ejecutados por el IGAC"/>
    <s v="23421"/>
    <s v="-0"/>
    <s v="-0"/>
    <s v="-0"/>
    <s v="-0"/>
    <s v="-0"/>
    <x v="0"/>
    <x v="1"/>
  </r>
  <r>
    <s v="14721"/>
    <s v="2021-01-18 00:00:00"/>
    <s v="2021-01-18 09:43:00"/>
    <s v="Gasto"/>
    <s v="Con Compromiso"/>
    <s v="0500"/>
    <x v="0"/>
    <x v="1"/>
    <s v="ADQUISICIÓN DE BIENES Y SERVICIOS - SERVICIO DE INFORMACIÓN CATASTRAL - ACTUALIZACIÓN  Y GESTIÓN CATASTRAL  NACIONAL"/>
    <s v="Propios"/>
    <x v="1"/>
    <s v="CSF"/>
    <n v="63335720"/>
    <n v="-191923"/>
    <n v="63143797"/>
    <n v="0"/>
    <s v="Prestación de servicios profesionales para el desarrollo del componente social requerido de los procesos de gestión catastral desarrollados por el IGAC"/>
    <s v="23521"/>
    <s v="13121"/>
    <s v="90421"/>
    <s v="168421, 240521, 314121, 388221, 453621, 517921, 592221"/>
    <s v="41443021, 63525321, 93546921, 127299221, 152991521, 184171621, 226236321"/>
    <s v="-0"/>
    <x v="0"/>
    <x v="1"/>
  </r>
  <r>
    <s v="14821"/>
    <s v="2021-01-18 00:00:00"/>
    <s v="2021-01-18 09:45:00"/>
    <s v="Gasto"/>
    <s v="Con Compromiso"/>
    <s v="0500"/>
    <x v="0"/>
    <x v="1"/>
    <s v="ADQUISICIÓN DE BIENES Y SERVICIOS - SERVICIO DE INFORMACIÓN CATASTRAL - ACTUALIZACIÓN  Y GESTIÓN CATASTRAL  NACIONAL"/>
    <s v="Propios"/>
    <x v="1"/>
    <s v="CSF"/>
    <n v="166106094"/>
    <n v="37751385"/>
    <n v="203857479"/>
    <n v="0"/>
    <s v="Prestación de servicios profesionales para el desarrollo, validación e implementación de las metodologías de valoración, aplicables a los procesos de catastrales con enfoque multipropósito"/>
    <s v="23721"/>
    <s v="72521, 72621, 72721"/>
    <s v="226521, 228221, 230021"/>
    <s v="332821, 335321, 336221, 375321, 375521, 380721, 433921, 437421, 440021, 509021, 509421, 520521, 555621, 562321, 592121"/>
    <s v="107509221, 109227721, 109255321, 123354521, 123355421, 124563521, 146680621, 147583921, 148248021, 181721321, 181727321, 185100221, 210207821, 211965121, 226233621"/>
    <s v="-0"/>
    <x v="0"/>
    <x v="1"/>
  </r>
  <r>
    <s v="14921"/>
    <s v="2021-01-18 00:00:00"/>
    <s v="2021-01-18 09:46:00"/>
    <s v="Gasto"/>
    <s v="Con Compromiso"/>
    <s v="0500"/>
    <x v="0"/>
    <x v="1"/>
    <s v="ADQUISICIÓN DE BIENES Y SERVICIOS - SERVICIO DE INFORMACIÓN CATASTRAL - ACTUALIZACIÓN  Y GESTIÓN CATASTRAL  NACIONAL"/>
    <s v="Propios"/>
    <x v="1"/>
    <s v="CSF"/>
    <n v="108518129"/>
    <n v="-5"/>
    <n v="108518124"/>
    <n v="0"/>
    <s v="Prestación de servicios profesionales para realizar el análisis de la información generada en los proyectos adelantados por el área, que permitan la implementación de mejoras en los aspectos técnicos y operativos del proceso de_x000a_gestión catastral"/>
    <s v="23921"/>
    <s v="14221"/>
    <s v="90621"/>
    <s v="168821, 197221, 303421, 390121, 431121, 518921"/>
    <s v="42568821, 62165521, 90744421, 127430121, 146605421, 184479221"/>
    <s v="-0"/>
    <x v="0"/>
    <x v="1"/>
  </r>
  <r>
    <s v="15021"/>
    <s v="2021-01-18 00:00:00"/>
    <s v="2021-01-18 10:0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7640720"/>
    <n v="-1297660"/>
    <n v="66343060"/>
    <n v="0"/>
    <s v="Prestación de servicios profesionales para avalar la consolidación y calidad de los productos generados de cobertura y uso de la tierra de acuerdo los lineamientos y metas de la Subdirección de Agrología."/>
    <s v="10421"/>
    <s v="31021, 46821"/>
    <s v="117321, 155421"/>
    <s v="190621, 267321, 278121, 310321, 334021, 338321, 398721, 398821, 469321, 470821, 542421, 545721"/>
    <s v="59820021, 73470821, 80053521, 92601921, 109027621, 110980121, 137203121, 137203621, 167155921, 168395721, 200128121, 204884321"/>
    <s v="-0"/>
    <x v="0"/>
    <x v="5"/>
  </r>
  <r>
    <s v="15121"/>
    <s v="2021-01-18 00:00:00"/>
    <s v="2021-01-18 10:0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la interpretación, control de calidad inicial y consolidación de información de cobertura de la tierra o geomorfología, de acuerdo a los lineamientos y metas de la Subdirección de Agrología."/>
    <s v="10521"/>
    <s v="44321"/>
    <s v="115821"/>
    <s v="189521, 275021, 332321, 403321, 470621, 542821"/>
    <s v="59615221, 79333721, 107027321, 139034921, 168390521, 200896321"/>
    <s v="-0"/>
    <x v="0"/>
    <x v="5"/>
  </r>
  <r>
    <s v="15221"/>
    <s v="2021-01-18 00:00:00"/>
    <s v="2021-01-18 10: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4876970"/>
    <n v="-929635"/>
    <n v="143947335"/>
    <n v="0"/>
    <s v="Prestación de servicios profesionales para la interpretación de cobertura y uso de la tierra, geomorfología y elaboración de cartografía temática de los proyectos de la Subdirección de Agrología."/>
    <s v="10621"/>
    <s v="29721, 39521, 39621, 53021, 61421"/>
    <s v="110821, 110921, 155121, 156321, 169921"/>
    <s v="190921, 191021, 266721, 266921, 273121, 274021, 274421, 310121, 317421, 334121, 334321, 335121, 337921, 383921, 399621, 401521, 401921, 403121, 404721, 468021, 468721, 470721, 471021, 473221, 536321, 539421, 545321, 545921, 563521"/>
    <s v="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
    <s v="-0"/>
    <x v="0"/>
    <x v="5"/>
  </r>
  <r>
    <s v="15321"/>
    <s v="2021-01-18 00:00:00"/>
    <s v="2021-01-18 10:1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signación, elaboración y consolidación de información fotogramétrica de los diferentes proyectos que adelante la Subdirección de Agrología"/>
    <s v="10721"/>
    <s v="44221"/>
    <s v="115921"/>
    <s v="189621, 275121, 333521, 404021, 471521, 539121"/>
    <s v="59623321, 79278821, 108463121, 139072721, 168451421, 198650421"/>
    <s v="-0"/>
    <x v="0"/>
    <x v="5"/>
  </r>
  <r>
    <s v="15421"/>
    <s v="2021-01-18 00:00:00"/>
    <s v="2021-01-18 10:1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avalar la calidad de la información cartográfica, alfanumérica y geoespacial, en los diferentes proyectos que adelante la Subdirección de Agrología, bajo estándares de la Infraestructura de_x000a_Datos Espaciales"/>
    <s v="10921"/>
    <s v="29621"/>
    <s v="96221"/>
    <s v="174021, 186121, 278221, 341721, 401421, 475521, 541121"/>
    <s v="44436321, 57492921, 80056521, 112513921, 138899121, 169737021, 199418721"/>
    <s v="-0"/>
    <x v="0"/>
    <x v="5"/>
  </r>
  <r>
    <s v="15521"/>
    <s v="2021-01-18 00:00:00"/>
    <s v="2021-01-18 10:20: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la gestión, planeación, preparación y control de calidad de la producción cartográfica y alfanumérica de los diferentes proyectos que se adelantan en la Subdirección de Agrología"/>
    <s v="11121"/>
    <s v="54721"/>
    <s v="113621"/>
    <s v="188221, 315121, 332221, 399421, 468821, 542321"/>
    <s v="58628921, 94336321, 107026021, 137995321, 167136921, 200127721"/>
    <s v="-0"/>
    <x v="0"/>
    <x v="5"/>
  </r>
  <r>
    <s v="15621"/>
    <s v="2021-01-18 00:00:00"/>
    <s v="2021-01-18 10:2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7950788"/>
    <n v="-371854"/>
    <n v="57578934"/>
    <n v="0"/>
    <s v="Prestación de servicios profesionales para la implementación de sistemas de información geográfica en la estructuración y consolidación de productos cartográficos de los diferentes proyectos que adelante la Subdirección de_x000a_Agrología."/>
    <s v="11321"/>
    <s v="29521, 39721"/>
    <s v="90021, 105921"/>
    <s v="168621, 181121, 190821, 273221, 279621, 333421, 334421, 398321, 401321, 472821, 474721, 541021, 597521"/>
    <s v="41488921, 51998821, 59861921, 78377421, 82145221, 108462321, 109041921, 137113521, 138869621, 169223721, 169633221, 199414721, 224104221"/>
    <s v="-0"/>
    <x v="0"/>
    <x v="5"/>
  </r>
  <r>
    <s v="15721"/>
    <s v="2021-01-18 00:00:00"/>
    <s v="2021-01-18 10:2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6311422"/>
    <n v="-248290"/>
    <n v="36063132"/>
    <n v="0"/>
    <s v="Prestación de servicios personales para la delineación y depuración digital de información cartográfica y alfanumérica generada en los proyectos que se desarrollan en la Subdirección de Agrología"/>
    <s v="11521"/>
    <s v="44421, 61521"/>
    <s v="121621, 208021"/>
    <s v="196821, 276921, 315021, 333821, 334921, 398621, 399921, 471421, 473021, 539221, 539621"/>
    <s v="61647721, 79931021, 94333721, 108476221, 109217421, 137201621, 138001221, 168448121, 169195121, 198651721, 198654921"/>
    <s v="-0"/>
    <x v="0"/>
    <x v="5"/>
  </r>
  <r>
    <s v="15821"/>
    <s v="2021-01-18 00:00:00"/>
    <s v="2021-01-18 10:23: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820360"/>
    <n v="-648830"/>
    <n v="33171530"/>
    <n v="0"/>
    <s v="Prestación de servicios profesionales para el seguimiento y control de la validez de los resultados analíticos, confirmación y validación de las metodologías de acuerdo con la normatividad vigente de competencia técnica en el GIT_x000a_Laboratorio Naciona"/>
    <s v="11621"/>
    <s v="26421"/>
    <s v="69721"/>
    <s v="108821, 187021, 278521, 335721, 398521, 471621, 542921"/>
    <s v="29023221, 58194821, 80065921, 109240221, 137120521, 168465821, 200897021"/>
    <s v="-0"/>
    <x v="0"/>
    <x v="5"/>
  </r>
  <r>
    <s v="15921"/>
    <s v="2021-01-18 00:00:00"/>
    <s v="2021-01-18 10:24: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2472080"/>
    <n v="-6496"/>
    <n v="42465584"/>
    <n v="0"/>
    <s v="Prestación de servicios profesionales para la ejecución de análisis de mediana complejidad, registro de información y aplicación de controles de calidad en el GIT Laboratorio Nacional de Suelos"/>
    <s v="11821"/>
    <s v="19421, 19521"/>
    <s v="68821, 69521"/>
    <s v="108521, 160521, 165521, 240121, 240321, 277921, 279721, 334621, 335921, 399721, 403921, 467421, 467921, 539021, 539521"/>
    <s v="31085421, 41131021, 63455721, 63472721, 80044221, 82161521, 109053321, 109248021, 137998621, 139071121, 167056821, 167095721, 198649321, 198654421"/>
    <s v="-0"/>
    <x v="0"/>
    <x v="5"/>
  </r>
  <r>
    <s v="16021"/>
    <s v="2021-01-18 00:00:00"/>
    <s v="2021-01-18 10:25: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4467133"/>
    <n v="-11191375"/>
    <n v="43275758"/>
    <n v="0"/>
    <s v="Prestación de servicios personales para la ejecución de análisis básicos y aplicación de controles de calidad en el GIT Laboratorio Nacional de Suelos"/>
    <s v="11921"/>
    <s v="23121, 23221, 23321"/>
    <s v="68121, 69421, 83021"/>
    <s v="108421, 157821, 160621, 180421, 186921, 187621, 277821, 280221, 280321, 336121, 338021, 338821, 397921, 399321, 400321, 470521, 472221, 472421, 537721"/>
    <s v="28965221, 40608621, 40740321, 51993921, 58193921, 58201421, 80042921, 82248021, 82810921, 109251321, 110975821, 111289821, 136522321, 137994421, 138006821, 168388721, 168478921, 168501821, 195869221"/>
    <s v="-0"/>
    <x v="0"/>
    <x v="5"/>
  </r>
  <r>
    <s v="16121"/>
    <s v="2021-01-18 00:00:00"/>
    <s v="2021-01-18 10:26: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975394"/>
    <n v="-185927"/>
    <n v="28789467"/>
    <n v="0"/>
    <s v="Prestación de servicios profesionales para realizar el control de calidad, seguimiento, validación y programación analítica garantizando el cumplimiento oportuno de la prestación de servicios de análisis en el área de Biología del GIT_x000a_Laboratorio Nac"/>
    <s v="12021"/>
    <s v="26521"/>
    <s v="80921"/>
    <s v="158221, 183721, 280921, 337621, 401621, 472121, 546321"/>
    <s v="40628921, 56386621, 83460821, 110971321, 138908621, 168458621, 207245021"/>
    <s v="-0"/>
    <x v="0"/>
    <x v="5"/>
  </r>
  <r>
    <s v="16221"/>
    <s v="2021-01-18 00:00:00"/>
    <s v="2021-01-18 10:28: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ejecutar el programa de aseguramiento metrológico de los equipos e instrumentos conforme a los requisitos de la Norma ISO 17025, en el GIT Laboratorio Nacional de Suelos"/>
    <s v="12121"/>
    <s v="30221"/>
    <s v="127521"/>
    <s v="240421, 305721, 336021, 398421, 468321, 541521"/>
    <s v="63488121, 91015521, 109249821, 137114521, 167119021, 199486021"/>
    <s v="-0"/>
    <x v="0"/>
    <x v="5"/>
  </r>
  <r>
    <s v="16321"/>
    <s v="2021-01-18 00:00:00"/>
    <s v="2021-01-18 10:3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6296816"/>
    <n v="-257584"/>
    <n v="16039232"/>
    <n v="0"/>
    <s v="Prestación de servicios personales para realizar la preparación y manejo de muestras de suelos, aguas, compost y tejido vegetal en el GIT Laboratorio Nacional de Suelos."/>
    <s v="12221"/>
    <s v="28821"/>
    <s v="79121"/>
    <s v="156521, 248921, 281621, 334521, 402821, 465621, 546121"/>
    <s v="37071121, 67380521, 83434421, 109043621, 138986321, 165516621, 165542821, 204885021"/>
    <s v="-0"/>
    <x v="0"/>
    <x v="5"/>
  </r>
  <r>
    <s v="16421"/>
    <s v="2021-01-18 00:00:00"/>
    <s v="2021-01-18 10:31: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519428"/>
    <n v="-450772"/>
    <n v="28068656"/>
    <n v="0"/>
    <s v="Prestación de servicios personales para realizar el lavado y alistamiento de la instrumentación requerida para la ejecución de análisis en el GIT Laboratorio Nacional de Suelos"/>
    <s v="12321"/>
    <s v="28921, 29021"/>
    <s v="73221, 78821"/>
    <s v="155921, 156421, 181021, 249421, 278321, 278421, 337421, 337721, 400121, 400221, 469221, 470421, 542621, 543121"/>
    <s v="37052221, 37076221, 51997921, 67410121, 80061721, 80064321, 110349221, 110968821, 138004721, 138005421, 167155521, 168387221, 200129121, 200898821"/>
    <s v="-0"/>
    <x v="0"/>
    <x v="5"/>
  </r>
  <r>
    <s v="16521"/>
    <s v="2021-01-18 00:00:00"/>
    <s v="2021-01-18 10:32: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implementar y ejecutar las actividades de control ambiental bajo la Norma ISO 14001 y manejo de residuos en el GIT Laboratorio Nacional de Suelos"/>
    <s v="12421"/>
    <s v="36321"/>
    <s v="142821"/>
    <s v="254921, 278021, 335521, 397821, 472921, 541421"/>
    <s v="69475421, 80048421, 109238521, 136519321, 169194121, 199472421"/>
    <s v="-0"/>
    <x v="0"/>
    <x v="5"/>
  </r>
  <r>
    <s v="16621"/>
    <s v="2021-01-18 00:00:00"/>
    <s v="2021-01-18 10: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02827758"/>
    <n v="-8567402"/>
    <n v="194260356"/>
    <n v="0"/>
    <s v="Prestación de servicios profesionales para realizar el levantamiento de suelos y capacidad de uso de las tierras en los proyectos que adelanta la Subdirección de Agrología"/>
    <s v="12521"/>
    <s v="24121, 24221, 40621, 53821, 53921, 63521, 63821"/>
    <s v="67321, 67621, 115321, 169621, 169721, 208221, 208321"/>
    <s v="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
    <s v="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
    <s v="-0"/>
    <x v="0"/>
    <x v="5"/>
  </r>
  <r>
    <s v="16721"/>
    <s v="2021-01-18 00:00:00"/>
    <s v="2021-01-18 10: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3708120"/>
    <n v="-9744"/>
    <n v="63698376"/>
    <n v="0"/>
    <s v="Prestación de servicios profesionales para realizar el levantamiento de suelos y diligenciamiento de la base de datos de observaciones de suelos de los proyectos de la Subdirección de Agrología"/>
    <s v="12621"/>
    <s v="47221, 63621, 63721"/>
    <s v="104921, 169521, 172321"/>
    <s v="180621, 276821, 277021, 279821, 334221, 334721, 338121, 402521, 404121, 450621, 471821, 472721, 476021, 544221, 544921, 568021"/>
    <s v="51994821, 79904921, 79932321, 82159121, 109038121, 109055821, 110976721, 138976921, 139074521, 151987821, 168468821, 169187921, 170378621, 201392421, 204869621, 213421421"/>
    <s v="-0"/>
    <x v="0"/>
    <x v="5"/>
  </r>
  <r>
    <s v="16821"/>
    <s v="2021-01-18 00:00:00"/>
    <s v="2021-01-18 10: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realizar el control de calidad de la interacción de la información de los levantamientos de suelos y aplicaciones agrologicas a nivel nacional"/>
    <s v="12721"/>
    <s v="38521"/>
    <s v="113321"/>
    <s v="191521, 279321, 337521, 404621, 472521, 542221"/>
    <s v="60857421, 81931821, 110357221, 139702821, 140730421, 168503121, 200127221"/>
    <s v="-0"/>
    <x v="0"/>
    <x v="5"/>
  </r>
  <r>
    <s v="16921"/>
    <s v="2021-01-18 00:00:00"/>
    <s v="2021-01-18 10:3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poyar las actividades de fortalecimiento institucional del proceso agrologico mediante la formulación e implementación de lineamientos de ejecución, seguimiento y control."/>
    <s v="12821"/>
    <s v="42921"/>
    <s v="105721"/>
    <s v="190721, 279521, 335021, 402621, 475221, 545021"/>
    <s v="59853821, 82144421, 109221921, 138982021, 169646221, 204873821"/>
    <s v="-0"/>
    <x v="0"/>
    <x v="5"/>
  </r>
  <r>
    <s v="17021"/>
    <s v="2021-01-18 00:00:00"/>
    <s v="2021-01-18 10:40:00"/>
    <s v="Gasto"/>
    <s v="Con Compromiso"/>
    <s v="0200"/>
    <x v="0"/>
    <x v="15"/>
    <s v="ADQUISICIÓN DE BIENES Y SERVICIOS - SERVICIOS DE INFORMACIÓN IMPLEMENTADOS - IMPLEMENTACIÓN DE UN SISTEMA DE GESTIÓN DOCUMENTAL EN EL IGAC A NIVEL   NACIONAL"/>
    <s v="Nación"/>
    <x v="0"/>
    <s v="CSF"/>
    <n v="36402363"/>
    <n v="-3"/>
    <n v="36402360"/>
    <n v="1092071"/>
    <s v="Prestación de servicios profesionales para la implementación del sistema de gestión documental SIGAC a nivel nacional"/>
    <s v="26021"/>
    <s v="55621"/>
    <s v="172421"/>
    <s v="279921, 318121, 360421, 423021, 489021, 581521"/>
    <s v="82245921, 95558321, 117893321, 144934721, 176143521, 219073321"/>
    <s v="-0"/>
    <x v="0"/>
    <x v="0"/>
  </r>
  <r>
    <s v="17121"/>
    <s v="2021-01-18 00:00:00"/>
    <s v="2021-01-18 10:4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3248"/>
    <n v="21232792"/>
    <n v="0"/>
    <s v="Prestación de servicios profesionales para realizar actividades de apoyo a los procesos administrativos que adelanta la Subdirección de Agrología"/>
    <s v="12921"/>
    <s v="19821"/>
    <s v="87521"/>
    <s v="164621, 179321, 273721, 331221, 396621, 467721, 542021"/>
    <s v="41120221, 50753821, 78776021, 106458321, 134969521, 167082421, 200125421"/>
    <s v="-0"/>
    <x v="0"/>
    <x v="5"/>
  </r>
  <r>
    <s v="17221"/>
    <s v="2021-01-18 00:00:00"/>
    <s v="2021-01-18 10:4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362089"/>
    <n v="13111105"/>
    <n v="0"/>
    <s v="Prestación de servicios personales para realizar la digitación y consolidación de la información agrológica, acorde con los estándares de control de calidad de la entidad."/>
    <s v="13021"/>
    <s v="50221"/>
    <s v="105021"/>
    <s v="180821, 275921, 335821, 403621, 475021, 544721"/>
    <s v="51996321, 79321521, 109243421, 139046921, 169644621, 203823421"/>
    <s v="-0"/>
    <x v="0"/>
    <x v="5"/>
  </r>
  <r>
    <s v="17321"/>
    <s v="2021-01-18 00:00:00"/>
    <s v="2021-01-18 10:4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8891638"/>
    <n v="27047349"/>
    <n v="0"/>
    <s v="Prestación de servicios para el manejo de la información que genere la subdirección de agrología en el desarrollo de sus proyectos."/>
    <s v="13121"/>
    <s v="19921"/>
    <s v="67421"/>
    <s v="105821, 180921, 272521, 330721, 396721, 468121, 542121, 604221"/>
    <s v="25616621, 51997121, 77525821, 105289621, 134970821, 167105321, 200125821, 225421921"/>
    <s v="-0"/>
    <x v="0"/>
    <x v="5"/>
  </r>
  <r>
    <s v="17421"/>
    <s v="2021-01-18 00:00:00"/>
    <s v="2021-01-18 10:4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92050"/>
    <n v="13381144"/>
    <n v="0"/>
    <s v="Prestación de servicios personales para la organización de información edafológica y de capacidad de uso de las tierras dentro de los procesos de levantamientos de suelos y aplicaciones agrológicas."/>
    <s v="13221"/>
    <s v="25921"/>
    <s v="67721"/>
    <s v="106121, 179521, 270821, 331321, 398221, 468521, 540621"/>
    <s v="29909221, 50755221, 76448521, 106465021, 137103521, 167123821, 198786921"/>
    <s v="-0"/>
    <x v="0"/>
    <x v="5"/>
  </r>
  <r>
    <s v="17521"/>
    <s v="2021-01-18 00:00:00"/>
    <s v="2021-01-18 10:46:00"/>
    <s v="Gasto"/>
    <s v="Anulad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42177135"/>
    <n v="-42177135"/>
    <n v="0"/>
    <n v="0"/>
    <s v="Prestación de servicios profesionales para realizar actividades de control y seguimiento gestión, que requieren los planes, proyectos y metas de la Subdirección de Agrología"/>
    <s v="13321"/>
    <s v="-0"/>
    <s v="-0"/>
    <s v="-0"/>
    <s v="-0"/>
    <s v="-0"/>
    <x v="0"/>
    <x v="5"/>
  </r>
  <r>
    <s v="17621"/>
    <s v="2021-01-18 00:00:00"/>
    <s v="2021-01-18 10:4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1312562"/>
    <n v="-483210"/>
    <n v="50829352"/>
    <n v="0"/>
    <s v="Prestación de servicios profesionales para gestionar la etapa preparatoria de las solicitudes de bienes, servicios y/o obras públicas, así como registro, verificación y publicación de los trámites contractuales dentro de las plataformas"/>
    <s v="13421"/>
    <s v="19721"/>
    <s v="72521"/>
    <s v="156621, 160721, 180721, 270921, 330621, 398121, 474821, 540921"/>
    <s v="40935521, 51995721, 76448821, 105288321, 137101921, 169640821, 199408421"/>
    <s v="-0"/>
    <x v="0"/>
    <x v="5"/>
  </r>
  <r>
    <s v="17721"/>
    <s v="2021-01-18 00:00:00"/>
    <s v="2021-01-18 10:57:00"/>
    <s v="Gasto"/>
    <s v="Con Compromiso"/>
    <s v="0500"/>
    <x v="0"/>
    <x v="1"/>
    <s v="ADQUISICIÓN DE BIENES Y SERVICIOS - SERVICIO DE INFORMACIÓN CATASTRAL - ACTUALIZACIÓN  Y GESTIÓN CATASTRAL  NACIONAL"/>
    <s v="Propios"/>
    <x v="1"/>
    <s v="CSF"/>
    <n v="51820134"/>
    <n v="0"/>
    <n v="51820134"/>
    <n v="0"/>
    <s v="Prestación de servicios profesionales para gestionar, ejecutar y hacer seguimiento a las tareas de mantenimiento y atención de incidentes relacionadas con el editor gráfico de los sistemas de información de la oficina de informática y_x000a_telecomunicacio"/>
    <s v="24821"/>
    <s v="52321"/>
    <s v="153221"/>
    <s v="264921, 323721, 373521, 444221, 506921, 582221"/>
    <s v="70940621, 98370521, 122300121, 149813321, 180881521, 219116321"/>
    <s v="-0"/>
    <x v="0"/>
    <x v="1"/>
  </r>
  <r>
    <s v="17821"/>
    <s v="2021-01-18 00:00:00"/>
    <s v="2021-01-18 10:58:00"/>
    <s v="Gasto"/>
    <s v="Con Compromiso"/>
    <s v="0500"/>
    <x v="0"/>
    <x v="1"/>
    <s v="ADQUISICIÓN DE BIENES Y SERVICIOS - SERVICIO DE INFORMACIÓN CATASTRAL - ACTUALIZACIÓN  Y GESTIÓN CATASTRAL  NACIONAL"/>
    <s v="Propios"/>
    <x v="1"/>
    <s v="CSF"/>
    <n v="46898746"/>
    <n v="0"/>
    <n v="46898746"/>
    <n v="4"/>
    <s v="Prestación de servicios profesionales para realizar actividades de operación, soporte y desarrollo relacionados con la gestión del Sistema Nacional de Catastro."/>
    <s v="24921"/>
    <s v="41121"/>
    <s v="149921"/>
    <s v="264821, 307621, 363821, 440521, 508021, 591821"/>
    <s v="71601621, 92580121, 120527821, 148295321, 181467621, 226224621"/>
    <s v="-0"/>
    <x v="0"/>
    <x v="1"/>
  </r>
  <r>
    <s v="17921"/>
    <s v="2021-01-18 00:00:00"/>
    <s v="2021-01-18 10:59:00"/>
    <s v="Gasto"/>
    <s v="Anulado"/>
    <s v="0500"/>
    <x v="0"/>
    <x v="1"/>
    <s v="ADQUISICIÓN DE BIENES Y SERVICIOS - SERVICIO DE INFORMACIÓN CATASTRAL - ACTUALIZACIÓN  Y GESTIÓN CATASTRAL  NACIONAL"/>
    <s v="Propios"/>
    <x v="1"/>
    <s v="CSF"/>
    <n v="121248517"/>
    <n v="-121248517"/>
    <n v="0"/>
    <n v="0"/>
    <s v="Prestación de servicios profesionales para realizar actividades de operación, soporte y desarrollo relacionados con la gestión del Sistema Nacional de Catastro."/>
    <s v="25021"/>
    <s v="-0"/>
    <s v="-0"/>
    <s v="-0"/>
    <s v="-0"/>
    <s v="-0"/>
    <x v="0"/>
    <x v="1"/>
  </r>
  <r>
    <s v="18021"/>
    <s v="2021-01-18 00:00:00"/>
    <s v="2021-01-18 11:00:00"/>
    <s v="Gasto"/>
    <s v="Anulado"/>
    <s v="0500"/>
    <x v="0"/>
    <x v="1"/>
    <s v="ADQUISICIÓN DE BIENES Y SERVICIOS - SERVICIO DE INFORMACIÓN CATASTRAL - ACTUALIZACIÓN  Y GESTIÓN CATASTRAL  NACIONAL"/>
    <s v="Propios"/>
    <x v="1"/>
    <s v="CSF"/>
    <n v="95787741"/>
    <n v="-95787741"/>
    <n v="0"/>
    <n v="0"/>
    <s v="Prestación de servicios profesionales para realizar actividades de operación, soporte y desarrollo relacionados con la gestión del Sistema Nacional de Catastro."/>
    <s v="25121"/>
    <s v="-0"/>
    <s v="-0"/>
    <s v="-0"/>
    <s v="-0"/>
    <s v="-0"/>
    <x v="0"/>
    <x v="1"/>
  </r>
  <r>
    <s v="18121"/>
    <s v="2021-01-18 00:00:00"/>
    <s v="2021-01-18 11:02:00"/>
    <s v="Gasto"/>
    <s v="Anulado"/>
    <s v="0500"/>
    <x v="0"/>
    <x v="1"/>
    <s v="ADQUISICIÓN DE BIENES Y SERVICIOS - SERVICIO DE INFORMACIÓN CATASTRAL - ACTUALIZACIÓN  Y GESTIÓN CATASTRAL  NACIONAL"/>
    <s v="Propios"/>
    <x v="1"/>
    <s v="CSF"/>
    <n v="73517991"/>
    <n v="-73517991"/>
    <n v="0"/>
    <n v="0"/>
    <s v="Prestación de servicios profesionales para realizar actividades de operación, soporte y desarrollo relacionados con la gestión del Sistema Nacional de Catastro."/>
    <s v="25221"/>
    <s v="-0"/>
    <s v="-0"/>
    <s v="-0"/>
    <s v="-0"/>
    <s v="-0"/>
    <x v="0"/>
    <x v="1"/>
  </r>
  <r>
    <s v="18221"/>
    <s v="2021-01-18 00:00:00"/>
    <s v="2021-01-18 11:03:00"/>
    <s v="Gasto"/>
    <s v="Con Compromiso"/>
    <s v="0500"/>
    <x v="0"/>
    <x v="1"/>
    <s v="ADQUISICIÓN DE BIENES Y SERVICIOS - SERVICIO DE INFORMACIÓN CATASTRAL - ACTUALIZACIÓN  Y GESTIÓN CATASTRAL  NACIONAL"/>
    <s v="Propios"/>
    <x v="1"/>
    <s v="CSF"/>
    <n v="83053047"/>
    <n v="0"/>
    <n v="83053047"/>
    <n v="3775139"/>
    <s v="Prestación de servicios profesionales para diseñar, construir y mantener nuevas funcionalidades en PL/SQL para la operación del Sistema Nacional de Catastro"/>
    <s v="25321"/>
    <s v="43121"/>
    <s v="174821"/>
    <s v="282321, 304221, 385221, 470321, 524121"/>
    <s v="89650721, 90957121, 127044321, 168382621, 171518821, 187307421"/>
    <s v="-0"/>
    <x v="0"/>
    <x v="1"/>
  </r>
  <r>
    <s v="18321"/>
    <s v="2021-01-18 00:00:00"/>
    <s v="2021-01-18 11:04:00"/>
    <s v="Gasto"/>
    <s v="Anulado"/>
    <s v="0500"/>
    <x v="0"/>
    <x v="1"/>
    <s v="ADQUISICIÓN DE BIENES Y SERVICIOS - SERVICIO DE INFORMACIÓN CATASTRAL - ACTUALIZACIÓN  Y GESTIÓN CATASTRAL  NACIONAL"/>
    <s v="Nación"/>
    <x v="0"/>
    <s v="CSF"/>
    <n v="108518129"/>
    <n v="-108518129"/>
    <n v="0"/>
    <n v="0"/>
    <s v="Prestación de servicios profesionales para orientar y ejecutar actividades relacionadas con el componente geográfico de los sistemas de información y para la operación del Sistema Nacional de Catastro."/>
    <s v="25421"/>
    <s v="-0"/>
    <s v="-0"/>
    <s v="-0"/>
    <s v="-0"/>
    <s v="-0"/>
    <x v="0"/>
    <x v="1"/>
  </r>
  <r>
    <s v="18421"/>
    <s v="2021-01-18 00:00:00"/>
    <s v="2021-01-18 11:06:00"/>
    <s v="Gasto"/>
    <s v="Con Compromiso"/>
    <s v="0500"/>
    <x v="0"/>
    <x v="1"/>
    <s v="ADQUISICIÓN DE BIENES Y SERVICIOS - SERVICIO DE INFORMACIÓN CATASTRAL - ACTUALIZACIÓN  Y GESTIÓN CATASTRAL  NACIONAL"/>
    <s v="Propios"/>
    <x v="1"/>
    <s v="CSF"/>
    <n v="83053047"/>
    <n v="0"/>
    <n v="83053047"/>
    <n v="3775139"/>
    <s v="Prestación de servicios profesionales para orientar, ejecutar, tramitar y controlar las tareas relativas al soporte técnico y temático de los sistemas de información para la operación del Sistema Nacional de Catastro."/>
    <s v="25521"/>
    <s v="43221"/>
    <s v="135821"/>
    <s v="247821, 282621, 359221, 458321, 481421, 594521"/>
    <s v="67166021, 84837821, 117504121, 157589321, 173786821, 226376521"/>
    <s v="-0"/>
    <x v="0"/>
    <x v="1"/>
  </r>
  <r>
    <s v="18521"/>
    <s v="2021-01-18 00:00:00"/>
    <s v="2021-01-18 11:08:00"/>
    <s v="Gasto"/>
    <s v="Con Compromiso"/>
    <s v="0500"/>
    <x v="0"/>
    <x v="1"/>
    <s v="ADQUISICIÓN DE BIENES Y SERVICIOS - SERVICIO DE INFORMACIÓN CATASTRAL - ACTUALIZACIÓN  Y GESTIÓN CATASTRAL  NACIONAL"/>
    <s v="Propios"/>
    <x v="1"/>
    <s v="CSF"/>
    <n v="109481337"/>
    <n v="0"/>
    <n v="109481337"/>
    <n v="4976433"/>
    <s v="Prestación de servicios profesionales para realizar actividades de soporte técnico y temático de los sistemas de información para la operación del Sistema Nacional de Catastro"/>
    <s v="25621"/>
    <s v="43021, 43321"/>
    <s v="151621, 152121"/>
    <s v="262921, 263421, 288021, 324121, 343621, 385921, 404821, 447721, 475321, 514221, 546221, 570221"/>
    <s v="70770621, 70772421, 86135421, 98370921, 114357421, 127068621, 139711321, 150288721, 169647021, 182695721, 207233821, 214438721"/>
    <s v="-0"/>
    <x v="0"/>
    <x v="1"/>
  </r>
  <r>
    <s v="18621"/>
    <s v="2021-01-18 00:00:00"/>
    <s v="2021-01-18 11:10:00"/>
    <s v="Gasto"/>
    <s v="Anulado"/>
    <s v="0500"/>
    <x v="0"/>
    <x v="1"/>
    <s v="ADQUISICIÓN DE BIENES Y SERVICIOS - SERVICIO DE INFORMACIÓN CATASTRAL - ACTUALIZACIÓN  Y GESTIÓN CATASTRAL  NACIONAL"/>
    <s v="Propios"/>
    <x v="1"/>
    <s v="CSF"/>
    <n v="58772631"/>
    <n v="-58772631"/>
    <n v="0"/>
    <n v="0"/>
    <s v="Prestación de servicios profesionales para analizar e implementar la arquitectura de sistemas de información georeferenciados de la entidad y para la operación del sistema de catastro multipropósito."/>
    <s v="25721"/>
    <s v="-0"/>
    <s v="-0"/>
    <s v="-0"/>
    <s v="-0"/>
    <s v="-0"/>
    <x v="0"/>
    <x v="1"/>
  </r>
  <r>
    <s v="18721"/>
    <s v="2021-01-18 00:00:00"/>
    <s v="2021-01-18 11:12:00"/>
    <s v="Gasto"/>
    <s v="Con Compromiso"/>
    <s v="0500"/>
    <x v="0"/>
    <x v="1"/>
    <s v="ADQUISICIÓN DE BIENES Y SERVICIOS - SERVICIO DE INFORMACIÓN CATASTRAL - ACTUALIZACIÓN  Y GESTIÓN CATASTRAL  NACIONAL"/>
    <s v="Propios"/>
    <x v="1"/>
    <s v="CSF"/>
    <n v="95787741"/>
    <n v="0"/>
    <n v="95787741"/>
    <n v="10159310"/>
    <s v="Prestación de servicios profesionales para orientar y ejecutar actividades de levantamiento de información, desarrollo y mantenimiento del gestor de procesos y del componente web de los sistemas de información y aplicativos_x000a_para la operación del"/>
    <s v="25821"/>
    <s v="55821"/>
    <s v="134721"/>
    <s v="246021, 302221, 415221, 457721, 526121, 580521"/>
    <s v="66496421, 90549721, 143115621, 157490721, 187309321, 218180321"/>
    <s v="-0"/>
    <x v="0"/>
    <x v="1"/>
  </r>
  <r>
    <s v="18821"/>
    <s v="2021-01-18 00:00:00"/>
    <s v="2021-01-18 15:36:00"/>
    <s v="Gasto"/>
    <s v="Con Compromiso"/>
    <s v="0500"/>
    <x v="0"/>
    <x v="1"/>
    <s v="ADQUISICIÓN DE BIENES Y SERVICIOS - SERVICIO DE INFORMACIÓN CATASTRAL - ACTUALIZACIÓN  Y GESTIÓN CATASTRAL  NACIONAL"/>
    <s v="Propios"/>
    <x v="1"/>
    <s v="CSF"/>
    <n v="95787741"/>
    <n v="0"/>
    <n v="95787741"/>
    <n v="11610640"/>
    <s v="Prestación de servicios profesionales para analizar e implementar la arquitectura de sistemas de información georeferenciados de la entidad y para la operación del sistema de catastro multipropósito."/>
    <s v="25921"/>
    <s v="56221"/>
    <s v="173821"/>
    <s v="281321, 318021, 455321, 455421, 522121, 597921"/>
    <s v="83444921, 95526821, 157393921, 157394921, 185256221, 226452121"/>
    <s v="-0"/>
    <x v="0"/>
    <x v="1"/>
  </r>
  <r>
    <s v="18921"/>
    <s v="2021-01-18 00:00:00"/>
    <s v="2021-01-18 15:39:00"/>
    <s v="Gasto"/>
    <s v="Con Compromiso"/>
    <s v="0500"/>
    <x v="0"/>
    <x v="1"/>
    <s v="ADQUISICIÓN DE BIENES Y SERVICIOS - SERVICIO DE INFORMACIÓN CATASTRAL - ACTUALIZACIÓN  Y GESTIÓN CATASTRAL  NACIONAL"/>
    <s v="Propios"/>
    <x v="1"/>
    <s v="CSF"/>
    <n v="63335720"/>
    <n v="0"/>
    <n v="63335720"/>
    <n v="3262746"/>
    <s v="Prestación de servicios profesionales para especificar, mantener y/o desarrollar funcionalidades para el sistema de captura de información en campo y ajustes a los sistemas de información de la entidad"/>
    <s v="24721"/>
    <s v="43721"/>
    <s v="143021"/>
    <s v="255121, 276121, 393221, 437621, 471221, 546921"/>
    <s v="69504221, 79329421, 130363221, 147745821, 168437621, 207310721"/>
    <s v="-0"/>
    <x v="0"/>
    <x v="1"/>
  </r>
  <r>
    <s v="19021"/>
    <s v="2021-01-18 00:00:00"/>
    <s v="2021-01-18 16:07:00"/>
    <s v="Gasto"/>
    <s v="Con Compromiso"/>
    <s v="0500"/>
    <x v="0"/>
    <x v="1"/>
    <s v="ADQUISICIÓN DE BIENES Y SERVICIOS - SERVICIO DE INFORMACIÓN CATASTRAL - ACTUALIZACIÓN  Y GESTIÓN CATASTRAL  NACIONAL"/>
    <s v="Propios"/>
    <x v="1"/>
    <s v="CSF"/>
    <n v="108518129"/>
    <n v="0"/>
    <n v="108518129"/>
    <n v="8221075"/>
    <s v="Prestación de servicios profesionales para orientar y ejecutar actividades relacionadas con el componente geográfico de los sistemas de información y para la operación del Sistema Nacional de Catastro"/>
    <s v="25421"/>
    <s v="48521"/>
    <s v="149821"/>
    <s v="264621, 314521, 385421, 452921, 520021"/>
    <s v="70940521, 93579021, 127054521, 152455621, 184771921"/>
    <s v="-0"/>
    <x v="0"/>
    <x v="1"/>
  </r>
  <r>
    <s v="19221"/>
    <s v="2021-01-18 00:00:00"/>
    <s v="2021-01-18 17:07:00"/>
    <s v="Gasto"/>
    <s v="Con Compromiso"/>
    <s v="0510"/>
    <x v="0"/>
    <x v="16"/>
    <s v="ADQUISICIÓN DE BIENES Y SERVICIOS - SERVICIO DE AVALÚOS - ACTUALIZACIÓN  Y GESTIÓN CATASTRAL  NACIONAL"/>
    <s v="Nación"/>
    <x v="0"/>
    <s v="CSF"/>
    <n v="64719159"/>
    <n v="-3922373"/>
    <n v="60796786"/>
    <n v="0"/>
    <s v="Prestación de servicios profesionales para actuar como auxiliares de la justicia y en la ejecución de avalúos IVP, de acuerdo a los procesos que le sean asignados."/>
    <s v="22221"/>
    <s v="48021, 48121"/>
    <s v="113221, 115521"/>
    <s v="191421, 191921, 282921, 292921, 348321, 358821, 410021, 410321, 477721, 482421, 558721, 561521"/>
    <s v="60855121, 60895321, 84853421, 87281821, 115480721, 117499121, 141686521, 141687721, 171781821, 174665721, 211316121, 211763121"/>
    <s v="-0"/>
    <x v="0"/>
    <x v="6"/>
  </r>
  <r>
    <s v="19321"/>
    <s v="2021-01-18 00:00:00"/>
    <s v="2021-01-18 17:09:00"/>
    <s v="Gasto"/>
    <s v="Con Compromiso"/>
    <s v="0510"/>
    <x v="0"/>
    <x v="16"/>
    <s v="ADQUISICIÓN DE BIENES Y SERVICIOS - SERVICIO DE AVALÚOS - ACTUALIZACIÓN  Y GESTIÓN CATASTRAL  NACIONAL"/>
    <s v="Nación"/>
    <x v="0"/>
    <s v="CSF"/>
    <n v="83053047"/>
    <n v="0"/>
    <n v="83053047"/>
    <n v="0"/>
    <s v="Prestación de servicios profesionales para adelantar el control de calidad de los avalúos asignados, así como la elaboración de avalúos comerciales e IVP"/>
    <s v="22321"/>
    <s v="17921"/>
    <s v="72821"/>
    <s v="167421, 192221, 284521, 349321, 409221, 481221, 558121"/>
    <s v="41005821, 60974921, 85398721, 115490021, 141659121, 173251621, 211300321"/>
    <s v="-0"/>
    <x v="0"/>
    <x v="6"/>
  </r>
  <r>
    <s v="19421"/>
    <s v="2021-01-19 00:00:00"/>
    <s v="2021-01-19 08:01:00"/>
    <s v="Gasto"/>
    <s v="Con Compromiso"/>
    <s v="0510"/>
    <x v="0"/>
    <x v="16"/>
    <s v="ADQUISICIÓN DE BIENES Y SERVICIOS - SERVICIO DE AVALÚOS - ACTUALIZACIÓN  Y GESTIÓN CATASTRAL  NACIONAL"/>
    <s v="Propios"/>
    <x v="1"/>
    <s v="CSF"/>
    <n v="300000000"/>
    <n v="0"/>
    <n v="300000000"/>
    <n v="0"/>
    <s v="Prestación de servicios profesionales para adelantar los avalúos comerciales que le sean asignados a nivel nacional"/>
    <s v="24021"/>
    <s v="53621, 53721, 54021, 54121, 62121"/>
    <s v="251621, 480621, 500221, 505021, 506321"/>
    <s v="357721, 571021, 584821, 591321, 595921, 596321"/>
    <s v="117445421, 214663121, 219835821, 226135121, 226435421, 226436221"/>
    <s v="-0"/>
    <x v="0"/>
    <x v="6"/>
  </r>
  <r>
    <s v="19521"/>
    <s v="2021-01-19 00:00:00"/>
    <s v="2021-01-19 08:03:00"/>
    <s v="Gasto"/>
    <s v="Con Compromiso"/>
    <s v="0510"/>
    <x v="0"/>
    <x v="16"/>
    <s v="ADQUISICIÓN DE BIENES Y SERVICIOS - SERVICIO DE AVALÚOS - ACTUALIZACIÓN  Y GESTIÓN CATASTRAL  NACIONAL"/>
    <s v="Propios"/>
    <x v="1"/>
    <s v="CSF"/>
    <n v="253342879"/>
    <n v="-767691"/>
    <n v="252575188"/>
    <n v="0"/>
    <s v="Prestación de servicios profesionales para adelantar los avalúos comerciales asignados, de acuerdo a la programación establecida."/>
    <s v="24121"/>
    <s v="18921, 39121, 39221, 46721"/>
    <s v="74421, 84521, 106421, 144321"/>
    <s v="152421, 163421, 182521, 242421, 245021, 245221, 256821, 285421, 298421, 302621, 302721, 341521, 366721, 367521, 385621, 408021, 448321, 448621, 451521, 482721, 505321, 513621, 514021, 562821, 569621, 570621, 582421"/>
    <s v="34987221, 41165221, 55201121, 65506721, 66013721, 66126821, 70938821, 85421621, 89025921, 90568721, 90594621, 112506821, 120604221, 120818021, 127059221, 140831521, 150302121, 150305421, 151999421, 174723621, 179857721, 182421621, 182692221, 212072321, 214333321, 214466321, 219122621"/>
    <s v="-0"/>
    <x v="0"/>
    <x v="6"/>
  </r>
  <r>
    <s v="19621"/>
    <s v="2021-01-19 00:00:00"/>
    <s v="2021-01-19 08:04:00"/>
    <s v="Gasto"/>
    <s v="Con Compromiso"/>
    <s v="0510"/>
    <x v="0"/>
    <x v="16"/>
    <s v="ADQUISICIÓN DE BIENES Y SERVICIOS - SERVICIO DE AVALÚOS - ACTUALIZACIÓN  Y GESTIÓN CATASTRAL  NACIONAL"/>
    <s v="Propios"/>
    <x v="1"/>
    <s v="CSF"/>
    <n v="415265234"/>
    <n v="-12583794"/>
    <n v="402681440"/>
    <n v="0"/>
    <s v="Prestación de servicios profesionales para realizar el control de calidad y el apoyo técnico de los avalúos adelantados por el IGAC"/>
    <s v="24221"/>
    <s v="32121, 32821, 41521, 45421, 45621"/>
    <s v="72721, 78021, 119921, 120021, 123421"/>
    <s v="110521, 155621, 187321, 194121, 194221, 194421, 199521, 283021, 283121, 285721, 286021, 287621, 338221, 345321, 346921, 349021, 359121, 359321, 408321, 408421, 408621, 409321, 409521, 477521, 478821, 478921, 481121, 481521, 550521, 550621, 557521, 557921, 558321"/>
    <s v="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
    <s v="-0"/>
    <x v="0"/>
    <x v="6"/>
  </r>
  <r>
    <s v="19721"/>
    <s v="2021-01-19 00:00:00"/>
    <s v="2021-01-19 08:05:00"/>
    <s v="Gasto"/>
    <s v="Con Compromiso"/>
    <s v="0510"/>
    <x v="0"/>
    <x v="16"/>
    <s v="ADQUISICIÓN DE BIENES Y SERVICIOS - SERVICIO DE AVALÚOS - ACTUALIZACIÓN  Y GESTIÓN CATASTRAL  NACIONAL"/>
    <s v="Propios"/>
    <x v="1"/>
    <s v="CSF"/>
    <n v="129438317"/>
    <n v="-9413693"/>
    <n v="120024624"/>
    <n v="0"/>
    <s v="Prestación de servicios profesionales para ejercer como auxiliares de la justicia y en la elaboración de avalúos comerciales que le sean asignados en el marco del Proyecto de inversión &quot;Actualización y gestión catastral Nacional&quot;."/>
    <s v="24321"/>
    <s v="50421, 50521, 50621, 50721"/>
    <s v="111421, 130121, 133821, 141221"/>
    <s v="186021, 242121, 245121, 252621, 282821, 285521, 285821, 286321, 342221, 352321, 358721, 360021, 408221, 408921, 409121, 410221, 477821, 479321, 479521, 481621, 548921, 558421, 558621, 559121"/>
    <s v="57485621, 65483721, 66045521, 69151921, 84842921, 85570421, 85591821, 85598521, 112530221, 115961121, 117497521, 117882921, 140832521, 141022121, 141039221, 141687321, 171782621, 172837221, 172845321, 173796421, 208537421, 211305621, 211309821, 211329121"/>
    <s v="-0"/>
    <x v="0"/>
    <x v="6"/>
  </r>
  <r>
    <s v="19821"/>
    <s v="2021-01-19 00:00:00"/>
    <s v="2021-01-19 08:06:00"/>
    <s v="Gasto"/>
    <s v="Con Compromiso"/>
    <s v="0510"/>
    <x v="0"/>
    <x v="16"/>
    <s v="ADQUISICIÓN DE BIENES Y SERVICIOS - SERVICIO DE AVALÚOS - ACTUALIZACIÓN  Y GESTIÓN CATASTRAL  NACIONAL"/>
    <s v="Propios"/>
    <x v="1"/>
    <s v="CSF"/>
    <n v="29386316"/>
    <n v="-3116733"/>
    <n v="26269583"/>
    <n v="0"/>
    <s v="Prestación de servicios para apoyar la atención y trámite de las solicitudes de avalúos y de requerimientos de información relacionados con la ejecución de avalúos"/>
    <s v="24421"/>
    <s v="58721"/>
    <s v="144221"/>
    <s v="256721, 297221, 357421, 408521, 479121, 559321"/>
    <s v="70938721, 88167121, 117438421, 140855721, 172832421, 211351921"/>
    <s v="-0"/>
    <x v="0"/>
    <x v="6"/>
  </r>
  <r>
    <s v="19921"/>
    <s v="2021-01-19 00:00:00"/>
    <s v="2021-01-19 18:52:00"/>
    <s v="Gasto"/>
    <s v="Con Compromiso"/>
    <s v="0300"/>
    <x v="0"/>
    <x v="12"/>
    <s v="ADQUISICIÓN DE BIENES Y SERVICIOS - SERVICIO DE INFORMACIÓN CARTOGRÁFICA ACTUALIZADO - LEVANTAMIENTO , GENERACIÓN Y ACTUALIZACIÓN DE LA RED GEODÉSICA Y LA CARTOGRAFÍA BÁSICA A NIVEL   NACIONAL"/>
    <s v="Propios"/>
    <x v="1"/>
    <s v="CSF"/>
    <n v="50000000"/>
    <n v="0"/>
    <n v="50000000"/>
    <n v="0"/>
    <s v="Suministro de combustible para el funcionamiento de los vehículos del Instituto Geográfico Agustín Codazzi a nivel nacional"/>
    <s v="26521"/>
    <s v="24721"/>
    <s v="341121"/>
    <s v="443321, 486421, 547521"/>
    <s v="164089221, 175136121, 207447921"/>
    <s v="-0"/>
    <x v="0"/>
    <x v="3"/>
  </r>
  <r>
    <s v="19921"/>
    <s v="2021-01-19 00:00:00"/>
    <s v="2021-01-19 18: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000000"/>
    <n v="0"/>
    <n v="5000000"/>
    <n v="0"/>
    <s v="Suministro de combustible para el funcionamiento de los vehículos del Instituto Geográfico Agustín Codazzi a nivel nacional"/>
    <s v="26521"/>
    <s v="24721"/>
    <s v="341121"/>
    <s v="443321, 486421, 547521"/>
    <s v="164089221, 175136121, 207447921"/>
    <s v="-0"/>
    <x v="0"/>
    <x v="4"/>
  </r>
  <r>
    <s v="19921"/>
    <s v="2021-01-19 00:00:00"/>
    <s v="2021-01-19 18:52:00"/>
    <s v="Gasto"/>
    <s v="Con Compromiso"/>
    <s v="0500"/>
    <x v="0"/>
    <x v="1"/>
    <s v="ADQUISICIÓN DE BIENES Y SERVICIOS - SERVICIO DE INFORMACIÓN CATASTRAL - ACTUALIZACIÓN  Y GESTIÓN CATASTRAL  NACIONAL"/>
    <s v="Nación"/>
    <x v="0"/>
    <s v="CSF"/>
    <n v="40000000"/>
    <n v="0"/>
    <n v="40000000"/>
    <n v="0"/>
    <s v="Suministro de combustible para el funcionamiento de los vehículos del Instituto Geográfico Agustín Codazzi a nivel nacional"/>
    <s v="26521"/>
    <s v="24721"/>
    <s v="341121"/>
    <s v="443321, 486421, 547521"/>
    <s v="164089221, 175136121, 207447921"/>
    <s v="-0"/>
    <x v="0"/>
    <x v="1"/>
  </r>
  <r>
    <s v="19921"/>
    <s v="2021-01-19 00:00:00"/>
    <s v="2021-01-19 18:52:00"/>
    <s v="Gasto"/>
    <s v="Con Compromiso"/>
    <s v="0160"/>
    <x v="0"/>
    <x v="3"/>
    <s v="ADQUISICIÓN DE BIENES Y SERVICIOS - SERVICIOS DE INFORMACIÓN IMPLEMENTADOS - FORTALECIMIENTO DE LOS PROCESOS DE DIFUSIÓN Y ACCESO A LA INFORMACIÓN GEOGRÁFICA A NIVEL   NACIONAL"/>
    <s v="Nación"/>
    <x v="0"/>
    <s v="CSF"/>
    <n v="709588"/>
    <n v="0"/>
    <n v="709588"/>
    <n v="0"/>
    <s v="Suministro de combustible para el funcionamiento de los vehículos del Instituto Geográfico Agustín Codazzi a nivel nacional"/>
    <s v="26521"/>
    <s v="24721"/>
    <s v="341121"/>
    <s v="443321, 486421, 547521"/>
    <s v="164089221, 175136121, 207447921"/>
    <s v="-0"/>
    <x v="0"/>
    <x v="2"/>
  </r>
  <r>
    <s v="20021"/>
    <s v="2021-01-19 00:00:00"/>
    <s v="2021-01-19 19:27:00"/>
    <s v="Gasto"/>
    <s v="Con Compromiso"/>
    <s v="0510"/>
    <x v="0"/>
    <x v="16"/>
    <s v="ADQUISICIÓN DE BIENES Y SERVICIOS - SERVICIO DE AVALÚOS - ACTUALIZACIÓN  Y GESTIÓN CATASTRAL  NACIONAL"/>
    <s v="Nación"/>
    <x v="0"/>
    <s v="CSF"/>
    <n v="29386314"/>
    <n v="-1691940"/>
    <n v="27694374"/>
    <n v="0"/>
    <s v="Prestación de servicios profesionales para realizar el seguimiento y control a la ejecución de avalúos, así como el desarrollo de las actividades requeridas para el cumplimiento de los contratos de avalúos suscritos"/>
    <s v="22421"/>
    <s v="47921"/>
    <s v="149021"/>
    <s v="260121, 286621, 357821, 410521, 485421, 570521"/>
    <s v="70415721, 85601821, 117448321, 141866521, 174774921, 214450821"/>
    <s v="-0"/>
    <x v="0"/>
    <x v="6"/>
  </r>
  <r>
    <s v="20121"/>
    <s v="2021-01-20 00:00:00"/>
    <s v="2021-01-20 13:59:00"/>
    <s v="Gasto"/>
    <s v="Con Compromiso"/>
    <s v="0510"/>
    <x v="0"/>
    <x v="16"/>
    <s v="ADQUISICIÓN DE BIENES Y SERVICIOS - SERVICIO DE AVALÚOS - ACTUALIZACIÓN  Y GESTIÓN CATASTRAL  NACIONAL"/>
    <s v="Propios"/>
    <x v="1"/>
    <s v="CSF"/>
    <n v="83372315"/>
    <n v="100000000"/>
    <n v="183372315"/>
    <n v="68735741.560000002"/>
    <s v="VIATICOS Y GASTOS DE COMISION PROYECTO DE AVALUOS"/>
    <s v="26621"/>
    <s v="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
    <s v="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
    <s v="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
    <s v="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
    <s v="2421, 3221, 3821, 10821, 13421, 16921"/>
    <x v="0"/>
    <x v="6"/>
  </r>
  <r>
    <s v="20521"/>
    <s v="2021-01-21 00:00:00"/>
    <s v="2021-01-21 08:59:00"/>
    <s v="Gasto"/>
    <s v="Con Compromiso"/>
    <s v="0200"/>
    <x v="0"/>
    <x v="0"/>
    <s v="ADQUISICIÓN DE BIENES Y SERVICIOS - SERVICIOS TECNOLÓGICOS - FORTALECIMIENTO DE LA GESTIÓN INSTITUCIONAL DEL IGAC A NIVEL   NACIONAL"/>
    <s v="Propios"/>
    <x v="1"/>
    <s v="CSF"/>
    <n v="60151084"/>
    <n v="-7"/>
    <n v="60151077"/>
    <n v="0"/>
    <s v="Prestación de servicios profesionales para orientar y realizar las actividades de soporte técnico de las plataformas de la oficina de informática y telecomunicaciones"/>
    <s v="14321"/>
    <s v="30521"/>
    <s v="81521"/>
    <s v="159721, 195621, 293721, 353421, 411721, 495821, 557321"/>
    <s v="40914021, 61067621, 87710721, 116001121, 142370621, 177137921, 211279921"/>
    <s v="-0"/>
    <x v="0"/>
    <x v="0"/>
  </r>
  <r>
    <s v="20621"/>
    <s v="2021-01-21 00:00:00"/>
    <s v="2021-01-21 09:00:00"/>
    <s v="Gasto"/>
    <s v="Con Compromiso"/>
    <s v="0200"/>
    <x v="0"/>
    <x v="0"/>
    <s v="ADQUISICIÓN DE BIENES Y SERVICIOS - SERVICIOS TECNOLÓGICOS - FORTALECIMIENTO DE LA GESTIÓN INSTITUCIONAL DEL IGAC A NIVEL   NACIONAL"/>
    <s v="Propios"/>
    <x v="1"/>
    <s v="CSF"/>
    <n v="88787560"/>
    <n v="-4"/>
    <n v="88787556"/>
    <n v="0"/>
    <s v="Prestación de servicios profesionales para gestionar la infraestructura tecnológica, plataforma de inteligencia de negocios y bases de datos de la entidad."/>
    <s v="15021"/>
    <s v="44721"/>
    <s v="131221"/>
    <s v="243721, 295021, 363521, 455821, 522621, 564821"/>
    <s v="65685721, 87716521, 120530121, 157399721, 187305921, 212831021"/>
    <s v="-0"/>
    <x v="0"/>
    <x v="0"/>
  </r>
  <r>
    <s v="20721"/>
    <s v="2021-01-21 00:00:00"/>
    <s v="2021-01-21 09:02:00"/>
    <s v="Gasto"/>
    <s v="Con Compromiso"/>
    <s v="0200"/>
    <x v="0"/>
    <x v="0"/>
    <s v="ADQUISICIÓN DE BIENES Y SERVICIOS - SERVICIOS TECNOLÓGICOS - FORTALECIMIENTO DE LA GESTIÓN INSTITUCIONAL DEL IGAC A NIVEL   NACIONAL"/>
    <s v="Propios"/>
    <x v="1"/>
    <s v="CSF"/>
    <n v="99203332"/>
    <n v="-4"/>
    <n v="99203328"/>
    <n v="0"/>
    <s v="prestación de servicios profesionales para orientar y realizar la gestión de la infraestructura tecnológica y seguridad informática que soportan los sistemas de la entidad"/>
    <s v="15321"/>
    <s v="34321"/>
    <s v="107421"/>
    <s v="183421, 248321, 326321, 383521, 450121, 524721, 590521"/>
    <s v="55198621, 67300621, 98373121, 126837421, 151949721, 187307921, 225749621"/>
    <s v="-0"/>
    <x v="0"/>
    <x v="0"/>
  </r>
  <r>
    <s v="20821"/>
    <s v="2021-01-21 00:00:00"/>
    <s v="2021-01-21 09:03:00"/>
    <s v="Gasto"/>
    <s v="Con Compromiso"/>
    <s v="0200"/>
    <x v="0"/>
    <x v="0"/>
    <s v="ADQUISICIÓN DE BIENES Y SERVICIOS - SERVICIOS TECNOLÓGICOS - FORTALECIMIENTO DE LA GESTIÓN INSTITUCIONAL DEL IGAC A NIVEL   NACIONAL"/>
    <s v="Propios"/>
    <x v="1"/>
    <s v="CSF"/>
    <n v="51820134"/>
    <n v="0"/>
    <n v="51820134"/>
    <n v="0"/>
    <s v="Prestación de servicios profesionales para llevar a cabo la operación, monitoreo y soporte técnico a las infraestructuras tecnológicas asignadas por la oficina de informática y telecomunicaciones"/>
    <s v="15521"/>
    <s v="44621"/>
    <s v="134921"/>
    <s v="246221, 297921, 356121, 423421, 498221, 556821"/>
    <s v="66840021, 88378721, 117277221, 144948121, 177681421, 211244521"/>
    <s v="-0"/>
    <x v="0"/>
    <x v="0"/>
  </r>
  <r>
    <s v="20921"/>
    <s v="2021-01-21 00:00:00"/>
    <s v="2021-01-21 09:06:00"/>
    <s v="Gasto"/>
    <s v="Con Compromiso"/>
    <s v="0200"/>
    <x v="0"/>
    <x v="0"/>
    <s v="ADQUISICIÓN DE BIENES Y SERVICIOS - SERVICIOS TECNOLÓGICOS - FORTALECIMIENTO DE LA GESTIÓN INSTITUCIONAL DEL IGAC A NIVEL   NACIONAL"/>
    <s v="Propios"/>
    <x v="1"/>
    <s v="CSF"/>
    <n v="32762127"/>
    <n v="-3"/>
    <n v="32762124"/>
    <n v="0"/>
    <s v="Prestación de servicios profesionales para realizar el mantenimiento de la red regulada y el cableado estructurado de la entidad a nivel nacional"/>
    <s v="15621"/>
    <s v="49421"/>
    <s v="134321"/>
    <s v="245621, 298221, 355421, 425121, 502521, 558921"/>
    <s v="66486921, 89021221, 117220121, 145809621, 179457321, 211323421"/>
    <s v="-0"/>
    <x v="0"/>
    <x v="0"/>
  </r>
  <r>
    <s v="21021"/>
    <s v="2021-01-21 00:00:00"/>
    <s v="2021-01-21 09:08:00"/>
    <s v="Gasto"/>
    <s v="Anulado"/>
    <s v="0200"/>
    <x v="0"/>
    <x v="0"/>
    <s v="ADQUISICIÓN DE BIENES Y SERVICIOS - SERVICIOS TECNOLÓGICOS - FORTALECIMIENTO DE LA GESTIÓN INSTITUCIONAL DEL IGAC A NIVEL   NACIONAL"/>
    <s v="Propios"/>
    <x v="1"/>
    <s v="CSF"/>
    <n v="24043349"/>
    <n v="-24043349"/>
    <n v="0"/>
    <n v="0"/>
    <s v="Prestación de servicios profesionales para realizar actividades de operación, soporte, mantenimiento y monitoreo a las plataformas tecnológicas, equipos periféricos (Impresoras, Plotter, Escáner entre otros), según lo niveles de_x000a_servicio establecido"/>
    <s v="15721"/>
    <s v="-0"/>
    <s v="-0"/>
    <s v="-0"/>
    <s v="-0"/>
    <s v="-0"/>
    <x v="0"/>
    <x v="0"/>
  </r>
  <r>
    <s v="21121"/>
    <s v="2021-01-21 00:00:00"/>
    <s v="2021-01-21 09:13:00"/>
    <s v="Gasto"/>
    <s v="Con Compromiso"/>
    <s v="0300"/>
    <x v="0"/>
    <x v="4"/>
    <s v="ADQUISICIÓN DE BIENES Y SERVICIOS - SERVICIOS DE INFORMACIÓN GEODÉSICA ACTUALIZADO - LEVANTAMIENTO , GENERACIÓN Y ACTUALIZACIÓN DE LA RED GEODÉSICA Y LA CARTOGRAFÍA BÁSICA A NIVEL   NACIONAL"/>
    <s v="Nación"/>
    <x v="0"/>
    <s v="CSF"/>
    <n v="38876310"/>
    <n v="-47126"/>
    <n v="38829184"/>
    <n v="0"/>
    <s v="Prestación de servicios para la revisión, compilación y validación de los datos de campo y calculados de gravimetría y geomagnetismo para su vinculación a la base de datos unificados"/>
    <s v="10021"/>
    <s v="15521"/>
    <s v="101221"/>
    <s v="177921, 269421, 312421, 380121, 439521, 501621, 580821"/>
    <s v="48991921, 75908921, 92832821, 124520221, 148130821, 178850021, 218304721"/>
    <s v="-0"/>
    <x v="0"/>
    <x v="3"/>
  </r>
  <r>
    <s v="21221"/>
    <s v="2021-01-21 00:00:00"/>
    <s v="2021-01-21 09:15:00"/>
    <s v="Gasto"/>
    <s v="Con Compromiso"/>
    <s v="0300"/>
    <x v="0"/>
    <x v="4"/>
    <s v="ADQUISICIÓN DE BIENES Y SERVICIOS - SERVICIOS DE INFORMACIÓN GEODÉSICA ACTUALIZADO - LEVANTAMIENTO , GENERACIÓN Y ACTUALIZACIÓN DE LA RED GEODÉSICA Y LA CARTOGRAFÍA BÁSICA A NIVEL   NACIONAL"/>
    <s v="Nación"/>
    <x v="0"/>
    <s v="CSF"/>
    <n v="45532762"/>
    <n v="-5029303"/>
    <n v="40503459"/>
    <n v="0"/>
    <s v="Prestación de servicios profesionales para la evaluación del control y seguimiento al funcionamiento y modernización efectiva de la red geodésica nacional"/>
    <s v="10121"/>
    <s v="59621"/>
    <s v="199421"/>
    <s v="308821, 311421, 312321, 365121, 421621, 512521, 583721"/>
    <s v="92809221, 92831221, 120576321, 144660221, 182321121, 219203421"/>
    <s v="-0"/>
    <x v="0"/>
    <x v="3"/>
  </r>
  <r>
    <s v="21321"/>
    <s v="2021-01-21 00:00:00"/>
    <s v="2021-01-21 09:16:00"/>
    <s v="Gasto"/>
    <s v="Generado"/>
    <s v="0300"/>
    <x v="0"/>
    <x v="4"/>
    <s v="ADQUISICIÓN DE BIENES Y SERVICIOS - SERVICIOS DE INFORMACIÓN GEODÉSICA ACTUALIZADO - LEVANTAMIENTO , GENERACIÓN Y ACTUALIZACIÓN DE LA RED GEODÉSICA Y LA CARTOGRAFÍA BÁSICA A NIVEL   NACIONAL"/>
    <s v="Nación"/>
    <x v="0"/>
    <s v="CSF"/>
    <n v="57060806"/>
    <n v="-57060806"/>
    <n v="0"/>
    <n v="0"/>
    <s v="Prestación de servicios para la preparación de insumos, validación, y digitación de la información levantada en campo"/>
    <s v="10221"/>
    <s v="-0"/>
    <s v="-0"/>
    <s v="-0"/>
    <s v="-0"/>
    <s v="-0"/>
    <x v="0"/>
    <x v="3"/>
  </r>
  <r>
    <s v="21421"/>
    <s v="2021-01-21 00:00:00"/>
    <s v="2021-01-21 09:17:00"/>
    <s v="Gasto"/>
    <s v="Con Compromiso"/>
    <s v="0300"/>
    <x v="0"/>
    <x v="4"/>
    <s v="ADQUISICIÓN DE BIENES Y SERVICIOS - SERVICIOS DE INFORMACIÓN GEODÉSICA ACTUALIZADO - LEVANTAMIENTO , GENERACIÓN Y ACTUALIZACIÓN DE LA RED GEODÉSICA Y LA CARTOGRAFÍA BÁSICA A NIVEL   NACIONAL"/>
    <s v="Nación"/>
    <x v="0"/>
    <s v="CSF"/>
    <n v="66741840"/>
    <n v="-80890"/>
    <n v="66660950"/>
    <n v="0"/>
    <s v="Prestación de servicios profesionales para realizar las actividades de cálculo de proyectos GNSS y demás asignados."/>
    <s v="10321"/>
    <s v="19021, 19121"/>
    <s v="103421, 111321"/>
    <s v="180321, 185921, 252721, 258421, 300621, 312021, 375721, 378521, 428721, 428921, 501221, 507621, 581821, 583821"/>
    <s v="51987021, 57477421, 61613421, 69155221, 70412721, 89653621, 92825321, 123383621, 123696921, 145952921, 145956921, 178834621, 181451821, 219099821, 219204921"/>
    <s v="-0"/>
    <x v="0"/>
    <x v="3"/>
  </r>
  <r>
    <s v="21521"/>
    <s v="2021-01-21 00:00:00"/>
    <s v="2021-01-21 09:19:00"/>
    <s v="Gasto"/>
    <s v="Con Compromiso"/>
    <s v="0300"/>
    <x v="0"/>
    <x v="4"/>
    <s v="ADQUISICIÓN DE BIENES Y SERVICIOS - SERVICIOS DE INFORMACIÓN GEODÉSICA ACTUALIZADO - LEVANTAMIENTO , GENERACIÓN Y ACTUALIZACIÓN DE LA RED GEODÉSICA Y LA CARTOGRAFÍA BÁSICA A NIVEL   NACIONAL"/>
    <s v="Nación"/>
    <x v="0"/>
    <s v="CSF"/>
    <n v="62834134"/>
    <n v="-76160"/>
    <n v="62757974"/>
    <n v="0"/>
    <s v="Prestación de servicio para realizar actividades de mantenimiento, materialización y cálculo de redes geodésicas locales y estaciones de mantenimiento continuo."/>
    <s v="10821"/>
    <s v="33121, 33421"/>
    <s v="111621, 119821"/>
    <s v="186221, 194021, 254721, 254821, 300721, 304521, 375221, 378821, 426521, 426721, 501121, 507521, 583921, 584021"/>
    <s v="57495221, 61028621, 69467121, 69469521, 89662121, 90997921, 123353521, 123727321, 145886621, 145920021, 178833821, 181450421, 219207421, 219209021"/>
    <s v="-0"/>
    <x v="0"/>
    <x v="3"/>
  </r>
  <r>
    <s v="21621"/>
    <s v="2021-01-21 00:00:00"/>
    <s v="2021-01-21 09:20:00"/>
    <s v="Gasto"/>
    <s v="Con Compromiso"/>
    <s v="0200"/>
    <x v="0"/>
    <x v="0"/>
    <s v="ADQUISICIÓN DE BIENES Y SERVICIOS - SERVICIOS TECNOLÓGICOS - FORTALECIMIENTO DE LA GESTIÓN INSTITUCIONAL DEL IGAC A NIVEL   NACIONAL"/>
    <s v="Propios"/>
    <x v="1"/>
    <s v="CSF"/>
    <n v="60151084"/>
    <n v="-222780"/>
    <n v="59928304"/>
    <n v="0"/>
    <s v="Prestación de servicios profesionales para gestionar, administrar y monitorear la red regulada y el cableado estructurado de la entidad a nivel nacional."/>
    <s v="15821"/>
    <s v="42621"/>
    <s v="140921"/>
    <s v="252321, 316621, 366921, 426821, 515321, 589621"/>
    <s v="69144721, 95454321, 120606621, 145900921, 183381621, 225481421"/>
    <s v="-0"/>
    <x v="0"/>
    <x v="0"/>
  </r>
  <r>
    <s v="21721"/>
    <s v="2021-01-21 00:00:00"/>
    <s v="2021-01-21 09:20:00"/>
    <s v="Gasto"/>
    <s v="Con Compromiso"/>
    <s v="0300"/>
    <x v="0"/>
    <x v="4"/>
    <s v="ADQUISICIÓN DE BIENES Y SERVICIOS - SERVICIOS DE INFORMACIÓN GEODÉSICA ACTUALIZADO - LEVANTAMIENTO , GENERACIÓN Y ACTUALIZACIÓN DE LA RED GEODÉSICA Y LA CARTOGRAFÍA BÁSICA A NIVEL   NACIONAL"/>
    <s v="Nación"/>
    <x v="0"/>
    <s v="CSF"/>
    <n v="28530403"/>
    <n v="-34584"/>
    <n v="28495819"/>
    <n v="0"/>
    <s v="Prestación de servicios profesionales para el seguimiento al proceso de implementación de los servicios ntrip vrs"/>
    <s v="11021"/>
    <s v="18421, 20221"/>
    <s v="114321"/>
    <s v="187721, 265821, 310921, 365221, 418721, 498421, 584521"/>
    <s v="58202921, 71673621, 92607321, 120577021, 144364121, 177741521, 219223421"/>
    <s v="-0"/>
    <x v="0"/>
    <x v="3"/>
  </r>
  <r>
    <s v="21821"/>
    <s v="2021-01-21 00:00:00"/>
    <s v="2021-01-21 09:22:00"/>
    <s v="Gasto"/>
    <s v="Con Compromiso"/>
    <s v="0200"/>
    <x v="0"/>
    <x v="0"/>
    <s v="ADQUISICIÓN DE BIENES Y SERVICIOS - SERVICIOS TECNOLÓGICOS - FORTALECIMIENTO DE LA GESTIÓN INSTITUCIONAL DEL IGAC A NIVEL   NACIONAL"/>
    <s v="Propios"/>
    <x v="1"/>
    <s v="CSF"/>
    <n v="120302167"/>
    <n v="-445559"/>
    <n v="119856608"/>
    <n v="0"/>
    <s v="Prestación de servicios profesionales para analizar y desarrollar componentes de software en plataforma ORACLE."/>
    <s v="15921"/>
    <s v="42221, 42321"/>
    <s v="151121, 152621"/>
    <s v="261821, 264021, 332521, 391421, 394121, 404521, 466221, 466321, 527321, 544421, 605021"/>
    <s v="70625121, 70774821, 107435621, 128839121, 131279221, 139702421, 165739321, 165740321, 187310521, 203823121, 228499521"/>
    <s v="-0"/>
    <x v="0"/>
    <x v="0"/>
  </r>
  <r>
    <s v="21921"/>
    <s v="2021-01-21 00:00:00"/>
    <s v="2021-01-21 09:23:00"/>
    <s v="Gasto"/>
    <s v="Con Compromiso"/>
    <s v="0200"/>
    <x v="0"/>
    <x v="0"/>
    <s v="ADQUISICIÓN DE BIENES Y SERVICIOS - SERVICIOS TECNOLÓGICOS - FORTALECIMIENTO DE LA GESTIÓN INSTITUCIONAL DEL IGAC A NIVEL   NACIONAL"/>
    <s v="Propios"/>
    <x v="1"/>
    <s v="CSF"/>
    <n v="38371701"/>
    <n v="-3"/>
    <n v="38371698"/>
    <n v="0"/>
    <s v="Prestación de Servicios Profesionales para realizar actividades de operación, soporte, mantenimiento y monitoreo a las plataformas tecnológicas"/>
    <s v="17121"/>
    <s v="42521"/>
    <s v="135221"/>
    <s v="246521, 293421, 348221, 424821, 502121, 556121"/>
    <s v="67090321, 87483221, 115476321, 145803421, 179451121, 210344421"/>
    <s v="-0"/>
    <x v="0"/>
    <x v="0"/>
  </r>
  <r>
    <s v="22021"/>
    <s v="2021-01-21 00:00:00"/>
    <s v="2021-01-21 09:23:00"/>
    <s v="Gasto"/>
    <s v="Con Compromiso"/>
    <s v="0300"/>
    <x v="0"/>
    <x v="4"/>
    <s v="ADQUISICIÓN DE BIENES Y SERVICIOS - SERVICIOS DE INFORMACIÓN GEODÉSICA ACTUALIZADO - LEVANTAMIENTO , GENERACIÓN Y ACTUALIZACIÓN DE LA RED GEODÉSICA Y LA CARTOGRAFÍA BÁSICA A NIVEL   NACIONAL"/>
    <s v="Nación"/>
    <x v="0"/>
    <s v="CSF"/>
    <n v="142652015"/>
    <n v="-172920"/>
    <n v="142479095"/>
    <n v="0"/>
    <s v="Prestación de servicios para la captura y procesamiento de coordenadas, elaboración de levantamientos topográficos y clasificación de campo, de acuerdo con las especificaciones de conformidad con los lineamientos establecidos"/>
    <s v="11221"/>
    <s v="17621, 17821, 20521, 20721, 20821"/>
    <s v="100221, 100321, 100621, 100921, 101021"/>
    <s v="176921, 177021, 177321, 177621, 177721, 264521, 265321, 265421, 266321, 267721, 286721, 286821, 315521, 315621, 320321, 343921, 344421, 344521, 345621, 345921, 411321, 411421, 412921, 413021, 418121, 483221, 483321, 483421, 483521, 483621, 557121, 557221, 557421, 558021, 597621"/>
    <s v="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
    <s v="12021"/>
    <x v="0"/>
    <x v="3"/>
  </r>
  <r>
    <s v="22121"/>
    <s v="2021-01-21 00:00:00"/>
    <s v="2021-01-21 09:24: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administrar y operar la infraestructura tecnológica de las plataformas Windows, virtualización y almacenamiento de la entidad"/>
    <s v="17321"/>
    <s v="69621"/>
    <s v="217621"/>
    <s v="326421, 389921, 458221, 522821, 591021"/>
    <s v="98373321, 127425621, 157588221, 187306121, 225869221"/>
    <s v="-0"/>
    <x v="0"/>
    <x v="0"/>
  </r>
  <r>
    <s v="22221"/>
    <s v="2021-01-21 00:00:00"/>
    <s v="2021-01-21 09:25: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administración, soporte y monitoreo de las plataformas basadas en software libre adoptadas por la entidad."/>
    <s v="17421"/>
    <s v="49221"/>
    <s v="154921"/>
    <s v="265921, 311621, 380521, 453321, 527521, 590921"/>
    <s v="71680621, 92820721, 124538521, 152468021, 187310721, 225797721"/>
    <s v="-0"/>
    <x v="0"/>
    <x v="0"/>
  </r>
  <r>
    <s v="22321"/>
    <s v="2021-01-21 00:00:00"/>
    <s v="2021-01-21 09:26: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2921248"/>
    <n v="28495819"/>
    <n v="0"/>
    <s v="Prestación de servicio para realizar la revisión y reparación de los componentes eléctricos y electrónicos de las estaciones magna-eco para su instalación en campo"/>
    <s v="11421"/>
    <s v="32221"/>
    <s v="113421"/>
    <s v="187921, 276021, 319321, 327921, 378721, 428621, 517721, 581721"/>
    <s v="58210021, 79323521, 96320421, 99336521, 123709621, 145928621, 184165221, 219097721"/>
    <s v="9621"/>
    <x v="0"/>
    <x v="3"/>
  </r>
  <r>
    <s v="22421"/>
    <s v="2021-01-21 00:00:00"/>
    <s v="2021-01-21 09:26: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brindar soporte de primer nivel, generar estadísticas de operación y realizar pruebas a los sistemas de información de la oficina de informática y telecomunicaciones"/>
    <s v="17521"/>
    <s v="57421"/>
    <s v="137921"/>
    <s v="247521, 306921, 381521, 449321, 504321, 570021"/>
    <s v="67153721, 92570721, 126811421, 151858621, 179480921, 214437221"/>
    <s v="-0"/>
    <x v="0"/>
    <x v="0"/>
  </r>
  <r>
    <s v="22521"/>
    <s v="2021-01-21 00:00:00"/>
    <s v="2021-01-21 09:27:00"/>
    <s v="Gasto"/>
    <s v="Con Compromiso"/>
    <s v="0300"/>
    <x v="0"/>
    <x v="4"/>
    <s v="ADQUISICIÓN DE BIENES Y SERVICIOS - SERVICIOS DE INFORMACIÓN GEODÉSICA ACTUALIZADO - LEVANTAMIENTO , GENERACIÓN Y ACTUALIZACIÓN DE LA RED GEODÉSICA Y LA CARTOGRAFÍA BÁSICA A NIVEL   NACIONAL"/>
    <s v="Nación"/>
    <x v="0"/>
    <s v="CSF"/>
    <n v="53146280"/>
    <n v="-2220874"/>
    <n v="50925406"/>
    <n v="0"/>
    <s v="Prestación de servicios para realizar la gestión, control y seguimiento del sistema y marco de referencia geodésico nacional con GNSS"/>
    <s v="11721"/>
    <s v="47721"/>
    <s v="154821"/>
    <s v="266521, 304421, 362021, 418621, 502621, 585221"/>
    <s v="71831021, 96251421, 118861721, 144361121, 179458721, 219731121"/>
    <s v="-0"/>
    <x v="0"/>
    <x v="3"/>
  </r>
  <r>
    <s v="22621"/>
    <s v="2021-01-21 00:00:00"/>
    <s v="2021-01-21 09:28:00"/>
    <s v="Gasto"/>
    <s v="Con Compromiso"/>
    <s v="0200"/>
    <x v="0"/>
    <x v="0"/>
    <s v="ADQUISICIÓN DE BIENES Y SERVICIOS - SERVICIOS TECNOLÓGICOS - FORTALECIMIENTO DE LA GESTIÓN INSTITUCIONAL DEL IGAC A NIVEL   NACIONAL"/>
    <s v="Propios"/>
    <x v="1"/>
    <s v="CSF"/>
    <n v="51820134"/>
    <n v="-191923"/>
    <n v="51628211"/>
    <n v="0"/>
    <s v="Prestación de servicios profesionales para desarrollar, administrar y dar soporte a los componentes de los portales web y micro sitios de la entidad."/>
    <s v="18121"/>
    <s v="42421"/>
    <s v="156121"/>
    <s v="266821, 300021, 392021, 467821, 523621, 579721"/>
    <s v="71873021, 89634221, 129561421, 167084621, 187306921, 218072221"/>
    <s v="-0"/>
    <x v="0"/>
    <x v="0"/>
  </r>
  <r>
    <s v="22721"/>
    <s v="2021-01-21 00:00:00"/>
    <s v="2021-01-21 09:29:00"/>
    <s v="Gasto"/>
    <s v="Generado"/>
    <s v="0300"/>
    <x v="0"/>
    <x v="4"/>
    <s v="ADQUISICIÓN DE BIENES Y SERVICIOS - SERVICIOS DE INFORMACIÓN GEODÉSICA ACTUALIZADO - LEVANTAMIENTO , GENERACIÓN Y ACTUALIZACIÓN DE LA RED GEODÉSICA Y LA CARTOGRAFÍA BÁSICA A NIVEL   NACIONAL"/>
    <s v="Propios"/>
    <x v="1"/>
    <s v="CSF"/>
    <n v="106292560"/>
    <n v="-106292560"/>
    <n v="0"/>
    <n v="0"/>
    <s v="Prestación de servicios para realizar la preparación, revisión y consolidación de datos de campo para el cálculo y ajuste de la línea de nivelación"/>
    <s v="16521"/>
    <s v="-0"/>
    <s v="-0"/>
    <s v="-0"/>
    <s v="-0"/>
    <s v="-0"/>
    <x v="0"/>
    <x v="3"/>
  </r>
  <r>
    <s v="22821"/>
    <s v="2021-01-21 00:00:00"/>
    <s v="2021-01-21 09:2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desarrollar actividades referentes a la gestión y aseguramiento del cumplimiento de la estrategia de gobierno digital."/>
    <s v="18221"/>
    <s v="30321"/>
    <s v="161321"/>
    <s v="269321, 299621, 460221, 528721, 531921"/>
    <s v="76275721, 89060721, 157668821, 187311721, 190738121"/>
    <s v="-0"/>
    <x v="0"/>
    <x v="0"/>
  </r>
  <r>
    <s v="22921"/>
    <s v="2021-01-21 00:00:00"/>
    <s v="2021-01-21 09:30:00"/>
    <s v="Gasto"/>
    <s v="Con Compromiso"/>
    <s v="0200"/>
    <x v="0"/>
    <x v="0"/>
    <s v="ADQUISICIÓN DE BIENES Y SERVICIOS - SERVICIOS TECNOLÓGICOS - FORTALECIMIENTO DE LA GESTIÓN INSTITUCIONAL DEL IGAC A NIVEL   NACIONAL"/>
    <s v="Propios"/>
    <x v="1"/>
    <s v="CSF"/>
    <n v="26476020"/>
    <n v="0"/>
    <n v="26476020"/>
    <n v="0"/>
    <s v="Prestación de servicios para realizar actividades de operación, soporte de solicitudes, incidentes, requerimientos y pruebas técnicas según los niveles de servicio establecidos"/>
    <s v="18321"/>
    <s v="42721"/>
    <s v="135921"/>
    <s v="246621, 293321, 359521, 423321, 499521, 552221"/>
    <s v="67093121, 87784221, 117858821, 144937721, 177842621, 209513521"/>
    <s v="-0"/>
    <x v="0"/>
    <x v="0"/>
  </r>
  <r>
    <s v="23021"/>
    <s v="2021-01-21 00:00:00"/>
    <s v="2021-01-21 09:31:00"/>
    <s v="Gasto"/>
    <s v="Generado"/>
    <s v="0300"/>
    <x v="0"/>
    <x v="4"/>
    <s v="ADQUISICIÓN DE BIENES Y SERVICIOS - SERVICIOS DE INFORMACIÓN GEODÉSICA ACTUALIZADO - LEVANTAMIENTO , GENERACIÓN Y ACTUALIZACIÓN DE LA RED GEODÉSICA Y LA CARTOGRAFÍA BÁSICA A NIVEL   NACIONAL"/>
    <s v="Propios"/>
    <x v="1"/>
    <s v="CSF"/>
    <n v="75000000"/>
    <n v="-75000000"/>
    <n v="0"/>
    <n v="0"/>
    <s v="Realizar el mantenimiento, patronamiento y verificación de equipos geodésicos hiper sr -hiper v y estación total os 101 para dar cumplimiento a las labores de fotocontrol y rastreo de coordenadas para el apoyo de levantamientos_x000a_topográficos"/>
    <s v="16721"/>
    <s v="-0"/>
    <s v="-0"/>
    <s v="-0"/>
    <s v="-0"/>
    <s v="-0"/>
    <x v="0"/>
    <x v="3"/>
  </r>
  <r>
    <s v="23121"/>
    <s v="2021-01-21 00:00:00"/>
    <s v="2021-01-21 09:31:00"/>
    <s v="Gasto"/>
    <s v="Con Compromiso"/>
    <s v="0200"/>
    <x v="0"/>
    <x v="0"/>
    <s v="ADQUISICIÓN DE BIENES Y SERVICIOS - SERVICIOS TECNOLÓGICOS - FORTALECIMIENTO DE LA GESTIÓN INSTITUCIONAL DEL IGAC A NIVEL   NACIONAL"/>
    <s v="Propios"/>
    <x v="1"/>
    <s v="CSF"/>
    <n v="120216744"/>
    <n v="-9"/>
    <n v="120216735"/>
    <n v="0"/>
    <s v="Prestación de servicios para realizar actividades de operación, soporte de solicitudes, incidentes y requerimientos según los niveles de servicio establecidos."/>
    <s v="18421"/>
    <s v="38621, 38721, 38821, 38921, 39021"/>
    <s v="81021, 81321, 85521, 97721, 97821"/>
    <s v="158921, 159321, 163721, 175121, 175321, 236921, 237021, 247921, 256621, 266121, 291821, 293021, 293521, 293921, 298521, 355321, 356221, 357321, 358021, 370321, 412421, 418521, 423721, 424621, 446921, 483021, 487321, 491321, 499421, 502721, 549421, 549921, 552521, 554221, 558221"/>
    <s v="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
    <s v="-0"/>
    <x v="0"/>
    <x v="0"/>
  </r>
  <r>
    <s v="23221"/>
    <s v="2021-01-21 00:00:00"/>
    <s v="2021-01-21 09:32:00"/>
    <s v="Gasto"/>
    <s v="Con Compromiso"/>
    <s v="0300"/>
    <x v="0"/>
    <x v="4"/>
    <s v="ADQUISICIÓN DE BIENES Y SERVICIOS - SERVICIOS DE INFORMACIÓN GEODÉSICA ACTUALIZADO - LEVANTAMIENTO , GENERACIÓN Y ACTUALIZACIÓN DE LA RED GEODÉSICA Y LA CARTOGRAFÍA BÁSICA A NIVEL   NACIONAL"/>
    <s v="Propios"/>
    <x v="1"/>
    <s v="CSF"/>
    <n v="117717006"/>
    <n v="-142691"/>
    <n v="117574315"/>
    <n v="0"/>
    <s v="Prestación de servicios para gestionar y orientar el cumplimiento de los proyectos liderados por la Subdirección de Geografía y Cartografía"/>
    <s v="16821"/>
    <s v="29421"/>
    <s v="99821"/>
    <s v="176521, 251921, 302021, 362921, 421121, 498821, 569721"/>
    <s v="47671021, 68994521, 90547321, 119029521, 120539021, 144463221, 177780721, 214351221"/>
    <s v="-0"/>
    <x v="0"/>
    <x v="3"/>
  </r>
  <r>
    <s v="23321"/>
    <s v="2021-01-21 00:00:00"/>
    <s v="2021-01-21 09:32: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la gestión de la seguridad informática y Perimetral de los sistemas de la entidad"/>
    <s v="18521"/>
    <s v="49121"/>
    <s v="144921"/>
    <s v="257921, 317921, 383721, 456921, 517621, 589721"/>
    <s v="70939321, 95525321, 126839121, 157467321, 184163021, 225504021"/>
    <s v="-0"/>
    <x v="0"/>
    <x v="0"/>
  </r>
  <r>
    <s v="23421"/>
    <s v="2021-01-21 00:00:00"/>
    <s v="2021-01-21 09:33:00"/>
    <s v="Gasto"/>
    <s v="Con Compromiso"/>
    <s v="0200"/>
    <x v="0"/>
    <x v="0"/>
    <s v="ADQUISICIÓN DE BIENES Y SERVICIOS - SERVICIOS TECNOLÓGICOS - FORTALECIMIENTO DE LA GESTIÓN INSTITUCIONAL DEL IGAC A NIVEL   NACIONAL"/>
    <s v="Propios"/>
    <x v="1"/>
    <s v="CSF"/>
    <n v="156743575"/>
    <n v="-7"/>
    <n v="156743568"/>
    <n v="0"/>
    <s v="Prestación de servicios profesionales para soportar, mantener y desarrollar componentes de software de los sistemas de información de la entidad"/>
    <s v="18621"/>
    <s v="27021, 27121"/>
    <s v="110021, 136821"/>
    <s v="246921, 260721, 270621, 311121, 311221, 321821, 386021, 401221, 461321, 461721, 522721, 529821, 532521, 583221"/>
    <s v="67113221, 70454421, 76439321, 92713521, 92716921, 98369721, 127069821, 138833921, 158479721, 158991921, 187306021, 188238421, 191494821, 219181621"/>
    <s v="-0"/>
    <x v="0"/>
    <x v="0"/>
  </r>
  <r>
    <s v="23521"/>
    <s v="2021-01-21 00:00:00"/>
    <s v="2021-01-21 09:34:00"/>
    <s v="Gasto"/>
    <s v="Generado"/>
    <s v="0300"/>
    <x v="0"/>
    <x v="4"/>
    <s v="ADQUISICIÓN DE BIENES Y SERVICIOS - SERVICIOS DE INFORMACIÓN GEODÉSICA ACTUALIZADO - LEVANTAMIENTO , GENERACIÓN Y ACTUALIZACIÓN DE LA RED GEODÉSICA Y LA CARTOGRAFÍA BÁSICA A NIVEL   NACIONAL"/>
    <s v="Propios"/>
    <x v="1"/>
    <s v="CSF"/>
    <n v="142652015"/>
    <n v="-142652015"/>
    <n v="0"/>
    <n v="0"/>
    <s v="Prestación de servicios para la captura de coordenadas, compilación toponímica y demás procesos en campo, de acuerdo con las especificaciones de conformidad con los lineamientos establecidos."/>
    <s v="16921"/>
    <s v="-0"/>
    <s v="-0"/>
    <s v="-0"/>
    <s v="-0"/>
    <s v="-0"/>
    <x v="0"/>
    <x v="3"/>
  </r>
  <r>
    <s v="23621"/>
    <s v="2021-01-21 00:00:00"/>
    <s v="2021-01-21 09:35: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el soporte, mantenimiento, análisis, diseño y desarrollo de los componentes web para la operación del sistema catastral."/>
    <s v="18721"/>
    <s v="47821"/>
    <s v="152221"/>
    <s v="263621, 324821, 380021, 460121, 526521, 599321"/>
    <s v="70773021, 98371821, 124517621, 157668121, 187309721, 228501221"/>
    <s v="-0"/>
    <x v="0"/>
    <x v="0"/>
  </r>
  <r>
    <s v="23721"/>
    <s v="2021-01-21 00:00:00"/>
    <s v="2021-01-21 09:36:00"/>
    <s v="Gasto"/>
    <s v="Con Compromiso"/>
    <s v="0200"/>
    <x v="0"/>
    <x v="0"/>
    <s v="ADQUISICIÓN DE BIENES Y SERVICIOS - SERVICIOS TECNOLÓGICOS - FORTALECIMIENTO DE LA GESTIÓN INSTITUCIONAL DEL IGAC A NIVEL   NACIONAL"/>
    <s v="Propios"/>
    <x v="1"/>
    <s v="CSF"/>
    <n v="60151084"/>
    <n v="2"/>
    <n v="60151086"/>
    <n v="0"/>
    <s v="Prestación de servicios profesionales para prestación de servicios profesionales para el soporte, mantenimiento, análisis, diseño y desarrollo de los componentes de software en plataforma Oracle de los sistemas de la Institución."/>
    <s v="18821"/>
    <s v="55721"/>
    <s v="186121"/>
    <s v="294121, 307421, 374221, 451021, 509621, 598121"/>
    <s v="87713321, 92575721, 122747521, 151992821, 181729221, 226458021"/>
    <s v="-0"/>
    <x v="0"/>
    <x v="0"/>
  </r>
  <r>
    <s v="23821"/>
    <s v="2021-01-21 00:00:00"/>
    <s v="2021-01-21 09:37: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llevar a cabo la administración y monitoreo de servicios de ti y plataformas basadas en software libre adoptadas por la entidad"/>
    <s v="18921"/>
    <s v="55521"/>
    <s v="198821"/>
    <s v="307321, 313921, 378921, 424721, 524421, 566621"/>
    <s v="92574821, 93516421, 123729021, 145799121, 187307721, 212951121"/>
    <s v="-0"/>
    <x v="0"/>
    <x v="0"/>
  </r>
  <r>
    <s v="23921"/>
    <s v="2021-01-21 00:00:00"/>
    <s v="2021-01-21 09:38: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actividades de desarrollo, soporte y mantenimiento en los componentes WEB - JAVA y de procesos, de los sistemas de información de la Oficina de Informática y_x000a_Telecomunicaciones."/>
    <s v="19021"/>
    <s v="53121"/>
    <s v="155021"/>
    <s v="266621, 324721, 378221, 469521, 533021, 604421"/>
    <s v="71854321, 98371621, 123484421, 167156321, 192676321, 228499121"/>
    <s v="-0"/>
    <x v="0"/>
    <x v="0"/>
  </r>
  <r>
    <s v="24021"/>
    <s v="2021-01-21 00:00:00"/>
    <s v="2021-01-21 09:3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la etapa preparatoria de las solicitudes de bienes, servicios y/o obras Públicas, así como registro, verificación y publicación de los trámites contractuales dentro de las Plataformas"/>
    <s v="19221"/>
    <s v="30421"/>
    <s v="129221"/>
    <s v="241321, 270521, 328721, 415521, 467121, 532921"/>
    <s v="64490021, 76283021, 100580021, 143117421, 167046721, 192672121"/>
    <s v="-0"/>
    <x v="0"/>
    <x v="0"/>
  </r>
  <r>
    <s v="24121"/>
    <s v="2021-01-21 00:00:00"/>
    <s v="2021-01-21 09:40:00"/>
    <s v="Gasto"/>
    <s v="Con Compromiso"/>
    <s v="0200"/>
    <x v="0"/>
    <x v="0"/>
    <s v="ADQUISICIÓN DE BIENES Y SERVICIOS - SERVICIOS TECNOLÓGICOS - FORTALECIMIENTO DE LA GESTIÓN INSTITUCIONAL DEL IGAC A NIVEL   NACIONAL"/>
    <s v="Propios"/>
    <x v="1"/>
    <s v="CSF"/>
    <n v="78371788"/>
    <n v="-4"/>
    <n v="78371784"/>
    <n v="0"/>
    <s v="Prestación de servicios profesionales para documentar, diseñar e implementar los flujos de información requeridos en el marco de la implementación de la política de catastro multipropósito"/>
    <s v="19321"/>
    <s v="62221"/>
    <s v="202521"/>
    <s v="311021, 384121, 454821, 517121, 590321"/>
    <s v="92608221, 126840221, 157342321, 184151821, 225712521"/>
    <s v="-0"/>
    <x v="0"/>
    <x v="0"/>
  </r>
  <r>
    <s v="24221"/>
    <s v="2021-01-21 00:00:00"/>
    <s v="2021-01-21 09:41:00"/>
    <s v="Gasto"/>
    <s v="Con Compromiso"/>
    <s v="0200"/>
    <x v="0"/>
    <x v="0"/>
    <s v="ADQUISICIÓN DE BIENES Y SERVICIOS - SERVICIOS TECNOLÓGICOS - FORTALECIMIENTO DE LA GESTIÓN INSTITUCIONAL DEL IGAC A NIVEL   NACIONAL"/>
    <s v="Propios"/>
    <x v="1"/>
    <s v="CSF"/>
    <n v="44787820"/>
    <n v="-4"/>
    <n v="44787816"/>
    <n v="0"/>
    <s v="Prestación de servicios profesionales para soportar, mantener, analizar, diseñar, desarrollar e integrar componentes de software en el marco de la implementación de la política de catastro multipropósito"/>
    <s v="19721"/>
    <s v="52721"/>
    <s v="140321"/>
    <s v="251821, 320721, 385721, 458121, 526421, 599021"/>
    <s v="68386021, 96693121, 127061521, 157524221, 187309621, 228500721"/>
    <s v="-0"/>
    <x v="0"/>
    <x v="0"/>
  </r>
  <r>
    <s v="24421"/>
    <s v="2021-01-21 00:00:00"/>
    <s v="2021-01-21 11:1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implementar, mantener, proponer y aplicar mejoras al sistema de gestión de seguridad de la información del igac"/>
    <s v="19121"/>
    <s v="47021"/>
    <s v="156521"/>
    <s v="267521, 327421, 402221, 461221, 529921, 580721"/>
    <s v="73484421, 99259121, 138944121, 158477821, 188240921, 218224221"/>
    <s v="-0"/>
    <x v="0"/>
    <x v="0"/>
  </r>
  <r>
    <s v="24521"/>
    <s v="2021-01-21 00:00:00"/>
    <s v="2021-01-21 11:25:00"/>
    <s v="Gasto"/>
    <s v="Con Compromiso"/>
    <s v="0200"/>
    <x v="0"/>
    <x v="0"/>
    <s v="ADQUISICIÓN DE BIENES Y SERVICIOS - SERVICIOS TECNOLÓGICOS - FORTALECIMIENTO DE LA GESTIÓN INSTITUCIONAL DEL IGAC A NIVEL   NACIONAL"/>
    <s v="Propios"/>
    <x v="1"/>
    <s v="CSF"/>
    <n v="24043349"/>
    <n v="-2"/>
    <n v="24043347"/>
    <n v="0"/>
    <s v="Prestación de servicios de apoyo para ejecutar actividades de soporte, mantenimiento y monitoreo a la infraestructura tecnológica donde se alojan los servicios web e interoperabilidad de la entidad"/>
    <s v="16621"/>
    <s v="42821"/>
    <s v="135721"/>
    <s v="247721, 298721, 356421, 414421, 502921, 561621"/>
    <s v="67158521, 89036921, 117297121, 143054521, 179466921, 211764821"/>
    <s v="-0"/>
    <x v="0"/>
    <x v="0"/>
  </r>
  <r>
    <s v="24621"/>
    <s v="2021-01-21 00:00:00"/>
    <s v="2021-01-21 12:0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3303660"/>
    <n v="0"/>
    <n v="73303660"/>
    <n v="0"/>
    <s v="Prestación de servicios profesionales para realizar la construcción de las funcionalidades, plan de pruebas, capacitación, integración de componentes e implementación de las aplicaciones en tecnologías de información geográfica_x000a_a cargo de la oficina"/>
    <s v="29421"/>
    <s v="24421"/>
    <s v="86821"/>
    <s v="165421, 248821, 321721, 388421, 457621, 511121, 585121"/>
    <s v="41123421, 67345921, 98369621, 127328221, 157488721, 181749321, 219717921"/>
    <s v="-0"/>
    <x v="0"/>
    <x v="4"/>
  </r>
  <r>
    <s v="24721"/>
    <s v="2021-01-21 00:00:00"/>
    <s v="2021-01-21 12:04: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9130630"/>
    <n v="-4295662"/>
    <n v="34834968"/>
    <n v="0"/>
    <s v="Prestación de servicios profesionales para el análisis y levantamiento de requerimientos de los proyectos de desarrollo de aplicaciones en tecnologías de información geográfica a cargo de la oficina CIAF"/>
    <s v="29321"/>
    <s v="16321"/>
    <s v="86921"/>
    <s v="165621, 258521, 324021, 382021, 415021, 506821, 590621"/>
    <s v="41132821, 70939521, 98370821, 126816621, 143114321, 180876421, 225743521"/>
    <s v="-0"/>
    <x v="0"/>
    <x v="4"/>
  </r>
  <r>
    <s v="24821"/>
    <s v="2021-01-21 00:00:00"/>
    <s v="2021-01-21 15:0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8132295"/>
    <n v="0"/>
    <n v="68132295"/>
    <n v="0"/>
    <s v="Prestación de servicios profesionales para realizar actividades de gestión y desarrollo de los proyectos de tecnologías geoespaciales que adelante la oficina CIAF."/>
    <s v="29721"/>
    <s v="32921"/>
    <s v="95321"/>
    <s v="173721, 249721, 307521, 378021, 451621, 522021, 587621, 587721"/>
    <s v="44420621, 67456321, 92578321, 123478521, 152000021, 185233221, 220573821"/>
    <s v="-0"/>
    <x v="0"/>
    <x v="4"/>
  </r>
  <r>
    <s v="24921"/>
    <s v="2021-01-21 00:00:00"/>
    <s v="2021-01-21 16:05:00"/>
    <s v="Gasto"/>
    <s v="Con Compromiso"/>
    <s v="0300"/>
    <x v="0"/>
    <x v="4"/>
    <s v="ADQUISICIÓN DE BIENES Y SERVICIOS - SERVICIOS DE INFORMACIÓN GEODÉSICA ACTUALIZADO - LEVANTAMIENTO , GENERACIÓN Y ACTUALIZACIÓN DE LA RED GEODÉSICA Y LA CARTOGRAFÍA BÁSICA A NIVEL   NACIONAL"/>
    <s v="Nación"/>
    <x v="0"/>
    <s v="CSF"/>
    <n v="2532949"/>
    <n v="-139932"/>
    <n v="2393017"/>
    <n v="0"/>
    <s v="REALIZAR MANTENIMIENTO DE LAS ESTACIONES DE FUNCIONAMIENTO CONTINÚO GNSS DE LA RED MAGNA-ECO (2 CORS) EN CUNDINAMARCA Y TOLIMA"/>
    <s v="30621"/>
    <s v="13721, 13821, 13921"/>
    <s v="10021, 10121, 10221"/>
    <s v="51921, 52121, 52221"/>
    <s v="9279521, 9280521, 9359521"/>
    <s v="1421"/>
    <x v="0"/>
    <x v="3"/>
  </r>
  <r>
    <s v="25021"/>
    <s v="2021-01-21 00:00:00"/>
    <s v="2021-01-21 17:22: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40432"/>
    <n v="45477568"/>
    <n v="0"/>
    <s v="Prestación de servicios para realizar actividades que promuevan la gestión y disposición de los datos geográficos, cartográficos y geodésicos"/>
    <s v="26821"/>
    <s v="30121"/>
    <s v="80821"/>
    <s v="158121, 252421, 316821, 364421, 454221, 500821, 590021"/>
    <s v="40626521, 69146021, 95461821, 120559221, 153173421, 178806021, 224558521"/>
    <s v="-0"/>
    <x v="0"/>
    <x v="3"/>
  </r>
  <r>
    <s v="25121"/>
    <s v="2021-01-21 00:00:00"/>
    <s v="2021-01-21 17:26:00"/>
    <s v="Gasto"/>
    <s v="Con Compromiso"/>
    <s v="0300"/>
    <x v="0"/>
    <x v="12"/>
    <s v="ADQUISICIÓN DE BIENES Y SERVICIOS - SERVICIO DE INFORMACIÓN CARTOGRÁFICA ACTUALIZADO - LEVANTAMIENTO , GENERACIÓN Y ACTUALIZACIÓN DE LA RED GEODÉSICA Y LA CARTOGRAFÍA BÁSICA A NIVEL   NACIONAL"/>
    <s v="Nación"/>
    <x v="0"/>
    <s v="CSF"/>
    <n v="85591209"/>
    <n v="163395"/>
    <n v="85754604"/>
    <n v="2493383"/>
    <s v="Prestación de servicios para la organización, administración y disposición de los productos cartográficos, geográficos y geodésicos de la subdirección de geografía y cartografía."/>
    <s v="26921"/>
    <s v="15621, 15721, 54821"/>
    <s v="79321, 83121, 144121"/>
    <s v="156821, 160821, 252521, 256421, 257421, 314021, 316721, 325121, 361921, 364521, 364621, 439921, 444621, 444721, 500721, 507121, 507221, 589321, 595421, 597421"/>
    <s v="37152421, 40741421, 69147121, 70400621, 70406121, 93522821, 95459121, 98008121, 118860921, 120561621, 120565821, 148242921, 149857221, 149878521, 178802821, 181443621, 181444821, 221040221, 222218121, 224090921"/>
    <s v="-0"/>
    <x v="0"/>
    <x v="3"/>
  </r>
  <r>
    <s v="25221"/>
    <s v="2021-01-21 00:00:00"/>
    <s v="2021-01-21 17:28: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1807094"/>
    <n v="47325094"/>
    <n v="1847526"/>
    <s v="Prestación de servicios para apoyar la actualización de los procesos de la Subdirección de Geografía y Cartografía"/>
    <s v="27021"/>
    <s v="16221"/>
    <s v="92621"/>
    <s v="170821, 253021, 295321, 357921, 419821, 482221, 556321"/>
    <s v="42721921, 69157921, 87717221, 117450021, 144394221, 173817221, 210799021"/>
    <s v="-0"/>
    <x v="0"/>
    <x v="3"/>
  </r>
  <r>
    <s v="25321"/>
    <s v="2021-01-21 00:00:00"/>
    <s v="2021-01-21 17:30: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rofesionales para el acompañamiento y seguimiento a la ejecución de los proyectos y procesos de la Subdirección de Geografía y Cartografía"/>
    <s v="27121"/>
    <s v="29221"/>
    <s v="99521"/>
    <s v="176221, 263321, 326821, 376021, 415721, 498321, 556221"/>
    <s v="46808121, 70778921, 98242021, 123398621, 143118321, 177683621, 210797321"/>
    <s v="-0"/>
    <x v="0"/>
    <x v="3"/>
  </r>
  <r>
    <s v="25421"/>
    <s v="2021-01-21 00:00:00"/>
    <s v="2021-01-21 17:38:00"/>
    <s v="Gasto"/>
    <s v="Con Compromiso"/>
    <s v="0300"/>
    <x v="0"/>
    <x v="12"/>
    <s v="ADQUISICIÓN DE BIENES Y SERVICIOS - SERVICIO DE INFORMACIÓN CARTOGRÁFICA ACTUALIZADO - LEVANTAMIENTO , GENERACIÓN Y ACTUALIZACIÓN DE LA RED GEODÉSICA Y LA CARTOGRAFÍA BÁSICA A NIVEL   NACIONAL"/>
    <s v="Nación"/>
    <x v="0"/>
    <s v="CSF"/>
    <n v="265731400"/>
    <n v="-322120"/>
    <n v="265409280"/>
    <n v="0"/>
    <s v="Prestación de servicios para realizar la asignación , seguimiento y control de calidad de los procesos de producción cartográfica, de conformidad con las especificaciones técnicas y rendimientos establecidos"/>
    <s v="27221"/>
    <s v="23521, 23621, 23921, 24021, 26121"/>
    <s v="65021, 91621, 96921, 97021, 107121"/>
    <s v="102721, 169821, 173621, 174421, 174521, 183121, 252821, 252921, 254421, 257321, 303121, 314421, 319921, 325321, 369821, 370421, 371321, 377221, 388121, 416021, 419421, 422221, 423521, 461521, 495721, 499021, 499321, 499621, 568421, 568521, 568721, 569821"/>
    <s v="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
    <s v="-0"/>
    <x v="0"/>
    <x v="3"/>
  </r>
  <r>
    <s v="25521"/>
    <s v="2021-01-21 00:00:00"/>
    <s v="2021-01-21 17:42:00"/>
    <s v="Gasto"/>
    <s v="Con Compromiso"/>
    <s v="0300"/>
    <x v="0"/>
    <x v="12"/>
    <s v="ADQUISICIÓN DE BIENES Y SERVICIOS - SERVICIO DE INFORMACIÓN CARTOGRÁFICA ACTUALIZADO - LEVANTAMIENTO , GENERACIÓN Y ACTUALIZACIÓN DE LA RED GEODÉSICA Y LA CARTOGRAFÍA BÁSICA A NIVEL   NACIONAL"/>
    <s v="Nación"/>
    <x v="0"/>
    <s v="CSF"/>
    <n v="388763100"/>
    <n v="-471260"/>
    <n v="388291840"/>
    <n v="0"/>
    <s v="Prestación de servicios para realizar la edición, estructuración e integración de la cartografía básica, de conformidad con las especificaciones técnicas establecidas."/>
    <s v="27321"/>
    <s v="19621, 23821, 36821, 37121, 37221, 37321, 37421, 37521, 37621, 38221"/>
    <s v="90821, 97121, 111021, 111121, 111221, 116021, 116121, 116221, 116921, 117121"/>
    <s v="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
    <s v="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
    <s v="-0"/>
    <x v="0"/>
    <x v="3"/>
  </r>
  <r>
    <s v="25621"/>
    <s v="2021-01-21 00:00:00"/>
    <s v="2021-01-21 17:44:00"/>
    <s v="Gasto"/>
    <s v="Con Compromiso"/>
    <s v="0300"/>
    <x v="0"/>
    <x v="12"/>
    <s v="ADQUISICIÓN DE BIENES Y SERVICIOS - SERVICIO DE INFORMACIÓN CARTOGRÁFICA ACTUALIZADO - LEVANTAMIENTO , GENERACIÓN Y ACTUALIZACIÓN DE LA RED GEODÉSICA Y LA CARTOGRAFÍA BÁSICA A NIVEL   NACIONAL"/>
    <s v="Nación"/>
    <x v="0"/>
    <s v="CSF"/>
    <n v="194381550"/>
    <n v="-1144282"/>
    <n v="193237268"/>
    <n v="0"/>
    <s v="Prestación de servicios para elaborar ortoimágenes a diferentes escalas, de conformidad con las especificaciones técnicas y rendimientos establecidos."/>
    <s v="27421"/>
    <s v="37721, 37821, 37921, 38021, 38121, 38321, 38421"/>
    <s v="115621, 119621, 120921, 128121, 128221, 129421, 143321"/>
    <s v="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
    <s v="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
    <s v="-0"/>
    <x v="0"/>
    <x v="3"/>
  </r>
  <r>
    <s v="25721"/>
    <s v="2021-01-21 00:00:00"/>
    <s v="2021-01-21 17:47:00"/>
    <s v="Gasto"/>
    <s v="Con Compromiso"/>
    <s v="0300"/>
    <x v="0"/>
    <x v="12"/>
    <s v="ADQUISICIÓN DE BIENES Y SERVICIOS - SERVICIO DE INFORMACIÓN CARTOGRÁFICA ACTUALIZADO - LEVANTAMIENTO , GENERACIÓN Y ACTUALIZACIÓN DE LA RED GEODÉSICA Y LA CARTOGRAFÍA BÁSICA A NIVEL   NACIONAL"/>
    <s v="Nación"/>
    <x v="0"/>
    <s v="CSF"/>
    <n v="381694680"/>
    <n v="12000000"/>
    <n v="393694680"/>
    <n v="12000000"/>
    <s v="Prestación de servicios para la captura o digitalización de elementos vectoriales a diferentes escalas y dimensiones, de conformidad con las especificaciones técnicas y rendimientos establecidos."/>
    <s v="27521"/>
    <s v="35321, 35421, 35521, 35621, 36221, 81121"/>
    <s v="109821, 114921, 123521, 141721, 180521, 278521"/>
    <s v="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
    <s v="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
    <s v="-0"/>
    <x v="0"/>
    <x v="3"/>
  </r>
  <r>
    <s v="26521"/>
    <s v="2021-01-22 00:00:00"/>
    <s v="2021-01-22 08:22:00"/>
    <s v="Gasto"/>
    <s v="Con Compromiso"/>
    <s v="0200"/>
    <x v="0"/>
    <x v="6"/>
    <s v="ADQUISICIÓN DE BIENES Y SERVICIOS - DOCUMENTOS DE PLANEACIÓN - FORTALECIMIENTO DE LA GESTIÓN INSTITUCIONAL DEL IGAC A NIVEL   NACIONAL"/>
    <s v="Propios"/>
    <x v="1"/>
    <s v="CSF"/>
    <n v="73517994"/>
    <n v="0"/>
    <n v="73517994"/>
    <n v="0"/>
    <s v="Prestación de servicios profesionales para apoyar a la Oficina Asesora Jurídica como enlace de la oficina asesora de planeación, en la estructuración de la defensa judicial y prevención del daño antijurídico del Instituto Geográfico_x000a_Agustín Codazzi."/>
    <s v="29821"/>
    <s v="25521"/>
    <s v="99421"/>
    <s v="176121, 241721, 306121, 374321, 450221, 521321, 592021"/>
    <s v="46806121, 64501321, 91027121, 122748521, 151950421, 185195421, 226230521"/>
    <s v="-0"/>
    <x v="0"/>
    <x v="0"/>
  </r>
  <r>
    <s v="26621"/>
    <s v="2021-01-22 00:00:00"/>
    <s v="2021-01-22 08:42:00"/>
    <s v="Gasto"/>
    <s v="Con Compromiso"/>
    <s v="0300"/>
    <x v="0"/>
    <x v="12"/>
    <s v="ADQUISICIÓN DE BIENES Y SERVICIOS - SERVICIO DE INFORMACIÓN CARTOGRÁFICA ACTUALIZADO - LEVANTAMIENTO , GENERACIÓN Y ACTUALIZACIÓN DE LA RED GEODÉSICA Y LA CARTOGRAFÍA BÁSICA A NIVEL   NACIONAL"/>
    <s v="Nación"/>
    <x v="0"/>
    <s v="CSF"/>
    <n v="116628930"/>
    <n v="-141378"/>
    <n v="116487552"/>
    <n v="0"/>
    <s v="Prestación de servicios para realizar el proceso de aerotriangulación, de conformidad con las especificaciones técnicas y rendimientos establecidos."/>
    <s v="27621"/>
    <s v="18021, 18121, 18221"/>
    <s v="84021, 89721, 89821"/>
    <s v="161721, 168021, 168121, 199821, 199921, 241621, 291521, 292721, 292821, 360621, 360721, 363021, 414621, 414721, 415421, 480021, 482021, 482121, 573321, 573821, 597221"/>
    <s v="40904821, 41436721, 41436821, 62692621, 62731221, 64499221, 87107021, 87259021, 87265721, 117944921, 117956421, 119061521, 120535921, 143111021, 143113121, 143116721, 173236621, 173811721, 173815121, 214666021, 214724821, 224061921"/>
    <s v="-0"/>
    <x v="0"/>
    <x v="3"/>
  </r>
  <r>
    <s v="26721"/>
    <s v="2021-01-22 00:00:00"/>
    <s v="2021-01-22 08:43:00"/>
    <s v="Gasto"/>
    <s v="Con Compromiso"/>
    <s v="0300"/>
    <x v="0"/>
    <x v="12"/>
    <s v="ADQUISICIÓN DE BIENES Y SERVICIOS - SERVICIO DE INFORMACIÓN CARTOGRÁFICA ACTUALIZADO - LEVANTAMIENTO , GENERACIÓN Y ACTUALIZACIÓN DE LA RED GEODÉSICA Y LA CARTOGRAFÍA BÁSICA A NIVEL   NACIONAL"/>
    <s v="Nación"/>
    <x v="0"/>
    <s v="CSF"/>
    <n v="80634026"/>
    <n v="-97738"/>
    <n v="80536288"/>
    <n v="0"/>
    <s v="Prestación de servicios profesionales para gestionar la etapa preparatoria de las solicitudes de bienes, servicio y/o obras publicas así como registro, verificación y publicación de los tramites contractuales dentro de las plataformas"/>
    <s v="27721"/>
    <s v="40521"/>
    <s v="140521"/>
    <s v="252021, 252121, 293821, 359821, 419921, 491621, 563221"/>
    <s v="68998321, 69006321, 87712521, 117877521, 144399521, 176437921, 212296721"/>
    <s v="-0"/>
    <x v="0"/>
    <x v="3"/>
  </r>
  <r>
    <s v="26821"/>
    <s v="2021-01-22 00:00:00"/>
    <s v="2021-01-22 08:44: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ara gestionar, realizar el control y seguimiento a la toma de fotografía aérea y consecución de insumos necesarios para producción cartográfica"/>
    <s v="27821"/>
    <s v="29321"/>
    <s v="99321"/>
    <s v="176021, 240621, 314321, 373421, 418421, 498621, 565321"/>
    <s v="46805321, 63516121, 93567021, 122297921, 144383021, 177769521, 212853121"/>
    <s v="-0"/>
    <x v="0"/>
    <x v="3"/>
  </r>
  <r>
    <s v="26921"/>
    <s v="2021-01-22 00:00:00"/>
    <s v="2021-01-22 08:47:00"/>
    <s v="Gasto"/>
    <s v="Con Compromiso"/>
    <s v="0300"/>
    <x v="0"/>
    <x v="12"/>
    <s v="ADQUISICIÓN DE BIENES Y SERVICIOS - SERVICIO DE INFORMACIÓN CARTOGRÁFICA ACTUALIZADO - LEVANTAMIENTO , GENERACIÓN Y ACTUALIZACIÓN DE LA RED GEODÉSICA Y LA CARTOGRAFÍA BÁSICA A NIVEL   NACIONAL"/>
    <s v="Nación"/>
    <x v="0"/>
    <s v="CSF"/>
    <n v="57060806"/>
    <n v="-2740652"/>
    <n v="54320154"/>
    <n v="0"/>
    <s v="Prestación de servicios para realizar la evaluación y procesamiento de las imágenes adquiridas o gestionadas por el IGAC"/>
    <s v="27921"/>
    <s v="49621, 49721"/>
    <s v="146621, 146721"/>
    <s v="264221, 264321, 313721, 316421, 367621, 368321, 425421, 435321, 501921, 502221, 570821, 573921"/>
    <s v="70863321, 70863921, 93497421, 95452321, 120820821, 121261721, 145815921, 147416021, 179439121, 179452121, 214639421, 214717621"/>
    <s v="-0"/>
    <x v="0"/>
    <x v="3"/>
  </r>
  <r>
    <s v="27021"/>
    <s v="2021-01-22 00:00:00"/>
    <s v="2021-01-22 08:48:00"/>
    <s v="Gasto"/>
    <s v="Con Compromiso"/>
    <s v="0300"/>
    <x v="0"/>
    <x v="12"/>
    <s v="ADQUISICIÓN DE BIENES Y SERVICIOS - SERVICIO DE INFORMACIÓN CARTOGRÁFICA ACTUALIZADO - LEVANTAMIENTO , GENERACIÓN Y ACTUALIZACIÓN DE LA RED GEODÉSICA Y LA CARTOGRAFÍA BÁSICA A NIVEL   NACIONAL"/>
    <s v="Nación"/>
    <x v="0"/>
    <s v="CSF"/>
    <n v="28530403"/>
    <n v="-34584"/>
    <n v="28495819"/>
    <n v="0"/>
    <s v="Prestación de servicios para el análisis, procesamiento y caracterización de imágenes insumo para la producción cartográfica"/>
    <s v="28021"/>
    <s v="18321, 20121"/>
    <s v="104721"/>
    <s v="181321, 264421, 321521, 375421, 444121, 498021, 573521"/>
    <s v="52001221, 70864621, 97072021, 123356521, 149810221, 177658321, 214667221"/>
    <s v="-0"/>
    <x v="0"/>
    <x v="3"/>
  </r>
  <r>
    <s v="27121"/>
    <s v="2021-01-22 00:00:00"/>
    <s v="2021-01-22 08:49:00"/>
    <s v="Gasto"/>
    <s v="Generado"/>
    <s v="0300"/>
    <x v="0"/>
    <x v="12"/>
    <s v="ADQUISICIÓN DE BIENES Y SERVICIOS - SERVICIO DE INFORMACIÓN CARTOGRÁFICA ACTUALIZADO - LEVANTAMIENTO , GENERACIÓN Y ACTUALIZACIÓN DE LA RED GEODÉSICA Y LA CARTOGRAFÍA BÁSICA A NIVEL   NACIONAL"/>
    <s v="Nación"/>
    <x v="0"/>
    <s v="CSF"/>
    <n v="82000000"/>
    <n v="-82000000"/>
    <n v="0"/>
    <n v="0"/>
    <s v="Prestación de servicios como copiloto de la aeronave hk 1771-g y la gestión de apoyo en el seguimiento y continuidad de los procesos y procedimientos de operaciones aéreas de los equipos tripulados y no tripulados del igac"/>
    <s v="28121"/>
    <s v="-0"/>
    <s v="-0"/>
    <s v="-0"/>
    <s v="-0"/>
    <s v="-0"/>
    <x v="0"/>
    <x v="3"/>
  </r>
  <r>
    <s v="27221"/>
    <s v="2021-01-22 00:00:00"/>
    <s v="2021-01-22 08:51:00"/>
    <s v="Gasto"/>
    <s v="Generado"/>
    <s v="0300"/>
    <x v="0"/>
    <x v="12"/>
    <s v="ADQUISICIÓN DE BIENES Y SERVICIOS - SERVICIO DE INFORMACIÓN CARTOGRÁFICA ACTUALIZADO - LEVANTAMIENTO , GENERACIÓN Y ACTUALIZACIÓN DE LA RED GEODÉSICA Y LA CARTOGRAFÍA BÁSICA A NIVEL   NACIONAL"/>
    <s v="Nación"/>
    <x v="0"/>
    <s v="CSF"/>
    <n v="285506760"/>
    <n v="-285506760"/>
    <n v="0"/>
    <n v="0"/>
    <s v="Prestación de servicios profesionales para orientar, optimizar y gestionar los procesos de producción cartográfica, asignados de conformidad con los lineamientos establecidos"/>
    <s v="28221"/>
    <s v="-0"/>
    <s v="-0"/>
    <s v="-0"/>
    <s v="-0"/>
    <s v="-0"/>
    <x v="0"/>
    <x v="3"/>
  </r>
  <r>
    <s v="27321"/>
    <s v="2021-01-22 00:00:00"/>
    <s v="2021-01-22 08:5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57060806"/>
    <n v="-12536090"/>
    <n v="44524716"/>
    <n v="0"/>
    <s v="Prestación de servicios para apoyar el proceso de escaneo fotogramétrico de rollos de aerofotografías análogas y compresión de imágenes"/>
    <s v="28321"/>
    <s v="65521, 92021, 93621"/>
    <s v="206021, 326621"/>
    <s v="317121, 358421, 426921, 437921, 486121, 487921, 565021, 598621"/>
    <s v="95477521, 117477321, 145901521, 147767221, 174778721, 175470221, 212837121, 228500221"/>
    <s v="-0"/>
    <x v="0"/>
    <x v="3"/>
  </r>
  <r>
    <s v="27421"/>
    <s v="2021-01-22 00:00:00"/>
    <s v="2021-01-22 08:53: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76093"/>
    <n v="84467367"/>
    <n v="0"/>
    <s v="Prestación de servicios profesionales para la gestión, análisis y respuesta oportuna asociada con los procesos y proyectos de la Subdirección"/>
    <s v="28421"/>
    <s v="43621"/>
    <s v="150321"/>
    <s v="261121, 322521, 382721, 422421, 500621, 567821"/>
    <s v="70524121, 98369921, 126827221, 144908821, 178792121, 213347621"/>
    <s v="-0"/>
    <x v="0"/>
    <x v="3"/>
  </r>
  <r>
    <s v="27521"/>
    <s v="2021-01-22 00:00:00"/>
    <s v="2021-01-22 08:55:00"/>
    <s v="Gasto"/>
    <s v="Con Compromiso"/>
    <s v="0300"/>
    <x v="0"/>
    <x v="12"/>
    <s v="ADQUISICIÓN DE BIENES Y SERVICIOS - SERVICIO DE INFORMACIÓN CARTOGRÁFICA ACTUALIZADO - LEVANTAMIENTO , GENERACIÓN Y ACTUALIZACIÓN DE LA RED GEODÉSICA Y LA CARTOGRAFÍA BÁSICA A NIVEL   NACIONAL"/>
    <s v="Propios"/>
    <x v="1"/>
    <s v="CSF"/>
    <n v="80634026"/>
    <n v="-1356117"/>
    <n v="79277909"/>
    <n v="0"/>
    <s v="Prestación de servicios para gestionar los requerimientos y procesos jurídicos que lidere la subdirección de geografía y cartografía"/>
    <s v="28521"/>
    <s v="35221"/>
    <s v="107321"/>
    <s v="183321, 257721, 293621, 357221, 456721, 525821, 562121"/>
    <s v="55195821, 70939221, 87710221, 117331821, 157462821, 187309021, 211903621"/>
    <s v="-0"/>
    <x v="0"/>
    <x v="3"/>
  </r>
  <r>
    <s v="27621"/>
    <s v="2021-01-22 00:00:00"/>
    <s v="2021-01-22 08:56:00"/>
    <s v="Gasto"/>
    <s v="Con Compromiso"/>
    <s v="0300"/>
    <x v="0"/>
    <x v="12"/>
    <s v="ADQUISICIÓN DE BIENES Y SERVICIOS - SERVICIO DE INFORMACIÓN CARTOGRÁFICA ACTUALIZADO - LEVANTAMIENTO , GENERACIÓN Y ACTUALIZACIÓN DE LA RED GEODÉSICA Y LA CARTOGRAFÍA BÁSICA A NIVEL   NACIONAL"/>
    <s v="Propios"/>
    <x v="1"/>
    <s v="CSF"/>
    <n v="352739640"/>
    <n v="0"/>
    <n v="352739640"/>
    <n v="0"/>
    <s v="Prestación de servicios para la captura de información vectorial, de conformidad con las especificaciones técnicas y rendimientos establecidos"/>
    <s v="28621"/>
    <s v="17721, 18521, 21121, 21221, 21321, 21421, 21521, 79021"/>
    <s v="106121, 106221, 106921, 108221, 108821, 108921, 113721, 282621"/>
    <s v="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
    <s v="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
    <s v="-0"/>
    <x v="0"/>
    <x v="3"/>
  </r>
  <r>
    <s v="27721"/>
    <s v="2021-01-22 00:00:00"/>
    <s v="2021-01-22 08:57:00"/>
    <s v="Gasto"/>
    <s v="Con Compromiso"/>
    <s v="0300"/>
    <x v="0"/>
    <x v="12"/>
    <s v="ADQUISICIÓN DE BIENES Y SERVICIOS - SERVICIO DE INFORMACIÓN CARTOGRÁFICA ACTUALIZADO - LEVANTAMIENTO , GENERACIÓN Y ACTUALIZACIÓN DE LA RED GEODÉSICA Y LA CARTOGRAFÍA BÁSICA A NIVEL   NACIONAL"/>
    <s v="Propios"/>
    <x v="1"/>
    <s v="CSF"/>
    <n v="212052600"/>
    <n v="-4437806"/>
    <n v="207614794"/>
    <n v="0"/>
    <s v="Prestación de servicios para implementar y optimizar los procesos de aseguramiento de la calidad de productos cartográficos, de conformidad con las especificaciones técnicas y rendimientos establecidos"/>
    <s v="28721"/>
    <s v="50121, 62921, 63021, 63121, 63221, 63321"/>
    <s v="156621, 182521, 182621, 186221, 190021, 190121"/>
    <s v="267121, 291721, 291921, 292121, 293221, 294421, 299421, 299521, 351921, 352021, 352121, 353521, 353621, 353721, 413821, 413921, 414021, 414821, 414921, 425021, 483821, 483921, 484021, 484121, 484321, 484521, 549821, 551521, 551621, 552421, 559021, 559821"/>
    <s v="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
    <s v="-0"/>
    <x v="0"/>
    <x v="3"/>
  </r>
  <r>
    <s v="27821"/>
    <s v="2021-01-22 00:00:00"/>
    <s v="2021-01-22 08:58:00"/>
    <s v="Gasto"/>
    <s v="Generado"/>
    <s v="0300"/>
    <x v="0"/>
    <x v="12"/>
    <s v="ADQUISICIÓN DE BIENES Y SERVICIOS - SERVICIO DE INFORMACIÓN CARTOGRÁFICA ACTUALIZADO - LEVANTAMIENTO , GENERACIÓN Y ACTUALIZACIÓN DE LA RED GEODÉSICA Y LA CARTOGRAFÍA BÁSICA A NIVEL   NACIONAL"/>
    <s v="Propios"/>
    <x v="1"/>
    <s v="CSF"/>
    <n v="142652015"/>
    <n v="-142652015"/>
    <n v="0"/>
    <n v="0"/>
    <s v="Prestación de servicios para apoyar la generación de ortoimágenes a diferentes escalas, de conformidad con las especificaciones técnicas y rendimientos establecidos"/>
    <s v="28821"/>
    <s v="-0"/>
    <s v="-0"/>
    <s v="-0"/>
    <s v="-0"/>
    <s v="-0"/>
    <x v="0"/>
    <x v="3"/>
  </r>
  <r>
    <s v="27921"/>
    <s v="2021-01-22 00:00:00"/>
    <s v="2021-01-22 09:00:00"/>
    <s v="Gasto"/>
    <s v="Con Compromiso"/>
    <s v="0300"/>
    <x v="0"/>
    <x v="12"/>
    <s v="ADQUISICIÓN DE BIENES Y SERVICIOS - SERVICIO DE INFORMACIÓN CARTOGRÁFICA ACTUALIZADO - LEVANTAMIENTO , GENERACIÓN Y ACTUALIZACIÓN DE LA RED GEODÉSICA Y LA CARTOGRAFÍA BÁSICA A NIVEL   NACIONAL"/>
    <s v="Propios"/>
    <x v="1"/>
    <s v="CSF"/>
    <n v="218640604"/>
    <n v="0"/>
    <n v="218640604"/>
    <n v="0"/>
    <s v="Realizar el mantenimiento de los escáneres fotogramétricos del IGAC."/>
    <s v="28921"/>
    <s v="75321"/>
    <s v="305221"/>
    <s v="417721"/>
    <s v="144307121"/>
    <s v="-0"/>
    <x v="0"/>
    <x v="3"/>
  </r>
  <r>
    <s v="28021"/>
    <s v="2021-01-22 00:00:00"/>
    <s v="2021-01-22 09:01:00"/>
    <s v="Gasto"/>
    <s v="Con Compromiso"/>
    <s v="0300"/>
    <x v="0"/>
    <x v="12"/>
    <s v="ADQUISICIÓN DE BIENES Y SERVICIOS - SERVICIO DE INFORMACIÓN CARTOGRÁFICA ACTUALIZADO - LEVANTAMIENTO , GENERACIÓN Y ACTUALIZACIÓN DE LA RED GEODÉSICA Y LA CARTOGRAFÍA BÁSICA A NIVEL   NACIONAL"/>
    <s v="Propios"/>
    <x v="1"/>
    <s v="CSF"/>
    <n v="388763100"/>
    <n v="-83104617"/>
    <n v="305658483"/>
    <n v="0"/>
    <s v="Prestación de servicios para elaborar mapas y demás insumos a diferentes escalas, de conformidad con las especificaciones técnicas y rendimientos establecidos"/>
    <s v="29021"/>
    <s v="61021, 61121, 61221, 61321, 79421, 79521, 79621, 87021, 87121, 119921"/>
    <s v="199621, 200121, 202221, 217221, 250121, 255721, 256021, 276721, 290521, 493621"/>
    <s v="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
    <s v="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
    <s v="-0"/>
    <x v="0"/>
    <x v="3"/>
  </r>
  <r>
    <s v="28321"/>
    <s v="2021-01-22 00:00:00"/>
    <s v="2021-01-22 15:36:00"/>
    <s v="Gasto"/>
    <s v="Con Compromiso"/>
    <s v="0500"/>
    <x v="0"/>
    <x v="1"/>
    <s v="ADQUISICIÓN DE BIENES Y SERVICIOS - SERVICIO DE INFORMACIÓN CATASTRAL - ACTUALIZACIÓN  Y GESTIÓN CATASTRAL  NACIONAL"/>
    <s v="Propios"/>
    <x v="1"/>
    <s v="CSF"/>
    <n v="217036248"/>
    <n v="-7892228"/>
    <n v="209144020"/>
    <n v="0"/>
    <s v="Prestación de servicios profesionales para adelantar la ejecución de los procesos de gestión catastral a cargo del IGAC, programados en la vigencia"/>
    <s v="26321"/>
    <s v="34521, 39421"/>
    <s v="122821, 128721"/>
    <s v="199121, 240921, 322621, 323421, 387421, 387721, 412821, 423621, 514421, 526621, 559221, 604621"/>
    <s v="62568021, 63870121, 98370021, 98370421, 127269021, 127275321, 143012421, 144951621, 182709021, 187309821, 211332621, 228499321"/>
    <s v="-0"/>
    <x v="0"/>
    <x v="1"/>
  </r>
  <r>
    <s v="28421"/>
    <s v="2021-01-22 00:00:00"/>
    <s v="2021-01-22 15:39:00"/>
    <s v="Gasto"/>
    <s v="Con Compromiso"/>
    <s v="0500"/>
    <x v="0"/>
    <x v="1"/>
    <s v="ADQUISICIÓN DE BIENES Y SERVICIOS - SERVICIO DE INFORMACIÓN CATASTRAL - ACTUALIZACIÓN  Y GESTIÓN CATASTRAL  NACIONAL"/>
    <s v="Propios"/>
    <x v="1"/>
    <s v="CSF"/>
    <n v="108518124"/>
    <n v="0"/>
    <n v="108518124"/>
    <n v="0"/>
    <s v="Prestación de servicios profesionales para el desarrollo del componente tecnológico requerido de los procesos de gestión catastral desarrollados por el IGAC"/>
    <s v="26121"/>
    <s v="19321"/>
    <s v="103321"/>
    <s v="179721, 244221, 299221, 393321, 448921, 524021, 583421"/>
    <s v="51024121, 65760021, 89056221, 130364121, 150533621, 187307321, 219191521"/>
    <s v="-0"/>
    <x v="0"/>
    <x v="1"/>
  </r>
  <r>
    <s v="28521"/>
    <s v="2021-01-22 00:00:00"/>
    <s v="2021-01-22 16:36:00"/>
    <s v="Gasto"/>
    <s v="Con Compromiso"/>
    <s v="0200"/>
    <x v="0"/>
    <x v="18"/>
    <s v="ADQUISICIÓN DE BIENES Y SERVICIOS - SEDES ADECUADAS - FORTALECIMIENTO DE LA INFRAESTRUCTURA FÍSICA DEL IGAC A NIVEL  NACIONAL"/>
    <s v="Nación"/>
    <x v="0"/>
    <s v="CSF"/>
    <n v="76558000"/>
    <n v="0"/>
    <n v="765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521"/>
    <s v="2021-01-22 00:00:00"/>
    <s v="2021-01-22 16:36:00"/>
    <s v="Gasto"/>
    <s v="Con Compromiso"/>
    <s v="0200"/>
    <x v="0"/>
    <x v="18"/>
    <s v="ADQUISICIÓN DE BIENES Y SERVICIOS - SEDES ADECUADAS - FORTALECIMIENTO DE LA INFRAESTRUCTURA FÍSICA DEL IGAC A NIVEL  NACIONAL"/>
    <s v="Propios"/>
    <x v="1"/>
    <s v="CSF"/>
    <n v="85758000"/>
    <n v="0"/>
    <n v="857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821"/>
    <s v="2021-01-26 00:00:00"/>
    <s v="2021-01-26 14:23:00"/>
    <s v="Gasto"/>
    <s v="Con Compromiso"/>
    <s v="0300"/>
    <x v="0"/>
    <x v="12"/>
    <s v="ADQUISICIÓN DE BIENES Y SERVICIOS - SERVICIO DE INFORMACIÓN CARTOGRÁFICA ACTUALIZADO - LEVANTAMIENTO , GENERACIÓN Y ACTUALIZACIÓN DE LA RED GEODÉSICA Y LA CARTOGRAFÍA BÁSICA A NIVEL   NACIONAL"/>
    <s v="Nación"/>
    <x v="0"/>
    <s v="CSF"/>
    <n v="28675821"/>
    <n v="-623632"/>
    <n v="28052189"/>
    <n v="0"/>
    <s v="REALIZAR EL LEVANTAMIENTO TOPOGRAFICO EN EL PREDIO LAS PAMPAS EN AREA RURAL DEL MUNICIPIO DE CIENAGA EN EL DEPARTAMENTO DE MAGDALENA"/>
    <s v="31221"/>
    <s v="15321, 15821, 15921, 16021"/>
    <s v="15621, 16021, 16121, 16221"/>
    <s v="58021, 58521, 58621, 58721"/>
    <s v="10772121, 10774421, 10798121, 11015221"/>
    <s v="2321, 2521, 4121"/>
    <x v="0"/>
    <x v="3"/>
  </r>
  <r>
    <s v="28921"/>
    <s v="2021-01-26 00:00:00"/>
    <s v="2021-01-26 14:32:00"/>
    <s v="Gasto"/>
    <s v="Con Compromiso"/>
    <s v="0300"/>
    <x v="0"/>
    <x v="12"/>
    <s v="ADQUISICIÓN DE BIENES Y SERVICIOS - SERVICIO DE INFORMACIÓN CARTOGRÁFICA ACTUALIZADO - LEVANTAMIENTO , GENERACIÓN Y ACTUALIZACIÓN DE LA RED GEODÉSICA Y LA CARTOGRAFÍA BÁSICA A NIVEL   NACIONAL"/>
    <s v="Nación"/>
    <x v="0"/>
    <s v="CSF"/>
    <n v="8985027"/>
    <n v="-2610769"/>
    <n v="6374258"/>
    <n v="0"/>
    <s v="REALIZAR LA TOMA DE AEROFOTOGRAFIA EN EL TERRITORIO NACIONAL CON BASE DE OPERACIONES EN BOGOTÁ"/>
    <s v="31321"/>
    <s v="16621, 16921, 17021"/>
    <s v="21121, 21221, 21621"/>
    <s v="61421, 61521, 61821"/>
    <s v="12236621, 12281521, 12363221"/>
    <s v="1721, 1821, 1921"/>
    <x v="0"/>
    <x v="3"/>
  </r>
  <r>
    <s v="29321"/>
    <s v="2021-01-28 00:00:00"/>
    <s v="2021-01-28 12:1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7865780"/>
    <n v="38932440"/>
    <n v="116798220"/>
    <n v="0"/>
    <s v="Prestación de servicios profesionales para el desarrollo, ajuste y documentación de las aplicaciones en tecnologías de información geográfica a cargo de la oficina CIAF."/>
    <s v="31621"/>
    <s v="41321, 41421"/>
    <s v="145121, 150821"/>
    <s v="258321, 261521, 323121, 327321, 382421, 383821, 414121, 427121, 509821, 510821, 593021, 596021"/>
    <s v="70621721, 70939421, 98370321, 99257321, 126820221, 126865421, 143049221, 145911721, 181731821, 181747421, 226305721, 226435821"/>
    <s v="-0"/>
    <x v="0"/>
    <x v="4"/>
  </r>
  <r>
    <s v="29421"/>
    <s v="2021-01-28 00:00:00"/>
    <s v="2021-01-28 12:1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0"/>
    <n v="61490990"/>
    <n v="0"/>
    <s v="Prestación de servicios profesionales para definir, proponer e implementar metodologías, procedimientos y técnicas que incorporen el componente geoespacial en los proyectos de la jefatura CIAF"/>
    <s v="31921"/>
    <s v="25221"/>
    <s v="97221"/>
    <s v="174721, 267421, 328421, 384721, 457021, 505821, 591121"/>
    <s v="45406821, 73473921, 100175321, 126856121, 157470821, 180799521, 225881321"/>
    <s v="-0"/>
    <x v="0"/>
    <x v="4"/>
  </r>
  <r>
    <s v="29521"/>
    <s v="2021-01-28 00:00:00"/>
    <s v="2021-01-28 12:1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14660732"/>
    <n v="73303660"/>
    <n v="14660732"/>
    <s v="Prestación de servicios profesionales para realizar desarrollo, integración, mantenimiento y soporte de las aplicaciones de los proyectos en Tecnologías de Información Geográfica de la Oficina CIAF"/>
    <s v="31721"/>
    <s v="46021"/>
    <s v="137421"/>
    <s v="249121, 311321, 379921, 448521, 521821, 589421"/>
    <s v="67377821, 92807821, 124859921, 150303421, 185206321, 221057721"/>
    <s v="-0"/>
    <x v="0"/>
    <x v="4"/>
  </r>
  <r>
    <s v="29621"/>
    <s v="2021-01-28 00:00:00"/>
    <s v="2021-01-28 12:17:00"/>
    <s v="Gasto"/>
    <s v="Anul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61490990"/>
    <n v="0"/>
    <n v="0"/>
    <s v="Prestación de servicios profesionales para el procesamiento y análisis de datos de observación de la tierra y análisis de información geográfica requeridos en los proyectos a cargo de la Oficina CIAF"/>
    <s v="31821"/>
    <s v="-0"/>
    <s v="-0"/>
    <s v="-0"/>
    <s v="-0"/>
    <s v="-0"/>
    <x v="0"/>
    <x v="4"/>
  </r>
  <r>
    <s v="29721"/>
    <s v="2021-01-29 00:00:00"/>
    <s v="2021-01-29 15:30:00"/>
    <s v="Gasto"/>
    <s v="Con Compromiso"/>
    <s v="0300"/>
    <x v="0"/>
    <x v="12"/>
    <s v="ADQUISICIÓN DE BIENES Y SERVICIOS - SERVICIO DE INFORMACIÓN CARTOGRÁFICA ACTUALIZADO - LEVANTAMIENTO , GENERACIÓN Y ACTUALIZACIÓN DE LA RED GEODÉSICA Y LA CARTOGRAFÍA BÁSICA A NIVEL   NACIONAL"/>
    <s v="Nación"/>
    <x v="0"/>
    <s v="CSF"/>
    <n v="4604400"/>
    <n v="0"/>
    <n v="4604400"/>
    <n v="3866600"/>
    <s v="PAGO DE ARL PILOTO Y COPILOTO"/>
    <s v="32321"/>
    <s v="20321, 51421"/>
    <s v="40421, 94421"/>
    <s v="80621, 172021"/>
    <s v="17238021, 43835421"/>
    <s v="-0"/>
    <x v="0"/>
    <x v="3"/>
  </r>
  <r>
    <s v="29821"/>
    <s v="2021-02-01 00:00:00"/>
    <s v="2021-02-01 08: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446236"/>
    <n v="0"/>
    <n v="21446236"/>
    <n v="0"/>
    <s v="PRESTACIÓN DE SERVICIOS PROFESIONALES PARA REALIZAR EL ENLACE ENTRE LOS GIT GESTIÓN DE SUELOS Y APLICACIONES AGROLÓGICAS Y LABORATORIO NACIONAL DE SUELOS Y EJERCER EL CONTROL DE CALIDAD DE LOS DATOS ANALÍTICOS DE LEVANTAMIENTOS DE SUELOS."/>
    <s v="32421"/>
    <s v="26021"/>
    <s v="108421"/>
    <s v="185021, 468621, 515621, 589021"/>
    <s v="56638421, 167124921, 183411421, 220915421"/>
    <s v="-0"/>
    <x v="0"/>
    <x v="5"/>
  </r>
  <r>
    <s v="29921"/>
    <s v="2021-02-03 00:00:00"/>
    <s v="2021-02-03 12:23:00"/>
    <s v="Gasto"/>
    <s v="Con Compromiso"/>
    <s v="0300"/>
    <x v="0"/>
    <x v="4"/>
    <s v="ADQUISICIÓN DE BIENES Y SERVICIOS - SERVICIOS DE INFORMACIÓN GEODÉSICA ACTUALIZADO - LEVANTAMIENTO , GENERACIÓN Y ACTUALIZACIÓN DE LA RED GEODÉSICA Y LA CARTOGRAFÍA BÁSICA A NIVEL   NACIONAL"/>
    <s v="Propios"/>
    <x v="1"/>
    <s v="CSF"/>
    <n v="10000000"/>
    <n v="-6430000"/>
    <n v="3570000"/>
    <n v="0"/>
    <s v="Adquisición de placas metálicas para materialización de puntos geodésicos"/>
    <s v="32621"/>
    <s v="128821"/>
    <s v="-0"/>
    <s v="-0"/>
    <s v="-0"/>
    <s v="-0"/>
    <x v="0"/>
    <x v="3"/>
  </r>
  <r>
    <s v="30021"/>
    <s v="2021-02-03 00:00:00"/>
    <s v="2021-02-03 12:25:00"/>
    <s v="Gasto"/>
    <s v="Con Compromiso"/>
    <s v="0300"/>
    <x v="0"/>
    <x v="12"/>
    <s v="ADQUISICIÓN DE BIENES Y SERVICIOS - SERVICIO DE INFORMACIÓN CARTOGRÁFICA ACTUALIZADO - LEVANTAMIENTO , GENERACIÓN Y ACTUALIZACIÓN DE LA RED GEODÉSICA Y LA CARTOGRAFÍA BÁSICA A NIVEL   NACIONAL"/>
    <s v="Propios"/>
    <x v="1"/>
    <s v="CSF"/>
    <n v="780000000"/>
    <n v="-425600629"/>
    <n v="354399371"/>
    <n v="0"/>
    <s v="Prestación de servicios de mantenimiento preventivo programado de rutina y de imprevistos, incluyendo repuestos para mantener la aeronavegabilidad del avión Twinn Commander 690A con matrícula HK117G propiedad del"/>
    <s v="32521"/>
    <s v="123221"/>
    <s v="-0"/>
    <s v="-0"/>
    <s v="-0"/>
    <s v="-0"/>
    <x v="0"/>
    <x v="3"/>
  </r>
  <r>
    <s v="30121"/>
    <s v="2021-02-03 00:00:00"/>
    <s v="2021-02-03 14:5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5682910"/>
    <n v="-77112"/>
    <n v="85605798"/>
    <n v="0"/>
    <s v="Prestación de servicios profesionales para realizar los diagnósticos de los límites de las entidades territoriales."/>
    <s v="34621"/>
    <s v="55021, 55121, 55221"/>
    <s v="117521, 118021, 120421"/>
    <s v="192321, 193021, 195221, 287721, 315721, 317221, 341321, 342321, 355121, 405021, 406921, 407421, 479221, 479421, 480721, 551121, 552021, 552721"/>
    <s v="60973321, 61005621, 61044321, 85921921, 94354521, 95498121, 112505221, 112772621, 117181521, 139713921, 140679621, 140717221, 172835221, 172843521, 173245321, 209414321, 209488921, 209906021"/>
    <s v="-0"/>
    <x v="0"/>
    <x v="3"/>
  </r>
  <r>
    <s v="30221"/>
    <s v="2021-02-03 00:00:00"/>
    <s v="2021-02-03 14:59:00"/>
    <s v="Gasto"/>
    <s v="Con Compromiso"/>
    <s v="0300"/>
    <x v="0"/>
    <x v="4"/>
    <s v="ADQUISICIÓN DE BIENES Y SERVICIOS - SERVICIOS DE INFORMACIÓN GEODÉSICA ACTUALIZADO - LEVANTAMIENTO , GENERACIÓN Y ACTUALIZACIÓN DE LA RED GEODÉSICA Y LA CARTOGRAFÍA BÁSICA A NIVEL   NACIONAL"/>
    <s v="Nación"/>
    <x v="0"/>
    <s v="CSF"/>
    <n v="166854600"/>
    <n v="-59051346"/>
    <n v="107803254"/>
    <n v="0"/>
    <s v="Prestación de servicios profesionales para la toma de datos en campo de exploración, materialización , gnss, nivelación geodésica y gravimetría"/>
    <s v="33721"/>
    <s v="82221, 90121, 92121, 110521, 111421, 119721"/>
    <s v="282221, 357221, 358521, 429821, 504821"/>
    <s v="388621, 438821, 458021, 459421, 515721, 515821, 516621, 527821, 566021, 566421, 567321, 567621, 596221"/>
    <s v="127333521, 147829421, 157514221, 157661021, 183412921, 183414721, 184125821, 187311021, 212949321, 212960321, 213270921, 214018721, 223939721"/>
    <s v="-0"/>
    <x v="0"/>
    <x v="3"/>
  </r>
  <r>
    <s v="30321"/>
    <s v="2021-02-03 00:00:00"/>
    <s v="2021-02-03 15:03:00"/>
    <s v="Gasto"/>
    <s v="Generado"/>
    <s v="0300"/>
    <x v="0"/>
    <x v="4"/>
    <s v="ADQUISICIÓN DE BIENES Y SERVICIOS - SERVICIOS DE INFORMACIÓN GEODÉSICA ACTUALIZADO - LEVANTAMIENTO , GENERACIÓN Y ACTUALIZACIÓN DE LA RED GEODÉSICA Y LA CARTOGRAFÍA BÁSICA A NIVEL   NACIONAL"/>
    <s v="Propios"/>
    <x v="1"/>
    <s v="CSF"/>
    <n v="57121940"/>
    <n v="0"/>
    <n v="57121940"/>
    <n v="57121940"/>
    <s v="Realizar el mantenimiento, patronamiento y verificación de equipos geodésicos para el fortalecimiento de la red activa, red magna eco y red de nivelación nacional."/>
    <s v="33621"/>
    <s v="-0"/>
    <s v="-0"/>
    <s v="-0"/>
    <s v="-0"/>
    <s v="-0"/>
    <x v="0"/>
    <x v="3"/>
  </r>
  <r>
    <s v="30421"/>
    <s v="2021-02-03 00:00:00"/>
    <s v="2021-02-03 15:05: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1999267"/>
    <n v="29417800"/>
    <n v="0"/>
    <s v="Total: 31.417.067,00 0,00 31.417.067,00_x000a_Prestación de servicios profesionales para el apoyo en la gestión de procesamiento de estaciones y control de calidad en la obtención de coordenadas, de acuerdo con las especificaciones y prioridades establecid"/>
    <s v="33521"/>
    <s v="50021"/>
    <s v="153921"/>
    <s v="265721, 300821, 362321, 421821, 502821, 584321"/>
    <s v="71664421, 89668021, 118871021, 144676921, 179465021, 219214621"/>
    <s v="-0"/>
    <x v="0"/>
    <x v="3"/>
  </r>
  <r>
    <s v="30521"/>
    <s v="2021-02-03 00:00:00"/>
    <s v="2021-02-03 15:06:00"/>
    <s v="Gasto"/>
    <s v="Con Compromiso"/>
    <s v="0300"/>
    <x v="0"/>
    <x v="4"/>
    <s v="ADQUISICIÓN DE BIENES Y SERVICIOS - SERVICIOS DE INFORMACIÓN GEODÉSICA ACTUALIZADO - LEVANTAMIENTO , GENERACIÓN Y ACTUALIZACIÓN DE LA RED GEODÉSICA Y LA CARTOGRAFÍA BÁSICA A NIVEL   NACIONAL"/>
    <s v="Nación"/>
    <x v="0"/>
    <s v="CSF"/>
    <n v="57060806"/>
    <n v="-2384454"/>
    <n v="54676352"/>
    <n v="0"/>
    <s v="Prestación de servicios para la toma de datos en campo de gravimetría y geomagnetismo."/>
    <s v="33421"/>
    <s v="47521, 47621"/>
    <s v="163121, 164821"/>
    <s v="270721, 272421, 311921, 314221, 380321, 382621, 439721, 445321, 507921, 517021, 577321, 595321, 606821"/>
    <s v="76439721, 77485021, 92824321, 93551121, 124545521, 126821121, 148380221, 149996021, 181463421, 184213921, 216979621, 222217921, 227522621"/>
    <s v="-0"/>
    <x v="0"/>
    <x v="3"/>
  </r>
  <r>
    <s v="30621"/>
    <s v="2021-02-03 00:00:00"/>
    <s v="2021-02-03 15:07:00"/>
    <s v="Gasto"/>
    <s v="Con Compromiso"/>
    <s v="0300"/>
    <x v="0"/>
    <x v="12"/>
    <s v="ADQUISICIÓN DE BIENES Y SERVICIOS - SERVICIO DE INFORMACIÓN CARTOGRÁFICA ACTUALIZADO - LEVANTAMIENTO , GENERACIÓN Y ACTUALIZACIÓN DE LA RED GEODÉSICA Y LA CARTOGRAFÍA BÁSICA A NIVEL   NACIONAL"/>
    <s v="Propios"/>
    <x v="1"/>
    <s v="CSF"/>
    <n v="194381550"/>
    <n v="-43918462"/>
    <n v="150463088"/>
    <n v="0"/>
    <s v="Prestación de servicios para la generación e integración de modelos digitales de elevación, de conformidad con las especificaciones técnicas y rendimientos establecidos."/>
    <s v="33221"/>
    <s v="41721, 41821, 41921, 42021"/>
    <s v="145421, 150921, 151021, 151221"/>
    <s v="258621, 261621, 261721, 261921, 286121, 287221, 287421, 291321, 363221, 363421, 364821, 365021, 440921, 444921, 445021, 445221, 477221, 477321, 478321, 478721, 573621, 573721, 574021, 574221"/>
    <s v="70622721, 70623921, 70626321, 70939621, 85606121, 85869821, 85913721, 87175421, 119210221, 120505121, 120569721, 120572221, 148308821, 149911021, 149917821, 149930721, 171506321, 171533321, 171798521, 172815021, 214677221, 214716721, 214732421, 214744321"/>
    <s v="-0"/>
    <x v="0"/>
    <x v="3"/>
  </r>
  <r>
    <s v="30721"/>
    <s v="2021-02-03 00:00:00"/>
    <s v="2021-02-03 15:08:00"/>
    <s v="Gasto"/>
    <s v="Generado"/>
    <s v="0300"/>
    <x v="0"/>
    <x v="12"/>
    <s v="ADQUISICIÓN DE BIENES Y SERVICIOS - SERVICIO DE INFORMACIÓN CARTOGRÁFICA ACTUALIZADO - LEVANTAMIENTO , GENERACIÓN Y ACTUALIZACIÓN DE LA RED GEODÉSICA Y LA CARTOGRAFÍA BÁSICA A NIVEL   NACIONAL"/>
    <s v="Nación"/>
    <x v="0"/>
    <s v="CSF"/>
    <n v="130000000"/>
    <n v="-130000000"/>
    <n v="0"/>
    <n v="0"/>
    <s v="Prestación de servicios como piloto al mando de la aeronave hk 1771-g y la gestión de seguimiento, control y continuidad de los procesos y procedimientos de operaciones aéreas de los equipos tripulados y no tripulados del igac"/>
    <s v="33121"/>
    <s v="-0"/>
    <s v="-0"/>
    <s v="-0"/>
    <s v="-0"/>
    <s v="-0"/>
    <x v="0"/>
    <x v="3"/>
  </r>
  <r>
    <s v="30821"/>
    <s v="2021-02-03 00:00:00"/>
    <s v="2021-02-03 15:09:00"/>
    <s v="Gasto"/>
    <s v="Con Compromiso"/>
    <s v="0300"/>
    <x v="0"/>
    <x v="12"/>
    <s v="ADQUISICIÓN DE BIENES Y SERVICIOS - SERVICIO DE INFORMACIÓN CARTOGRÁFICA ACTUALIZADO - LEVANTAMIENTO , GENERACIÓN Y ACTUALIZACIÓN DE LA RED GEODÉSICA Y LA CARTOGRAFÍA BÁSICA A NIVEL   NACIONAL"/>
    <s v="Propios"/>
    <x v="1"/>
    <s v="CSF"/>
    <n v="53146280"/>
    <n v="-1723232"/>
    <n v="51423048"/>
    <n v="0"/>
    <s v="Prestación de servicios para realizar el seguimiento y control de calidad de los proyectos de producción cartográfica, de acuerdo con las priorizaciones"/>
    <s v="33021"/>
    <s v="45921"/>
    <s v="137221"/>
    <s v="247021, 285621, 364921, 440721, 478421, 574121"/>
    <s v="67118921, 85589521, 120570421, 148301621, 171799321, 214733821"/>
    <s v="-0"/>
    <x v="0"/>
    <x v="3"/>
  </r>
  <r>
    <s v="30921"/>
    <s v="2021-02-03 00:00:00"/>
    <s v="2021-02-03 15:10:00"/>
    <s v="Gasto"/>
    <s v="Con Compromiso"/>
    <s v="0300"/>
    <x v="0"/>
    <x v="12"/>
    <s v="ADQUISICIÓN DE BIENES Y SERVICIOS - SERVICIO DE INFORMACIÓN CARTOGRÁFICA ACTUALIZADO - LEVANTAMIENTO , GENERACIÓN Y ACTUALIZACIÓN DE LA RED GEODÉSICA Y LA CARTOGRAFÍA BÁSICA A NIVEL   NACIONAL"/>
    <s v="Nación"/>
    <x v="0"/>
    <s v="CSF"/>
    <n v="55000000"/>
    <n v="-2738872"/>
    <n v="52261128"/>
    <n v="0"/>
    <s v="Prestación de servicios como técnico tla para realizar el control y seguimiento de los procesos de mantenimiento aeronáutico y suministro de combustible del avión twin turbocommander 690a con matricula hk1771g, propiedad del_x000a_igac."/>
    <s v="32921"/>
    <s v="66521"/>
    <s v="215321"/>
    <s v="325521, 342121, 413221, 504221, 560221"/>
    <s v="98023521, 112528421, 143019521, 179479721, 211378221"/>
    <s v="-0"/>
    <x v="0"/>
    <x v="3"/>
  </r>
  <r>
    <s v="31021"/>
    <s v="2021-02-03 00:00:00"/>
    <s v="2021-02-03 15:1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1417067"/>
    <n v="-2489564"/>
    <n v="28927503"/>
    <n v="0"/>
    <s v="Prestación de servicios para el copiado, control y organización de información resultante de los procesos de la subdirección"/>
    <s v="32821"/>
    <s v="61921"/>
    <s v="154721"/>
    <s v="266421, 300521, 367021, 423921, 485621, 598521"/>
    <s v="71802321, 89653021, 120607721, 145113121, 174776021, 228500121"/>
    <s v="-0"/>
    <x v="0"/>
    <x v="3"/>
  </r>
  <r>
    <s v="31121"/>
    <s v="2021-02-03 00:00:00"/>
    <s v="2021-02-03 15:13: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8876310"/>
    <n v="-1260538"/>
    <n v="37615772"/>
    <n v="0"/>
    <s v="Prestación de servicios para la preparación y trámite de información requerida para el desarrollo de los proyectos"/>
    <s v="32721"/>
    <s v="35721"/>
    <s v="81421"/>
    <s v="159621, 236721, 297021, 353821, 410921, 485321, 598421"/>
    <s v="40719521, 62875121, 88166121, 116006121, 141880621, 174770921, 226459421"/>
    <s v="-0"/>
    <x v="0"/>
    <x v="3"/>
  </r>
  <r>
    <s v="31221"/>
    <s v="2021-02-04 00:00:00"/>
    <s v="2021-02-04 07: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8314800"/>
    <n v="-43487"/>
    <n v="48271313"/>
    <n v="0"/>
    <s v="Prestación de servicios para apoyar el análisis, evaluación y atención de requerimientos cartográficos relacionados con resguardos y territorios colectivos."/>
    <s v="33921"/>
    <s v="46321"/>
    <s v="142921"/>
    <s v="255021, 302921, 355521, 425221, 507321, 559721"/>
    <s v="69486521, 90644321, 117229721, 145810521, 181448421, 211354321"/>
    <s v="-0"/>
    <x v="0"/>
    <x v="3"/>
  </r>
  <r>
    <s v="31321"/>
    <s v="2021-02-04 00:00:00"/>
    <s v="2021-02-04 07:3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116798220"/>
    <n v="-506121"/>
    <n v="116292099"/>
    <n v="0"/>
    <s v="Prestación de servicios para analizar, elaborar y consolidar la caracterización territorial para los municipios priorizados, desde cada uno de los procesos asignados y de conformidad con la metodología establecida."/>
    <s v="34021"/>
    <s v="59221, 59321, 69421"/>
    <s v="138321, 146421, 182221"/>
    <s v="249521, 262821, 291421, 291621, 294721, 340821, 340921, 341421, 430221, 430421, 430621, 490021, 490421, 500921, 559921, 564721, 566921"/>
    <s v="67414421, 70940421, 87079321, 87167321, 87715921, 112412721, 112500621, 112506221, 146565421, 146586621, 146591421, 176273321, 176294321, 178821921, 211375821, 212828821, 212957321"/>
    <s v="-0"/>
    <x v="0"/>
    <x v="3"/>
  </r>
  <r>
    <s v="31421"/>
    <s v="2021-02-04 00:00:00"/>
    <s v="2021-02-04 07:31: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5342100"/>
    <n v="-31811"/>
    <n v="35310289"/>
    <n v="0"/>
    <s v="Prestación de servicios profesionales para realizar el control de calidad de los diagnósticos de los límites de las entidades territoriales y demás proyectos asociados"/>
    <s v="34121"/>
    <s v="48221"/>
    <s v="121321"/>
    <s v="196221, 284421, 341921, 406021, 480921, 551921"/>
    <s v="61377621, 85064721, 112527121, 140324221, 173245821, 209487421"/>
    <s v="-0"/>
    <x v="0"/>
    <x v="3"/>
  </r>
  <r>
    <s v="31521"/>
    <s v="2021-02-04 00:00:00"/>
    <s v="2021-02-04 07:3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337200"/>
    <n v="-1485508"/>
    <n v="28851692"/>
    <n v="0"/>
    <s v="Prestación de servicios para realizar estudios y análisis de información geológica como apoyo a los procesos de la Subdirección."/>
    <s v="34221"/>
    <s v="65721"/>
    <s v="205821"/>
    <s v="316921, 368221, 427221, 497721, 588921"/>
    <s v="95466021, 121253921, 145912121, 177655721, 220892221"/>
    <s v="-0"/>
    <x v="0"/>
    <x v="3"/>
  </r>
  <r>
    <s v="31621"/>
    <s v="2021-02-04 00:00:00"/>
    <s v="2021-02-04 07:3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1409746"/>
    <n v="3993777"/>
    <n v="55403523"/>
    <n v="4216551"/>
    <s v="Prestación de servicios profesionales para preparar, organizar diagnosticar y levantar información en campo georreferenciada y amojonamiento en aspectos relacionados con los procesos de delimitación de fronteras y límites de_x000a_entidades territoriales e"/>
    <s v="34321"/>
    <s v="53521, 56121"/>
    <s v="130621, 154521"/>
    <s v="242621, 266221, 312121, 318821, 363621, 363721, 413721, 415621, 489321, 496021, 549521, 551221"/>
    <s v="65514321, 71743421, 92828821, 95621421, 120508621, 120513721, 143041621, 143117721, 176163521, 177147821, 209095621, 209418721"/>
    <s v="-0"/>
    <x v="0"/>
    <x v="3"/>
  </r>
  <r>
    <s v="31721"/>
    <s v="2021-02-04 00:00:00"/>
    <s v="2021-02-04 07:34:00"/>
    <s v="Gasto"/>
    <s v="Generado"/>
    <s v="0300"/>
    <x v="0"/>
    <x v="12"/>
    <s v="ADQUISICIÓN DE BIENES Y SERVICIOS - SERVICIO DE INFORMACIÓN CARTOGRÁFICA ACTUALIZADO - LEVANTAMIENTO , GENERACIÓN Y ACTUALIZACIÓN DE LA RED GEODÉSICA Y LA CARTOGRAFÍA BÁSICA A NIVEL   NACIONAL"/>
    <s v="Propios"/>
    <x v="1"/>
    <s v="CSF"/>
    <n v="280000000"/>
    <n v="-280000000"/>
    <n v="0"/>
    <n v="0"/>
    <s v="Suministro de combustible tipo jet a1 para el avión twin turbocommander 690a con matricula hk1771g, propiedad del igac"/>
    <s v="34421"/>
    <s v="-0"/>
    <s v="-0"/>
    <s v="-0"/>
    <s v="-0"/>
    <s v="-0"/>
    <x v="0"/>
    <x v="3"/>
  </r>
  <r>
    <s v="31821"/>
    <s v="2021-02-04 00:00:00"/>
    <s v="2021-02-04 07:35:00"/>
    <s v="Gasto"/>
    <s v="Con Compromiso"/>
    <s v="0300"/>
    <x v="0"/>
    <x v="12"/>
    <s v="ADQUISICIÓN DE BIENES Y SERVICIOS - SERVICIO DE INFORMACIÓN CARTOGRÁFICA ACTUALIZADO - LEVANTAMIENTO , GENERACIÓN Y ACTUALIZACIÓN DE LA RED GEODÉSICA Y LA CARTOGRAFÍA BÁSICA A NIVEL   NACIONAL"/>
    <s v="Nación"/>
    <x v="0"/>
    <s v="CSF"/>
    <n v="45000000"/>
    <n v="-40508933"/>
    <n v="4491067"/>
    <n v="0"/>
    <s v="Servicio de mantenimiento preventivo y correctivo, incluidos los repuestos del dron ebee plus Rta/ppk"/>
    <s v="34521"/>
    <s v="69021"/>
    <s v="359021"/>
    <s v="460021, 521021"/>
    <s v="157664921, 185147521"/>
    <s v="-0"/>
    <x v="0"/>
    <x v="3"/>
  </r>
  <r>
    <s v="31921"/>
    <s v="2021-02-04 00:00:00"/>
    <s v="2021-02-04 13:17:00"/>
    <s v="Gasto"/>
    <s v="Con Compromiso"/>
    <s v="0500"/>
    <x v="0"/>
    <x v="1"/>
    <s v="ADQUISICIÓN DE BIENES Y SERVICIOS - SERVICIO DE INFORMACIÓN CATASTRAL - ACTUALIZACIÓN  Y GESTIÓN CATASTRAL  NACIONAL"/>
    <s v="Propios"/>
    <x v="1"/>
    <s v="CSF"/>
    <n v="86828186"/>
    <n v="-22650831"/>
    <n v="64177355"/>
    <n v="0"/>
    <s v="Prestación de servicios profesionales para realizar los análisis estadísticos requeridos en el marco de los procesos de formación y actualización catastral a cargo de Instituto"/>
    <s v="35821"/>
    <s v="64521"/>
    <s v="211821"/>
    <s v="321221, 356621, 431221, 520721"/>
    <s v="96781121, 118651621, 146641721, 185137921"/>
    <s v="-0"/>
    <x v="0"/>
    <x v="1"/>
  </r>
  <r>
    <s v="32021"/>
    <s v="2021-02-04 00:00:00"/>
    <s v="2021-02-04 13:19:00"/>
    <s v="Gasto"/>
    <s v="Generado"/>
    <s v="0500"/>
    <x v="0"/>
    <x v="1"/>
    <s v="ADQUISICIÓN DE BIENES Y SERVICIOS - SERVICIO DE INFORMACIÓN CATASTRAL - ACTUALIZACIÓN  Y GESTIÓN CATASTRAL  NACIONAL"/>
    <s v="Propios"/>
    <x v="1"/>
    <s v="CSF"/>
    <n v="86828186"/>
    <n v="-86828186"/>
    <n v="0"/>
    <n v="0"/>
    <s v="Prestación de servicios profesionales para apoyar los análisis económicos y financieros en el desarrollo de metodologías masivas de valoración de predios, en la implementación del catastro multipropósito"/>
    <s v="35721"/>
    <s v="-0"/>
    <s v="-0"/>
    <s v="-0"/>
    <s v="-0"/>
    <s v="-0"/>
    <x v="0"/>
    <x v="1"/>
  </r>
  <r>
    <s v="32121"/>
    <s v="2021-02-04 00:00:00"/>
    <s v="2021-02-04 13:21:00"/>
    <s v="Gasto"/>
    <s v="Con Compromiso"/>
    <s v="0500"/>
    <x v="0"/>
    <x v="1"/>
    <s v="ADQUISICIÓN DE BIENES Y SERVICIOS - SERVICIO DE INFORMACIÓN CATASTRAL - ACTUALIZACIÓN  Y GESTIÓN CATASTRAL  NACIONAL"/>
    <s v="Propios"/>
    <x v="1"/>
    <s v="CSF"/>
    <n v="331073098"/>
    <n v="-207280549"/>
    <n v="123792549"/>
    <n v="0"/>
    <s v="Prestar servicios profesionales para incorporar de forma puntual en la base catastral, los cambios en la información jurídica de los predios, en el marco de los procesos de fomación y actualización catastral a cargo del Instituto"/>
    <s v="35621"/>
    <s v="79921, 80921, 81021"/>
    <s v="277321, 277521, 282521"/>
    <s v="381621, 381821, 386421, 409421, 421221, 444021, 485221, 497621, 512721, 564021, 566221, 604021"/>
    <s v="126811921, 126816121, 127242821, 141660121, 144464521, 149808721, 174770121, 177654321, 182328821, 212792721, 212947221, 225420521"/>
    <s v="-0"/>
    <x v="0"/>
    <x v="1"/>
  </r>
  <r>
    <s v="32221"/>
    <s v="2021-02-04 00:00:00"/>
    <s v="2021-02-04 13:22:00"/>
    <s v="Gasto"/>
    <s v="Con Compromiso"/>
    <s v="0500"/>
    <x v="0"/>
    <x v="1"/>
    <s v="ADQUISICIÓN DE BIENES Y SERVICIOS - SERVICIO DE INFORMACIÓN CATASTRAL - ACTUALIZACIÓN  Y GESTIÓN CATASTRAL  NACIONAL"/>
    <s v="Propios"/>
    <x v="1"/>
    <s v="CSF"/>
    <n v="230579163"/>
    <n v="-46115832"/>
    <n v="184463331"/>
    <n v="0"/>
    <s v="Prestar servicios profesionales para realizar los cruces de información de la base catastral en lo que respecta al componente jurídico, con otras fuentes de información, a fin de identificar los cambios respectivos en el marco de los_x000a_procesos de foma"/>
    <s v="35521"/>
    <s v="66121, 81221, 81321"/>
    <s v="217121, 281121, 283221"/>
    <s v="325921, 371821, 387121, 387221, 409621, 409921, 411121, 484221, 484921, 522321, 565721, 591421, 604821"/>
    <s v="98372621, 121471321, 127261121, 127266721, 141668421, 141686121, 142041221, 174754321, 174767821, 185310921, 212935421, 226138021, 228499421"/>
    <s v="-0"/>
    <x v="0"/>
    <x v="1"/>
  </r>
  <r>
    <s v="32321"/>
    <s v="2021-02-04 00:00:00"/>
    <s v="2021-02-04 13:23:00"/>
    <s v="Gasto"/>
    <s v="Con Compromiso"/>
    <s v="0500"/>
    <x v="0"/>
    <x v="1"/>
    <s v="ADQUISICIÓN DE BIENES Y SERVICIOS - SERVICIO DE INFORMACIÓN CATASTRAL - ACTUALIZACIÓN  Y GESTIÓN CATASTRAL  NACIONAL"/>
    <s v="Propios"/>
    <x v="1"/>
    <s v="CSF"/>
    <n v="230579163"/>
    <n v="-70176267"/>
    <n v="160402896"/>
    <n v="0"/>
    <s v="Prestar servicios profesionales para realizar los cruces de información de las diferentes fuentes con la base catastral y sus respectivos análisis, como insumo para la optimización de los procesos de formación y actualización_x000a_catastral a cargo del In"/>
    <s v="35421"/>
    <s v="76021, 76121, 81421"/>
    <s v="273121, 274421, 279021"/>
    <s v="374121, 377621, 382821, 431321, 437321, 438721, 509221, 512121, 526221, 548621, 549121"/>
    <s v="122724421, 123471421, 126827921, 146662021, 147576221, 147827321, 181722121, 182133121, 187309421, 208531521, 208571621"/>
    <s v="-0"/>
    <x v="0"/>
    <x v="1"/>
  </r>
  <r>
    <s v="32421"/>
    <s v="2021-02-04 00:00:00"/>
    <s v="2021-02-04 13:24:00"/>
    <s v="Gasto"/>
    <s v="Con Compromiso"/>
    <s v="0500"/>
    <x v="0"/>
    <x v="1"/>
    <s v="ADQUISICIÓN DE BIENES Y SERVICIOS - SERVICIO DE INFORMACIÓN CATASTRAL - ACTUALIZACIÓN  Y GESTIÓN CATASTRAL  NACIONAL"/>
    <s v="Propios"/>
    <x v="1"/>
    <s v="CSF"/>
    <n v="113450766"/>
    <n v="-3831666"/>
    <n v="109619100"/>
    <n v="0"/>
    <s v="Prestar servicios profesionales para coordinar y gestionar la consecución de fuentes de información, así como el diseño y análisis de los cruces de ésta con la base catastral, a fin de servir de insumo para la optimización de los_x000a_procesos de formació"/>
    <s v="35321"/>
    <s v="49921"/>
    <s v="155321"/>
    <s v="266021, 325421, 381921, 385021, 418221, 510321, 510521, 562921"/>
    <s v="71700521, 98372321, 127040621, 144333421, 181744721, 212121221"/>
    <s v="-0"/>
    <x v="0"/>
    <x v="1"/>
  </r>
  <r>
    <s v="32521"/>
    <s v="2021-02-04 00:00:00"/>
    <s v="2021-02-04 13:25:00"/>
    <s v="Gasto"/>
    <s v="Generado"/>
    <s v="0500"/>
    <x v="0"/>
    <x v="1"/>
    <s v="ADQUISICIÓN DE BIENES Y SERVICIOS - SERVICIO DE INFORMACIÓN CATASTRAL - ACTUALIZACIÓN  Y GESTIÓN CATASTRAL  NACIONAL"/>
    <s v="Propios"/>
    <x v="1"/>
    <s v="CSF"/>
    <n v="140068850"/>
    <n v="-140068850"/>
    <n v="0"/>
    <n v="0"/>
    <s v="Prestación de servicios profesionales para liderar, articular y hacer seguimiento a la planeación y ejecucuión de las actividades necesarias para adelantar los procesos de fomación y actualización catastral a cargo del Instituto"/>
    <s v="35221"/>
    <s v="-0"/>
    <s v="-0"/>
    <s v="-0"/>
    <s v="-0"/>
    <s v="-0"/>
    <x v="0"/>
    <x v="1"/>
  </r>
  <r>
    <s v="32621"/>
    <s v="2021-02-04 00:00:00"/>
    <s v="2021-02-04 13:26:00"/>
    <s v="Gasto"/>
    <s v="Con Compromiso"/>
    <s v="0500"/>
    <x v="0"/>
    <x v="1"/>
    <s v="ADQUISICIÓN DE BIENES Y SERVICIOS - SERVICIO DE INFORMACIÓN CATASTRAL - ACTUALIZACIÓN  Y GESTIÓN CATASTRAL  NACIONAL"/>
    <s v="Propios"/>
    <x v="1"/>
    <s v="CSF"/>
    <n v="106873910"/>
    <n v="-1644214"/>
    <n v="105229696"/>
    <n v="0"/>
    <s v="Prestación de servicios profesionales para realizar la elaboración y revisión de los documentos requeridos en el aspecto juridico, para el desarrollo de las competencias del Instituto Geográfico Agustin Codazzi-IGAC"/>
    <s v="35021"/>
    <s v="30621"/>
    <s v="82721"/>
    <s v="160421, 191621, 284121, 343721, 416521, 508921, 592521"/>
    <s v="40911621, 60859321, 85059221, 114360421, 143126621, 181714821, 226259121"/>
    <s v="-0"/>
    <x v="0"/>
    <x v="1"/>
  </r>
  <r>
    <s v="32721"/>
    <s v="2021-02-04 00:00:00"/>
    <s v="2021-02-04 15:40:00"/>
    <s v="Gasto"/>
    <s v="Con Compromiso"/>
    <s v="0160"/>
    <x v="0"/>
    <x v="3"/>
    <s v="ADQUISICIÓN DE BIENES Y SERVICIOS - SERVICIOS DE INFORMACIÓN IMPLEMENTADOS - FORTALECIMIENTO DE LOS PROCESOS DE DIFUSIÓN Y ACCESO A LA INFORMACIÓN GEOGRÁFICA A NIVEL   NACIONAL"/>
    <s v="Propios"/>
    <x v="1"/>
    <s v="CSF"/>
    <n v="63335723"/>
    <n v="0"/>
    <n v="63335723"/>
    <n v="1919264"/>
    <s v="Prestación de servicios profesionales para generar informes de ventas y garantizar la calidad y entrega oportuna de los productos y servicios ofertados por el Instituto."/>
    <s v="34721"/>
    <s v="35021"/>
    <s v="88421"/>
    <s v="166721, 191821, 281421, 353321, 447121, 513121, 588221"/>
    <s v="44204621, 60885921, 83440721, 115997621, 150017921, 182399821, 220744421"/>
    <s v="-0"/>
    <x v="0"/>
    <x v="2"/>
  </r>
  <r>
    <s v="32821"/>
    <s v="2021-02-04 00:00:00"/>
    <s v="2021-02-04 15:41:00"/>
    <s v="Gasto"/>
    <s v="Generado"/>
    <s v="0160"/>
    <x v="0"/>
    <x v="3"/>
    <s v="ADQUISICIÓN DE BIENES Y SERVICIOS - SERVICIOS DE INFORMACIÓN IMPLEMENTADOS - FORTALECIMIENTO DE LOS PROCESOS DE DIFUSIÓN Y ACCESO A LA INFORMACIÓN GEOGRÁFICA A NIVEL   NACIONAL"/>
    <s v="Propios"/>
    <x v="1"/>
    <s v="CSF"/>
    <n v="46898742"/>
    <n v="-46898742"/>
    <n v="0"/>
    <n v="0"/>
    <s v="Prestación de servicios profesionales para difundir, promocionar y comercializar los productos y servicios del IGAC a nivel Nacional"/>
    <s v="34821"/>
    <s v="-0"/>
    <s v="-0"/>
    <s v="-0"/>
    <s v="-0"/>
    <s v="-0"/>
    <x v="0"/>
    <x v="2"/>
  </r>
  <r>
    <s v="32921"/>
    <s v="2021-02-04 00:00:00"/>
    <s v="2021-02-04 18:38:00"/>
    <s v="Gasto"/>
    <s v="Con Compromiso"/>
    <s v="0200"/>
    <x v="0"/>
    <x v="6"/>
    <s v="ADQUISICIÓN DE BIENES Y SERVICIOS - DOCUMENTOS DE PLANEACIÓN - FORTALECIMIENTO DE LA GESTIÓN INSTITUCIONAL DEL IGAC A NIVEL   NACIONAL"/>
    <s v="Nación"/>
    <x v="0"/>
    <s v="CSF"/>
    <n v="60402216"/>
    <n v="0"/>
    <n v="60402216"/>
    <n v="0"/>
    <s v="Prestación de servicios profesionales para realizar el seguimiento y fortalecimiento del sistema de medición de la entidad acorde con el Plan Estratégico Institucional y los requerimientos del orden nacional y sectorial."/>
    <s v="32121"/>
    <s v="83521"/>
    <s v="275621"/>
    <s v="379821, 448121, 510921, 580921"/>
    <s v="124508521, 150296321, 181748321, 218331821"/>
    <s v="-0"/>
    <x v="0"/>
    <x v="0"/>
  </r>
  <r>
    <s v="33021"/>
    <s v="2021-02-05 00:00:00"/>
    <s v="2021-02-05 08:03:00"/>
    <s v="Gasto"/>
    <s v="Con Compromiso"/>
    <s v="0200"/>
    <x v="0"/>
    <x v="6"/>
    <s v="ADQUISICIÓN DE BIENES Y SERVICIOS - DOCUMENTOS DE PLANEACIÓN - FORTALECIMIENTO DE LA GESTIÓN INSTITUCIONAL DEL IGAC A NIVEL   NACIONAL"/>
    <s v="Propios"/>
    <x v="1"/>
    <s v="CSF"/>
    <n v="73517991"/>
    <n v="-2227818"/>
    <n v="71290173"/>
    <n v="0"/>
    <s v="Prestación de servicios profesionales para la gestión y atención de las actividades relacionadas con la programación, control y seguimiento, presupuestal de los rubros de funcionamiento de la Entidad"/>
    <s v="36021"/>
    <s v="31921"/>
    <s v="90521"/>
    <s v="168521, 255621, 316221, 385821, 434021, 498921, 567421"/>
    <s v="41443421, 69661821, 95422421, 127065821, 146749921, 177781621, 212975121"/>
    <s v="-0"/>
    <x v="0"/>
    <x v="0"/>
  </r>
  <r>
    <s v="33121"/>
    <s v="2021-02-05 00:00:00"/>
    <s v="2021-02-05 08:04:00"/>
    <s v="Gasto"/>
    <s v="Con Compromiso"/>
    <s v="0200"/>
    <x v="0"/>
    <x v="19"/>
    <s v="ADQUISICIÓN DE BIENES Y SERVICIOS - SEDES MANTENIDAS - FORTALECIMIENTO DE LA INFRAESTRUCTURA FÍSICA DEL IGAC A NIVEL  NACIONAL"/>
    <s v="Nación"/>
    <x v="0"/>
    <s v="CSF"/>
    <n v="80634026"/>
    <n v="-2687801"/>
    <n v="77946225"/>
    <n v="0"/>
    <s v="Prestación de servicios profesionales para formular, estructurar, evaluar y realizar el seguimiento a los planes, programas y proyectos de infraestructura física y garantizar los objetivos planteados a nivel nacional."/>
    <s v="37121"/>
    <s v="31821"/>
    <s v="92821"/>
    <s v="171221, 254521, 323221, 386721, 455121, 516521, 585721"/>
    <s v="43032621, 69443721, 97507921, 127248121, 157390121, 184118421, 219748521"/>
    <s v="-0"/>
    <x v="0"/>
    <x v="0"/>
  </r>
  <r>
    <s v="33221"/>
    <s v="2021-02-05 00:00:00"/>
    <s v="2021-02-05 08:06:00"/>
    <s v="Gasto"/>
    <s v="Con Compromiso"/>
    <s v="0200"/>
    <x v="0"/>
    <x v="6"/>
    <s v="ADQUISICIÓN DE BIENES Y SERVICIOS - DOCUMENTOS DE PLANEACIÓN - FORTALECIMIENTO DE LA GESTIÓN INSTITUCIONAL DEL IGAC A NIVEL   NACIONAL"/>
    <s v="Propios"/>
    <x v="1"/>
    <s v="CSF"/>
    <n v="83053047"/>
    <n v="-4530166"/>
    <n v="78522881"/>
    <n v="0"/>
    <s v="Prestación de servicios profesionales para la gestión y atención de los asuntos jurídicos y contractuales que sean competencia de la Secretaria General del Instituto Geográfico Agustín Codazzi"/>
    <s v="35921"/>
    <s v="40821"/>
    <s v="131821"/>
    <s v="244421, 244521, 313521, 374921, 454521, 500521, 567521"/>
    <s v="65828321, 65833221, 93181421, 122812921, 153438221, 178786521, 212980321"/>
    <s v="-0"/>
    <x v="0"/>
    <x v="0"/>
  </r>
  <r>
    <s v="33421"/>
    <s v="2021-02-05 00:00:00"/>
    <s v="2021-02-05 15:27:00"/>
    <s v="Gasto"/>
    <s v="Con Compromiso"/>
    <s v="0300"/>
    <x v="0"/>
    <x v="4"/>
    <s v="ADQUISICIÓN DE BIENES Y SERVICIOS - SERVICIOS DE INFORMACIÓN GEODÉSICA ACTUALIZADO - LEVANTAMIENTO , GENERACIÓN Y ACTUALIZACIÓN DE LA RED GEODÉSICA Y LA CARTOGRAFÍA BÁSICA A NIVEL   NACIONAL"/>
    <s v="Nación"/>
    <x v="0"/>
    <s v="CSF"/>
    <n v="2372563"/>
    <n v="0"/>
    <n v="2372563"/>
    <n v="0"/>
    <s v="Realizar el levantamiento de fotocontrol y puntos de verificación para la elaboración y validación de productos cartográficos rurales en el departamento de Meta"/>
    <s v="38021"/>
    <s v="28421"/>
    <s v="57021"/>
    <s v="95721"/>
    <s v="19193621"/>
    <s v="-0"/>
    <x v="0"/>
    <x v="3"/>
  </r>
  <r>
    <s v="33521"/>
    <s v="2021-02-05 00:00:00"/>
    <s v="2021-02-05 15:28:00"/>
    <s v="Gasto"/>
    <s v="Con Compromiso"/>
    <s v="0300"/>
    <x v="0"/>
    <x v="12"/>
    <s v="ADQUISICIÓN DE BIENES Y SERVICIOS - SERVICIO DE INFORMACIÓN CARTOGRÁFICA ACTUALIZADO - LEVANTAMIENTO , GENERACIÓN Y ACTUALIZACIÓN DE LA RED GEODÉSICA Y LA CARTOGRAFÍA BÁSICA A NIVEL   NACIONAL"/>
    <s v="Propios"/>
    <x v="1"/>
    <s v="CSF"/>
    <n v="7933790"/>
    <n v="29005"/>
    <n v="7962795"/>
    <n v="0"/>
    <s v="Apoyar la movilidad para realizar el levantamiento de fotocontrol y puntos de verificación para la elaboración y validación de productos cartográficos rurales en el departamento de Meta"/>
    <s v="37921"/>
    <s v="27721, 27821, 36921, 37021"/>
    <s v="56421, 56521, 69121, 69221"/>
    <s v="95321, 95421, 107221, 107321"/>
    <s v="19000521, 19002421, 27957421, 27958021"/>
    <s v="2721, 2821, 2921, 3021"/>
    <x v="0"/>
    <x v="3"/>
  </r>
  <r>
    <s v="33621"/>
    <s v="2021-02-05 00:00:00"/>
    <s v="2021-02-05 15:31:00"/>
    <s v="Gasto"/>
    <s v="Con Compromiso"/>
    <s v="0300"/>
    <x v="0"/>
    <x v="12"/>
    <s v="ADQUISICIÓN DE BIENES Y SERVICIOS - SERVICIO DE INFORMACIÓN CARTOGRÁFICA ACTUALIZADO - LEVANTAMIENTO , GENERACIÓN Y ACTUALIZACIÓN DE LA RED GEODÉSICA Y LA CARTOGRAFÍA BÁSICA A NIVEL   NACIONAL"/>
    <s v="Propios"/>
    <x v="1"/>
    <s v="CSF"/>
    <n v="4996895"/>
    <n v="-78055"/>
    <n v="4918840"/>
    <n v="0"/>
    <s v="Realizar el levantamiento de fotocontrol y puntos de verificación para la elaboración y validación de productos cartográficos rurales en el departamento de Meta"/>
    <s v="37821"/>
    <s v="27621"/>
    <s v="56121"/>
    <s v="95021"/>
    <s v="18994221"/>
    <s v="3121"/>
    <x v="0"/>
    <x v="3"/>
  </r>
  <r>
    <s v="33721"/>
    <s v="2021-02-05 00:00:00"/>
    <s v="2021-02-05 15:3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Sucre, Córdoba y Bolívar"/>
    <s v="37721"/>
    <s v="28521"/>
    <s v="57121"/>
    <s v="95821"/>
    <s v="19013421"/>
    <s v="-0"/>
    <x v="0"/>
    <x v="3"/>
  </r>
  <r>
    <s v="33821"/>
    <s v="2021-02-05 00:00:00"/>
    <s v="2021-02-05 15:34:00"/>
    <s v="Gasto"/>
    <s v="Con Compromiso"/>
    <s v="0300"/>
    <x v="0"/>
    <x v="12"/>
    <s v="ADQUISICIÓN DE BIENES Y SERVICIOS - SERVICIO DE INFORMACIÓN CARTOGRÁFICA ACTUALIZADO - LEVANTAMIENTO , GENERACIÓN Y ACTUALIZACIÓN DE LA RED GEODÉSICA Y LA CARTOGRAFÍA BÁSICA A NIVEL   NACIONAL"/>
    <s v="Propios"/>
    <x v="1"/>
    <s v="CSF"/>
    <n v="13735246"/>
    <n v="-1663133"/>
    <n v="12072113"/>
    <n v="0"/>
    <s v="Apoyar la movilidad para realizar el levantamiento de fotocontrol y puntos de verificación para la elaboración y validación de productos cartográficos rurales en el departamento de Sucre, Córdoba y Bolívar"/>
    <s v="37621"/>
    <s v="27921, 28021"/>
    <s v="55921, 56021"/>
    <s v="94821, 94921"/>
    <s v="18992521, 18993521"/>
    <s v="3321, 4421"/>
    <x v="0"/>
    <x v="3"/>
  </r>
  <r>
    <s v="33921"/>
    <s v="2021-02-05 00:00:00"/>
    <s v="2021-02-05 15:35: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Sucre, Córdoba y Bolívar."/>
    <s v="37521"/>
    <s v="28121"/>
    <s v="56621"/>
    <s v="95521"/>
    <s v="19003421"/>
    <s v="-0"/>
    <x v="0"/>
    <x v="3"/>
  </r>
  <r>
    <s v="34021"/>
    <s v="2021-02-05 00:00:00"/>
    <s v="2021-02-05 15:37: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Nariño, Caquetá y Cauca"/>
    <s v="37421"/>
    <s v="28621"/>
    <s v="57221"/>
    <s v="95921"/>
    <s v="19194921"/>
    <s v="-0"/>
    <x v="0"/>
    <x v="3"/>
  </r>
  <r>
    <s v="34121"/>
    <s v="2021-02-05 00:00:00"/>
    <s v="2021-02-05 15:38:00"/>
    <s v="Gasto"/>
    <s v="Con Compromiso"/>
    <s v="0300"/>
    <x v="0"/>
    <x v="12"/>
    <s v="ADQUISICIÓN DE BIENES Y SERVICIOS - SERVICIO DE INFORMACIÓN CARTOGRÁFICA ACTUALIZADO - LEVANTAMIENTO , GENERACIÓN Y ACTUALIZACIÓN DE LA RED GEODÉSICA Y LA CARTOGRAFÍA BÁSICA A NIVEL   NACIONAL"/>
    <s v="Propios"/>
    <x v="1"/>
    <s v="CSF"/>
    <n v="13515246"/>
    <n v="-1073712"/>
    <n v="12441534"/>
    <n v="0"/>
    <s v="Apoyar la movilidad para realizar el levantamiento de fotocontrol y puntos de verificación para la elaboración y validación de productos cartográficos rurales en el departamento de Nariño, Caquetá y Cauca."/>
    <s v="37321"/>
    <s v="28221, 28321"/>
    <s v="56221, 56321"/>
    <s v="95121, 95221"/>
    <s v="18995221, 18997321"/>
    <s v="3421, 3521"/>
    <x v="0"/>
    <x v="3"/>
  </r>
  <r>
    <s v="34221"/>
    <s v="2021-02-05 00:00:00"/>
    <s v="2021-02-05 15:39:00"/>
    <s v="Gasto"/>
    <s v="Con Compromiso"/>
    <s v="0300"/>
    <x v="0"/>
    <x v="12"/>
    <s v="ADQUISICIÓN DE BIENES Y SERVICIOS - SERVICIO DE INFORMACIÓN CARTOGRÁFICA ACTUALIZADO - LEVANTAMIENTO , GENERACIÓN Y ACTUALIZACIÓN DE LA RED GEODÉSICA Y LA CARTOGRAFÍA BÁSICA A NIVEL   NACIONAL"/>
    <s v="Propios"/>
    <x v="1"/>
    <s v="CSF"/>
    <n v="7400000"/>
    <n v="-470515.20000000001"/>
    <n v="6929484.7999999998"/>
    <n v="0"/>
    <s v="Realizar el levantamiento de fotocontrol y puntos de verificación para la elaboración y validación de productos cartográficos rurales en el departamento de Nariño, Caquetá, Cauca, Sucre, Córdoba y Bolívar."/>
    <s v="38121"/>
    <s v="27521"/>
    <s v="54521"/>
    <s v="93921"/>
    <s v="18604421"/>
    <s v="3621, 3721"/>
    <x v="0"/>
    <x v="3"/>
  </r>
  <r>
    <s v="34321"/>
    <s v="2021-02-05 00:00:00"/>
    <s v="2021-02-05 15:40: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Nariño, Caquetá y Cauca"/>
    <s v="37221"/>
    <s v="28721"/>
    <s v="56921"/>
    <s v="95621"/>
    <s v="18921321"/>
    <s v="-0"/>
    <x v="0"/>
    <x v="3"/>
  </r>
  <r>
    <s v="34421"/>
    <s v="2021-02-05 00:00:00"/>
    <s v="2021-02-05 17:12:00"/>
    <s v="Gasto"/>
    <s v="Con Compromiso"/>
    <s v="0500"/>
    <x v="0"/>
    <x v="1"/>
    <s v="ADQUISICIÓN DE BIENES Y SERVICIOS - SERVICIO DE INFORMACIÓN CATASTRAL - ACTUALIZACIÓN  Y GESTIÓN CATASTRAL  NACIONAL"/>
    <s v="Propios"/>
    <x v="1"/>
    <s v="CSF"/>
    <n v="58772631"/>
    <n v="0"/>
    <n v="58772631"/>
    <n v="5"/>
    <s v="Prestación de servicios de apoyo para ejecutar actividades de soporte técnico en la mesa de servicio del Sistema Nacional Catastro"/>
    <s v="25721"/>
    <s v="40921, 41021"/>
    <s v="109021, 113821"/>
    <s v="185421, 188521, 242221, 260821, 299821, 323921, 368021, 382921, 449221, 449521, 506021, 526321, 560621, 562721"/>
    <s v="56704021, 58636121, 65500321, 70522421, 89089021, 98370621, 121252621, 126828421, 150605421, 151862921, 180830521, 187309521, 211381421, 212069321"/>
    <s v="-0"/>
    <x v="0"/>
    <x v="1"/>
  </r>
  <r>
    <s v="34521"/>
    <s v="2021-02-05 00:00:00"/>
    <s v="2021-02-05 17:14:00"/>
    <s v="Gasto"/>
    <s v="Con Compromiso"/>
    <s v="0500"/>
    <x v="0"/>
    <x v="1"/>
    <s v="ADQUISICIÓN DE BIENES Y SERVICIOS - SERVICIO DE INFORMACIÓN CATASTRAL - ACTUALIZACIÓN  Y GESTIÓN CATASTRAL  NACIONAL"/>
    <s v="Propios"/>
    <x v="1"/>
    <s v="CSF"/>
    <n v="73517991"/>
    <n v="0"/>
    <n v="73517991"/>
    <n v="5569542"/>
    <s v="Prestación de servicios profesionales para orientar y ejecutar las tareas de análisis y diseño en la construcción de los sistemas de información para la operación del Sistema Nacional de Catastro"/>
    <s v="25221"/>
    <s v="48621"/>
    <s v="137021"/>
    <s v="248621, 303721, 369121, 458621, 525321, 592421"/>
    <s v="67338521, 90759821, 121290321, 157647421, 187308621, 226243021"/>
    <s v="-0"/>
    <x v="0"/>
    <x v="1"/>
  </r>
  <r>
    <s v="34621"/>
    <s v="2021-02-05 00:00:00"/>
    <s v="2021-02-05 17:15:00"/>
    <s v="Gasto"/>
    <s v="Con Compromiso"/>
    <s v="0500"/>
    <x v="0"/>
    <x v="1"/>
    <s v="ADQUISICIÓN DE BIENES Y SERVICIOS - SERVICIO DE INFORMACIÓN CATASTRAL - ACTUALIZACIÓN  Y GESTIÓN CATASTRAL  NACIONAL"/>
    <s v="Propios"/>
    <x v="1"/>
    <s v="CSF"/>
    <n v="95787741"/>
    <n v="0"/>
    <n v="95787741"/>
    <n v="6676120"/>
    <s v="Prestación de servicios profesionales para llevar a cabo las actividades de definición, control y seguimiento, encaminados a la construcción de nuevas funcionalidades para la operación del Sistema Nacional de Catastro."/>
    <s v="25121"/>
    <s v="49521"/>
    <s v="397321"/>
    <s v="496721, 496821"/>
    <s v="177588421, 177597721"/>
    <s v="-0"/>
    <x v="0"/>
    <x v="1"/>
  </r>
  <r>
    <s v="34721"/>
    <s v="2021-02-05 00:00:00"/>
    <s v="2021-02-05 17:17:00"/>
    <s v="Gasto"/>
    <s v="Generado"/>
    <s v="0500"/>
    <x v="0"/>
    <x v="1"/>
    <s v="ADQUISICIÓN DE BIENES Y SERVICIOS - SERVICIO DE INFORMACIÓN CATASTRAL - ACTUALIZACIÓN  Y GESTIÓN CATASTRAL  NACIONAL"/>
    <s v="Propios"/>
    <x v="1"/>
    <s v="CSF"/>
    <n v="121248517"/>
    <n v="-121248517"/>
    <n v="0"/>
    <n v="0"/>
    <s v="Prestación de servicios profesionales para orientar y realizar actividades de desarrollo, administración y monitoreo de los componentes de software del sistema de transición y sistemas relacionados para la operación del Sistema_x000a_Nacional de Catastro"/>
    <s v="25021"/>
    <s v="-0"/>
    <s v="-0"/>
    <s v="-0"/>
    <s v="-0"/>
    <s v="-0"/>
    <x v="0"/>
    <x v="1"/>
  </r>
  <r>
    <s v="34821"/>
    <s v="2021-02-05 00:00:00"/>
    <s v="2021-02-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450000000"/>
    <n v="0"/>
    <n v="450000000"/>
    <n v="0"/>
    <s v="Servicio de Transporte Especial de Pasajeros y de carga a Nivel Nacional del Instituto Geográfico Agustín Codazzi. (PROCESO TRANSVERSAL)"/>
    <s v="34921"/>
    <s v="93721, 94421"/>
    <s v="-0"/>
    <s v="-0"/>
    <s v="-0"/>
    <s v="-0"/>
    <x v="0"/>
    <x v="3"/>
  </r>
  <r>
    <s v="34821"/>
    <s v="2021-02-05 00:00:00"/>
    <s v="2021-02-05 17:27:00"/>
    <s v="Gasto"/>
    <s v="Con Compromiso"/>
    <s v="0500"/>
    <x v="0"/>
    <x v="1"/>
    <s v="ADQUISICIÓN DE BIENES Y SERVICIOS - SERVICIO DE INFORMACIÓN CATASTRAL - ACTUALIZACIÓN  Y GESTIÓN CATASTRAL  NACIONAL"/>
    <s v="Nación"/>
    <x v="0"/>
    <s v="CSF"/>
    <n v="252194838"/>
    <n v="0"/>
    <n v="252194838"/>
    <n v="0"/>
    <s v="Servicio de Transporte Especial de Pasajeros y de carga a Nivel Nacional del Instituto Geográfico Agustín Codazzi. (PROCESO TRANSVERSAL)"/>
    <s v="34921"/>
    <s v="93721, 94421"/>
    <s v="-0"/>
    <s v="-0"/>
    <s v="-0"/>
    <s v="-0"/>
    <x v="0"/>
    <x v="1"/>
  </r>
  <r>
    <s v="34821"/>
    <s v="2021-02-05 00:00:00"/>
    <s v="2021-02-05 17:2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ervicio de Transporte Especial de Pasajeros y de carga a Nivel Nacional del Instituto Geográfico Agustín Codazzi. (PROCESO TRANSVERSAL)"/>
    <s v="34921"/>
    <s v="93721, 94421"/>
    <s v="-0"/>
    <s v="-0"/>
    <s v="-0"/>
    <s v="-0"/>
    <x v="0"/>
    <x v="4"/>
  </r>
  <r>
    <s v="34821"/>
    <s v="2021-02-05 00:00:00"/>
    <s v="2021-02-05 17:27:00"/>
    <s v="Gasto"/>
    <s v="Con Compromiso"/>
    <s v="0160"/>
    <x v="0"/>
    <x v="3"/>
    <s v="ADQUISICIÓN DE BIENES Y SERVICIOS - SERVICIOS DE INFORMACIÓN IMPLEMENTADOS - FORTALECIMIENTO DE LOS PROCESOS DE DIFUSIÓN Y ACCESO A LA INFORMACIÓN GEOGRÁFICA A NIVEL   NACIONAL"/>
    <s v="Propios"/>
    <x v="1"/>
    <s v="CSF"/>
    <n v="1401307"/>
    <n v="0"/>
    <n v="1401307"/>
    <n v="0"/>
    <s v="Servicio de Transporte Especial de Pasajeros y de carga a Nivel Nacional del Instituto Geográfico Agustín Codazzi. (PROCESO TRANSVERSAL)"/>
    <s v="34921"/>
    <s v="93721, 94421"/>
    <s v="-0"/>
    <s v="-0"/>
    <s v="-0"/>
    <s v="-0"/>
    <x v="0"/>
    <x v="2"/>
  </r>
  <r>
    <s v="34821"/>
    <s v="2021-02-05 00:00:00"/>
    <s v="2021-02-05 17:27:00"/>
    <s v="Gasto"/>
    <s v="Con Compromiso"/>
    <s v="0500"/>
    <x v="0"/>
    <x v="1"/>
    <s v="ADQUISICIÓN DE BIENES Y SERVICIOS - SERVICIO DE INFORMACIÓN CATASTRAL - ACTUALIZACIÓN  Y GESTIÓN CATASTRAL  NACIONAL"/>
    <s v="Propios"/>
    <x v="1"/>
    <s v="CSF"/>
    <n v="552709101"/>
    <n v="0"/>
    <n v="552709101"/>
    <n v="0"/>
    <s v="Servicio de Transporte Especial de Pasajeros y de carga a Nivel Nacional del Instituto Geográfico Agustín Codazzi. (PROCESO TRANSVERSAL)"/>
    <s v="34921"/>
    <s v="93721, 94421"/>
    <s v="-0"/>
    <s v="-0"/>
    <s v="-0"/>
    <s v="-0"/>
    <x v="0"/>
    <x v="1"/>
  </r>
  <r>
    <s v="34921"/>
    <s v="2021-02-05 00:00:00"/>
    <s v="2021-02-05 17:48:00"/>
    <s v="Gasto"/>
    <s v="Con Compromiso"/>
    <s v="0300"/>
    <x v="0"/>
    <x v="12"/>
    <s v="ADQUISICIÓN DE BIENES Y SERVICIOS - SERVICIO DE INFORMACIÓN CARTOGRÁFICA ACTUALIZADO - LEVANTAMIENTO , GENERACIÓN Y ACTUALIZACIÓN DE LA RED GEODÉSICA Y LA CARTOGRAFÍA BÁSICA A NIVEL   NACIONAL"/>
    <s v="Nación"/>
    <x v="0"/>
    <s v="CSF"/>
    <n v="120913653"/>
    <n v="-1"/>
    <n v="120913652"/>
    <n v="0"/>
    <s v="Prestación de servicios profesionales para orientar y optimizar los procesos de producción cartográfica, asignados de conformidad con los lineamientos establecidos."/>
    <s v="37021"/>
    <s v="32621, 32721"/>
    <s v="109721, 114821"/>
    <s v="189221, 190121, 254021, 255221, 295421, 320021, 370221, 383121, 419621, 419721, 480121, 496921, 568321, 570721, 594021"/>
    <s v="59559221, 59651921, 69374821, 69511021, 87717421, 96381321, 121321021, 126833721, 144390821, 144412421, 173235621, 177593821, 213506121, 214502321, 222214421"/>
    <s v="-0"/>
    <x v="0"/>
    <x v="3"/>
  </r>
  <r>
    <s v="35021"/>
    <s v="2021-02-05 00:00:00"/>
    <s v="2021-02-05 17:49:00"/>
    <s v="Gasto"/>
    <s v="Con Compromiso"/>
    <s v="0300"/>
    <x v="0"/>
    <x v="12"/>
    <s v="ADQUISICIÓN DE BIENES Y SERVICIOS - SERVICIO DE INFORMACIÓN CARTOGRÁFICA ACTUALIZADO - LEVANTAMIENTO , GENERACIÓN Y ACTUALIZACIÓN DE LA RED GEODÉSICA Y LA CARTOGRAFÍA BÁSICA A NIVEL   NACIONAL"/>
    <s v="Nación"/>
    <x v="0"/>
    <s v="CSF"/>
    <n v="140352534"/>
    <n v="0"/>
    <n v="140352534"/>
    <n v="0"/>
    <s v="Prestación de servicios profesionales para gestionar, controlar y hacer seguimiento de los procesos de producción cartográfica, asignados de conformidad con los lineamientos establecidos."/>
    <s v="36921"/>
    <s v="33621, 33921"/>
    <s v="96821, 97921"/>
    <s v="175421, 190021, 260221, 268321, 314621, 323521, 368721, 369521, 415821, 425621, 497221, 502321, 567221, 568121"/>
    <s v="45447821, 59637821, 70417021, 74925221, 93586321, 97663421, 121282221, 121296021, 143118721, 145826821, 177634921, 179453921, 212959621, 213498021"/>
    <s v="-0"/>
    <x v="0"/>
    <x v="3"/>
  </r>
  <r>
    <s v="35121"/>
    <s v="2021-02-05 00:00:00"/>
    <s v="2021-02-05 17:52: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apoyar la gestión logística de la Subdirección de Geografía y Cartografía"/>
    <s v="36821"/>
    <s v="-0"/>
    <s v="-0"/>
    <s v="-0"/>
    <s v="-0"/>
    <s v="-0"/>
    <x v="0"/>
    <x v="3"/>
  </r>
  <r>
    <s v="35221"/>
    <s v="2021-02-05 00:00:00"/>
    <s v="2021-02-05 17:53: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realizar de apoyo a la gestión administrativa de los procesos y proyectos misionales de la Subdirección de Geografía y Cartografía"/>
    <s v="36721"/>
    <s v="-0"/>
    <s v="-0"/>
    <s v="-0"/>
    <s v="-0"/>
    <s v="-0"/>
    <x v="0"/>
    <x v="3"/>
  </r>
  <r>
    <s v="35321"/>
    <s v="2021-02-05 00:00:00"/>
    <s v="2021-02-05 17:58:00"/>
    <s v="Gasto"/>
    <s v="Con Compromiso"/>
    <s v="0300"/>
    <x v="0"/>
    <x v="4"/>
    <s v="ADQUISICIÓN DE BIENES Y SERVICIOS - SERVICIOS DE INFORMACIÓN GEODÉSICA ACTUALIZADO - LEVANTAMIENTO , GENERACIÓN Y ACTUALIZACIÓN DE LA RED GEODÉSICA Y LA CARTOGRAFÍA BÁSICA A NIVEL   NACIONAL"/>
    <s v="Nación"/>
    <x v="0"/>
    <s v="CSF"/>
    <n v="28050571"/>
    <n v="-1335741"/>
    <n v="26714830"/>
    <n v="0"/>
    <s v="Prestación de servicios para la gestión, inventario y verificación de los equipos de medición de la subdirección de geografía y cartografía"/>
    <s v="36621"/>
    <s v="58121"/>
    <s v="165321"/>
    <s v="272921, 323321, 368121, 450321, 486921, 553121"/>
    <s v="78375421, 97509121, 121254821, 151984121, 175145521, 209924321"/>
    <s v="-0"/>
    <x v="0"/>
    <x v="3"/>
  </r>
  <r>
    <s v="35421"/>
    <s v="2021-02-05 00:00:00"/>
    <s v="2021-02-05 17:59:00"/>
    <s v="Gasto"/>
    <s v="Con Compromiso"/>
    <s v="0300"/>
    <x v="0"/>
    <x v="4"/>
    <s v="ADQUISICIÓN DE BIENES Y SERVICIOS - SERVICIOS DE INFORMACIÓN GEODÉSICA ACTUALIZADO - LEVANTAMIENTO , GENERACIÓN Y ACTUALIZACIÓN DE LA RED GEODÉSICA Y LA CARTOGRAFÍA BÁSICA A NIVEL   NACIONAL"/>
    <s v="Propios"/>
    <x v="1"/>
    <s v="CSF"/>
    <n v="52252452"/>
    <n v="0"/>
    <n v="52252452"/>
    <n v="0"/>
    <s v="Prestación de servicios para realizar la preparación, revisión y consolidación de datos de campo para el cálculo y ajuste de la línea de nivelación"/>
    <s v="36521"/>
    <s v="36721"/>
    <s v="100421"/>
    <s v="177121, 244321, 310221, 379021, 435621, 507021, 565221"/>
    <s v="47845521, 65825521, 92601321, 123731421, 147417321, 180897321, 212842321"/>
    <s v="-0"/>
    <x v="0"/>
    <x v="3"/>
  </r>
  <r>
    <s v="35521"/>
    <s v="2021-02-05 00:00:00"/>
    <s v="2021-02-05 18:00:00"/>
    <s v="Gasto"/>
    <s v="Con Compromiso"/>
    <s v="0300"/>
    <x v="0"/>
    <x v="4"/>
    <s v="ADQUISICIÓN DE BIENES Y SERVICIOS - SERVICIOS DE INFORMACIÓN GEODÉSICA ACTUALIZADO - LEVANTAMIENTO , GENERACIÓN Y ACTUALIZACIÓN DE LA RED GEODÉSICA Y LA CARTOGRAFÍA BÁSICA A NIVEL   NACIONAL"/>
    <s v="Nación"/>
    <x v="0"/>
    <s v="CSF"/>
    <n v="28050572"/>
    <n v="-1335742"/>
    <n v="26714830"/>
    <n v="0"/>
    <s v="Prestación de servicios para la preparación de insumos, validación, y digitación de la información levantada en campo"/>
    <s v="36421"/>
    <s v="59421"/>
    <s v="210221"/>
    <s v="319221, 361321, 436321, 515521, 578721"/>
    <s v="96311621, 118827221, 147523021, 183407721, 217995721"/>
    <s v="-0"/>
    <x v="0"/>
    <x v="3"/>
  </r>
  <r>
    <s v="35621"/>
    <s v="2021-02-05 00:00:00"/>
    <s v="2021-02-05 18:01:00"/>
    <s v="Gasto"/>
    <s v="Con Compromiso"/>
    <s v="0300"/>
    <x v="0"/>
    <x v="12"/>
    <s v="ADQUISICIÓN DE BIENES Y SERVICIOS - SERVICIO DE INFORMACIÓN CARTOGRÁFICA ACTUALIZADO - LEVANTAMIENTO , GENERACIÓN Y ACTUALIZACIÓN DE LA RED GEODÉSICA Y LA CARTOGRAFÍA BÁSICA A NIVEL   NACIONAL"/>
    <s v="Propios"/>
    <x v="1"/>
    <s v="CSF"/>
    <n v="80144490"/>
    <n v="0"/>
    <n v="80144490"/>
    <n v="0"/>
    <s v="Prestación de servicios para apoyar la generación de ortoimágenes a diferentes escalas, de conformidad con las especificaciones técnicas y rendimientos establecidos."/>
    <s v="36321"/>
    <s v="46421, 46521, 46621"/>
    <s v="126621, 126821, 127021"/>
    <s v="200421, 236521, 236821, 273021, 273521, 273621, 330821, 331421, 332721, 396821, 396921, 403721, 468921, 469121, 470221, 537521, 537921, 538021"/>
    <s v="62872521, 62874021, 62942621, 78375821, 78773121, 78774921, 105291521, 106468521, 107505821, 134983721, 135154121, 139068621, 167140921, 167154421, 168375621, 195857621, 195871021, 195871721"/>
    <s v="-0"/>
    <x v="0"/>
    <x v="3"/>
  </r>
  <r>
    <s v="35921"/>
    <s v="2021-02-09 00:00:00"/>
    <s v="2021-02-09 18:10:00"/>
    <s v="Gasto"/>
    <s v="Con Compromiso"/>
    <s v="0300"/>
    <x v="0"/>
    <x v="12"/>
    <s v="ADQUISICIÓN DE BIENES Y SERVICIOS - SERVICIO DE INFORMACIÓN CARTOGRÁFICA ACTUALIZADO - LEVANTAMIENTO , GENERACIÓN Y ACTUALIZACIÓN DE LA RED GEODÉSICA Y LA CARTOGRAFÍA BÁSICA A NIVEL   NACIONAL"/>
    <s v="Nación"/>
    <x v="0"/>
    <s v="CSF"/>
    <n v="4945471"/>
    <n v="-856001"/>
    <n v="4089470"/>
    <n v="0"/>
    <s v="APOYAR LA MOVILIDAD EN EL LEVANTAMIENTO TOPOGRAFICO EN EL PREDIO LAS PAMPAS EN AREA RURAL DEL MUNICIPIO DE CIENAGA EN EL DEPARTAMENTO DE MAGDALENA"/>
    <s v="39121"/>
    <s v="32021"/>
    <s v="64821"/>
    <s v="100821"/>
    <s v="21300221"/>
    <s v="2621"/>
    <x v="0"/>
    <x v="3"/>
  </r>
  <r>
    <s v="36021"/>
    <s v="2021-02-10 00:00:00"/>
    <s v="2021-02-10 14:12:00"/>
    <s v="Gasto"/>
    <s v="Con Compromiso"/>
    <s v="0500"/>
    <x v="0"/>
    <x v="1"/>
    <s v="ADQUISICIÓN DE BIENES Y SERVICIOS - SERVICIO DE INFORMACIÓN CATASTRAL - ACTUALIZACIÓN  Y GESTIÓN CATASTRAL  NACIONAL"/>
    <s v="Nación"/>
    <x v="0"/>
    <s v="CSF"/>
    <n v="18748392"/>
    <n v="0"/>
    <n v="18748392"/>
    <n v="0"/>
    <s v="Prestación de servicios profesionales para realizar los procesos de planeación y seguimiento al plan de acción de la dirección territorial Casanare, en el marco de los lineamientos institucionales vigentes"/>
    <s v="38721"/>
    <s v="73221"/>
    <s v="221821"/>
    <s v="328621, 387521, 476421, 523721, 578021"/>
    <s v="100579421, 127270521, 171387521, 187307021, 217457321"/>
    <s v="-0"/>
    <x v="0"/>
    <x v="1"/>
  </r>
  <r>
    <s v="36121"/>
    <s v="2021-02-10 00:00:00"/>
    <s v="2021-02-10 14:13:00"/>
    <s v="Gasto"/>
    <s v="Con Compromiso"/>
    <s v="0500"/>
    <x v="0"/>
    <x v="1"/>
    <s v="ADQUISICIÓN DE BIENES Y SERVICIOS - SERVICIO DE INFORMACIÓN CATASTRAL - ACTUALIZACIÓN  Y GESTIÓN CATASTRAL  NACIONAL"/>
    <s v="Nación"/>
    <x v="0"/>
    <s v="CSF"/>
    <n v="10207458"/>
    <n v="0"/>
    <n v="10207458"/>
    <n v="0"/>
    <s v="Prestación de servicios de apoyo a la gestión desarrollada en procesos catastrales de la dirección territorial Casanare"/>
    <s v="38521"/>
    <s v="72821"/>
    <s v="217721"/>
    <s v="326521, 387621, 479821, 523821, 578521"/>
    <s v="98240821, 127272321, 173219721, 187307121, 217494921"/>
    <s v="-0"/>
    <x v="0"/>
    <x v="1"/>
  </r>
  <r>
    <s v="36221"/>
    <s v="2021-02-10 00:00:00"/>
    <s v="2021-02-10 14:15:00"/>
    <s v="Gasto"/>
    <s v="Generado"/>
    <s v="0500"/>
    <x v="0"/>
    <x v="1"/>
    <s v="ADQUISICIÓN DE BIENES Y SERVICIOS - SERVICIO DE INFORMACIÓN CATASTRAL - ACTUALIZACIÓN  Y GESTIÓN CATASTRAL  NACIONAL"/>
    <s v="Nación"/>
    <x v="0"/>
    <s v="CSF"/>
    <n v="25492500"/>
    <n v="-25492500"/>
    <n v="0"/>
    <n v="0"/>
    <s v="Prestación de servicios personales para adelantar actividades de reconocimiento predial urbano y rural, en atención a los requerimientos administrativos y judiciales del proceso de restitución de tierras en la dirección territorial Casanare"/>
    <s v="38821"/>
    <s v="-0"/>
    <s v="-0"/>
    <s v="-0"/>
    <s v="-0"/>
    <s v="-0"/>
    <x v="0"/>
    <x v="1"/>
  </r>
  <r>
    <s v="36321"/>
    <s v="2021-02-10 00:00:00"/>
    <s v="2021-02-10 14:16:00"/>
    <s v="Gasto"/>
    <s v="Con Compromiso"/>
    <s v="0500"/>
    <x v="0"/>
    <x v="1"/>
    <s v="ADQUISICIÓN DE BIENES Y SERVICIOS - SERVICIO DE INFORMACIÓN CATASTRAL - ACTUALIZACIÓN  Y GESTIÓN CATASTRAL  NACIONAL"/>
    <s v="Nación"/>
    <x v="0"/>
    <s v="CSF"/>
    <n v="18748392"/>
    <n v="0"/>
    <n v="18748392"/>
    <n v="3124732"/>
    <s v="Prestación de servicios personales para realizar actividades de reconocimiento predial urbano y rural para la atención de trámites en los procesos catastrales de la dirección territorial Casanare"/>
    <s v="38621"/>
    <s v="83921"/>
    <s v="282321"/>
    <s v="388921, 476321, 530421, 604321, 606721"/>
    <s v="127348121, 171377321, 188272921, 225623121, 227519521"/>
    <s v="-0"/>
    <x v="0"/>
    <x v="1"/>
  </r>
  <r>
    <s v="36421"/>
    <s v="2021-02-10 00:00:00"/>
    <s v="2021-02-10 14:18:00"/>
    <s v="Gasto"/>
    <s v="Con Compromiso"/>
    <s v="0500"/>
    <x v="0"/>
    <x v="1"/>
    <s v="ADQUISICIÓN DE BIENES Y SERVICIOS - SERVICIO DE INFORMACIÓN CATASTRAL - ACTUALIZACIÓN  Y GESTIÓN CATASTRAL  NACIONAL"/>
    <s v="Nación"/>
    <x v="0"/>
    <s v="CSF"/>
    <n v="12589290"/>
    <n v="0"/>
    <n v="12589290"/>
    <n v="0"/>
    <s v="Prestación de servicios de apoyo a la gestión en ventanilla para atención al usuario presencial y virtual en los procesos catastrales de la dirección territorial Casanare"/>
    <s v="38421"/>
    <s v="71321"/>
    <s v="219621"/>
    <s v="327721, 388321, 479721, 518621, 593321"/>
    <s v="99298121, 127326421, 173218721, 184208421, 222213221"/>
    <s v="-0"/>
    <x v="0"/>
    <x v="1"/>
  </r>
  <r>
    <s v="36721"/>
    <s v="2021-02-12 00:00:00"/>
    <s v="2021-02-12 11:18:00"/>
    <s v="Gasto"/>
    <s v="Con Compromiso"/>
    <s v="0300"/>
    <x v="0"/>
    <x v="12"/>
    <s v="ADQUISICIÓN DE BIENES Y SERVICIOS - SERVICIO DE INFORMACIÓN CARTOGRÁFICA ACTUALIZADO - LEVANTAMIENTO , GENERACIÓN Y ACTUALIZACIÓN DE LA RED GEODÉSICA Y LA CARTOGRAFÍA BÁSICA A NIVEL   NACIONAL"/>
    <s v="Nación"/>
    <x v="0"/>
    <s v="CSF"/>
    <n v="15217687"/>
    <n v="-5825810"/>
    <n v="9391877"/>
    <n v="0"/>
    <s v="REALIZAR TRABAJOS DE AEROFOTOGRAFIA CON AERONAVES NO TRIPULADAS TIPO DRON EN LOS MUNICIPIOS DE SARDINATA (NORTE DE SANTANDER), VALENCIA (CÓRDOBA) POPAYAN (CAUCA) Y CUENCA DE LA QUEBRADA YAGUILGA EN EL HUILA"/>
    <s v="39421"/>
    <s v="35921, 36021, 36121"/>
    <s v="68421, 68521, 68621"/>
    <s v="106721, 106821, 106921"/>
    <s v="26554221, 26555421, 26584221"/>
    <s v="2021, 4221"/>
    <x v="0"/>
    <x v="3"/>
  </r>
  <r>
    <s v="36821"/>
    <s v="2021-02-12 00:00:00"/>
    <s v="2021-02-12 11:32:00"/>
    <s v="Gasto"/>
    <s v="Con Compromiso"/>
    <s v="0160"/>
    <x v="0"/>
    <x v="3"/>
    <s v="ADQUISICIÓN DE BIENES Y SERVICIOS - SERVICIOS DE INFORMACIÓN IMPLEMENTADOS - FORTALECIMIENTO DE LOS PROCESOS DE DIFUSIÓN Y ACCESO A LA INFORMACIÓN GEOGRÁFICA A NIVEL   NACIONAL"/>
    <s v="Propios"/>
    <x v="1"/>
    <s v="CSF"/>
    <n v="54740664"/>
    <n v="0"/>
    <n v="54740664"/>
    <n v="0"/>
    <s v="Prestación de servicios profesionales para difundir, promocionar y comercializar los productos y servicios del IGAC a nivel Nacional."/>
    <s v="39521"/>
    <s v="41221"/>
    <s v="119121"/>
    <s v="194521, 295121, 342721, 443721, 513021, 586121"/>
    <s v="61033121, 87716721, 112820521, 149787621, 182398221, 219788821"/>
    <s v="-0"/>
    <x v="0"/>
    <x v="2"/>
  </r>
  <r>
    <s v="37021"/>
    <s v="2021-02-16 00:00:00"/>
    <s v="2021-02-16 09:04:00"/>
    <s v="Gasto"/>
    <s v="Con Compromiso"/>
    <s v="0500"/>
    <x v="0"/>
    <x v="1"/>
    <s v="ADQUISICIÓN DE BIENES Y SERVICIOS - SERVICIO DE INFORMACIÓN CATASTRAL - ACTUALIZACIÓN  Y GESTIÓN CATASTRAL  NACIONAL"/>
    <s v="Nación"/>
    <x v="0"/>
    <s v="CSF"/>
    <n v="81794668"/>
    <n v="-4781843"/>
    <n v="77012825"/>
    <n v="0"/>
    <s v="Prestación de servicios profesionales para administrar y realizar mantenimiento a los modelos y submodelos LADMCOL requeridos en la implementación de la política de catastro multipropósito, de acuerdo con los lineamientos"/>
    <s v="39721"/>
    <s v="51121"/>
    <s v="141921"/>
    <s v="253321, 313821, 370821, 407221, 486821, 550021"/>
    <s v="69326221, 93509321, 121346521, 140707021, 175143621, 209340321"/>
    <s v="-0"/>
    <x v="0"/>
    <x v="1"/>
  </r>
  <r>
    <s v="37121"/>
    <s v="2021-02-16 00:00:00"/>
    <s v="2021-02-16 15:13:00"/>
    <s v="Gasto"/>
    <s v="Con Compromiso"/>
    <s v="0300"/>
    <x v="0"/>
    <x v="4"/>
    <s v="ADQUISICIÓN DE BIENES Y SERVICIOS - SERVICIOS DE INFORMACIÓN GEODÉSICA ACTUALIZADO - LEVANTAMIENTO , GENERACIÓN Y ACTUALIZACIÓN DE LA RED GEODÉSICA Y LA CARTOGRAFÍA BÁSICA A NIVEL   NACIONAL"/>
    <s v="Nación"/>
    <x v="0"/>
    <s v="CSF"/>
    <n v="30297693"/>
    <n v="-26298230"/>
    <n v="3999463"/>
    <n v="0"/>
    <s v="Realizar la materialización de dos estación de funcionamiento continúo (CORS-GNSS) en Arauquita (Arauca) y Panamá de Arauca (Arauca) y mantenimiento correctivo a dos estaciones de funcionamiento continúo (CORS-GNSS) en Arauca (Arauca) y Yopal (Casana"/>
    <s v="39821"/>
    <s v="40421"/>
    <s v="71621"/>
    <s v="109621"/>
    <s v="29319321"/>
    <s v="-0"/>
    <x v="0"/>
    <x v="3"/>
  </r>
  <r>
    <s v="37221"/>
    <s v="2021-02-18 00:00:00"/>
    <s v="2021-02-18 10:48:00"/>
    <s v="Gasto"/>
    <s v="Con Compromiso"/>
    <s v="0300"/>
    <x v="0"/>
    <x v="4"/>
    <s v="ADQUISICIÓN DE BIENES Y SERVICIOS - SERVICIOS DE INFORMACIÓN GEODÉSICA ACTUALIZADO - LEVANTAMIENTO , GENERACIÓN Y ACTUALIZACIÓN DE LA RED GEODÉSICA Y LA CARTOGRAFÍA BÁSICA A NIVEL   NACIONAL"/>
    <s v="Propios"/>
    <x v="1"/>
    <s v="CSF"/>
    <n v="26298230"/>
    <n v="-1140172.3600000001"/>
    <n v="25158057.640000001"/>
    <n v="0"/>
    <s v="Realizar la materialización de dos estación de funcionamiento continúo (CORS-GNSS) en Arauquita (Arauca) y Panamá de Arauca (Arauca) y mantenimiento correctivo a dos estaciones de funcionamiento continúo (CORS-GNSS) en Arauca (Arauca) y Yopal (Casana"/>
    <s v="40121"/>
    <s v="40121, 40221, 40321"/>
    <s v="70921, 71221, 71421"/>
    <s v="108721, 109321, 109421"/>
    <s v="29006921, 29150721, 29152021"/>
    <s v="5221, 6021"/>
    <x v="0"/>
    <x v="3"/>
  </r>
  <r>
    <s v="37321"/>
    <s v="2021-02-18 00:00:00"/>
    <s v="2021-02-18 15:10:00"/>
    <s v="Gasto"/>
    <s v="Con Compromiso"/>
    <s v="0500"/>
    <x v="0"/>
    <x v="1"/>
    <s v="ADQUISICIÓN DE BIENES Y SERVICIOS - SERVICIO DE INFORMACIÓN CATASTRAL - ACTUALIZACIÓN  Y GESTIÓN CATASTRAL  NACIONAL"/>
    <s v="Nación"/>
    <x v="0"/>
    <s v="CSF"/>
    <n v="100000000"/>
    <n v="0"/>
    <n v="100000000"/>
    <n v="2987145"/>
    <s v="VIÁTICOS Y GASTOS DE COMISIÓN DE LA SUBDIRECCIÓN DE CATASTRO PARA FUNCIONARIOS Y CONTRATISTAS"/>
    <s v="40221"/>
    <s v="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
    <s v="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
    <s v="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
    <s v="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
    <s v="3921, 4021, 4821, 4921, 5021, 7321, 7521, 7621, 7721, 7821, 8121, 8221, 8321, 8421, 9321, 9721, 12421, 15121, 21221"/>
    <x v="0"/>
    <x v="1"/>
  </r>
  <r>
    <s v="37621"/>
    <s v="2021-02-22 00:00:00"/>
    <s v="2021-02-22 08:11:00"/>
    <s v="Gasto"/>
    <s v="Generado"/>
    <s v="0200"/>
    <x v="0"/>
    <x v="19"/>
    <s v="ADQUISICIÓN DE BIENES Y SERVICIOS - SEDES MANTENIDAS - FORTALECIMIENTO DE LA INFRAESTRUCTURA FÍSICA DEL IGAC A NIVEL  NACIONAL"/>
    <s v="Nación"/>
    <x v="0"/>
    <s v="CSF"/>
    <n v="142436206"/>
    <n v="-142436206"/>
    <n v="0"/>
    <n v="0"/>
    <s v="Prestación de servicios profesionales para la articulación, evaluación y control a los planes, programas y proyectos de la infraestructura física y garantizar los objetos planteados a nivel nacional del proyecto fortalecimiento de la_x000a_infraestructura"/>
    <s v="40521"/>
    <s v="-0"/>
    <s v="-0"/>
    <s v="-0"/>
    <s v="-0"/>
    <s v="-0"/>
    <x v="0"/>
    <x v="0"/>
  </r>
  <r>
    <s v="37721"/>
    <s v="2021-02-22 00:00:00"/>
    <s v="2021-02-22 08:12:00"/>
    <s v="Gasto"/>
    <s v="Generado"/>
    <s v="0200"/>
    <x v="0"/>
    <x v="19"/>
    <s v="ADQUISICIÓN DE BIENES Y SERVICIOS - SEDES MANTENIDAS - FORTALECIMIENTO DE LA INFRAESTRUCTURA FÍSICA DEL IGAC A NIVEL  NACIONAL"/>
    <s v="Propios"/>
    <x v="1"/>
    <s v="CSF"/>
    <n v="11278820"/>
    <n v="-11278820"/>
    <n v="0"/>
    <n v="0"/>
    <s v="Adquisición e instrucciones de instalación de equipo eyector de aguas residuales para la sede central del IGAC"/>
    <s v="40621"/>
    <s v="-0"/>
    <s v="-0"/>
    <s v="-0"/>
    <s v="-0"/>
    <s v="-0"/>
    <x v="0"/>
    <x v="0"/>
  </r>
  <r>
    <s v="37821"/>
    <s v="2021-02-22 00:00:00"/>
    <s v="2021-02-22 10:0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9321464"/>
    <n v="0"/>
    <n v="29321464"/>
    <n v="0"/>
    <s v="Prestación de servicios profesionales para la realización del modelamiento y desarrollo de la arquitectura, definiendo modelo conceptual, lógico, arquitectura física y estructura de la base de datos para la solución de software de los_x000a_proyectos en te"/>
    <s v="39921"/>
    <s v="55921"/>
    <s v="214621"/>
    <s v="324921, 325021, 384821, 440221"/>
    <s v="98371921, 98372121, 126863021, 148263121"/>
    <s v="-0"/>
    <x v="0"/>
    <x v="4"/>
  </r>
  <r>
    <s v="38021"/>
    <s v="2021-02-22 00:00:00"/>
    <s v="2021-02-22 16:33:00"/>
    <s v="Gasto"/>
    <s v="Con Compromiso"/>
    <s v="0500"/>
    <x v="0"/>
    <x v="1"/>
    <s v="ADQUISICIÓN DE BIENES Y SERVICIOS - SERVICIO DE INFORMACIÓN CATASTRAL - ACTUALIZACIÓN  Y GESTIÓN CATASTRAL  NACIONAL"/>
    <s v="Propios"/>
    <x v="1"/>
    <s v="CSF"/>
    <n v="200000000"/>
    <n v="-120000000"/>
    <n v="8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1"/>
  </r>
  <r>
    <s v="38021"/>
    <s v="2021-02-22 00:00:00"/>
    <s v="2021-02-22 16:33:00"/>
    <s v="Gasto"/>
    <s v="Con Compromiso"/>
    <s v="0300"/>
    <x v="0"/>
    <x v="12"/>
    <s v="ADQUISICIÓN DE BIENES Y SERVICIOS - SERVICIO DE INFORMACIÓN CARTOGRÁFICA ACTUALIZADO - LEVANTAMIENTO , GENERACIÓN Y ACTUALIZACIÓN DE LA RED GEODÉSICA Y LA CARTOGRAFÍA BÁSICA A NIVEL   NACIONAL"/>
    <s v="Propios"/>
    <x v="1"/>
    <s v="CSF"/>
    <n v="100000000"/>
    <n v="0"/>
    <n v="10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3"/>
  </r>
  <r>
    <s v="38121"/>
    <s v="2021-02-22 00:00:00"/>
    <s v="2021-02-22 18:55:00"/>
    <s v="Gasto"/>
    <s v="Con Compromiso"/>
    <s v="0300"/>
    <x v="0"/>
    <x v="4"/>
    <s v="ADQUISICIÓN DE BIENES Y SERVICIOS - SERVICIOS DE INFORMACIÓN GEODÉSICA ACTUALIZADO - LEVANTAMIENTO , GENERACIÓN Y ACTUALIZACIÓN DE LA RED GEODÉSICA Y LA CARTOGRAFÍA BÁSICA A NIVEL   NACIONAL"/>
    <s v="Propios"/>
    <x v="1"/>
    <s v="CSF"/>
    <n v="20000000"/>
    <n v="50302278"/>
    <n v="70302278"/>
    <n v="18663789"/>
    <s v="Pago líneas móviles de la Subdirección de Geografía y Cartografía (Movistar)"/>
    <s v="40821"/>
    <s v="45521, 66221, 67221, 76521, 78321, 83321, 89121, 96021, 100721, 102521, 112821, 117921, 121421, 141421, 141521, 141621, 141721"/>
    <s v="77421, 138021, 143721, 181221, 187321, 223121, 235921, 289521, 303121, 308421, 365021, 384821, 415221"/>
    <s v="155121, 248421, 256021, 288121, 296021, 329721, 340721, 393021, 408821, 464421, 480521, 511321"/>
    <s v="44487921, 67313621, 69779121, 87815221, 88158221, 112735421, 116003121, 130360321, 141019821, 164095621, 173240221, 181750821"/>
    <s v="-0"/>
    <x v="0"/>
    <x v="3"/>
  </r>
  <r>
    <s v="38321"/>
    <s v="2021-02-23 00:00:00"/>
    <s v="2021-02-23 11:38:00"/>
    <s v="Gasto"/>
    <s v="Con Compromiso"/>
    <s v="0300"/>
    <x v="0"/>
    <x v="4"/>
    <s v="ADQUISICIÓN DE BIENES Y SERVICIOS - SERVICIOS DE INFORMACIÓN GEODÉSICA ACTUALIZADO - LEVANTAMIENTO , GENERACIÓN Y ACTUALIZACIÓN DE LA RED GEODÉSICA Y LA CARTOGRAFÍA BÁSICA A NIVEL   NACIONAL"/>
    <s v="Nación"/>
    <x v="0"/>
    <s v="CSF"/>
    <n v="8194188"/>
    <n v="0"/>
    <n v="8194188"/>
    <n v="0"/>
    <s v="Realizar trabajos de densificación de la red geodésica nacional activa, red geodésica nacional pasiva y el levantamiento de puntos de precisión; de utilidad para la generación de productos cartográficos y geodésicos de los_x000a_municipios de Santa Rosalía"/>
    <s v="41021"/>
    <s v="44821, 44921"/>
    <s v="77021, 77221"/>
    <s v="163921, 164021"/>
    <s v="40942221, 40943321"/>
    <s v="5121"/>
    <x v="0"/>
    <x v="3"/>
  </r>
  <r>
    <s v="38421"/>
    <s v="2021-02-23 00:00:00"/>
    <s v="2021-02-23 11:39:00"/>
    <s v="Gasto"/>
    <s v="Con Compromiso"/>
    <s v="0300"/>
    <x v="0"/>
    <x v="4"/>
    <s v="ADQUISICIÓN DE BIENES Y SERVICIOS - SERVICIOS DE INFORMACIÓN GEODÉSICA ACTUALIZADO - LEVANTAMIENTO , GENERACIÓN Y ACTUALIZACIÓN DE LA RED GEODÉSICA Y LA CARTOGRAFÍA BÁSICA A NIVEL   NACIONAL"/>
    <s v="Propios"/>
    <x v="1"/>
    <s v="CSF"/>
    <n v="36664586"/>
    <n v="-12697057.6"/>
    <n v="23967528.399999999"/>
    <n v="0"/>
    <s v="Realizar trabajos de densificación de la red geodésica nacional activa, red geodésica nacional pasiva y el levantamiento de puntos de precisión; de utilidad para la generación de productos cartográficos y geodésicos de los_x000a_municipios de Santa Rosalía"/>
    <s v="41121"/>
    <s v="45021, 45121, 45221, 45321"/>
    <s v="75521, 76421, 76521, 76621"/>
    <s v="153421, 154221, 154321, 154521"/>
    <s v="34358621, 34790921, 34792721, 34797221"/>
    <s v="5321, 5421, 5521, 6521, 7221"/>
    <x v="0"/>
    <x v="3"/>
  </r>
  <r>
    <s v="38621"/>
    <s v="2021-02-24 00:00:00"/>
    <s v="2021-02-24 10:07:00"/>
    <s v="Gasto"/>
    <s v="Con Compromiso"/>
    <s v="0300"/>
    <x v="0"/>
    <x v="12"/>
    <s v="ADQUISICIÓN DE BIENES Y SERVICIOS - SERVICIO DE INFORMACIÓN CARTOGRÁFICA ACTUALIZADO - LEVANTAMIENTO , GENERACIÓN Y ACTUALIZACIÓN DE LA RED GEODÉSICA Y LA CARTOGRAFÍA BÁSICA A NIVEL   NACIONAL"/>
    <s v="Propios"/>
    <x v="1"/>
    <s v="CSF"/>
    <n v="21371864"/>
    <n v="0"/>
    <n v="21371864"/>
    <n v="0"/>
    <s v="Prestación de servicios para realizar procesos de generalización de información cartográfica para los diferentes fines."/>
    <s v="41421"/>
    <s v="51721"/>
    <s v="168221"/>
    <s v="275821, 302521, 356821, 415321, 507821, 566321"/>
    <s v="79319621, 90568221, 117307121, 143116121, 181460221, 212948421"/>
    <s v="-0"/>
    <x v="0"/>
    <x v="3"/>
  </r>
  <r>
    <s v="38821"/>
    <s v="2021-02-25 00:00:00"/>
    <s v="2021-02-25 10:2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0"/>
    <n v="58642928"/>
    <n v="0"/>
    <s v="Prestación de servicios profesionales para conceptualizar, implementar y monitorear las bases de datos de los proyectos de tecnologías de información geográfica a cargo de la_x000a_oficina CIAF."/>
    <s v="41521"/>
    <s v="59021"/>
    <s v="222021"/>
    <s v="328821, 387921, 449721, 511821, 585321"/>
    <s v="100584421, 127281121, 151867521, 182093721, 219732421"/>
    <s v="-0"/>
    <x v="0"/>
    <x v="4"/>
  </r>
  <r>
    <s v="38921"/>
    <s v="2021-02-25 00:00:00"/>
    <s v="2021-02-25 10:2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8371698"/>
    <n v="0"/>
    <n v="38371698"/>
    <n v="0"/>
    <s v="Prestación de servicios profesionales para generación de código fuente y documentación en el desarrollo de aplicaciones de los proyectos de tecnologías de información Geográfica que adelante la_x000a_oficina CIAF."/>
    <s v="41621"/>
    <s v="66821"/>
    <s v="204621"/>
    <s v="315921, 384921, 429421, 511921, 598821"/>
    <s v="95402421, 126864421, 146528121, 182097921, 228500521"/>
    <s v="-0"/>
    <x v="0"/>
    <x v="4"/>
  </r>
  <r>
    <s v="39021"/>
    <s v="2021-02-25 00:00:00"/>
    <s v="2021-02-25 10:2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45421530"/>
    <n v="-19466370"/>
    <n v="25955160"/>
    <n v="0"/>
    <s v="Prestación de servicios profesionales para el desarrollo, ajuste y documentación de las aplicaciones en tecnologías de información geográfica a cargo de la oficina CIAF."/>
    <s v="41721"/>
    <s v="75621"/>
    <s v="291521"/>
    <s v="394821, 457921, 528021"/>
    <s v="131742221, 157498921, 187311221"/>
    <s v="-0"/>
    <x v="0"/>
    <x v="4"/>
  </r>
  <r>
    <s v="39121"/>
    <s v="2021-02-25 00:00:00"/>
    <s v="2021-02-25 11:19:00"/>
    <s v="Gasto"/>
    <s v="Con Compromiso"/>
    <s v="0200"/>
    <x v="0"/>
    <x v="19"/>
    <s v="ADQUISICIÓN DE BIENES Y SERVICIOS - SEDES MANTENIDAS - FORTALECIMIENTO DE LA INFRAESTRUCTURA FÍSICA DEL IGAC A NIVEL  NACIONAL"/>
    <s v="Nación"/>
    <x v="0"/>
    <s v="CSF"/>
    <n v="25897492"/>
    <n v="0"/>
    <n v="25897492"/>
    <n v="0"/>
    <s v="Adición y prorroga contrato 23399 de 2020 Prestación de servicios profesionales para la articulación, evaluación y control a los planes, programas y proyectos de la infraestructura física y garantizar los objetos planteados a nivel_x000a_nacional del proye"/>
    <s v="41321"/>
    <s v="47121"/>
    <s v="157421"/>
    <s v="303621, 329421, 338521"/>
    <s v="90752721, 111287921"/>
    <s v="-0"/>
    <x v="0"/>
    <x v="0"/>
  </r>
  <r>
    <s v="39221"/>
    <s v="2021-02-25 00:00:00"/>
    <s v="2021-02-25 14:30:00"/>
    <s v="Gasto"/>
    <s v="Con Compromiso"/>
    <s v="0500"/>
    <x v="0"/>
    <x v="1"/>
    <s v="ADQUISICIÓN DE BIENES Y SERVICIOS - SERVICIO DE INFORMACIÓN CATASTRAL - ACTUALIZACIÓN  Y GESTIÓN CATASTRAL  NACIONAL"/>
    <s v="Propios"/>
    <x v="1"/>
    <s v="CSF"/>
    <n v="13357415"/>
    <n v="0"/>
    <n v="13357415"/>
    <n v="0"/>
    <s v="Prestación de servicios de apoyo para ejecutar actividades de soporte técnico de primer nivel en la mesa de servicio del Sistema Nacional de Catastro"/>
    <s v="41921"/>
    <s v="56321"/>
    <s v="155221"/>
    <s v="267021, 305821, 386521, 453921, 525521"/>
    <s v="72208621, 91016221, 127074921, 153046721, 187308821"/>
    <s v="-0"/>
    <x v="0"/>
    <x v="1"/>
  </r>
  <r>
    <s v="39321"/>
    <s v="2021-02-25 00:00:00"/>
    <s v="2021-02-25 14:31:00"/>
    <s v="Gasto"/>
    <s v="Con Compromiso"/>
    <s v="0500"/>
    <x v="0"/>
    <x v="1"/>
    <s v="ADQUISICIÓN DE BIENES Y SERVICIOS - SERVICIO DE INFORMACIÓN CATASTRAL - ACTUALIZACIÓN  Y GESTIÓN CATASTRAL  NACIONAL"/>
    <s v="Propios"/>
    <x v="1"/>
    <s v="CSF"/>
    <n v="24882120"/>
    <n v="0"/>
    <n v="24882120"/>
    <n v="0"/>
    <s v="Prestación de servicios profesionales para realizar actividades de soporte técnico de segundo nivel en la mesa de servicio del Sistema Nacional de Catastro"/>
    <s v="42021"/>
    <s v="57521"/>
    <s v="176821"/>
    <s v="283921, 316521, 386221, 456521, 505721"/>
    <s v="85045621, 95449721, 127072321, 157460721, 180753321"/>
    <s v="-0"/>
    <x v="0"/>
    <x v="1"/>
  </r>
  <r>
    <s v="39521"/>
    <s v="2021-03-02 00:00:00"/>
    <s v="2021-03-02 16:14:00"/>
    <s v="Gasto"/>
    <s v="Con Compromiso"/>
    <s v="0300"/>
    <x v="0"/>
    <x v="12"/>
    <s v="ADQUISICIÓN DE BIENES Y SERVICIOS - SERVICIO DE INFORMACIÓN CARTOGRÁFICA ACTUALIZADO - LEVANTAMIENTO , GENERACIÓN Y ACTUALIZACIÓN DE LA RED GEODÉSICA Y LA CARTOGRAFÍA BÁSICA A NIVEL   NACIONAL"/>
    <s v="Propios"/>
    <x v="1"/>
    <s v="CSF"/>
    <n v="19905050"/>
    <n v="67594"/>
    <n v="19972644"/>
    <n v="0"/>
    <s v="REALIZAR EL LEVANTAMIENTO DE FOTOCONTROL Y PUNTOS DE VERIFICACION PARA LA ELABORACIÓN Y VALIDACIÓN DE PRODUCTOS CARTOGRÁFICOS RURALES EN EL DEPARTAMENTO DE BOLIVAR,_x000a_MAGDALENA Y CESAR"/>
    <s v="42421"/>
    <s v="51821, 51921, 52021, 52121, 57621, 57721, 57821, 57921"/>
    <s v="93821, 93921, 94021, 94221, 103521, 103621, 103721, 103821"/>
    <s v="172121, 172221, 172321, 172421, 179821, 179921, 180021, 180121"/>
    <s v="43885221, 43892321, 43923421, 43926021, 51979521, 51980821, 51981321, 51982321"/>
    <s v="5721, 5821, 6721, 6821"/>
    <x v="0"/>
    <x v="3"/>
  </r>
  <r>
    <s v="39621"/>
    <s v="2021-03-04 00:00:00"/>
    <s v="2021-03-04 08:28:00"/>
    <s v="Gasto"/>
    <s v="Con Compromiso"/>
    <s v="0300"/>
    <x v="0"/>
    <x v="4"/>
    <s v="ADQUISICIÓN DE BIENES Y SERVICIOS - SERVICIOS DE INFORMACIÓN GEODÉSICA ACTUALIZADO - LEVANTAMIENTO , GENERACIÓN Y ACTUALIZACIÓN DE LA RED GEODÉSICA Y LA CARTOGRAFÍA BÁSICA A NIVEL   NACIONAL"/>
    <s v="Nación"/>
    <x v="0"/>
    <s v="CSF"/>
    <n v="2968265"/>
    <n v="-1437773"/>
    <n v="1530492"/>
    <n v="0"/>
    <s v="Realizar la exploración de sitios aptos para la instalación de estaciones de funcionamiento continúo GNSS de la red geodésica activa MAGNA-ECO en Tibú (Norte de Santander) y Garzón (Huila)"/>
    <s v="42521"/>
    <s v="52921"/>
    <s v="98321"/>
    <s v="175521"/>
    <s v="45679921"/>
    <s v="4721"/>
    <x v="0"/>
    <x v="3"/>
  </r>
  <r>
    <s v="39721"/>
    <s v="2021-03-04 00:00:00"/>
    <s v="2021-03-04 12:19:00"/>
    <s v="Gasto"/>
    <s v="Con Compromiso"/>
    <s v="0200"/>
    <x v="0"/>
    <x v="8"/>
    <s v="ADQUISICIÓN DE BIENES Y SERVICIOS - SERVICIO DE GESTIÓN DOCUMENTAL - IMPLEMENTACIÓN DE UN SISTEMA DE GESTIÓN DOCUMENTAL EN EL IGAC A NIVEL   NACIONAL"/>
    <s v="Nación"/>
    <x v="0"/>
    <s v="CSF"/>
    <n v="51970000"/>
    <n v="0"/>
    <n v="51970000"/>
    <n v="1385867"/>
    <s v="PRESTACIÓN DE SERVICIOS PROFESIONALES PARA LA IMPLEMENTACIÓN Y SEGUIMIENTO DEL PROCESO DE GESTIÓN DOCUMENTAL CONFORME A LOS LINEAMIENOS DADOS POR LA ENTIDAD Y EL AGN."/>
    <s v="35121"/>
    <s v="52821"/>
    <s v="142321"/>
    <s v="254321, 307221, 391121, 476121, 512321, 512421, 568221"/>
    <s v="69461921, 92573721, 128831121, 170383021, 182277821, 182279821, 213499121"/>
    <s v="-0"/>
    <x v="0"/>
    <x v="0"/>
  </r>
  <r>
    <s v="39821"/>
    <s v="2021-03-05 00:00:00"/>
    <s v="2021-03-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138328968"/>
    <n v="0"/>
    <n v="138328968"/>
    <n v="0"/>
    <s v="Prestacion de servicios para estructurar, integrar y validar la cartografía para los estudios y/o investigaciones geográficas asignadas"/>
    <s v="42321"/>
    <s v="60821, 60921, 61821, 65921"/>
    <s v="146121, 146221, 161721, 188221"/>
    <s v="262221, 262421, 269621, 297321, 299721, 302321, 302421, 357121, 358221, 358521, 363321, 412121, 413321, 413521, 424121, 501321, 501421, 507721, 525021, 561021, 564221, 564321, 566121"/>
    <s v="70939921, 70940321, 75939021, 88167521, 89085121, 90560721, 90567421, 117329421, 117467721, 117480221, 120531321, 142391521, 143020221, 143040621, 145118521, 178837021, 178848521, 181453021, 187308321, 211491821, 212801121, 212802521, 212946221"/>
    <s v="-0"/>
    <x v="0"/>
    <x v="3"/>
  </r>
  <r>
    <s v="39921"/>
    <s v="2021-03-08 00:00:00"/>
    <s v="2021-03-08 19:32:00"/>
    <s v="Gasto"/>
    <s v="Con Compromiso"/>
    <s v="0300"/>
    <x v="0"/>
    <x v="4"/>
    <s v="ADQUISICIÓN DE BIENES Y SERVICIOS - SERVICIOS DE INFORMACIÓN GEODÉSICA ACTUALIZADO - LEVANTAMIENTO , GENERACIÓN Y ACTUALIZACIÓN DE LA RED GEODÉSICA Y LA CARTOGRAFÍA BÁSICA A NIVEL   NACIONAL"/>
    <s v="Nación"/>
    <x v="0"/>
    <s v="CSF"/>
    <n v="1898050"/>
    <n v="0"/>
    <n v="1898050"/>
    <n v="0"/>
    <s v="REALIZAR EL LEVANTAMIETO DE FOTOCONTROL Y PUNTOS DE VERIFICACION PARA LA ELABORACION Y VALIDACION DE PRODUCTOS CARTOGRAFICOS RURALES EN EL DEPARTAMENTO DE NARIÑO CAQUETA_x000a_Y CAUCA"/>
    <s v="43121"/>
    <s v="56421"/>
    <s v="101521"/>
    <s v="178221"/>
    <s v="50011321"/>
    <s v="-0"/>
    <x v="0"/>
    <x v="3"/>
  </r>
  <r>
    <s v="40021"/>
    <s v="2021-03-08 00:00:00"/>
    <s v="2021-03-08 19:3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91589"/>
    <n v="0"/>
    <n v="1791589"/>
    <n v="0"/>
    <s v="REALIZAR DILIGENCIA DE CAMPO DEL PROCESOS DE DESLINDE DE LOS MUNICIPIOS VIJES Y YUMBO"/>
    <s v="43421"/>
    <s v="58821, 58921"/>
    <s v="106621, 106721"/>
    <s v="182621, 182721"/>
    <s v="53841221, 53841621"/>
    <s v="-0"/>
    <x v="0"/>
    <x v="3"/>
  </r>
  <r>
    <s v="40121"/>
    <s v="2021-03-08 00:00:00"/>
    <s v="2021-03-08 19:36:00"/>
    <s v="Gasto"/>
    <s v="Con Compromiso"/>
    <s v="0300"/>
    <x v="0"/>
    <x v="12"/>
    <s v="ADQUISICIÓN DE BIENES Y SERVICIOS - SERVICIO DE INFORMACIÓN CARTOGRÁFICA ACTUALIZADO - LEVANTAMIENTO , GENERACIÓN Y ACTUALIZACIÓN DE LA RED GEODÉSICA Y LA CARTOGRAFÍA BÁSICA A NIVEL   NACIONAL"/>
    <s v="Propios"/>
    <x v="1"/>
    <s v="CSF"/>
    <n v="5265910"/>
    <n v="-1465333"/>
    <n v="3800577"/>
    <n v="0"/>
    <s v="REALIZAR EL LEVANTAMIETO DE FOTOCONTROL Y PUNTOS DE VERIFICACION PARA LA ELABORACION Y VALIDACION DE PRODUCTOS CARTOGRAFICOS RURALES EN EL DEPARTAMENTO DE SUCRE CORDOBA_x000a_Y BOLIVAR"/>
    <s v="43321"/>
    <s v="56821, 56921, 57321"/>
    <s v="102021, 102121, 102621"/>
    <s v="178721, 178821, 179221"/>
    <s v="50732521, 50733921, 50751821"/>
    <s v="4321, 4521, 6621"/>
    <x v="0"/>
    <x v="3"/>
  </r>
  <r>
    <s v="40221"/>
    <s v="2021-03-08 00:00:00"/>
    <s v="2021-03-08 19:37:00"/>
    <s v="Gasto"/>
    <s v="Con Compromiso"/>
    <s v="0300"/>
    <x v="0"/>
    <x v="4"/>
    <s v="ADQUISICIÓN DE BIENES Y SERVICIOS - SERVICIOS DE INFORMACIÓN GEODÉSICA ACTUALIZADO - LEVANTAMIENTO , GENERACIÓN Y ACTUALIZACIÓN DE LA RED GEODÉSICA Y LA CARTOGRAFÍA BÁSICA A NIVEL   NACIONAL"/>
    <s v="Nación"/>
    <x v="0"/>
    <s v="CSF"/>
    <n v="677875"/>
    <n v="0"/>
    <n v="677875"/>
    <n v="0"/>
    <s v="REALIZAR EL LEVANTAMIETO DE FOTOCONTROL Y PUNTOS DE VERIFICACION PARA LA ELABORACION Y VALIDACION DE PRODUCTOS CARTOGRAFICOS RURALES EN EL DEPARTAMENTO DE SUCRE CORDOBA_x000a_Y BOLIVAR"/>
    <s v="43221"/>
    <s v="56521"/>
    <s v="101621"/>
    <s v="178321"/>
    <s v="50017921"/>
    <s v="-0"/>
    <x v="0"/>
    <x v="3"/>
  </r>
  <r>
    <s v="40321"/>
    <s v="2021-03-08 00:00:00"/>
    <s v="2021-03-08 19:39:00"/>
    <s v="Gasto"/>
    <s v="Con Compromiso"/>
    <s v="0300"/>
    <x v="0"/>
    <x v="12"/>
    <s v="ADQUISICIÓN DE BIENES Y SERVICIOS - SERVICIO DE INFORMACIÓN CARTOGRÁFICA ACTUALIZADO - LEVANTAMIENTO , GENERACIÓN Y ACTUALIZACIÓN DE LA RED GEODÉSICA Y LA CARTOGRAFÍA BÁSICA A NIVEL   NACIONAL"/>
    <s v="Propios"/>
    <x v="1"/>
    <s v="CSF"/>
    <n v="10482548"/>
    <n v="-1260679"/>
    <n v="9221869"/>
    <n v="0"/>
    <s v="REALIZAR EL LEVANTAMIETO DE FOTOCONTROL Y PUNTOS DE VERIFICACION PARA LA ELABORACION Y VALIDACION DE PRODUCTOS CARTOGRAFICOS RURALES EN EL DEPARTAMENTO DE NARIÑO CAQUETA_x000a_Y CAUCA"/>
    <s v="43021"/>
    <s v="57021, 57121, 57221"/>
    <s v="102221, 102321, 102421"/>
    <s v="178921, 179021, 179121"/>
    <s v="50735321, 50748921, 50749821"/>
    <s v="6921, 7021, 7121"/>
    <x v="0"/>
    <x v="3"/>
  </r>
  <r>
    <s v="40421"/>
    <s v="2021-03-08 00:00:00"/>
    <s v="2021-03-08 19:4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75015390"/>
    <n v="5687441"/>
    <n v="80702831"/>
    <n v="5687441"/>
    <s v="Prestación de servicios para la estandarización, integración y disposición de información de ordenamiento territorial de los nodos regionales y locales al sistema de información geográfica definido para tal fin"/>
    <s v="42921"/>
    <s v="62321, 62421, 62521"/>
    <s v="183321, 209121, 209221"/>
    <s v="299921, 317521, 317621, 348721, 348821, 352621, 429021, 429721, 453021, 504421, 509721, 509921, 553921, 555221, 555321"/>
    <s v="89089321, 95509521, 95516021, 115483921, 115484721, 115973021, 145959921, 146548921, 152453621, 179482421, 181730521, 181733721, 210124021, 210182921, 210184121"/>
    <s v="-0"/>
    <x v="0"/>
    <x v="3"/>
  </r>
  <r>
    <s v="40521"/>
    <s v="2021-03-08 00:00:00"/>
    <s v="2021-03-08 19:41:00"/>
    <s v="Gasto"/>
    <s v="Con Compromiso"/>
    <s v="0300"/>
    <x v="0"/>
    <x v="12"/>
    <s v="ADQUISICIÓN DE BIENES Y SERVICIOS - SERVICIO DE INFORMACIÓN CARTOGRÁFICA ACTUALIZADO - LEVANTAMIENTO , GENERACIÓN Y ACTUALIZACIÓN DE LA RED GEODÉSICA Y LA CARTOGRAFÍA BÁSICA A NIVEL   NACIONAL"/>
    <s v="Propios"/>
    <x v="1"/>
    <s v="CSF"/>
    <n v="31247320"/>
    <n v="-2083155"/>
    <n v="29164165"/>
    <n v="0"/>
    <s v="Prestación de servicios para gestionar desde el componente administrativo, procesos y proyectos misionales de la Subdirección de Geografía y Cartografía"/>
    <s v="42821"/>
    <s v="61721"/>
    <s v="174321"/>
    <s v="281821, 324421, 366821, 420121, 491421, 563321"/>
    <s v="83426321, 95626621, 98371321, 120605421, 144401521, 176436321, 212299521"/>
    <s v="-0"/>
    <x v="0"/>
    <x v="3"/>
  </r>
  <r>
    <s v="40621"/>
    <s v="2021-03-08 00:00:00"/>
    <s v="2021-03-08 19:43:00"/>
    <s v="Gasto"/>
    <s v="Con Compromiso"/>
    <s v="0300"/>
    <x v="0"/>
    <x v="4"/>
    <s v="ADQUISICIÓN DE BIENES Y SERVICIOS - SERVICIOS DE INFORMACIÓN GEODÉSICA ACTUALIZADO - LEVANTAMIENTO , GENERACIÓN Y ACTUALIZACIÓN DE LA RED GEODÉSICA Y LA CARTOGRAFÍA BÁSICA A NIVEL   NACIONAL"/>
    <s v="Propios"/>
    <x v="1"/>
    <s v="CSF"/>
    <n v="53429660"/>
    <n v="-2671482"/>
    <n v="50758178"/>
    <n v="0"/>
    <s v="Prestación de servicios para la captura de coordenadas, compilación toponímica y demás procesos en campo, de acuerdo con las especificaciones de conformidad con los lineamientos establecidos."/>
    <s v="42721"/>
    <s v="62621, 63421"/>
    <s v="178921, 190821"/>
    <s v="286921, 297821, 344621, 346121, 411521, 413121, 483721, 486621, 556521, 557021"/>
    <s v="85781521, 88371621, 114568421, 118652221, 142095721, 143018721, 174745221, 175139021, 210804021, 211245221"/>
    <s v="-0"/>
    <x v="0"/>
    <x v="3"/>
  </r>
  <r>
    <s v="40721"/>
    <s v="2021-03-09 00:00:00"/>
    <s v="2021-03-09 08:36:00"/>
    <s v="Gasto"/>
    <s v="Con Compromiso"/>
    <s v="0500"/>
    <x v="0"/>
    <x v="1"/>
    <s v="ADQUISICIÓN DE BIENES Y SERVICIOS - SERVICIO DE INFORMACIÓN CATASTRAL - ACTUALIZACIÓN  Y GESTIÓN CATASTRAL  NACIONAL"/>
    <s v="Nación"/>
    <x v="0"/>
    <s v="CSF"/>
    <n v="3994785"/>
    <n v="0"/>
    <n v="3994785"/>
    <n v="1625480"/>
    <s v="VIATICOS Y GASTOS DE COMISIÓN CONSERVACIÓN CATASTRAL CASANARE"/>
    <s v="39021"/>
    <s v="86221, 86321, 109921, 118421, 118721, 118821"/>
    <s v="226221, 226321, 347921, 388821, 391821, 391921"/>
    <s v="332421, 332621, 448421, 484621, 488221, 488321"/>
    <s v="107438021, 107440221, 150311121, 174760721, 176112321, 176113321"/>
    <s v="-0"/>
    <x v="0"/>
    <x v="1"/>
  </r>
  <r>
    <s v="40821"/>
    <s v="2021-03-09 00:00:00"/>
    <s v="2021-03-09 08:37:00"/>
    <s v="Gasto"/>
    <s v="Con Compromiso"/>
    <s v="0500"/>
    <x v="0"/>
    <x v="1"/>
    <s v="ADQUISICIÓN DE BIENES Y SERVICIOS - SERVICIO DE INFORMACIÓN CATASTRAL - ACTUALIZACIÓN  Y GESTIÓN CATASTRAL  NACIONAL"/>
    <s v="Nación"/>
    <x v="0"/>
    <s v="CSF"/>
    <n v="4832500"/>
    <n v="0"/>
    <n v="4832500"/>
    <n v="1490345.5"/>
    <s v="GASTOS DE DESPLAZAMIENTO, ALOJAMIENTO Y TRANSPORTE -VIATICOS TIERRAS"/>
    <s v="38921"/>
    <s v="60521, 60621, 64021, 64121, 81621, 81721, 109521, 118521"/>
    <s v="111721, 111821, 122221, 122321, 209721, 209921, 361421, 391121"/>
    <s v="186321, 186421, 196521, 196621, 318421, 318621, 461421, 486521"/>
    <s v="57658621, 57690021, 61460221, 61463321, 95585521, 95587321, 164087921, 175153521"/>
    <s v="-0"/>
    <x v="0"/>
    <x v="1"/>
  </r>
  <r>
    <s v="40921"/>
    <s v="2021-03-09 00:00:00"/>
    <s v="2021-03-09 10:17:00"/>
    <s v="Gasto"/>
    <s v="Con Compromiso"/>
    <s v="0200"/>
    <x v="0"/>
    <x v="0"/>
    <s v="ADQUISICIÓN DE BIENES Y SERVICIOS - SERVICIOS TECNOLÓGICOS - FORTALECIMIENTO DE LA GESTIÓN INSTITUCIONAL DEL IGAC A NIVEL   NACIONAL"/>
    <s v="Propios"/>
    <x v="1"/>
    <s v="CSF"/>
    <n v="51820137"/>
    <n v="0"/>
    <n v="51820137"/>
    <n v="0"/>
    <s v="Prestación de servicios profesionales para elaborar las historias de usuarios y prototipado de las funcionalidades requeridas por el instituto"/>
    <s v="43621"/>
    <s v="66021"/>
    <s v="219421"/>
    <s v="327521, 389421, 458421, 524221, 595221"/>
    <s v="99260421, 127410021, 157590421, 187307521, 226434621"/>
    <s v="-0"/>
    <x v="0"/>
    <x v="0"/>
  </r>
  <r>
    <s v="41021"/>
    <s v="2021-03-09 00:00:00"/>
    <s v="2021-03-09 10:18:00"/>
    <s v="Gasto"/>
    <s v="Anulado"/>
    <s v="0200"/>
    <x v="0"/>
    <x v="0"/>
    <s v="ADQUISICIÓN DE BIENES Y SERVICIOS - SERVICIOS TECNOLÓGICOS - FORTALECIMIENTO DE LA GESTIÓN INSTITUCIONAL DEL IGAC A NIVEL   NACIONAL"/>
    <s v="Propios"/>
    <x v="1"/>
    <s v="CSF"/>
    <n v="44787820"/>
    <n v="-44787820"/>
    <n v="0"/>
    <n v="0"/>
    <s v="Prestación de servicios profesionales para soportar, mantener, analizar, diseñar, desarrollar e integrar componentes de software geográficos para el instituto"/>
    <s v="43721"/>
    <s v="-0"/>
    <s v="-0"/>
    <s v="-0"/>
    <s v="-0"/>
    <s v="-0"/>
    <x v="0"/>
    <x v="0"/>
  </r>
  <r>
    <s v="41121"/>
    <s v="2021-03-09 00:00:00"/>
    <s v="2021-03-09 10:20:00"/>
    <s v="Gasto"/>
    <s v="Con Compromiso"/>
    <s v="0200"/>
    <x v="0"/>
    <x v="0"/>
    <s v="ADQUISICIÓN DE BIENES Y SERVICIOS - SERVICIOS TECNOLÓGICOS - FORTALECIMIENTO DE LA GESTIÓN INSTITUCIONAL DEL IGAC A NIVEL   NACIONAL"/>
    <s v="Propios"/>
    <x v="1"/>
    <s v="CSF"/>
    <n v="78371784"/>
    <n v="-5224786"/>
    <n v="73146998"/>
    <n v="0"/>
    <s v="Prestación de servicios profesionales para configurar, administrar, gestionar, monitorear y soportar las bases de datos de la entidad"/>
    <s v="43821"/>
    <s v="79321"/>
    <s v="267221"/>
    <s v="376621, 438621, 501721, 564521"/>
    <s v="123432621, 147820521, 178850521, 212805321"/>
    <s v="-0"/>
    <x v="0"/>
    <x v="0"/>
  </r>
  <r>
    <s v="41221"/>
    <s v="2021-03-11 00:00:00"/>
    <s v="2021-03-11 14:48:00"/>
    <s v="Gasto"/>
    <s v="Con Compromiso"/>
    <s v="0300"/>
    <x v="0"/>
    <x v="4"/>
    <s v="ADQUISICIÓN DE BIENES Y SERVICIOS - SERVICIOS DE INFORMACIÓN GEODÉSICA ACTUALIZADO - LEVANTAMIENTO , GENERACIÓN Y ACTUALIZACIÓN DE LA RED GEODÉSICA Y LA CARTOGRAFÍA BÁSICA A NIVEL   NACIONAL"/>
    <s v="Nación"/>
    <x v="0"/>
    <s v="CSF"/>
    <n v="1694688"/>
    <n v="0"/>
    <n v="1694688"/>
    <n v="0"/>
    <s v="REALIZAR EL LEVANTAMIENTO DE FOTOCONTROL Y PUNTOS DE VERIFICACION PARA LA ELABORACION Y VALIDACION DE PRODUCTOS CARTOGRAFICOS RURALES  EN EL DEPARTAMENTO DE  CUNDINAMARCA"/>
    <s v="43921"/>
    <s v="58321"/>
    <s v="105221"/>
    <s v="181621"/>
    <s v="52375021"/>
    <s v="-0"/>
    <x v="0"/>
    <x v="3"/>
  </r>
  <r>
    <s v="41321"/>
    <s v="2021-03-11 00:00:00"/>
    <s v="2021-03-11 14:49:00"/>
    <s v="Gasto"/>
    <s v="Con Compromiso"/>
    <s v="0300"/>
    <x v="0"/>
    <x v="12"/>
    <s v="ADQUISICIÓN DE BIENES Y SERVICIOS - SERVICIO DE INFORMACIÓN CARTOGRÁFICA ACTUALIZADO - LEVANTAMIENTO , GENERACIÓN Y ACTUALIZACIÓN DE LA RED GEODÉSICA Y LA CARTOGRAFÍA BÁSICA A NIVEL   NACIONAL"/>
    <s v="Propios"/>
    <x v="1"/>
    <s v="CSF"/>
    <n v="9204775"/>
    <n v="-1359803"/>
    <n v="7844972"/>
    <n v="0"/>
    <s v="REALIZAR EL LEVANTAMIENTO DE FOTOCONTROL Y PUNTOS DE VERIFICACION PARA LA ELABORACION Y VALIDACION DE PRODUCTOS CARTOGRAFICOS RURALES  EN EL DEPARTAMENTO DE  CUNDINAMARCA"/>
    <s v="44021"/>
    <s v="58421, 58521, 58621"/>
    <s v="105321, 105421, 105521"/>
    <s v="181721, 181821, 181921"/>
    <s v="52381021, 52381821, 52388321"/>
    <s v="6221, 6321, 6421"/>
    <x v="0"/>
    <x v="3"/>
  </r>
  <r>
    <s v="41421"/>
    <s v="2021-03-12 00:00:00"/>
    <s v="2021-03-12 16:01: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operación, soporte, mantenimiento y monitoreo a las plataformas tecnológicas, equipos periféricos (Impresoras, Plotter, Escáner entre otros), según lo niveles de servicio_x000a_establecidos."/>
    <s v="43521"/>
    <s v="64821"/>
    <s v="193421"/>
    <s v="303921, 358621, 446721, 490621, 547021"/>
    <s v="90799021, 117491321, 150010421, 176301921, 207313821"/>
    <s v="-0"/>
    <x v="0"/>
    <x v="0"/>
  </r>
  <r>
    <s v="41921"/>
    <s v="2021-03-15 00:00:00"/>
    <s v="2021-03-15 16:25:00"/>
    <s v="Gasto"/>
    <s v="Con Compromiso"/>
    <s v="0500"/>
    <x v="0"/>
    <x v="1"/>
    <s v="ADQUISICIÓN DE BIENES Y SERVICIOS - SERVICIO DE INFORMACIÓN CATASTRAL - ACTUALIZACIÓN  Y GESTIÓN CATASTRAL  NACIONAL"/>
    <s v="Propios"/>
    <x v="1"/>
    <s v="CSF"/>
    <n v="25379089"/>
    <n v="-801445"/>
    <n v="24577644"/>
    <n v="0"/>
    <s v="Prestación de servicios profesionales para el procesamiento, análisis y generación de productos geográficos que apoyen el proceso de actualización catastral"/>
    <s v="44221"/>
    <s v="64621"/>
    <s v="188421"/>
    <s v="297521, 359421, 456621, 484421, 560121"/>
    <s v="88340121, 117545321, 157462021, 174759621, 211377221"/>
    <s v="-0"/>
    <x v="0"/>
    <x v="1"/>
  </r>
  <r>
    <s v="42021"/>
    <s v="2021-03-15 00:00:00"/>
    <s v="2021-03-15 16:28:00"/>
    <s v="Gasto"/>
    <s v="Con Compromiso"/>
    <s v="0500"/>
    <x v="0"/>
    <x v="1"/>
    <s v="ADQUISICIÓN DE BIENES Y SERVICIOS - SERVICIO DE INFORMACIÓN CATASTRAL - ACTUALIZACIÓN  Y GESTIÓN CATASTRAL  NACIONAL"/>
    <s v="Propios"/>
    <x v="1"/>
    <s v="CSF"/>
    <n v="45423000"/>
    <n v="181692000"/>
    <n v="227115000"/>
    <n v="52940160"/>
    <s v="Prestación de servicios profesionales para generar productos de Aplicaciones Agrológicas, derivados de Levantamientos de suelos, para apoyar los procesos de Catastro Multipropósito"/>
    <s v="44121"/>
    <s v="76721, 76821, 76921, 77021, 78021"/>
    <s v="236821, 240921, 273021, 285921, 356721"/>
    <s v="374021, 375121, 375621, 389821, 405321, 405721, 405821, 406221, 457521, 464821, 472021, 472321, 473921, 474021, 474121, 541221, 541321, 542521, 545121, 545421"/>
    <s v="122472521, 123378021, 123487421, 127424521, 139721921, 139725021, 139728621, 140626921, 157487921, 164911021, 168471421, 168480321, 169209821, 169212021, 169214421, 199455121, 199457421, 200128921, 200139821, 204878221, 204881221"/>
    <s v="-0"/>
    <x v="0"/>
    <x v="1"/>
  </r>
  <r>
    <s v="42121"/>
    <s v="2021-03-15 00:00:00"/>
    <s v="2021-03-15 16: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6651830"/>
    <n v="0"/>
    <n v="36651830"/>
    <n v="0"/>
    <s v="Prestación de servicios profesionales para la generación de productos técnicos en las etapas de planificación, diseño, implementación, seguimiento y soporte de los proyectos de desarrollo de aplicaciones en tecnologías de la_x000a_información geográfica a"/>
    <s v="45121"/>
    <s v="67121"/>
    <s v="211321"/>
    <s v="320921, 379721, 443821, 511021, 583121"/>
    <s v="96738821, 124503021, 149795121, 181748621, 219178921"/>
    <s v="-0"/>
    <x v="0"/>
    <x v="4"/>
  </r>
  <r>
    <s v="42221"/>
    <s v="2021-03-15 00:00:00"/>
    <s v="2021-03-15 17:08: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53105855"/>
    <n v="-372673"/>
    <n v="52733182"/>
    <n v="0"/>
    <s v="Prestación de servicios profesionales para el procesamiento y análisis de datos de observación de la tierra y análisis de información geográfica requeridos en los proyectos a cargo de la Oficina CIAF"/>
    <s v="45021"/>
    <s v="65821"/>
    <s v="216521"/>
    <s v="324321, 384521, 451821, 525921, 599221"/>
    <s v="98371221, 126848921, 152012021, 187309121, 228501021"/>
    <s v="-0"/>
    <x v="0"/>
    <x v="4"/>
  </r>
  <r>
    <s v="42321"/>
    <s v="2021-03-16 00:00:00"/>
    <s v="2021-03-16 08:37:00"/>
    <s v="Gasto"/>
    <s v="Con Compromiso"/>
    <s v="0300"/>
    <x v="0"/>
    <x v="12"/>
    <s v="ADQUISICIÓN DE BIENES Y SERVICIOS - SERVICIO DE INFORMACIÓN CARTOGRÁFICA ACTUALIZADO - LEVANTAMIENTO , GENERACIÓN Y ACTUALIZACIÓN DE LA RED GEODÉSICA Y LA CARTOGRAFÍA BÁSICA A NIVEL   NACIONAL"/>
    <s v="Propios"/>
    <x v="1"/>
    <s v="CSF"/>
    <n v="5066638"/>
    <n v="-513785"/>
    <n v="4552853"/>
    <n v="0"/>
    <s v="REALIZAR TRABAJOS DE AEROFOTOGRAFIA CON AERONAVES NO TRIPULADAS TIPO DRON EN LOS MUNICIPIOS DE POPAYAN (CAUCA) Y CUENCA DE LA QUEBRADA YAGUILGA EN EL HUILA"/>
    <s v="45821"/>
    <s v="59721, 59821, 59921"/>
    <s v="110521, 110621, 110721"/>
    <s v="184721, 184821, 184921"/>
    <s v="56621621, 56624221, 56627021"/>
    <s v="5621, 5921"/>
    <x v="0"/>
    <x v="3"/>
  </r>
  <r>
    <s v="42421"/>
    <s v="2021-03-16 00:00:00"/>
    <s v="2021-03-16 14:26:00"/>
    <s v="Gasto"/>
    <s v="Con Compromiso"/>
    <s v="0160"/>
    <x v="0"/>
    <x v="2"/>
    <s v="ADQUISICIÓN DE BIENES Y SERVICIOS - DOCUMENTOS DE LINEAMIENTOS TÉCNICOS - FORTALECIMIENTO DE LOS PROCESOS DE DIFUSIÓN Y ACCESO A LA INFORMACIÓN GEOGRÁFICA A NIVEL   NACIONAL"/>
    <s v="Propios"/>
    <x v="1"/>
    <s v="CSF"/>
    <n v="36402360"/>
    <n v="0"/>
    <n v="36402360"/>
    <n v="0"/>
    <s v="Prestación de servicios profesionales para adelantar el mantenimiento, seguimiento, control y vigilancia del avance y tiempos de la ejecución de los proyectos en curso, junto con el área técnica y el cliente."/>
    <s v="44821"/>
    <s v="65221"/>
    <s v="173621"/>
    <s v="281121, 356721, 443621, 505121, 586221"/>
    <s v="83452321, 117298621, 149785421, 179822421, 219823221"/>
    <s v="-0"/>
    <x v="0"/>
    <x v="2"/>
  </r>
  <r>
    <s v="42521"/>
    <s v="2021-03-16 00:00:00"/>
    <s v="2021-03-16 14:27:00"/>
    <s v="Gasto"/>
    <s v="Con Compromiso"/>
    <s v="0160"/>
    <x v="0"/>
    <x v="3"/>
    <s v="ADQUISICIÓN DE BIENES Y SERVICIOS - SERVICIOS DE INFORMACIÓN IMPLEMENTADOS - FORTALECIMIENTO DE LOS PROCESOS DE DIFUSIÓN Y ACCESO A LA INFORMACIÓN GEOGRÁFICA A NIVEL   NACIONAL"/>
    <s v="Propios"/>
    <x v="1"/>
    <s v="CSF"/>
    <n v="36239937"/>
    <n v="0"/>
    <n v="36239937"/>
    <n v="0"/>
    <s v="Prestación de servicios profesionales para realizar actividades de gestión y seguimiento a la comercialización de los productos y servicios generados por las áreas técnicas del instituto."/>
    <s v="44621"/>
    <s v="68921"/>
    <s v="177321"/>
    <s v="284621, 353021, 462121, 523521, 586321"/>
    <s v="85400721, 115993621, 159096321, 187306821, 219826421"/>
    <s v="-0"/>
    <x v="0"/>
    <x v="2"/>
  </r>
  <r>
    <s v="42621"/>
    <s v="2021-03-16 00:00:00"/>
    <s v="2021-03-16 14:28:00"/>
    <s v="Gasto"/>
    <s v="Con Compromiso"/>
    <s v="0160"/>
    <x v="0"/>
    <x v="2"/>
    <s v="ADQUISICIÓN DE BIENES Y SERVICIOS - DOCUMENTOS DE LINEAMIENTOS TÉCNICOS - FORTALECIMIENTO DE LOS PROCESOS DE DIFUSIÓN Y ACCESO A LA INFORMACIÓN GEOGRÁFICA A NIVEL   NACIONAL"/>
    <s v="Propios"/>
    <x v="1"/>
    <s v="CSF"/>
    <n v="29417800"/>
    <n v="0"/>
    <n v="29417800"/>
    <n v="0"/>
    <s v="Prestación de servicios profesionales para realizar la medición de satisfacción, retroalimentación y seguimiento con las áreas de las PQRS que se hayan tramitado."/>
    <s v="44921"/>
    <s v="64721"/>
    <s v="173121"/>
    <s v="280621, 349221, 447221, 512821, 591921"/>
    <s v="84867721, 115488921, 150020421, 182386221, 226226821"/>
    <s v="-0"/>
    <x v="0"/>
    <x v="2"/>
  </r>
  <r>
    <s v="42721"/>
    <s v="2021-03-16 00:00:00"/>
    <s v="2021-03-16 14:30: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levar a cabo el escaneo, la reposición y organización del material cartográfico y aerofotográfico utilizado por los usuarios que consultan la información en los CIG del instituto a nivel nacional."/>
    <s v="44421"/>
    <s v="62721"/>
    <s v="188021"/>
    <s v="296821, 342021, 410821, 476221, 567121"/>
    <s v="88154121, 112527921, 141877821, 170389321, 212959121"/>
    <s v="-0"/>
    <x v="0"/>
    <x v="2"/>
  </r>
  <r>
    <s v="42821"/>
    <s v="2021-03-16 00:00:00"/>
    <s v="2021-03-16 14:31: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a atención de solicitudes de cartografía topográfica, cartografía de suelos y aerofotografías en el Centro de Información Geográfica del IGAC"/>
    <s v="44521"/>
    <s v="65621"/>
    <s v="174021"/>
    <s v="281521, 342621, 410721, 475621, 567721"/>
    <s v="83438821, 112789821, 141876721, 170352521, 213274821"/>
    <s v="-0"/>
    <x v="0"/>
    <x v="2"/>
  </r>
  <r>
    <s v="42921"/>
    <s v="2021-03-16 00:00:00"/>
    <s v="2021-03-16 14:33:00"/>
    <s v="Gasto"/>
    <s v="Con Compromiso"/>
    <s v="0160"/>
    <x v="0"/>
    <x v="3"/>
    <s v="ADQUISICIÓN DE BIENES Y SERVICIOS - SERVICIOS DE INFORMACIÓN IMPLEMENTADOS - FORTALECIMIENTO DE LOS PROCESOS DE DIFUSIÓN Y ACCESO A LA INFORMACIÓN GEOGRÁFICA A NIVEL   NACIONAL"/>
    <s v="Nación"/>
    <x v="0"/>
    <s v="CSF"/>
    <n v="8131000"/>
    <n v="0"/>
    <n v="8131000"/>
    <n v="0"/>
    <s v="Adquisición del derecho de uso del sistema de codificación EAN/UCC"/>
    <s v="45621"/>
    <s v="74821"/>
    <s v="265021"/>
    <s v="372621"/>
    <s v="126810621"/>
    <s v="-0"/>
    <x v="0"/>
    <x v="2"/>
  </r>
  <r>
    <s v="43021"/>
    <s v="2021-03-17 00:00:00"/>
    <s v="2021-03-17 16:13:00"/>
    <s v="Gasto"/>
    <s v="Con Compromiso"/>
    <s v="0160"/>
    <x v="0"/>
    <x v="3"/>
    <s v="ADQUISICIÓN DE BIENES Y SERVICIOS - SERVICIOS DE INFORMACIÓN IMPLEMENTADOS - FORTALECIMIENTO DE LOS PROCESOS DE DIFUSIÓN Y ACCESO A LA INFORMACIÓN GEOGRÁFICA A NIVEL   NACIONAL"/>
    <s v="Propios"/>
    <x v="1"/>
    <s v="CSF"/>
    <n v="48941241"/>
    <n v="0"/>
    <n v="48941241"/>
    <n v="0"/>
    <s v="Prestación de servicios profesionales para desarrollar actividades de articulación entre la sede central y las Direcciones Territoriales a nivel nacional, así como la elaboración de ofertas técnico económicas."/>
    <s v="44721"/>
    <s v="66621"/>
    <s v="173521"/>
    <s v="281021, 345221, 443421, 514321, 588421"/>
    <s v="83456921, 114420121, 149771021, 182704321, 220751321"/>
    <s v="-0"/>
    <x v="0"/>
    <x v="2"/>
  </r>
  <r>
    <s v="43121"/>
    <s v="2021-03-17 00:00:00"/>
    <s v="2021-03-17 16:16:00"/>
    <s v="Gasto"/>
    <s v="Con Compromiso"/>
    <s v="0160"/>
    <x v="0"/>
    <x v="3"/>
    <s v="ADQUISICIÓN DE BIENES Y SERVICIOS - SERVICIOS DE INFORMACIÓN IMPLEMENTADOS - FORTALECIMIENTO DE LOS PROCESOS DE DIFUSIÓN Y ACCESO A LA INFORMACIÓN GEOGRÁFICA A NIVEL   NACIONAL"/>
    <s v="Propios"/>
    <x v="1"/>
    <s v="CSF"/>
    <n v="36402360"/>
    <n v="0"/>
    <n v="36402360"/>
    <n v="3033530"/>
    <s v="Prestación de servicios profesionales para ejecutar las estrategias de marketing digital de los productos del IGAC, asi como el seguimiento a la ventas directas por ventanilla para toda el área comercial, incluidas las Direcciones_x000a_Territoriales a niv"/>
    <s v="44321"/>
    <s v="69121"/>
    <s v="190621"/>
    <s v="297621, 345421, 461821, 519221, 587921"/>
    <s v="88344421, 114423121, 159029121, 184466621, 220719221"/>
    <s v="-0"/>
    <x v="0"/>
    <x v="2"/>
  </r>
  <r>
    <s v="432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Nación"/>
    <x v="0"/>
    <s v="CSF"/>
    <n v="406725"/>
    <n v="0"/>
    <n v="406725"/>
    <n v="0"/>
    <s v="Realizar el mantenimiento correctivo a una estación de funcionamiento continúo (CORS-GNSS) en Yopal (Casanare)."/>
    <s v="45921"/>
    <s v="64221"/>
    <s v="122421"/>
    <s v="196721"/>
    <s v="61467221"/>
    <s v="-0"/>
    <x v="0"/>
    <x v="3"/>
  </r>
  <r>
    <s v="433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Propios"/>
    <x v="1"/>
    <s v="CSF"/>
    <n v="1529820"/>
    <n v="-101101"/>
    <n v="1428719"/>
    <n v="0"/>
    <s v="Realizar el mantenimiento correctivo a una estación de funcionamiento continúo (CORS-GNSS) en Yopal (Casanare)."/>
    <s v="46021"/>
    <s v="64321, 64421"/>
    <s v="122521, 122621"/>
    <s v="197321, 197421"/>
    <s v="62166221, 62166821"/>
    <s v="6121"/>
    <x v="0"/>
    <x v="3"/>
  </r>
  <r>
    <s v="43421"/>
    <s v="2021-03-19 00:00:00"/>
    <s v="2021-03-19 15:59:00"/>
    <s v="Gasto"/>
    <s v="Anulado"/>
    <s v="0300"/>
    <x v="0"/>
    <x v="12"/>
    <s v="ADQUISICIÓN DE BIENES Y SERVICIOS - SERVICIO DE INFORMACIÓN CARTOGRÁFICA ACTUALIZADO - LEVANTAMIENTO , GENERACIÓN Y ACTUALIZACIÓN DE LA RED GEODÉSICA Y LA CARTOGRAFÍA BÁSICA A NIVEL   NACIONAL"/>
    <s v="Propios"/>
    <x v="1"/>
    <s v="CSF"/>
    <n v="26714830"/>
    <n v="-26714830"/>
    <n v="0"/>
    <n v="0"/>
    <s v="Prestación de servicios para realizar de apoyo a la gestión administrativa de los procesos y proyectos misionales de la Subdirección de Geografía y Cartografía"/>
    <s v="46121"/>
    <s v="-0"/>
    <s v="-0"/>
    <s v="-0"/>
    <s v="-0"/>
    <s v="-0"/>
    <x v="0"/>
    <x v="3"/>
  </r>
  <r>
    <s v="43521"/>
    <s v="2021-03-24 00:00:00"/>
    <s v="2021-03-24 08:01:00"/>
    <s v="Gasto"/>
    <s v="Con Compromiso"/>
    <s v="0300"/>
    <x v="0"/>
    <x v="12"/>
    <s v="ADQUISICIÓN DE BIENES Y SERVICIOS - SERVICIO DE INFORMACIÓN CARTOGRÁFICA ACTUALIZADO - LEVANTAMIENTO , GENERACIÓN Y ACTUALIZACIÓN DE LA RED GEODÉSICA Y LA CARTOGRAFÍA BÁSICA A NIVEL   NACIONAL"/>
    <s v="Propios"/>
    <x v="1"/>
    <s v="CSF"/>
    <n v="26714830"/>
    <n v="-2582434"/>
    <n v="24132396"/>
    <n v="0"/>
    <s v="Prestación de servicios para apoyar la gestión logística de la Subdirección de Geografía y Cartografía"/>
    <s v="46221"/>
    <s v="69221"/>
    <s v="211121"/>
    <s v="320521, 371121, 419521, 491821, 563121"/>
    <s v="96671221, 121367121, 144390421, 176439821, 212296121"/>
    <s v="-0"/>
    <x v="0"/>
    <x v="3"/>
  </r>
  <r>
    <s v="43621"/>
    <s v="2021-03-24 00:00:00"/>
    <s v="2021-03-24 10:09:00"/>
    <s v="Gasto"/>
    <s v="Anulado"/>
    <s v="0200"/>
    <x v="0"/>
    <x v="0"/>
    <s v="ADQUISICIÓN DE BIENES Y SERVICIOS - SERVICIOS TECNOLÓGICOS - FORTALECIMIENTO DE LA GESTIÓN INSTITUCIONAL DEL IGAC A NIVEL   NACIONAL"/>
    <s v="Nación"/>
    <x v="0"/>
    <s v="CSF"/>
    <n v="60000000"/>
    <n v="-60000000"/>
    <n v="0"/>
    <n v="0"/>
    <s v="Adquisición de UPS y mantenimiento preventivo y correctivo de UPS en las direcciones territoriales del IGAC"/>
    <s v="46321"/>
    <s v="-0"/>
    <s v="-0"/>
    <s v="-0"/>
    <s v="-0"/>
    <s v="-0"/>
    <x v="0"/>
    <x v="0"/>
  </r>
  <r>
    <s v="43721"/>
    <s v="2021-03-24 00:00:00"/>
    <s v="2021-03-24 10:10:00"/>
    <s v="Gasto"/>
    <s v="Con Compromiso"/>
    <s v="0200"/>
    <x v="0"/>
    <x v="0"/>
    <s v="ADQUISICIÓN DE BIENES Y SERVICIOS - SERVICIOS TECNOLÓGICOS - FORTALECIMIENTO DE LA GESTIÓN INSTITUCIONAL DEL IGAC A NIVEL   NACIONAL"/>
    <s v="Nación"/>
    <x v="0"/>
    <s v="CSF"/>
    <n v="1481463643"/>
    <n v="-27301770"/>
    <n v="1454161873"/>
    <n v="282703821.27999997"/>
    <s v="Adquisición de productos y servicios Microsoft"/>
    <s v="46421"/>
    <s v="131821"/>
    <s v="-0"/>
    <s v="-0"/>
    <s v="-0"/>
    <s v="-0"/>
    <x v="0"/>
    <x v="0"/>
  </r>
  <r>
    <s v="44421"/>
    <s v="2021-03-26 00:00:00"/>
    <s v="2021-03-26 10:25: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2818115"/>
    <n v="-2818115"/>
    <n v="0"/>
    <n v="0"/>
    <s v="PAGO PASIVOS EXIGIBLES - VIGENCIAS EXPIRADAS"/>
    <s v="47121"/>
    <s v="-0"/>
    <s v="-0"/>
    <s v="-0"/>
    <s v="-0"/>
    <s v="-0"/>
    <x v="0"/>
    <x v="3"/>
  </r>
  <r>
    <s v="44621"/>
    <s v="2021-03-30 00:00:00"/>
    <s v="2021-03-30 18:06:00"/>
    <s v="Gasto"/>
    <s v="Con Compromiso"/>
    <s v="0300"/>
    <x v="0"/>
    <x v="12"/>
    <s v="ADQUISICIÓN DE BIENES Y SERVICIOS - SERVICIO DE INFORMACIÓN CARTOGRÁFICA ACTUALIZADO - LEVANTAMIENTO , GENERACIÓN Y ACTUALIZACIÓN DE LA RED GEODÉSICA Y LA CARTOGRAFÍA BÁSICA A NIVEL   NACIONAL"/>
    <s v="Propios"/>
    <x v="1"/>
    <s v="CSF"/>
    <n v="536446618"/>
    <n v="-69356218.400000006"/>
    <n v="467090399.60000002"/>
    <n v="0"/>
    <s v="Capturar y/o adquirir imágenes para la producción cartográfica de proyectos específicos del IGAC"/>
    <s v="47321"/>
    <s v="79121"/>
    <s v="320221"/>
    <s v="452221"/>
    <s v="152420821"/>
    <s v="-0"/>
    <x v="0"/>
    <x v="3"/>
  </r>
  <r>
    <s v="44921"/>
    <s v="2021-04-06 00:00:00"/>
    <s v="2021-04-06 07:35:00"/>
    <s v="Gasto"/>
    <s v="Con Compromiso"/>
    <s v="0500"/>
    <x v="0"/>
    <x v="1"/>
    <s v="ADQUISICIÓN DE BIENES Y SERVICIOS - SERVICIO DE INFORMACIÓN CATASTRAL - ACTUALIZACIÓN  Y GESTIÓN CATASTRAL  NACIONAL"/>
    <s v="Propios"/>
    <x v="1"/>
    <s v="CSF"/>
    <n v="300000000"/>
    <n v="0"/>
    <n v="300000000"/>
    <n v="63961214"/>
    <s v="VIATICOS Y GASTOS DE COMISION FUNCIONARIOS-CONTRATISTAS PROCESOS CATASTRALES"/>
    <s v="48621"/>
    <s v="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
    <s v="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
    <s v="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
    <s v="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
    <s v="10021, 11821, 12621, 12721, 12821, 12921, 13021, 13121, 13221, 13321, 13621, 13721, 13821, 13921, 14321, 14421, 15021, 15921, 16021, 16121, 16221, 16321, 16421, 16621, 16821, 17021, 17121, 17221, 17321, 17521, 17621, 17721, 17821, 18821, 18921, 19621, 19721, 19821, 20221, 20321, 20421, 20521, 20621, 20821, 21021, 21121"/>
    <x v="0"/>
    <x v="1"/>
  </r>
  <r>
    <s v="45021"/>
    <s v="2021-04-06 00:00:00"/>
    <s v="2021-04-06 07:56:00"/>
    <s v="Gasto"/>
    <s v="Con Compromiso"/>
    <s v="0500"/>
    <x v="0"/>
    <x v="1"/>
    <s v="ADQUISICIÓN DE BIENES Y SERVICIOS - SERVICIO DE INFORMACIÓN CATASTRAL - ACTUALIZACIÓN  Y GESTIÓN CATASTRAL  NACIONAL"/>
    <s v="Propios"/>
    <x v="1"/>
    <s v="CSF"/>
    <n v="339762465"/>
    <n v="-15100555"/>
    <n v="324661910"/>
    <n v="0"/>
    <s v="Prestación de servicios profesionales con el fin de apoyar los trámites juridicos que se requieran para llevar a cabo la contratación de ingreso y egreso del Instituto Geográfico Agustín Codazzi."/>
    <s v="47721"/>
    <s v="77521, 77621, 77721, 77821, 77921"/>
    <s v="256121, 274121, 278421, 281421, 282821"/>
    <s v="361621, 376221, 376921, 377121, 384321, 386921, 387821, 388021, 429821, 430321, 430521, 436921, 442121, 503721, 503821, 504121, 508321, 508721, 577121, 577221, 584621, 586521, 587321"/>
    <s v="118857921, 123407821, 123444221, 123450521, 126848421, 127251021, 127276821, 127295721, 146550421, 146583421, 146589921, 147565721, 148365221, 179403921, 179421721, 179477221, 181502721, 181548221, 216944521, 216970321, 219707521, 219922121, 220491121"/>
    <s v="-0"/>
    <x v="0"/>
    <x v="1"/>
  </r>
  <r>
    <s v="45121"/>
    <s v="2021-04-06 00:00:00"/>
    <s v="2021-04-06 07:57:00"/>
    <s v="Gasto"/>
    <s v="Con Compromiso"/>
    <s v="0500"/>
    <x v="0"/>
    <x v="1"/>
    <s v="ADQUISICIÓN DE BIENES Y SERVICIOS - SERVICIO DE INFORMACIÓN CATASTRAL - ACTUALIZACIÓN  Y GESTIÓN CATASTRAL  NACIONAL"/>
    <s v="Propios"/>
    <x v="1"/>
    <s v="CSF"/>
    <n v="69663808"/>
    <n v="0"/>
    <n v="69663808"/>
    <n v="1885839"/>
    <s v="Prestación de servicios profesionales para el seguimiento y control de las actividades de la etapa operativa del proyecto de gestión catastral multipropósito de Arauquita - Arauca"/>
    <s v="47821"/>
    <s v="76221, 87421, 87521"/>
    <s v="235621, 235721, 283821"/>
    <s v="340421, 340521, 388721, 389621, 461921, 544521"/>
    <s v="112037421, 112038021, 127335721, 127413421, 159089921, 203823221"/>
    <s v="-0"/>
    <x v="0"/>
    <x v="1"/>
  </r>
  <r>
    <s v="45221"/>
    <s v="2021-04-06 00:00:00"/>
    <s v="2021-04-06 07:58:00"/>
    <s v="Gasto"/>
    <s v="Con Compromiso"/>
    <s v="0500"/>
    <x v="0"/>
    <x v="1"/>
    <s v="ADQUISICIÓN DE BIENES Y SERVICIOS - SERVICIO DE INFORMACIÓN CATASTRAL - ACTUALIZACIÓN  Y GESTIÓN CATASTRAL  NACIONAL"/>
    <s v="Propios"/>
    <x v="1"/>
    <s v="CSF"/>
    <n v="112490352"/>
    <n v="0"/>
    <n v="112490352"/>
    <n v="18748392"/>
    <s v="Prestación de servicios personales para realizar actividades de reconocimiento predial en el proceso de actualización catastral multipropósito de Arauquita - Arauca"/>
    <s v="47921"/>
    <s v="89921, 90621, 97621, 98621, 98721"/>
    <s v="361821, 365621, 366221, 367021, 379321"/>
    <s v="462221, 467321, 468221, 476521, 476621, 523921, 527121, 529121, 529221, 530221, 592621, 592721, 594721, 594821, 595021"/>
    <s v="159211621, 167052121, 167114521, 171406121, 171408121, 175513621, 187307221, 187310321, 187312321, 187312521, 188264321, 226267121, 226278021, 226415721, 226421921, 226432221"/>
    <s v="-0"/>
    <x v="0"/>
    <x v="1"/>
  </r>
  <r>
    <s v="45321"/>
    <s v="2021-04-06 00:00:00"/>
    <s v="2021-04-06 07:59:00"/>
    <s v="Gasto"/>
    <s v="Con Compromiso"/>
    <s v="0500"/>
    <x v="0"/>
    <x v="1"/>
    <s v="ADQUISICIÓN DE BIENES Y SERVICIOS - SERVICIO DE INFORMACIÓN CATASTRAL - ACTUALIZACIÓN  Y GESTIÓN CATASTRAL  NACIONAL"/>
    <s v="Propios"/>
    <x v="1"/>
    <s v="CSF"/>
    <n v="21630000"/>
    <n v="0"/>
    <n v="21630000"/>
    <n v="7210000"/>
    <s v="Prestación de servicios técnicos de apoyo al seguimiento, planeación y gestión del reconocimiento predial en el proceso de actualización catastral multipropósito de Arauquita - Arauca"/>
    <s v="48021"/>
    <s v="140021"/>
    <s v="-0"/>
    <s v="-0"/>
    <s v="-0"/>
    <s v="-0"/>
    <x v="0"/>
    <x v="1"/>
  </r>
  <r>
    <s v="45421"/>
    <s v="2021-04-06 00:00:00"/>
    <s v="2021-04-06 08:00:00"/>
    <s v="Gasto"/>
    <s v="Generado"/>
    <s v="0500"/>
    <x v="0"/>
    <x v="1"/>
    <s v="ADQUISICIÓN DE BIENES Y SERVICIOS - SERVICIO DE INFORMACIÓN CATASTRAL - ACTUALIZACIÓN  Y GESTIÓN CATASTRAL  NACIONAL"/>
    <s v="Propios"/>
    <x v="1"/>
    <s v="CSF"/>
    <n v="16028898"/>
    <n v="0"/>
    <n v="16028898"/>
    <n v="16028898"/>
    <s v="Prestación de servicios personales para realizar actividades de digitalización y generación de productos resultantes del proceso de actualización catastral multipropósito de Arauquita - Arauca"/>
    <s v="48121"/>
    <s v="-0"/>
    <s v="-0"/>
    <s v="-0"/>
    <s v="-0"/>
    <s v="-0"/>
    <x v="0"/>
    <x v="1"/>
  </r>
  <r>
    <s v="45521"/>
    <s v="2021-04-06 00:00:00"/>
    <s v="2021-04-06 08:02:00"/>
    <s v="Gasto"/>
    <s v="Con Compromiso"/>
    <s v="0500"/>
    <x v="0"/>
    <x v="1"/>
    <s v="ADQUISICIÓN DE BIENES Y SERVICIOS - SERVICIO DE INFORMACIÓN CATASTRAL - ACTUALIZACIÓN  Y GESTIÓN CATASTRAL  NACIONAL"/>
    <s v="Propios"/>
    <x v="1"/>
    <s v="CSF"/>
    <n v="29121888"/>
    <n v="0"/>
    <n v="29121888"/>
    <n v="1820118"/>
    <s v="Prestación de servicios profesionales para realizar las socializaciones requeridas en el proceso de actualización catastral multipropósito de Arauquita - Arauca"/>
    <s v="48321"/>
    <s v="77121"/>
    <s v="286821"/>
    <s v="390421, 390621, 460621, 530021, 593421"/>
    <s v="127455521, 127599421, 158458321, 188257221, 226310321"/>
    <s v="-0"/>
    <x v="0"/>
    <x v="1"/>
  </r>
  <r>
    <s v="45621"/>
    <s v="2021-04-06 00:00:00"/>
    <s v="2021-04-06 08:03:00"/>
    <s v="Gasto"/>
    <s v="Generado"/>
    <s v="0500"/>
    <x v="0"/>
    <x v="1"/>
    <s v="ADQUISICIÓN DE BIENES Y SERVICIOS - SERVICIO DE INFORMACIÓN CATASTRAL - ACTUALIZACIÓN  Y GESTIÓN CATASTRAL  NACIONAL"/>
    <s v="Propios"/>
    <x v="1"/>
    <s v="CSF"/>
    <n v="29858544"/>
    <n v="0"/>
    <n v="29858544"/>
    <n v="29858544"/>
    <s v="Prestación de servicios para realizar la edición, depuración y consolidación de los productos cartográficos requeridos para el componente geográfico de los procesos de actualización catastral multipropósito de Arauquita - Arauca"/>
    <s v="48421"/>
    <s v="-0"/>
    <s v="-0"/>
    <s v="-0"/>
    <s v="-0"/>
    <s v="-0"/>
    <x v="0"/>
    <x v="1"/>
  </r>
  <r>
    <s v="45721"/>
    <s v="2021-04-06 00:00:00"/>
    <s v="2021-04-06 08:04:00"/>
    <s v="Gasto"/>
    <s v="Generado"/>
    <s v="0500"/>
    <x v="0"/>
    <x v="1"/>
    <s v="ADQUISICIÓN DE BIENES Y SERVICIOS - SERVICIO DE INFORMACIÓN CATASTRAL - ACTUALIZACIÓN  Y GESTIÓN CATASTRAL  NACIONAL"/>
    <s v="Propios"/>
    <x v="1"/>
    <s v="CSF"/>
    <n v="34546758"/>
    <n v="0"/>
    <n v="34546758"/>
    <n v="34546758"/>
    <s v="Prestación de servicios para realizar el control calidad de los productos geográficos, alfanuméricos y documentales generados en los procesos de actualización multipropósito de Arauquita - Arauca"/>
    <s v="48521"/>
    <s v="-0"/>
    <s v="-0"/>
    <s v="-0"/>
    <s v="-0"/>
    <s v="-0"/>
    <x v="0"/>
    <x v="1"/>
  </r>
  <r>
    <s v="45821"/>
    <s v="2021-04-06 00:00:00"/>
    <s v="2021-04-06 11:22:00"/>
    <s v="Gasto"/>
    <s v="Con Compromiso"/>
    <s v="0500"/>
    <x v="0"/>
    <x v="1"/>
    <s v="ADQUISICIÓN DE BIENES Y SERVICIOS - SERVICIO DE INFORMACIÓN CATASTRAL - ACTUALIZACIÓN  Y GESTIÓN CATASTRAL  NACIONAL"/>
    <s v="Propios"/>
    <x v="1"/>
    <s v="CSF"/>
    <n v="20414916"/>
    <n v="0"/>
    <n v="20414916"/>
    <n v="0"/>
    <s v="Prestación de servicios personales para realizar actividades de apoyo operativo del proceso de actualización catastral multipropósito de Arauquita - Arauca"/>
    <s v="48221"/>
    <s v="91721, 94821"/>
    <s v="366321, 376621"/>
    <s v="467521, 489821, 523221, 523321, 579221, 591621"/>
    <s v="167059421, 176246321, 187306521, 187306621, 218006721, 226208621"/>
    <s v="-0"/>
    <x v="0"/>
    <x v="1"/>
  </r>
  <r>
    <s v="45921"/>
    <s v="2021-04-07 00:00:00"/>
    <s v="2021-04-07 15: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1873124"/>
    <n v="0"/>
    <n v="21873124"/>
    <n v="0"/>
    <s v="Prestación de servicios profesionales para la implementación y administración de las herramientas y servicios de integración de las aplicaciones para permitir la interoperabilidad de RENARE"/>
    <s v="47621"/>
    <s v="77321"/>
    <s v="290421"/>
    <s v="393721, 438221, 530621, 596521"/>
    <s v="130370521, 147775821, 188285121, 226440521"/>
    <s v="-0"/>
    <x v="0"/>
    <x v="4"/>
  </r>
  <r>
    <s v="46021"/>
    <s v="2021-04-08 00:00:00"/>
    <s v="2021-04-08 11:39:00"/>
    <s v="Gasto"/>
    <s v="Con Compromiso"/>
    <s v="0300"/>
    <x v="0"/>
    <x v="4"/>
    <s v="ADQUISICIÓN DE BIENES Y SERVICIOS - SERVICIOS DE INFORMACIÓN GEODÉSICA ACTUALIZADO - LEVANTAMIENTO , GENERACIÓN Y ACTUALIZACIÓN DE LA RED GEODÉSICA Y LA CARTOGRAFÍA BÁSICA A NIVEL   NACIONAL"/>
    <s v="Nación"/>
    <x v="0"/>
    <s v="CSF"/>
    <n v="3372230"/>
    <n v="0"/>
    <n v="3372230"/>
    <n v="0"/>
    <s v="Realizar la densificación de la red geodésica nacional activa MAGNA-ECO mediante la materialización de dos estación de funcionamiento continúo en los municipio de Suan, departamento del Atlántico y Aracataca, departamento_x000a_del Magdalena"/>
    <s v="49121"/>
    <s v="73421"/>
    <s v="164721"/>
    <s v="272321"/>
    <s v="77464821"/>
    <s v="-0"/>
    <x v="0"/>
    <x v="3"/>
  </r>
  <r>
    <s v="46121"/>
    <s v="2021-04-08 00:00:00"/>
    <s v="2021-04-08 11:41:00"/>
    <s v="Gasto"/>
    <s v="Con Compromiso"/>
    <s v="0300"/>
    <x v="0"/>
    <x v="12"/>
    <s v="ADQUISICIÓN DE BIENES Y SERVICIOS - SERVICIO DE INFORMACIÓN CARTOGRÁFICA ACTUALIZADO - LEVANTAMIENTO , GENERACIÓN Y ACTUALIZACIÓN DE LA RED GEODÉSICA Y LA CARTOGRAFÍA BÁSICA A NIVEL   NACIONAL"/>
    <s v="Nación"/>
    <x v="0"/>
    <s v="CSF"/>
    <n v="15961728"/>
    <n v="-1583626"/>
    <n v="14378102"/>
    <n v="0"/>
    <s v="REALIZAR EL LEVANTAMIETO TOPOGRAFICO Y PLANIMETRICO DEL PREDIO LA ARGENTINA UBICADO EN EL MUNICIPIO DE SINCELEJO EN EL DEPARTAMENTO DE SUCRE"/>
    <s v="49721"/>
    <s v="71921, 72021, 72221"/>
    <s v="163421, 163521, 163721"/>
    <s v="271121, 271221, 271421"/>
    <s v="76963521, 76964221, 76966621"/>
    <s v="8521, 8821, 10321"/>
    <x v="0"/>
    <x v="3"/>
  </r>
  <r>
    <s v="46221"/>
    <s v="2021-04-08 00:00:00"/>
    <s v="2021-04-08 11:42:00"/>
    <s v="Gasto"/>
    <s v="Con Compromiso"/>
    <s v="0300"/>
    <x v="0"/>
    <x v="12"/>
    <s v="ADQUISICIÓN DE BIENES Y SERVICIOS - SERVICIO DE INFORMACIÓN CARTOGRÁFICA ACTUALIZADO - LEVANTAMIENTO , GENERACIÓN Y ACTUALIZACIÓN DE LA RED GEODÉSICA Y LA CARTOGRAFÍA BÁSICA A NIVEL   NACIONAL"/>
    <s v="Propios"/>
    <x v="1"/>
    <s v="CSF"/>
    <n v="10542441"/>
    <n v="-3598679.66"/>
    <n v="6943761.3399999999"/>
    <n v="0"/>
    <s v="REALIZAR TRABAJOS DE AEROFOTOGRAFIA CON AERONAVE NO TRIPULADA TIPO DRON Y LEVANTAMIENTO DE PUNTOS DE FOTOCONTROL PARA ELABORACION Y VALIDACION DE PRODUCTOS_x000a_CARTOGRAFICOS EN EL AREA NO MUNICIPALIZADA DE MIRITÍ-PARANÁ EN EL DEPARTAMENTO DE AMAZONAS"/>
    <s v="49621"/>
    <s v="71021, 72121, 82821"/>
    <s v="162421, 163621, 221321"/>
    <s v="269821, 271321, 328221"/>
    <s v="76241521, 76965421, 99919921"/>
    <s v="11121, 11221, 11321, 11421"/>
    <x v="0"/>
    <x v="3"/>
  </r>
  <r>
    <s v="46321"/>
    <s v="2021-04-08 00:00:00"/>
    <s v="2021-04-08 11:43:00"/>
    <s v="Gasto"/>
    <s v="Con Compromiso"/>
    <s v="0300"/>
    <x v="0"/>
    <x v="4"/>
    <s v="ADQUISICIÓN DE BIENES Y SERVICIOS - SERVICIOS DE INFORMACIÓN GEODÉSICA ACTUALIZADO - LEVANTAMIENTO , GENERACIÓN Y ACTUALIZACIÓN DE LA RED GEODÉSICA Y LA CARTOGRAFÍA BÁSICA A NIVEL   NACIONAL"/>
    <s v="Propios"/>
    <x v="1"/>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521"/>
    <s v="71521, 82921"/>
    <s v="162721, 222321"/>
    <s v="270121, 329121"/>
    <s v="76262221, 100644021"/>
    <s v="9921"/>
    <x v="0"/>
    <x v="3"/>
  </r>
  <r>
    <s v="46421"/>
    <s v="2021-04-08 00:00:00"/>
    <s v="2021-04-08 11:44:00"/>
    <s v="Gasto"/>
    <s v="Con Compromiso"/>
    <s v="0300"/>
    <x v="0"/>
    <x v="4"/>
    <s v="ADQUISICIÓN DE BIENES Y SERVICIOS - SERVICIOS DE INFORMACIÓN GEODÉSICA ACTUALIZADO - LEVANTAMIENTO , GENERACIÓN Y ACTUALIZACIÓN DE LA RED GEODÉSICA Y LA CARTOGRAFÍA BÁSICA A NIVEL   NACIONAL"/>
    <s v="Nación"/>
    <x v="0"/>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421"/>
    <s v="71421, 83021"/>
    <s v="165721, 222221"/>
    <s v="273421, 329021"/>
    <s v="78375121, 100642821"/>
    <s v="9421"/>
    <x v="0"/>
    <x v="3"/>
  </r>
  <r>
    <s v="46521"/>
    <s v="2021-04-08 00:00:00"/>
    <s v="2021-04-08 11:46:00"/>
    <s v="Gasto"/>
    <s v="Con Compromiso"/>
    <s v="0300"/>
    <x v="0"/>
    <x v="12"/>
    <s v="ADQUISICIÓN DE BIENES Y SERVICIOS - SERVICIO DE INFORMACIÓN CARTOGRÁFICA ACTUALIZADO - LEVANTAMIENTO , GENERACIÓN Y ACTUALIZACIÓN DE LA RED GEODÉSICA Y LA CARTOGRAFÍA BÁSICA A NIVEL   NACIONAL"/>
    <s v="Propios"/>
    <x v="1"/>
    <s v="CSF"/>
    <n v="10445503"/>
    <n v="-1731862"/>
    <n v="8713641"/>
    <n v="0"/>
    <s v="REALIZAR TRABAJOS DE AEROFOTOGRAFIA CON AERONAVES NO TRIPULADAS TIPO DRON EN EL MUNICIPIO DE MARIA LA BAJA EN EL DEPARTAMENTO DE BOLIVAR"/>
    <s v="49321"/>
    <s v="72921, 73021, 73121"/>
    <s v="164021, 164121, 164221"/>
    <s v="271721, 271821, 271921"/>
    <s v="77091121, 77101621, 77113221"/>
    <s v="10621, 11521"/>
    <x v="0"/>
    <x v="3"/>
  </r>
  <r>
    <s v="46621"/>
    <s v="2021-04-08 00:00:00"/>
    <s v="2021-04-08 11:47:00"/>
    <s v="Gasto"/>
    <s v="Con Compromiso"/>
    <s v="0300"/>
    <x v="0"/>
    <x v="4"/>
    <s v="ADQUISICIÓN DE BIENES Y SERVICIOS - SERVICIOS DE INFORMACIÓN GEODÉSICA ACTUALIZADO - LEVANTAMIENTO , GENERACIÓN Y ACTUALIZACIÓN DE LA RED GEODÉSICA Y LA CARTOGRAFÍA BÁSICA A NIVEL   NACIONAL"/>
    <s v="Nación"/>
    <x v="0"/>
    <s v="CSF"/>
    <n v="8929726"/>
    <n v="-583698.06000000006"/>
    <n v="8346027.9400000004"/>
    <n v="0"/>
    <s v="REALIZAR EL LEVANTAMIENTO DE FOTOCONTROL Y PUNTOS DE VERIFICACION PARA LA ELABORACION Y VALIDACION DE PRODUCTOS CARTOGRAFICOS RURALES EN EL MUNICIPIO DE ARAUQUITA EN EL_x000a_DEPARTAMENTO DE ARAUCA"/>
    <s v="49221"/>
    <s v="70921, 71721, 71821"/>
    <s v="162321, 162921, 163021"/>
    <s v="269721, 270321, 270421"/>
    <s v="76238121, 76265321, 76266521"/>
    <s v="9121, 9221"/>
    <x v="0"/>
    <x v="3"/>
  </r>
  <r>
    <s v="46721"/>
    <s v="2021-04-08 00:00:00"/>
    <s v="2021-04-08 11:48:00"/>
    <s v="Gasto"/>
    <s v="Con Compromiso"/>
    <s v="0300"/>
    <x v="0"/>
    <x v="4"/>
    <s v="ADQUISICIÓN DE BIENES Y SERVICIOS - SERVICIOS DE INFORMACIÓN GEODÉSICA ACTUALIZADO - LEVANTAMIENTO , GENERACIÓN Y ACTUALIZACIÓN DE LA RED GEODÉSICA Y LA CARTOGRAFÍA BÁSICA A NIVEL   NACIONAL"/>
    <s v="Propios"/>
    <x v="1"/>
    <s v="CSF"/>
    <n v="21778770"/>
    <n v="-1413888.82"/>
    <n v="20364881.18"/>
    <n v="0"/>
    <s v="Realizar la densificación de la red geodésica nacional activa MAGNA-ECO mediante la materialización de dos estación de funcionamiento continúo en los municipio de Suan, departamento del Atlántico y Aracataca, departamento_x000a_del Magdalena."/>
    <s v="49021"/>
    <s v="73521, 73721, 73821"/>
    <s v="164621, 165021, 165121"/>
    <s v="272221, 272721, 272821"/>
    <s v="77458821, 77565221, 77566821"/>
    <s v="10421, 10721, 11621, 11721"/>
    <x v="0"/>
    <x v="3"/>
  </r>
  <r>
    <s v="46821"/>
    <s v="2021-04-08 00:00:00"/>
    <s v="2021-04-08 11:49:00"/>
    <s v="Gasto"/>
    <s v="Con Compromiso"/>
    <s v="0300"/>
    <x v="0"/>
    <x v="4"/>
    <s v="ADQUISICIÓN DE BIENES Y SERVICIOS - SERVICIOS DE INFORMACIÓN GEODÉSICA ACTUALIZADO - LEVANTAMIENTO , GENERACIÓN Y ACTUALIZACIÓN DE LA RED GEODÉSICA Y LA CARTOGRAFÍA BÁSICA A NIVEL   NACIONAL"/>
    <s v="Nación"/>
    <x v="0"/>
    <s v="CSF"/>
    <n v="4030226"/>
    <n v="0"/>
    <n v="4030226"/>
    <n v="0"/>
    <s v="Realizar la la materialización de una estación de funcionamiento continúo en el municipio de Sardinata, departamento del Norte de Santander y mantenimiento correctivo"/>
    <s v="48921"/>
    <s v="71621"/>
    <s v="162821"/>
    <s v="270221"/>
    <s v="76263921"/>
    <s v="-0"/>
    <x v="0"/>
    <x v="3"/>
  </r>
  <r>
    <s v="46921"/>
    <s v="2021-04-08 00:00:00"/>
    <s v="2021-04-08 11:51:00"/>
    <s v="Gasto"/>
    <s v="Con Compromiso"/>
    <s v="0300"/>
    <x v="0"/>
    <x v="4"/>
    <s v="ADQUISICIÓN DE BIENES Y SERVICIOS - SERVICIOS DE INFORMACIÓN GEODÉSICA ACTUALIZADO - LEVANTAMIENTO , GENERACIÓN Y ACTUALIZACIÓN DE LA RED GEODÉSICA Y LA CARTOGRAFÍA BÁSICA A NIVEL   NACIONAL"/>
    <s v="Propios"/>
    <x v="1"/>
    <s v="CSF"/>
    <n v="14856952"/>
    <n v="-3848515.8"/>
    <n v="11008436.199999999"/>
    <n v="0"/>
    <s v="Realizar la la materialización de una estación de funcionamiento continúo en el municipio de Sardinata, departamento del Norte de Santander y mantenimiento correctivo"/>
    <s v="48821"/>
    <s v="71121, 72321, 72421"/>
    <s v="162521, 163821, 163921"/>
    <s v="269921, 271521, 271621"/>
    <s v="76243521, 76973221, 76976121"/>
    <s v="10521, 10921, 11021"/>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0"/>
    <n v="55024"/>
    <n v="55024"/>
    <n v="55024"/>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Propios"/>
    <x v="1"/>
    <s v="CSF"/>
    <n v="0"/>
    <n v="26237537"/>
    <n v="26237537"/>
    <n v="26237537"/>
    <s v="Adquisición del seguro de casco avión y seguro vehículo aéreo no tripulado que ampare los bienes e intereses patrimoniales del IGAC"/>
    <s v="50221"/>
    <s v="-0"/>
    <s v="-0"/>
    <s v="-0"/>
    <s v="-0"/>
    <s v="-0"/>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0"/>
    <n v="3573144"/>
    <n v="3573144"/>
    <n v="3573144"/>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Propios"/>
    <x v="1"/>
    <s v="CSF"/>
    <n v="0"/>
    <n v="12536090"/>
    <n v="12536090"/>
    <n v="12536090"/>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Nación"/>
    <x v="0"/>
    <s v="CSF"/>
    <n v="0"/>
    <n v="9003541"/>
    <n v="9003541"/>
    <n v="9003541"/>
    <s v="Adquisición del seguro de casco avión y seguro vehículo aéreo no tripulado que ampare los bienes e intereses patrimoniales del IGAC"/>
    <s v="50221"/>
    <s v="-0"/>
    <s v="-0"/>
    <s v="-0"/>
    <s v="-0"/>
    <s v="-0"/>
    <x v="0"/>
    <x v="3"/>
  </r>
  <r>
    <s v="47321"/>
    <s v="2021-04-14 00:00:00"/>
    <s v="2021-04-14 17:32:00"/>
    <s v="Gasto"/>
    <s v="Generado"/>
    <s v="0300"/>
    <x v="0"/>
    <x v="4"/>
    <s v="ADQUISICIÓN DE BIENES Y SERVICIOS - SERVICIOS DE INFORMACIÓN GEODÉSICA ACTUALIZADO - LEVANTAMIENTO , GENERACIÓN Y ACTUALIZACIÓN DE LA RED GEODÉSICA Y LA CARTOGRAFÍA BÁSICA A NIVEL   NACIONAL"/>
    <s v="Propios"/>
    <x v="1"/>
    <s v="CSF"/>
    <n v="0"/>
    <n v="19948472"/>
    <n v="19948472"/>
    <n v="19948472"/>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Nación"/>
    <x v="0"/>
    <s v="CSF"/>
    <n v="0"/>
    <n v="84344"/>
    <n v="84344"/>
    <n v="8434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Nación"/>
    <x v="0"/>
    <s v="CSF"/>
    <n v="0"/>
    <n v="17528364"/>
    <n v="17528364"/>
    <n v="1752836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Propios"/>
    <x v="1"/>
    <s v="CSF"/>
    <n v="350000000"/>
    <n v="66038434"/>
    <n v="416038434"/>
    <n v="416038434"/>
    <s v="Adquisición del seguro de casco avión y seguro vehículo aéreo no tripulado que ampare los bienes e intereses patrimoniales del IGAC"/>
    <s v="50221"/>
    <s v="-0"/>
    <s v="-0"/>
    <s v="-0"/>
    <s v="-0"/>
    <s v="-0"/>
    <x v="0"/>
    <x v="3"/>
  </r>
  <r>
    <s v="47521"/>
    <s v="2021-04-15 00:00:00"/>
    <s v="2021-04-15 08:36: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47021976"/>
    <n v="-191926"/>
    <n v="46830050"/>
    <n v="0"/>
    <s v="Prestación de servicios profesionales para la implementación de métodos y herramientas estadísticas que permitan optimizar los procesos de producción de información misional de acuerdo con los proyectos de innovación de la_x000a_oficina CIAF y requerimient"/>
    <s v="50021"/>
    <s v="81821"/>
    <s v="280221"/>
    <s v="384621, 447921, 528421, 599121"/>
    <s v="126855321, 150293721, 187311621, 228500821"/>
    <s v="-0"/>
    <x v="0"/>
    <x v="4"/>
  </r>
  <r>
    <s v="47621"/>
    <s v="2021-04-15 00:00:00"/>
    <s v="2021-04-15 10:49:00"/>
    <s v="Gasto"/>
    <s v="Con Compromiso"/>
    <s v="0200"/>
    <x v="0"/>
    <x v="19"/>
    <s v="ADQUISICIÓN DE BIENES Y SERVICIOS - SEDES MANTENIDAS - FORTALECIMIENTO DE LA INFRAESTRUCTURA FÍSICA DEL IGAC A NIVEL  NACIONAL"/>
    <s v="Propios"/>
    <x v="1"/>
    <s v="CSF"/>
    <n v="60000000"/>
    <n v="-41670400"/>
    <n v="18329600"/>
    <n v="0"/>
    <s v="Prestación de servicios para el mantenimiento correctivo y preventivo ascensores sede central"/>
    <s v="50321"/>
    <s v="89021"/>
    <s v="507221"/>
    <s v="599921, 600021"/>
    <s v="-0"/>
    <s v="-0"/>
    <x v="0"/>
    <x v="0"/>
  </r>
  <r>
    <s v="47721"/>
    <s v="2021-04-15 00:00:00"/>
    <s v="2021-04-15 11:54:00"/>
    <s v="Gasto"/>
    <s v="Con Compromiso"/>
    <s v="0300"/>
    <x v="0"/>
    <x v="12"/>
    <s v="ADQUISICIÓN DE BIENES Y SERVICIOS - SERVICIO DE INFORMACIÓN CARTOGRÁFICA ACTUALIZADO - LEVANTAMIENTO , GENERACIÓN Y ACTUALIZACIÓN DE LA RED GEODÉSICA Y LA CARTOGRAFÍA BÁSICA A NIVEL   NACIONAL"/>
    <s v="Propios"/>
    <x v="1"/>
    <s v="CSF"/>
    <n v="18000000"/>
    <n v="-6225885"/>
    <n v="11774115"/>
    <n v="0"/>
    <s v="Contratar el servicio anual de rastreo y seguimiento satelital para los equipos de localización satelital SPOT GEN3"/>
    <s v="50121"/>
    <s v="89421, 89521"/>
    <s v="365121"/>
    <s v="464521"/>
    <s v="198653821"/>
    <s v="-0"/>
    <x v="0"/>
    <x v="3"/>
  </r>
  <r>
    <s v="47821"/>
    <s v="2021-04-16 00:00:00"/>
    <s v="2021-04-16 10:51:00"/>
    <s v="Gasto"/>
    <s v="Con Compromiso"/>
    <s v="0200"/>
    <x v="0"/>
    <x v="6"/>
    <s v="ADQUISICIÓN DE BIENES Y SERVICIOS - DOCUMENTOS DE PLANEACIÓN - FORTALECIMIENTO DE LA GESTIÓN INSTITUCIONAL DEL IGAC A NIVEL   NACIONAL"/>
    <s v="Nación"/>
    <x v="0"/>
    <s v="CSF"/>
    <n v="63492813"/>
    <n v="-10025181"/>
    <n v="53467632"/>
    <n v="0"/>
    <s v="Prestación de servicios profesionales para apoyar las actividades de programación, actualización y seguimiento al presupuesto de ingresos por recursos propios, del Instituto Geográfico Agustín Codazzi, en el marco del Modelo_x000a_Integrado de Planeación"/>
    <s v="50421"/>
    <s v="84521"/>
    <s v="273721"/>
    <s v="376121, 459621, 511621, 597321"/>
    <s v="123405021, 157662021, 182011621, 224064921"/>
    <s v="-0"/>
    <x v="0"/>
    <x v="0"/>
  </r>
  <r>
    <s v="47921"/>
    <s v="2021-04-16 00:00:00"/>
    <s v="2021-04-16 14:29:00"/>
    <s v="Gasto"/>
    <s v="Con Compromiso"/>
    <s v="0300"/>
    <x v="0"/>
    <x v="4"/>
    <s v="ADQUISICIÓN DE BIENES Y SERVICIOS - SERVICIOS DE INFORMACIÓN GEODÉSICA ACTUALIZADO - LEVANTAMIENTO , GENERACIÓN Y ACTUALIZACIÓN DE LA RED GEODÉSICA Y LA CARTOGRAFÍA BÁSICA A NIVEL   NACIONAL"/>
    <s v="Nación"/>
    <x v="0"/>
    <s v="CSF"/>
    <n v="1324699"/>
    <n v="-19437"/>
    <n v="1305262"/>
    <n v="0"/>
    <s v="Realizar el mantenimiento correctivo de una estación de funcionamiento continúo de la red"/>
    <s v="51021"/>
    <s v="76421, 76621"/>
    <s v="174621, 174721"/>
    <s v="281921, 282021"/>
    <s v="83990721, 83994021"/>
    <s v="7921"/>
    <x v="0"/>
    <x v="3"/>
  </r>
  <r>
    <s v="48221"/>
    <s v="2021-04-21 00:00:00"/>
    <s v="2021-04-21 0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847240"/>
    <n v="0"/>
    <n v="1847240"/>
    <n v="0"/>
    <s v="REALIZAR TRABAJOS DE TOPOGRAFIA EN EL MUNICIPIO DE MEDIO BAUDÓ EN EL DEPARTAMENTO DE CHOCÓ, EN CUMPLIMIENTO DEL FALLO PROFERIDO POR LA SALA DE INSTRUCCION DE LA CORTE_x000a_SUPREMA DE JUSTICIA"/>
    <s v="52421"/>
    <s v="78921"/>
    <s v="185821"/>
    <s v="293121"/>
    <s v="87504421"/>
    <s v="-0"/>
    <x v="0"/>
    <x v="3"/>
  </r>
  <r>
    <s v="48321"/>
    <s v="2021-04-21 00:00:00"/>
    <s v="2021-04-21 08:23:00"/>
    <s v="Gasto"/>
    <s v="Con Compromiso"/>
    <s v="0200"/>
    <x v="0"/>
    <x v="21"/>
    <s v="ADQUISICIÓN DE BIENES Y SERVICIOS - SERVICIO DE EDUCACIÓN INFORMAL PARA LA GESTIÓN ADMINISTRATIVA - FORTALECIMIENTO DE LA GESTIÓN INSTITUCIONAL DEL IGAC A NIVEL   NACIONAL"/>
    <s v="Propios"/>
    <x v="1"/>
    <s v="CSF"/>
    <n v="174494211"/>
    <n v="0"/>
    <n v="174494211"/>
    <n v="0"/>
    <s v="Prestación de servicios de apoyo a la Gestión para llevar a cabo los programas y proyectos del Plan Institucional de Capacitación de la entidad"/>
    <s v="51721"/>
    <s v="87621, 87721"/>
    <s v="434021, 508121"/>
    <s v="529321, 600721, 600821"/>
    <s v="187312621, 228501521"/>
    <s v="-0"/>
    <x v="0"/>
    <x v="0"/>
  </r>
  <r>
    <s v="48421"/>
    <s v="2021-04-21 00:00:00"/>
    <s v="2021-04-21 08:27:00"/>
    <s v="Gasto"/>
    <s v="Con Compromiso"/>
    <s v="0200"/>
    <x v="0"/>
    <x v="0"/>
    <s v="ADQUISICIÓN DE BIENES Y SERVICIOS - SERVICIOS TECNOLÓGICOS - FORTALECIMIENTO DE LA GESTIÓN INSTITUCIONAL DEL IGAC A NIVEL   NACIONAL"/>
    <s v="Nación"/>
    <x v="0"/>
    <s v="CSF"/>
    <n v="162242850"/>
    <n v="0"/>
    <n v="162242850"/>
    <n v="28062141"/>
    <s v="Contratar los servicios de soporte técnicoproactivo, reactivo, de configuración, actualización, afinamiento y parametrización para productos ORACLE con los que cuenta el IGAC."/>
    <s v="51621"/>
    <s v="129721"/>
    <s v="-0"/>
    <s v="-0"/>
    <s v="-0"/>
    <s v="-0"/>
    <x v="0"/>
    <x v="0"/>
  </r>
  <r>
    <s v="48521"/>
    <s v="2021-04-21 00:00:00"/>
    <s v="2021-04-21 14:29:00"/>
    <s v="Gasto"/>
    <s v="Con Compromiso"/>
    <s v="0300"/>
    <x v="0"/>
    <x v="12"/>
    <s v="ADQUISICIÓN DE BIENES Y SERVICIOS - SERVICIO DE INFORMACIÓN CARTOGRÁFICA ACTUALIZADO - LEVANTAMIENTO , GENERACIÓN Y ACTUALIZACIÓN DE LA RED GEODÉSICA Y LA CARTOGRAFÍA BÁSICA A NIVEL   NACIONAL"/>
    <s v="Nación"/>
    <x v="0"/>
    <s v="CSF"/>
    <n v="33571440"/>
    <n v="0"/>
    <n v="33571440"/>
    <n v="0"/>
    <s v="Prestación de servicio para apoyar la organización, digitalización, control y seguimiento de los productos y servicios de la Subdirección de Geografía y Cartografía"/>
    <s v="53321"/>
    <s v="82321, 82421"/>
    <s v="257321, 276621"/>
    <s v="380221, 380421, 424221, 425921, 488021, 490521, 563621, 565121"/>
    <s v="124532521, 124535121, 145121521, 145836321, 175483721, 176298821, 212763821, 212851821"/>
    <s v="-0"/>
    <x v="0"/>
    <x v="3"/>
  </r>
  <r>
    <s v="48621"/>
    <s v="2021-04-21 00:00:00"/>
    <s v="2021-04-21 17:05:00"/>
    <s v="Gasto"/>
    <s v="Con Compromiso"/>
    <s v="0300"/>
    <x v="0"/>
    <x v="12"/>
    <s v="ADQUISICIÓN DE BIENES Y SERVICIOS - SERVICIO DE INFORMACIÓN CARTOGRÁFICA ACTUALIZADO - LEVANTAMIENTO , GENERACIÓN Y ACTUALIZACIÓN DE LA RED GEODÉSICA Y LA CARTOGRAFÍA BÁSICA A NIVEL   NACIONAL"/>
    <s v="Nación"/>
    <x v="0"/>
    <s v="CSF"/>
    <n v="42743728"/>
    <n v="0"/>
    <n v="42743728"/>
    <n v="0"/>
    <s v="Prestación de servicios para estructurar y elaborar cartografía temática de los proyectos asignados, de conformidad con las especificaciones técnicas y los tiempos establecidos"/>
    <s v="53421"/>
    <s v="82521, 82621"/>
    <s v="288921, 289021"/>
    <s v="392421, 392521, 448721, 449121, 497521, 497821, 553621, 563421"/>
    <s v="129591021, 129595221, 150531721, 150603621, 177651421, 177657121, 210121221, 212300621"/>
    <s v="-0"/>
    <x v="0"/>
    <x v="3"/>
  </r>
  <r>
    <s v="48821"/>
    <s v="2021-04-23 00:00:00"/>
    <s v="2021-04-23 14:54:00"/>
    <s v="Gasto"/>
    <s v="Con Compromiso"/>
    <s v="0200"/>
    <x v="0"/>
    <x v="19"/>
    <s v="ADQUISICIÓN DE BIENES Y SERVICIOS - SEDES MANTENIDAS - FORTALECIMIENTO DE LA INFRAESTRUCTURA FÍSICA DEL IGAC A NIVEL  NACIONAL"/>
    <s v="Nación"/>
    <x v="0"/>
    <s v="CSF"/>
    <n v="219802"/>
    <n v="3357426"/>
    <n v="3577228"/>
    <n v="0"/>
    <s v="Gastos de comisión - Contratista"/>
    <s v="53621"/>
    <s v="79721, 84221, 88921, 89721, 110021, 110121, 115921, 134721"/>
    <s v="195721, 224221, 235821, 239121, 353021, 353121, 369621, 489721"/>
    <s v="303221, 330521, 340621, 343521, 454621, 454721, 469021, 579521"/>
    <s v="90704421, 104828221, 112038421, 114356321, 153457721, 153464721, 167149321, 218030421"/>
    <s v="-0"/>
    <x v="0"/>
    <x v="0"/>
  </r>
  <r>
    <s v="48921"/>
    <s v="2021-04-23 00:00:00"/>
    <s v="2021-04-23 17: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42800"/>
    <n v="-942800"/>
    <n v="0"/>
    <n v="0"/>
    <s v="Viáticos , salida de campo de acompañamiento al Monitoreo Ambiental 60 días después y Seguimiento Ambiental al 10% de los lotes asperjados en el núcleo Larandia Villagarzón, Policía Nacional Compañía Antinarcóticos de_x000a_Aspersión"/>
    <s v="53721"/>
    <s v="79821"/>
    <s v="195621"/>
    <s v="303021"/>
    <s v="90691721"/>
    <s v="8021"/>
    <x v="0"/>
    <x v="5"/>
  </r>
  <r>
    <s v="49021"/>
    <s v="2021-04-26 00:00:00"/>
    <s v="2021-04-26 08:14: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818115"/>
    <n v="0"/>
    <n v="2818115"/>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72912"/>
    <n v="0"/>
    <n v="172912"/>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890350"/>
    <n v="0"/>
    <n v="5890350"/>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121"/>
    <s v="2021-04-26 00:00:00"/>
    <s v="2021-04-26 14:25:00"/>
    <s v="Gasto"/>
    <s v="Generado"/>
    <s v="0160"/>
    <x v="0"/>
    <x v="3"/>
    <s v="ADQUISICIÓN DE BIENES Y SERVICIOS - SERVICIOS DE INFORMACIÓN IMPLEMENTADOS - FORTALECIMIENTO DE LOS PROCESOS DE DIFUSIÓN Y ACCESO A LA INFORMACIÓN GEOGRÁFICA A NIVEL   NACIONAL"/>
    <s v="Propios"/>
    <x v="1"/>
    <s v="CSF"/>
    <n v="2600000"/>
    <n v="0"/>
    <n v="2600000"/>
    <n v="2600000"/>
    <s v="Adquisición de consumibles de impresión a nivel nacional"/>
    <s v="51521"/>
    <s v="-0"/>
    <s v="-0"/>
    <s v="-0"/>
    <s v="-0"/>
    <s v="-0"/>
    <x v="0"/>
    <x v="2"/>
  </r>
  <r>
    <s v="49121"/>
    <s v="2021-04-26 00:00:00"/>
    <s v="2021-04-26 14:25:00"/>
    <s v="Gasto"/>
    <s v="Generado"/>
    <s v="0300"/>
    <x v="0"/>
    <x v="12"/>
    <s v="ADQUISICIÓN DE BIENES Y SERVICIOS - SERVICIO DE INFORMACIÓN CARTOGRÁFICA ACTUALIZADO - LEVANTAMIENTO , GENERACIÓN Y ACTUALIZACIÓN DE LA RED GEODÉSICA Y LA CARTOGRAFÍA BÁSICA A NIVEL   NACIONAL"/>
    <s v="Propios"/>
    <x v="1"/>
    <s v="CSF"/>
    <n v="70000000"/>
    <n v="0"/>
    <n v="70000000"/>
    <n v="70000000"/>
    <s v="Adquisición de consumibles de impresión a nivel nacional"/>
    <s v="51521"/>
    <s v="-0"/>
    <s v="-0"/>
    <s v="-0"/>
    <s v="-0"/>
    <s v="-0"/>
    <x v="0"/>
    <x v="3"/>
  </r>
  <r>
    <s v="49121"/>
    <s v="2021-04-26 00:00:00"/>
    <s v="2021-04-26 14:25: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13000000"/>
    <s v="Adquisición de consumibles de impresión a nivel nacional"/>
    <s v="51521"/>
    <s v="-0"/>
    <s v="-0"/>
    <s v="-0"/>
    <s v="-0"/>
    <s v="-0"/>
    <x v="0"/>
    <x v="4"/>
  </r>
  <r>
    <s v="49121"/>
    <s v="2021-04-26 00:00:00"/>
    <s v="2021-04-26 14:25:00"/>
    <s v="Gasto"/>
    <s v="Generado"/>
    <s v="0500"/>
    <x v="0"/>
    <x v="1"/>
    <s v="ADQUISICIÓN DE BIENES Y SERVICIOS - SERVICIO DE INFORMACIÓN CATASTRAL - ACTUALIZACIÓN  Y GESTIÓN CATASTRAL  NACIONAL"/>
    <s v="Propios"/>
    <x v="1"/>
    <s v="CSF"/>
    <n v="100000000"/>
    <n v="0"/>
    <n v="100000000"/>
    <n v="100000000"/>
    <s v="Adquisición de consumibles de impresión a nivel nacional"/>
    <s v="51521"/>
    <s v="-0"/>
    <s v="-0"/>
    <s v="-0"/>
    <s v="-0"/>
    <s v="-0"/>
    <x v="0"/>
    <x v="1"/>
  </r>
  <r>
    <s v="49221"/>
    <s v="2021-04-26 00:00:00"/>
    <s v="2021-04-26 14:30: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0"/>
    <s v="Adquisición de productos derivados del papel, cartón y corrugados en Colombia"/>
    <s v="51421"/>
    <s v="86721"/>
    <s v="337721"/>
    <s v="466921"/>
    <s v="167035121"/>
    <s v="-0"/>
    <x v="0"/>
    <x v="4"/>
  </r>
  <r>
    <s v="49221"/>
    <s v="2021-04-26 00:00:00"/>
    <s v="2021-04-26 14:30:00"/>
    <s v="Gasto"/>
    <s v="Con Compromiso"/>
    <s v="0160"/>
    <x v="0"/>
    <x v="3"/>
    <s v="ADQUISICIÓN DE BIENES Y SERVICIOS - SERVICIOS DE INFORMACIÓN IMPLEMENTADOS - FORTALECIMIENTO DE LOS PROCESOS DE DIFUSIÓN Y ACCESO A LA INFORMACIÓN GEOGRÁFICA A NIVEL   NACIONAL"/>
    <s v="Nación"/>
    <x v="0"/>
    <s v="CSF"/>
    <n v="1247146"/>
    <n v="0"/>
    <n v="1247146"/>
    <n v="1247146"/>
    <s v="Adquisición de productos derivados del papel, cartón y corrugados en Colombia"/>
    <s v="51421"/>
    <s v="86721"/>
    <s v="337721"/>
    <s v="466921"/>
    <s v="167035121"/>
    <s v="-0"/>
    <x v="0"/>
    <x v="2"/>
  </r>
  <r>
    <s v="49221"/>
    <s v="2021-04-26 00:00:00"/>
    <s v="2021-04-26 14:30:00"/>
    <s v="Gasto"/>
    <s v="Con Compromiso"/>
    <s v="0500"/>
    <x v="0"/>
    <x v="1"/>
    <s v="ADQUISICIÓN DE BIENES Y SERVICIOS - SERVICIO DE INFORMACIÓN CATASTRAL - ACTUALIZACIÓN  Y GESTIÓN CATASTRAL  NACIONAL"/>
    <s v="Propios"/>
    <x v="1"/>
    <s v="CSF"/>
    <n v="100000000"/>
    <n v="-50000000"/>
    <n v="50000000"/>
    <n v="50000000"/>
    <s v="Adquisición de productos derivados del papel, cartón y corrugados en Colombia"/>
    <s v="51421"/>
    <s v="86721"/>
    <s v="337721"/>
    <s v="466921"/>
    <s v="167035121"/>
    <s v="-0"/>
    <x v="0"/>
    <x v="1"/>
  </r>
  <r>
    <s v="49221"/>
    <s v="2021-04-26 00:00:00"/>
    <s v="2021-04-26 14:30:00"/>
    <s v="Gasto"/>
    <s v="Con Compromiso"/>
    <s v="0300"/>
    <x v="0"/>
    <x v="12"/>
    <s v="ADQUISICIÓN DE BIENES Y SERVICIOS - SERVICIO DE INFORMACIÓN CARTOGRÁFICA ACTUALIZADO - LEVANTAMIENTO , GENERACIÓN Y ACTUALIZACIÓN DE LA RED GEODÉSICA Y LA CARTOGRAFÍA BÁSICA A NIVEL   NACIONAL"/>
    <s v="Propios"/>
    <x v="1"/>
    <s v="CSF"/>
    <n v="20000000"/>
    <n v="-10000000"/>
    <n v="10000000"/>
    <n v="10000000"/>
    <s v="Adquisición de productos derivados del papel, cartón y corrugados en Colombia"/>
    <s v="51421"/>
    <s v="86721"/>
    <s v="337721"/>
    <s v="466921"/>
    <s v="167035121"/>
    <s v="-0"/>
    <x v="0"/>
    <x v="3"/>
  </r>
  <r>
    <s v="49221"/>
    <s v="2021-04-26 00:00:00"/>
    <s v="2021-04-26 14: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4284000"/>
    <n v="-15404005.18"/>
    <n v="18879994.82"/>
    <n v="15000000"/>
    <s v="Adquisición de productos derivados del papel, cartón y corrugados en Colombia"/>
    <s v="51421"/>
    <s v="86721"/>
    <s v="337721"/>
    <s v="466921"/>
    <s v="167035121"/>
    <s v="-0"/>
    <x v="0"/>
    <x v="4"/>
  </r>
  <r>
    <s v="49421"/>
    <s v="2021-04-27 00:00:00"/>
    <s v="2021-04-27 16:1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4929272"/>
    <n v="0"/>
    <n v="14929272"/>
    <n v="0"/>
    <s v="Prestación de servicios profesionales para realizar la estructuración final de la información cartográfica y alfanumérica y revisión digital de la información espacial temática de Áreas Homogéneas de Tierra con fines de Catastro_x000a_Multipropósito."/>
    <s v="50521"/>
    <s v="83721"/>
    <s v="288321"/>
    <s v="391921, 405221, 478021, 545621"/>
    <s v="129554121, 139715321, 171783421, 204882521"/>
    <s v="-0"/>
    <x v="0"/>
    <x v="5"/>
  </r>
  <r>
    <s v="49521"/>
    <s v="2021-04-27 00:00:00"/>
    <s v="2021-04-27 16:2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2790566"/>
    <n v="0"/>
    <n v="12790566"/>
    <n v="0"/>
    <s v="Prestación de servicios profesionales para ejecutar las diferentes etapas de la actualización de Áreas Homogéneas de Tierras con fines de catastro multipropósito, en el marco de la actualización catastral de Popayán."/>
    <s v="50621"/>
    <s v="83821"/>
    <s v="293021"/>
    <s v="395521, 420721, 475921, 567921"/>
    <s v="132312221, 144423721, 170376521, 213419121"/>
    <s v="-0"/>
    <x v="0"/>
    <x v="5"/>
  </r>
  <r>
    <s v="49721"/>
    <s v="2021-04-28 00:00:00"/>
    <s v="2021-04-28 19:45:00"/>
    <s v="Gasto"/>
    <s v="Con Compromiso"/>
    <s v="0200"/>
    <x v="0"/>
    <x v="21"/>
    <s v="ADQUISICIÓN DE BIENES Y SERVICIOS - SERVICIO DE EDUCACIÓN INFORMAL PARA LA GESTIÓN ADMINISTRATIVA - FORTALECIMIENTO DE LA GESTIÓN INSTITUCIONAL DEL IGAC A NIVEL   NACIONAL"/>
    <s v="Nación"/>
    <x v="0"/>
    <s v="CSF"/>
    <n v="34546758"/>
    <n v="0"/>
    <n v="34546758"/>
    <n v="0"/>
    <s v="Prestación de servicios profesionales al IGAC apoyando la vinculación del personal requerido por la entidad, de conformidad con las solicitudes efectuadas por el supervisor del contrato."/>
    <s v="53921"/>
    <s v="87321"/>
    <s v="270521"/>
    <s v="377521, 455521, 512621, 588821"/>
    <s v="123463021, 157396121, 182323521, 220852521"/>
    <s v="-0"/>
    <x v="0"/>
    <x v="0"/>
  </r>
  <r>
    <s v="50021"/>
    <s v="2021-04-30 00:00:00"/>
    <s v="2021-04-30 15:05:00"/>
    <s v="Gasto"/>
    <s v="Con Compromiso"/>
    <s v="0300"/>
    <x v="0"/>
    <x v="4"/>
    <s v="ADQUISICIÓN DE BIENES Y SERVICIOS - SERVICIOS DE INFORMACIÓN GEODÉSICA ACTUALIZADO - LEVANTAMIENTO , GENERACIÓN Y ACTUALIZACIÓN DE LA RED GEODÉSICA Y LA CARTOGRAFÍA BÁSICA A NIVEL   NACIONAL"/>
    <s v="Nación"/>
    <x v="0"/>
    <s v="CSF"/>
    <n v="3030663"/>
    <n v="-3030663"/>
    <n v="0"/>
    <n v="0"/>
    <s v="realizar la toma de observaciones del campo magnético de la tierra en el Observatorio Geomagnético Nacional de Colombia ubicado en la isla El Santuario de Fúquene en el municipio de Ráquira del departamento de Boyacá."/>
    <s v="54321"/>
    <s v="82721"/>
    <s v="219821"/>
    <s v="327821"/>
    <s v="99263521"/>
    <s v="9821"/>
    <x v="0"/>
    <x v="3"/>
  </r>
  <r>
    <s v="50121"/>
    <s v="2021-05-04 00:00:00"/>
    <s v="2021-05-04 09:01:00"/>
    <s v="Gasto"/>
    <s v="Con Compromiso"/>
    <s v="0300"/>
    <x v="0"/>
    <x v="12"/>
    <s v="ADQUISICIÓN DE BIENES Y SERVICIOS - SERVICIO DE INFORMACIÓN CARTOGRÁFICA ACTUALIZADO - LEVANTAMIENTO , GENERACIÓN Y ACTUALIZACIÓN DE LA RED GEODÉSICA Y LA CARTOGRAFÍA BÁSICA A NIVEL   NACIONAL"/>
    <s v="Nación"/>
    <x v="0"/>
    <s v="CSF"/>
    <n v="9659154"/>
    <n v="-1356493"/>
    <n v="8302661"/>
    <n v="0"/>
    <s v="REALIZAR FOTOCONTROL Y PUNTOS DE VERIFICACÓN PARA ELABORACIONDE CARTOGRAFÍA VECTORIAL URBANA DEL MUNICIPIO DE ROBLANCO EN EL DEPATAMENTO DE TOLIMA Y SARDINATA EN EL_x000a_DEPATAMENTO DE NORTE DE SANTANDER"/>
    <s v="54221"/>
    <s v="88621, 88721"/>
    <s v="235321, 235421"/>
    <s v="340121, 340221"/>
    <s v="112036121, 112036321"/>
    <s v="14221"/>
    <x v="0"/>
    <x v="3"/>
  </r>
  <r>
    <s v="50221"/>
    <s v="2021-05-04 00:00:00"/>
    <s v="2021-05-04 09:58: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9466370"/>
    <n v="0"/>
    <n v="19466370"/>
    <n v="0"/>
    <s v="Prestación de servicios profesionales para desarrollar el componente geográfico y elaborar la respectiva documentación en los proyectos de tecnologías de la información geográfica a cargo de la oficina CIAF"/>
    <s v="51221"/>
    <s v="90821"/>
    <s v="334521"/>
    <s v="438021"/>
    <s v="147770121"/>
    <s v="-0"/>
    <x v="0"/>
    <x v="4"/>
  </r>
  <r>
    <s v="50321"/>
    <s v="2021-05-04 00:00:00"/>
    <s v="2021-05-04 11:18:00"/>
    <s v="Gasto"/>
    <s v="Con Compromiso"/>
    <s v="0510"/>
    <x v="0"/>
    <x v="16"/>
    <s v="ADQUISICIÓN DE BIENES Y SERVICIOS - SERVICIO DE AVALÚOS - ACTUALIZACIÓN  Y GESTIÓN CATASTRAL  NACIONAL"/>
    <s v="Propios"/>
    <x v="1"/>
    <s v="CSF"/>
    <n v="128354709"/>
    <n v="-30201109"/>
    <n v="98153600"/>
    <n v="0"/>
    <s v="Prestación de servicios profesionales encaminados a desarrollar el apoyo técnico y control de calidad de los avalúos de bienes inmuebles tanto urbanos como rurales a nivel nacional"/>
    <s v="52721"/>
    <s v="104821, 105321"/>
    <s v="425721, 434721"/>
    <s v="522421, 530321, 570421, 592821"/>
    <s v="185349621, 188269121, 214444121, 226297421"/>
    <s v="-0"/>
    <x v="0"/>
    <x v="6"/>
  </r>
  <r>
    <s v="50421"/>
    <s v="2021-05-04 00:00:00"/>
    <s v="2021-05-04 11:20:00"/>
    <s v="Gasto"/>
    <s v="Con Compromiso"/>
    <s v="0510"/>
    <x v="0"/>
    <x v="16"/>
    <s v="ADQUISICIÓN DE BIENES Y SERVICIOS - SERVICIO DE AVALÚOS - ACTUALIZACIÓN  Y GESTIÓN CATASTRAL  NACIONAL"/>
    <s v="Propios"/>
    <x v="1"/>
    <s v="CSF"/>
    <n v="293647443"/>
    <n v="-177148098.03"/>
    <n v="116499344.97"/>
    <n v="0"/>
    <s v="Prestación de servicios profesionales para elaborar los avalúos comerciales de bienes inmuebles tanto urbanos como rurales a nivel nacional, de acuerdo con los contratos suscritos por el IGAC"/>
    <s v="52821"/>
    <s v="86121, 99921, 101221"/>
    <s v="281021, 367221, 418121"/>
    <s v="387021, 451321, 468421, 505521, 513421, 515121, 525221, 570121, 570321, 583321"/>
    <s v="127254021, 151996121, 167122821, 180737421, 182411521, 182900121, 187308521, 214440121, 214442321, 219187121"/>
    <s v="-0"/>
    <x v="0"/>
    <x v="6"/>
  </r>
  <r>
    <s v="50521"/>
    <s v="2021-05-04 00:00:00"/>
    <s v="2021-05-04 11:22:00"/>
    <s v="Gasto"/>
    <s v="Con Compromiso"/>
    <s v="0510"/>
    <x v="0"/>
    <x v="16"/>
    <s v="ADQUISICIÓN DE BIENES Y SERVICIOS - SERVICIO DE AVALÚOS - ACTUALIZACIÓN  Y GESTIÓN CATASTRAL  NACIONAL"/>
    <s v="Propios"/>
    <x v="1"/>
    <s v="CSF"/>
    <n v="100020520"/>
    <n v="0"/>
    <n v="100020520"/>
    <n v="68641533"/>
    <s v="Prestación de servicios profesionales enfocados en la elaboración de avalúos comerciales de los bienes inmuebles tanto urbanos como rurales a nivel nacional y para ejercer como auxiliares de la justicia"/>
    <s v="52921"/>
    <s v="102621, 139621"/>
    <s v="409221"/>
    <s v="523421, 560921"/>
    <s v="187306721, 211491421"/>
    <s v="-0"/>
    <x v="0"/>
    <x v="6"/>
  </r>
  <r>
    <s v="50621"/>
    <s v="2021-05-04 00:00:00"/>
    <s v="2021-05-04 11:29:00"/>
    <s v="Gasto"/>
    <s v="Con Compromiso"/>
    <s v="0500"/>
    <x v="0"/>
    <x v="1"/>
    <s v="ADQUISICIÓN DE BIENES Y SERVICIOS - SERVICIO DE INFORMACIÓN CATASTRAL - ACTUALIZACIÓN  Y GESTIÓN CATASTRAL  NACIONAL"/>
    <s v="Propios"/>
    <x v="1"/>
    <s v="CSF"/>
    <n v="106935264"/>
    <n v="-13366908"/>
    <n v="93568356"/>
    <n v="0"/>
    <s v="Prestación de servicios para identificar, localizar, revisar, analizar, consolidar documentos técnicos y cartografÍa temática relacionada con zonificación de usos suelos y clasificación del suelo."/>
    <s v="53121"/>
    <s v="88521, 90021"/>
    <s v="359521, 360521"/>
    <s v="460421, 462021, 473821, 483121, 492721, 545521, 546521"/>
    <s v="157670921, 159095121, 169208521, 171529721, 174732721, 176966521, 207232121, 207308821"/>
    <s v="-0"/>
    <x v="0"/>
    <x v="1"/>
  </r>
  <r>
    <s v="50721"/>
    <s v="2021-05-04 00:00:00"/>
    <s v="2021-05-04 12:01:00"/>
    <s v="Gasto"/>
    <s v="Con Compromiso"/>
    <s v="0500"/>
    <x v="0"/>
    <x v="1"/>
    <s v="ADQUISICIÓN DE BIENES Y SERVICIOS - SERVICIO DE INFORMACIÓN CATASTRAL - ACTUALIZACIÓN  Y GESTIÓN CATASTRAL  NACIONAL"/>
    <s v="Propios"/>
    <x v="1"/>
    <s v="CSF"/>
    <n v="58243776"/>
    <n v="-7280472"/>
    <n v="50963304"/>
    <n v="0"/>
    <s v="Prestación de servicios para identificar, localizar, editar, integrar, estructurar en GDB y validar, la cartografía básica y temática de Ordenamiento Territorial"/>
    <s v="53021"/>
    <s v="86021, 87221"/>
    <s v="257521, 320121"/>
    <s v="391021, 405121, 417621, 448821, 479921, 507421, 546021, 553721"/>
    <s v="127798221, 139714321, 143726421, 150532521, 173220521, 181449721, 204885521, 210121721"/>
    <s v="-0"/>
    <x v="0"/>
    <x v="1"/>
  </r>
  <r>
    <s v="50821"/>
    <s v="2021-05-05 00:00:00"/>
    <s v="2021-05-05 14:11:00"/>
    <s v="Gasto"/>
    <s v="Con Compromiso"/>
    <s v="0500"/>
    <x v="0"/>
    <x v="1"/>
    <s v="ADQUISICIÓN DE BIENES Y SERVICIOS - SERVICIO DE INFORMACIÓN CATASTRAL - ACTUALIZACIÓN  Y GESTIÓN CATASTRAL  NACIONAL"/>
    <s v="Propios"/>
    <x v="1"/>
    <s v="CSF"/>
    <n v="111493518"/>
    <n v="0"/>
    <n v="111493518"/>
    <n v="15021047"/>
    <s v="Prestación de servicios profesionales para orientar y realizar actividades de desarrollo, administración e integración de los componentes de software de los sistemas relacionados para la operación del Sistema Nacional Catastral."/>
    <s v="53221"/>
    <s v="97521"/>
    <s v="421121"/>
    <s v="517221, 527721, 574621"/>
    <s v="184155021, 187310921, 215098121"/>
    <s v="-0"/>
    <x v="0"/>
    <x v="1"/>
  </r>
  <r>
    <s v="50921"/>
    <s v="2021-05-05 00:00:00"/>
    <s v="2021-05-05 15:04:00"/>
    <s v="Gasto"/>
    <s v="Con Compromiso"/>
    <s v="0300"/>
    <x v="0"/>
    <x v="4"/>
    <s v="ADQUISICIÓN DE BIENES Y SERVICIOS - SERVICIOS DE INFORMACIÓN GEODÉSICA ACTUALIZADO - LEVANTAMIENTO , GENERACIÓN Y ACTUALIZACIÓN DE LA RED GEODÉSICA Y LA CARTOGRAFÍA BÁSICA A NIVEL   NACIONAL"/>
    <s v="Propios"/>
    <x v="1"/>
    <s v="CSF"/>
    <n v="333940127"/>
    <n v="17095873"/>
    <n v="351036000"/>
    <n v="0"/>
    <s v="Adquisición de estaciones de funcionamiento continua, con sus respectivos accesorios, sistemas de comunicación y de alimentación, para el fortalecimiento de la Red Geodésica Nacional."/>
    <s v="51121"/>
    <s v="131621"/>
    <s v="-0"/>
    <s v="-0"/>
    <s v="-0"/>
    <s v="-0"/>
    <x v="0"/>
    <x v="3"/>
  </r>
  <r>
    <s v="51021"/>
    <s v="2021-05-06 00:00:00"/>
    <s v="2021-05-06 14:37:00"/>
    <s v="Gasto"/>
    <s v="Con Compromiso"/>
    <s v="0300"/>
    <x v="0"/>
    <x v="4"/>
    <s v="ADQUISICIÓN DE BIENES Y SERVICIOS - SERVICIOS DE INFORMACIÓN GEODÉSICA ACTUALIZADO - LEVANTAMIENTO , GENERACIÓN Y ACTUALIZACIÓN DE LA RED GEODÉSICA Y LA CARTOGRAFÍA BÁSICA A NIVEL   NACIONAL"/>
    <s v="Nación"/>
    <x v="0"/>
    <s v="CSF"/>
    <n v="2236988"/>
    <n v="0"/>
    <n v="2236988"/>
    <n v="0"/>
    <s v="REALIZAR FOTOCONTROL Y PUNTOS DE VERIFICACÓN PARA ELABORACIONDE CARTOGRAFÍA VECTORIAL EN EL MUNICIPIO DE SANTANDER DE QUILICHAO EN EL DEPARTAMENTO DEL CAUCA"/>
    <s v="54521"/>
    <s v="88421"/>
    <s v="235221"/>
    <s v="339821"/>
    <s v="111845921"/>
    <s v="-0"/>
    <x v="0"/>
    <x v="3"/>
  </r>
  <r>
    <s v="51121"/>
    <s v="2021-05-06 00:00:00"/>
    <s v="2021-05-06 14:39:00"/>
    <s v="Gasto"/>
    <s v="Con Compromiso"/>
    <s v="0300"/>
    <x v="0"/>
    <x v="12"/>
    <s v="ADQUISICIÓN DE BIENES Y SERVICIOS - SERVICIO DE INFORMACIÓN CARTOGRÁFICA ACTUALIZADO - LEVANTAMIENTO , GENERACIÓN Y ACTUALIZACIÓN DE LA RED GEODÉSICA Y LA CARTOGRAFÍA BÁSICA A NIVEL   NACIONAL"/>
    <s v="Nación"/>
    <x v="0"/>
    <s v="CSF"/>
    <n v="13923934"/>
    <n v="-13923934"/>
    <n v="0"/>
    <n v="0"/>
    <s v="REALIZAR FOTOCONTROL Y PUNTOS DE VERIFICACÓN PARA ELABORACIONDE CARTOGRAFÍA VECTORIAL EN EL MUNICIPIO DE SANTANDER DE QUILICHAO EN EL DEPARTAMENTO DEL CAUCA"/>
    <s v="54621"/>
    <s v="88821"/>
    <s v="235521"/>
    <s v="340321"/>
    <s v="112036621"/>
    <s v="11921"/>
    <x v="0"/>
    <x v="3"/>
  </r>
  <r>
    <s v="51221"/>
    <s v="2021-05-10 00:00:00"/>
    <s v="2021-05-10 17:04:00"/>
    <s v="Gasto"/>
    <s v="Con Compromiso"/>
    <s v="0300"/>
    <x v="0"/>
    <x v="4"/>
    <s v="ADQUISICIÓN DE BIENES Y SERVICIOS - SERVICIOS DE INFORMACIÓN GEODÉSICA ACTUALIZADO - LEVANTAMIENTO , GENERACIÓN Y ACTUALIZACIÓN DE LA RED GEODÉSICA Y LA CARTOGRAFÍA BÁSICA A NIVEL   NACIONAL"/>
    <s v="Propios"/>
    <x v="1"/>
    <s v="CSF"/>
    <n v="4791388"/>
    <n v="-1062336"/>
    <n v="3729052"/>
    <n v="0"/>
    <s v="REALIZAR LA EXPLORACION Y SELECCIÓN DE PUNTOS DE CONTROL PARA OBSERVACIONES GRAVIMETRICAS DE LA RED DE GRAVEDAD RELATIVA DE PRIMER ORDEN EN TUNJA, CÚCUTA, VALLEDUPAR,_x000a_MAICAO, RIOHACHA, SANTA MARTA, BARRANQUILLA, CARTAGENA, MEDELLÍN Y HONDA"/>
    <s v="54821"/>
    <s v="88021"/>
    <s v="234821"/>
    <s v="339621"/>
    <s v="111839721"/>
    <s v="14121"/>
    <x v="0"/>
    <x v="3"/>
  </r>
  <r>
    <s v="51321"/>
    <s v="2021-05-12 00:00:00"/>
    <s v="2021-05-12 15:14:00"/>
    <s v="Gasto"/>
    <s v="Con Compromiso"/>
    <s v="0300"/>
    <x v="0"/>
    <x v="12"/>
    <s v="ADQUISICIÓN DE BIENES Y SERVICIOS - SERVICIO DE INFORMACIÓN CARTOGRÁFICA ACTUALIZADO - LEVANTAMIENTO , GENERACIÓN Y ACTUALIZACIÓN DE LA RED GEODÉSICA Y LA CARTOGRAFÍA BÁSICA A NIVEL   NACIONAL"/>
    <s v="Nación"/>
    <x v="0"/>
    <s v="CSF"/>
    <n v="9585685"/>
    <n v="-3062817"/>
    <n v="6522868"/>
    <n v="0"/>
    <s v="REALIZAR TRABAJOS DE AEROFOTOGRAFIA CON AERONAVES NO TRIPULADAS TIPO DRON EN EL MUNICIPIO DE CHAPARRAL EN EL DEPARTAMENTO DE TOLIMA"/>
    <s v="55121"/>
    <s v="88121, 88221, 88321"/>
    <s v="234921, 235021, 235121"/>
    <s v="339721, 339921, 340021"/>
    <s v="111853421, 111855621, 111860521"/>
    <s v="12121, 12221, 12321"/>
    <x v="0"/>
    <x v="3"/>
  </r>
  <r>
    <s v="51421"/>
    <s v="2021-05-12 00:00:00"/>
    <s v="2021-05-12 15:23:00"/>
    <s v="Gasto"/>
    <s v="Con Compromiso"/>
    <s v="0200"/>
    <x v="0"/>
    <x v="6"/>
    <s v="ADQUISICIÓN DE BIENES Y SERVICIOS - DOCUMENTOS DE PLANEACIÓN - FORTALECIMIENTO DE LA GESTIÓN INSTITUCIONAL DEL IGAC A NIVEL   NACIONAL"/>
    <s v="Propios"/>
    <x v="1"/>
    <s v="CSF"/>
    <n v="82401904"/>
    <n v="-99884"/>
    <n v="82302020"/>
    <n v="0"/>
    <s v="Prestación de servicios profesionales para adelantar actividades de elaboración y/o revisión jurídica de los documentos que se desarrollen en el marco de la misionalidad y de los compromisos institucionales del Instituto Geográfico_x000a_Agustín Codazzi-IG"/>
    <s v="55021"/>
    <s v="89221"/>
    <s v="352021"/>
    <s v="454121, 526721, 577021"/>
    <s v="153054221, 187309921, 216941621"/>
    <s v="-0"/>
    <x v="0"/>
    <x v="0"/>
  </r>
  <r>
    <s v="51521"/>
    <s v="2021-05-13 00:00:00"/>
    <s v="2021-05-13 08:49:00"/>
    <s v="Gasto"/>
    <s v="Con Compromiso"/>
    <s v="0200"/>
    <x v="0"/>
    <x v="0"/>
    <s v="ADQUISICIÓN DE BIENES Y SERVICIOS - SERVICIOS TECNOLÓGICOS - FORTALECIMIENTO DE LA GESTIÓN INSTITUCIONAL DEL IGAC A NIVEL   NACIONAL"/>
    <s v="Propios"/>
    <x v="1"/>
    <s v="CSF"/>
    <n v="69663808"/>
    <n v="-8707976"/>
    <n v="60955832"/>
    <n v="0"/>
    <s v="Prestación de servicios profesionales para soportar, mantener, desarrollar y documentar los componentes de software de los sistemas de información requeridos por el Instituto."/>
    <s v="55321"/>
    <s v="97821"/>
    <s v="424421"/>
    <s v="521121, 531821, 593721"/>
    <s v="185148721, 190715521, 226321621"/>
    <s v="-0"/>
    <x v="0"/>
    <x v="0"/>
  </r>
  <r>
    <s v="51621"/>
    <s v="2021-05-14 00:00:00"/>
    <s v="2021-05-14 10:14:00"/>
    <s v="Gasto"/>
    <s v="Con Compromiso"/>
    <s v="0160"/>
    <x v="0"/>
    <x v="3"/>
    <s v="ADQUISICIÓN DE BIENES Y SERVICIOS - SERVICIOS DE INFORMACIÓN IMPLEMENTADOS - FORTALECIMIENTO DE LOS PROCESOS DE DIFUSIÓN Y ACCESO A LA INFORMACIÓN GEOGRÁFICA A NIVEL   NACIONAL"/>
    <s v="Propios"/>
    <x v="1"/>
    <s v="CSF"/>
    <n v="91574258"/>
    <n v="0"/>
    <n v="91574258"/>
    <n v="69786"/>
    <s v="Prestación de servicios profesionales para desarrollar actividades de articulación y coordinación entre la sede central y las Direcciones Territoriales a nivel nacional, así como el apoyo en la gestión comercial,estrategias, presentación y elaboració"/>
    <s v="55221"/>
    <s v="89321"/>
    <s v="296321"/>
    <s v="429121, 434321, 493121, 587121"/>
    <s v="146116521, 146752821, 176988421, 220328621"/>
    <s v="-0"/>
    <x v="0"/>
    <x v="2"/>
  </r>
  <r>
    <s v="51721"/>
    <s v="2021-05-14 00:00:00"/>
    <s v="2021-05-14 14:24:00"/>
    <s v="Gasto"/>
    <s v="Con Compromiso"/>
    <s v="0300"/>
    <x v="0"/>
    <x v="12"/>
    <s v="ADQUISICIÓN DE BIENES Y SERVICIOS - SERVICIO DE INFORMACIÓN CARTOGRÁFICA ACTUALIZADO - LEVANTAMIENTO , GENERACIÓN Y ACTUALIZACIÓN DE LA RED GEODÉSICA Y LA CARTOGRAFÍA BÁSICA A NIVEL   NACIONAL"/>
    <s v="Nación"/>
    <x v="0"/>
    <s v="CSF"/>
    <n v="52851939"/>
    <n v="-10067036"/>
    <n v="42784903"/>
    <n v="0"/>
    <s v="Prestación de servicios profesionales para orientar técnicamente la ejecución de los proyectos y procesos de la Subdirección de Geografía y Cartografía."/>
    <s v="55521"/>
    <s v="115821"/>
    <s v="413721"/>
    <s v="509321, 561921"/>
    <s v="181725821, 212118621"/>
    <s v="-0"/>
    <x v="0"/>
    <x v="3"/>
  </r>
  <r>
    <s v="51821"/>
    <s v="2021-05-18 00:00:00"/>
    <s v="2021-05-18 16:56:00"/>
    <s v="Gasto"/>
    <s v="Con Compromiso"/>
    <s v="0500"/>
    <x v="0"/>
    <x v="1"/>
    <s v="ADQUISICIÓN DE BIENES Y SERVICIOS - SERVICIO DE INFORMACIÓN CATASTRAL - ACTUALIZACIÓN  Y GESTIÓN CATASTRAL  NACIONAL"/>
    <s v="Nación"/>
    <x v="0"/>
    <s v="CSF"/>
    <n v="37425655"/>
    <n v="0"/>
    <n v="37425655"/>
    <n v="12091366"/>
    <s v="Prestación de servicios profesionales para el seguimiento y control de las actividades tecnicas de la etapa operativa del proyecto de gestión catastral multiproposito de El Guamo y Córdoba (Bolivar) y Río Blanco (Tolima)"/>
    <s v="55621"/>
    <s v="132321"/>
    <s v="-0"/>
    <s v="-0"/>
    <s v="-0"/>
    <s v="-0"/>
    <x v="0"/>
    <x v="1"/>
  </r>
  <r>
    <s v="51921"/>
    <s v="2021-05-18 00:00:00"/>
    <s v="2021-05-18 16:57:00"/>
    <s v="Gasto"/>
    <s v="Con Compromiso"/>
    <s v="0500"/>
    <x v="0"/>
    <x v="1"/>
    <s v="ADQUISICIÓN DE BIENES Y SERVICIOS - SERVICIO DE INFORMACIÓN CATASTRAL - ACTUALIZACIÓN  Y GESTIÓN CATASTRAL  NACIONAL"/>
    <s v="Nación"/>
    <x v="0"/>
    <s v="CSF"/>
    <n v="18025000"/>
    <n v="0"/>
    <n v="18025000"/>
    <n v="0"/>
    <s v="Prestación de servicios técnicos de apoyo al seguimiento, planeación y gestión del reconocimiento predial en el proceso de actualización catastral multiproposito de El Guamo y Córdoba (Bolivar) y Río Blanco (Tolima)"/>
    <s v="55721"/>
    <s v="113121"/>
    <s v="488621"/>
    <s v="583521, 584121"/>
    <s v="219193621, 219210821"/>
    <s v="-0"/>
    <x v="0"/>
    <x v="1"/>
  </r>
  <r>
    <s v="52021"/>
    <s v="2021-05-18 00:00:00"/>
    <s v="2021-05-18 16:58:00"/>
    <s v="Gasto"/>
    <s v="Con Compromiso"/>
    <s v="0500"/>
    <x v="0"/>
    <x v="1"/>
    <s v="ADQUISICIÓN DE BIENES Y SERVICIOS - SERVICIO DE INFORMACIÓN CATASTRAL - ACTUALIZACIÓN  Y GESTIÓN CATASTRAL  NACIONAL"/>
    <s v="Nación"/>
    <x v="0"/>
    <s v="CSF"/>
    <n v="62494640"/>
    <n v="0"/>
    <n v="62494640"/>
    <n v="0"/>
    <s v="Prestación de servicios personales para realizar actividades de reconocimiento predial en el proceso de actualización catastra multiproposito de El Guamo y Córdoba (Bolivar) y Río Blanco (Tolima)"/>
    <s v="55921"/>
    <s v="113221, 113321, 113421, 113521, 113621"/>
    <s v="492721, 504421, 514721, 515021, 515321"/>
    <s v="585421, 599521, 603921, 604721, 606921, 607021, 607121, 607221, 607421, 607521"/>
    <s v="219738621, 224186121, 225355821, 225634621, 227524221, 227525821, 227528021, 227544321, 227950221, 228105821"/>
    <s v="-0"/>
    <x v="0"/>
    <x v="1"/>
  </r>
  <r>
    <s v="52121"/>
    <s v="2021-05-18 00:00:00"/>
    <s v="2021-05-18 17:00:00"/>
    <s v="Gasto"/>
    <s v="Con Compromiso"/>
    <s v="0500"/>
    <x v="0"/>
    <x v="1"/>
    <s v="ADQUISICIÓN DE BIENES Y SERVICIOS - SERVICIO DE INFORMACIÓN CATASTRAL - ACTUALIZACIÓN  Y GESTIÓN CATASTRAL  NACIONAL"/>
    <s v="Nación"/>
    <x v="0"/>
    <s v="CSF"/>
    <n v="13357415"/>
    <n v="0"/>
    <n v="13357415"/>
    <n v="0"/>
    <s v="Prestación de servicios profesionales para apoyar el componente jurídico en los proyectos de los procesos de actualización catastral multiproposito de El Guamo y Córdoba (Bolivar) y Río Blanco (Tolima)"/>
    <s v="56121"/>
    <s v="120321"/>
    <s v="515221"/>
    <s v="607321"/>
    <s v="227554521"/>
    <s v="-0"/>
    <x v="0"/>
    <x v="1"/>
  </r>
  <r>
    <s v="52221"/>
    <s v="2021-05-18 00:00:00"/>
    <s v="2021-05-18 17:01:00"/>
    <s v="Gasto"/>
    <s v="Con Compromiso"/>
    <s v="0500"/>
    <x v="0"/>
    <x v="1"/>
    <s v="ADQUISICIÓN DE BIENES Y SERVICIOS - SERVICIO DE INFORMACIÓN CATASTRAL - ACTUALIZACIÓN  Y GESTIÓN CATASTRAL  NACIONAL"/>
    <s v="Nación"/>
    <x v="0"/>
    <s v="CSF"/>
    <n v="13357415"/>
    <n v="0"/>
    <n v="13357415"/>
    <n v="0"/>
    <s v="Prestación de servicios personales para realizar actividades de digitalización y generación de productos resultantes del proceso de actualización catastral multiproposito de El Guamo y Córdoba (Bolivar) y Río Blanco (Tolima)"/>
    <s v="56221"/>
    <s v="123421"/>
    <s v="509621"/>
    <s v="604921"/>
    <s v="225637421"/>
    <s v="-0"/>
    <x v="0"/>
    <x v="1"/>
  </r>
  <r>
    <s v="52321"/>
    <s v="2021-05-18 00:00:00"/>
    <s v="2021-05-18 17:04:00"/>
    <s v="Gasto"/>
    <s v="Con Compromiso"/>
    <s v="0500"/>
    <x v="0"/>
    <x v="1"/>
    <s v="ADQUISICIÓN DE BIENES Y SERVICIOS - SERVICIO DE INFORMACIÓN CATASTRAL - ACTUALIZACIÓN  Y GESTIÓN CATASTRAL  NACIONAL"/>
    <s v="Nación"/>
    <x v="0"/>
    <s v="CSF"/>
    <n v="24882120"/>
    <n v="0"/>
    <n v="24882120"/>
    <n v="0"/>
    <s v="Prestación de servicios para realizar la edición, depuración y consolidación de los productos cartográficos requeridos para el componente geográfico de los procesos de actualización catastral multiproposito de El Guamo y Córdoba_x000a_(Bolivar) y Río Blan"/>
    <s v="56321"/>
    <s v="111021"/>
    <s v="515521"/>
    <s v="607621"/>
    <s v="228041721"/>
    <s v="-0"/>
    <x v="0"/>
    <x v="1"/>
  </r>
  <r>
    <s v="52421"/>
    <s v="2021-05-18 00:00:00"/>
    <s v="2021-05-18 17:05:00"/>
    <s v="Gasto"/>
    <s v="Con Compromiso"/>
    <s v="0500"/>
    <x v="0"/>
    <x v="1"/>
    <s v="ADQUISICIÓN DE BIENES Y SERVICIOS - SERVICIO DE INFORMACIÓN CATASTRAL - ACTUALIZACIÓN  Y GESTIÓN CATASTRAL  NACIONAL"/>
    <s v="Nación"/>
    <x v="0"/>
    <s v="CSF"/>
    <n v="27370332"/>
    <n v="0"/>
    <n v="27370332"/>
    <n v="0"/>
    <s v="Prestación de servicios para realizar la edición, depuración y consolidación de los productos cartográficos requeridos para el componente geográfico de los procesos de actualización catastral multiproposito de El Guamo y Bolivar_x000a_(Cordobá) y Río Blanc"/>
    <s v="56421"/>
    <s v="113921"/>
    <s v="504221"/>
    <s v="596121, 598921"/>
    <s v="223935021, 224176821"/>
    <s v="-0"/>
    <x v="0"/>
    <x v="1"/>
  </r>
  <r>
    <s v="52521"/>
    <s v="2021-05-18 00:00:00"/>
    <s v="2021-05-18 17:06:00"/>
    <s v="Gasto"/>
    <s v="Con Compromiso"/>
    <s v="0500"/>
    <x v="0"/>
    <x v="1"/>
    <s v="ADQUISICIÓN DE BIENES Y SERVICIOS - SERVICIO DE INFORMACIÓN CATASTRAL - ACTUALIZACIÓN  Y GESTIÓN CATASTRAL  NACIONAL"/>
    <s v="Nación"/>
    <x v="0"/>
    <s v="CSF"/>
    <n v="23661534"/>
    <n v="0"/>
    <n v="23661534"/>
    <n v="2426824"/>
    <s v="Prestación de servicios profesionales para realizar las socializaciones requeridas en el proceso de actualización catastral multiproposito de El Guamo y Córdoba (Bolivar) y Río Blanco (Tolima)"/>
    <s v="56521"/>
    <s v="113821"/>
    <s v="498721"/>
    <s v="594121, 594421"/>
    <s v="222215321, 222216421"/>
    <s v="-0"/>
    <x v="0"/>
    <x v="1"/>
  </r>
  <r>
    <s v="52621"/>
    <s v="2021-05-18 00:00:00"/>
    <s v="2021-05-18 17:08:00"/>
    <s v="Gasto"/>
    <s v="Con Compromiso"/>
    <s v="0500"/>
    <x v="0"/>
    <x v="1"/>
    <s v="ADQUISICIÓN DE BIENES Y SERVICIOS - SERVICIO DE INFORMACIÓN CATASTRAL - ACTUALIZACIÓN  Y GESTIÓN CATASTRAL  NACIONAL"/>
    <s v="Nación"/>
    <x v="0"/>
    <s v="CSF"/>
    <n v="19827500"/>
    <n v="0"/>
    <n v="19827500"/>
    <n v="5665000"/>
    <s v="Prestación de servicios de apoyo a la gestión reconocedor predial junior y atención de requerimientos administrativos y judiciales del proceso de restitución de tierras en la dirección territorial Casanare."/>
    <s v="57021"/>
    <s v="100021"/>
    <s v="431121"/>
    <s v="539721, 570921"/>
    <s v="198655221, 214646421"/>
    <s v="-0"/>
    <x v="0"/>
    <x v="1"/>
  </r>
  <r>
    <s v="52721"/>
    <s v="2021-05-20 00:00:00"/>
    <s v="2021-05-20 09:01:00"/>
    <s v="Gasto"/>
    <s v="Con Compromiso"/>
    <s v="0300"/>
    <x v="0"/>
    <x v="4"/>
    <s v="ADQUISICIÓN DE BIENES Y SERVICIOS - SERVICIOS DE INFORMACIÓN GEODÉSICA ACTUALIZADO - LEVANTAMIENTO , GENERACIÓN Y ACTUALIZACIÓN DE LA RED GEODÉSICA Y LA CARTOGRAFÍA BÁSICA A NIVEL   NACIONAL"/>
    <s v="Propios"/>
    <x v="1"/>
    <s v="CSF"/>
    <n v="38000000"/>
    <n v="-4550780"/>
    <n v="33449220"/>
    <n v="0"/>
    <s v="PAGO FACTURA IPGH 2021"/>
    <s v="57521"/>
    <s v="106721"/>
    <s v="338321"/>
    <s v="438321"/>
    <s v="147782021"/>
    <s v="-0"/>
    <x v="0"/>
    <x v="3"/>
  </r>
  <r>
    <s v="52821"/>
    <s v="2021-05-20 00:00:00"/>
    <s v="2021-05-20 09:47: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35948"/>
    <n v="-2009816"/>
    <n v="3026132"/>
    <n v="0"/>
    <s v="REALIZAR DILIGENCIA DE CAMPO EN LOS PROCESOS DE DESLINDE DE LOS MUNICIPIOS DE CUBARÁ (BOYACÁ) Y TOLEDO (NORTE DE SANTANDER)"/>
    <s v="57421"/>
    <s v="90921, 91221"/>
    <s v="277021, 277121"/>
    <s v="381221, 381321"/>
    <s v="126808021, 126809221"/>
    <s v="-0"/>
    <x v="0"/>
    <x v="3"/>
  </r>
  <r>
    <s v="52921"/>
    <s v="2021-05-20 00:00:00"/>
    <s v="2021-05-20 09:49:00"/>
    <s v="Gasto"/>
    <s v="Generado"/>
    <s v="0300"/>
    <x v="0"/>
    <x v="4"/>
    <s v="ADQUISICIÓN DE BIENES Y SERVICIOS - SERVICIOS DE INFORMACIÓN GEODÉSICA ACTUALIZADO - LEVANTAMIENTO , GENERACIÓN Y ACTUALIZACIÓN DE LA RED GEODÉSICA Y LA CARTOGRAFÍA BÁSICA A NIVEL   NACIONAL"/>
    <s v="Nación"/>
    <x v="0"/>
    <s v="CSF"/>
    <n v="5868915"/>
    <n v="-5868915"/>
    <n v="0"/>
    <n v="0"/>
    <s v="REALIZAR EXPLORACIÓN DE SITIOS APTOS PARA ESTACIONES DE FUNCIONAMIENTO CONTINÚO DE LA RED MAGNA-ECO EN GARZÓN DEPARTAMENTO DEL HUILA Y MANTENIMIENTO DE LA RED MAGNA-ECO_x000a_MEDIANTE EL MANTENIMIENTO CORRECTIVO DE UNA ESTACIÓN DE LA RED EN FLORENCIA"/>
    <s v="57321"/>
    <s v="-0"/>
    <s v="-0"/>
    <s v="-0"/>
    <s v="-0"/>
    <s v="-0"/>
    <x v="0"/>
    <x v="3"/>
  </r>
  <r>
    <s v="53121"/>
    <s v="2021-05-21 00:00:00"/>
    <s v="2021-05-21 18:04:00"/>
    <s v="Gasto"/>
    <s v="Con Compromiso"/>
    <s v="0300"/>
    <x v="0"/>
    <x v="4"/>
    <s v="ADQUISICIÓN DE BIENES Y SERVICIOS - SERVICIOS DE INFORMACIÓN GEODÉSICA ACTUALIZADO - LEVANTAMIENTO , GENERACIÓN Y ACTUALIZACIÓN DE LA RED GEODÉSICA Y LA CARTOGRAFÍA BÁSICA A NIVEL   NACIONAL"/>
    <s v="Nación"/>
    <x v="0"/>
    <s v="CSF"/>
    <n v="1212265"/>
    <n v="0"/>
    <n v="1212265"/>
    <n v="0"/>
    <s v="Realizar la toma de observaciones del campo magnético de la tierra en el Observatorio Geomagnético Nacional de Colombia ubicado en la isla El Santuario de Fúquene en el municipio de Ráquira del departamento de Boyacá."/>
    <s v="57721"/>
    <s v="91821"/>
    <s v="256921"/>
    <s v="361121"/>
    <s v="118330421"/>
    <s v="-0"/>
    <x v="0"/>
    <x v="3"/>
  </r>
  <r>
    <s v="53321"/>
    <s v="2021-05-24 00:00:00"/>
    <s v="2021-05-24 14:26:00"/>
    <s v="Gasto"/>
    <s v="Con Compromiso"/>
    <s v="0500"/>
    <x v="0"/>
    <x v="1"/>
    <s v="ADQUISICIÓN DE BIENES Y SERVICIOS - SERVICIO DE INFORMACIÓN CATASTRAL - ACTUALIZACIÓN  Y GESTIÓN CATASTRAL  NACIONAL"/>
    <s v="Propios"/>
    <x v="1"/>
    <s v="CSF"/>
    <n v="46062344"/>
    <n v="-9980174"/>
    <n v="36082170"/>
    <n v="0"/>
    <s v="Prestación de servicios profesionales para realizar levantamiento y análisis de requerimientos funcionales y técnicos para sistemas de información, diagramación y diseño conceptual de procesos y pruebas de sistemas de información."/>
    <s v="56621"/>
    <s v="105421"/>
    <s v="434921"/>
    <s v="530521, 560721"/>
    <s v="188274621, 211382221"/>
    <s v="-0"/>
    <x v="0"/>
    <x v="1"/>
  </r>
  <r>
    <s v="53421"/>
    <s v="2021-05-24 00:00:00"/>
    <s v="2021-05-24 14:28:00"/>
    <s v="Gasto"/>
    <s v="Con Compromiso"/>
    <s v="0500"/>
    <x v="0"/>
    <x v="1"/>
    <s v="ADQUISICIÓN DE BIENES Y SERVICIOS - SERVICIO DE INFORMACIÓN CATASTRAL - ACTUALIZACIÓN  Y GESTIÓN CATASTRAL  NACIONAL"/>
    <s v="Propios"/>
    <x v="1"/>
    <s v="CSF"/>
    <n v="69663808"/>
    <n v="0"/>
    <n v="69663808"/>
    <n v="23221269"/>
    <s v="Prestación de servicios profesionales para apoyar en la estructuración, planeación y seguimiento de los proyectos desarrollados en el marco de la &quot;Actualización y Gestión Catastral Nacional&quot;"/>
    <s v="56721"/>
    <s v="121521"/>
    <s v="457721"/>
    <s v="564621"/>
    <s v="212814021"/>
    <s v="-0"/>
    <x v="0"/>
    <x v="1"/>
  </r>
  <r>
    <s v="53521"/>
    <s v="2021-05-24 00:00:00"/>
    <s v="2021-05-24 14:28:00"/>
    <s v="Gasto"/>
    <s v="Generado"/>
    <s v="0500"/>
    <x v="0"/>
    <x v="1"/>
    <s v="ADQUISICIÓN DE BIENES Y SERVICIOS - SERVICIO DE INFORMACIÓN CATASTRAL - ACTUALIZACIÓN  Y GESTIÓN CATASTRAL  NACIONAL"/>
    <s v="Propios"/>
    <x v="1"/>
    <s v="CSF"/>
    <n v="29121888"/>
    <n v="0"/>
    <n v="29121888"/>
    <n v="29121888"/>
    <s v="Prestación de servicios profesionales para apoyar la gestión de los procesos catastrales de formación, actualización y conservación catastral."/>
    <s v="56821"/>
    <s v="-0"/>
    <s v="-0"/>
    <s v="-0"/>
    <s v="-0"/>
    <s v="-0"/>
    <x v="0"/>
    <x v="1"/>
  </r>
  <r>
    <s v="53621"/>
    <s v="2021-05-24 00:00:00"/>
    <s v="2021-05-24 14:32:00"/>
    <s v="Gasto"/>
    <s v="Con Compromiso"/>
    <s v="0500"/>
    <x v="0"/>
    <x v="1"/>
    <s v="ADQUISICIÓN DE BIENES Y SERVICIOS - SERVICIO DE INFORMACIÓN CATASTRAL - ACTUALIZACIÓN  Y GESTIÓN CATASTRAL  NACIONAL"/>
    <s v="Propios"/>
    <x v="1"/>
    <s v="CSF"/>
    <n v="97439200"/>
    <n v="0"/>
    <n v="97439200"/>
    <n v="38569683"/>
    <s v="Prestación de servicios profesionales para llevar a cabo el seguimiento, planeación y control de los proyectos desarrollados en el marco de la &quot;Actualización y Gestión Catastral Nacional&quot; con enfoque multipropósito"/>
    <s v="56921"/>
    <s v="132221"/>
    <s v="-0"/>
    <s v="-0"/>
    <s v="-0"/>
    <s v="-0"/>
    <x v="0"/>
    <x v="1"/>
  </r>
  <r>
    <s v="53721"/>
    <s v="2021-05-24 00:00:00"/>
    <s v="2021-05-24 14:37:00"/>
    <s v="Gasto"/>
    <s v="Anulado"/>
    <s v="0500"/>
    <x v="0"/>
    <x v="1"/>
    <s v="ADQUISICIÓN DE BIENES Y SERVICIOS - SERVICIO DE INFORMACIÓN CATASTRAL - ACTUALIZACIÓN  Y GESTIÓN CATASTRAL  NACIONAL"/>
    <s v="Propios"/>
    <x v="1"/>
    <s v="CSF"/>
    <n v="11250000"/>
    <n v="-11250000"/>
    <n v="0"/>
    <n v="0"/>
    <s v="Prestación de servicios profesionales para realizar actividades de digitalización, depuración cartográfica catastral y generación de productos de la información catastral en la Dirección Territorial Casanare."/>
    <s v="57221"/>
    <s v="-0"/>
    <s v="-0"/>
    <s v="-0"/>
    <s v="-0"/>
    <s v="-0"/>
    <x v="0"/>
    <x v="1"/>
  </r>
  <r>
    <s v="53821"/>
    <s v="2021-05-24 00:00:00"/>
    <s v="2021-05-24 14:45:00"/>
    <s v="Gasto"/>
    <s v="Con Compromiso"/>
    <s v="0500"/>
    <x v="0"/>
    <x v="1"/>
    <s v="ADQUISICIÓN DE BIENES Y SERVICIOS - SERVICIO DE INFORMACIÓN CATASTRAL - ACTUALIZACIÓN  Y GESTIÓN CATASTRAL  NACIONAL"/>
    <s v="Propios"/>
    <x v="1"/>
    <s v="CSF"/>
    <n v="20036123"/>
    <n v="-1335742"/>
    <n v="18700381"/>
    <n v="0"/>
    <s v="Prestación de servicios profesionales para realizar actividades de digitalización, depuración cartográfica catastral y generación de productos de la información catastral en la Dirección Territorial Casanare."/>
    <s v="57121"/>
    <s v="94021"/>
    <s v="366121"/>
    <s v="467221, 530121, 594221"/>
    <s v="167049321, 188261721, 226369021"/>
    <s v="-0"/>
    <x v="0"/>
    <x v="1"/>
  </r>
  <r>
    <s v="53921"/>
    <s v="2021-05-24 00:00:00"/>
    <s v="2021-05-24 14:47:00"/>
    <s v="Gasto"/>
    <s v="Con Compromiso"/>
    <s v="0500"/>
    <x v="0"/>
    <x v="1"/>
    <s v="ADQUISICIÓN DE BIENES Y SERVICIOS - SERVICIO DE INFORMACIÓN CATASTRAL - ACTUALIZACIÓN  Y GESTIÓN CATASTRAL  NACIONAL"/>
    <s v="Propios"/>
    <x v="1"/>
    <s v="CSF"/>
    <n v="11250000"/>
    <n v="0"/>
    <n v="11250000"/>
    <n v="1500000"/>
    <s v="Arrendamiento de bien inmueble para funcionamiento de sede operativa del contrato 02-2021 actualización catastral con enfoque multipropósito del municipio de Arauquita."/>
    <s v="57221"/>
    <s v="101321"/>
    <s v="-0"/>
    <s v="-0"/>
    <s v="-0"/>
    <s v="-0"/>
    <x v="0"/>
    <x v="1"/>
  </r>
  <r>
    <s v="54121"/>
    <s v="2021-05-28 00:00:00"/>
    <s v="2021-05-28 09:10:00"/>
    <s v="Gasto"/>
    <s v="Generado"/>
    <s v="0200"/>
    <x v="0"/>
    <x v="0"/>
    <s v="ADQUISICIÓN DE BIENES Y SERVICIOS - SERVICIOS TECNOLÓGICOS - FORTALECIMIENTO DE LA GESTIÓN INSTITUCIONAL DEL IGAC A NIVEL   NACIONAL"/>
    <s v="Nación"/>
    <x v="0"/>
    <s v="CSF"/>
    <n v="60000000"/>
    <n v="0"/>
    <n v="60000000"/>
    <n v="60000000"/>
    <s v="Mantenimiento preventivo y correctivo de UPS en las direcciones territoriales del IGAC"/>
    <s v="58121"/>
    <s v="-0"/>
    <s v="-0"/>
    <s v="-0"/>
    <s v="-0"/>
    <s v="-0"/>
    <x v="0"/>
    <x v="0"/>
  </r>
  <r>
    <s v="54221"/>
    <s v="2021-05-31 00:00:00"/>
    <s v="2021-05-31 15:5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64567"/>
    <n v="0"/>
    <n v="864567"/>
    <n v="9"/>
    <s v="PAGO PASIVOS EXIGIBLES - VIGENCIAS EXPIRADAS"/>
    <s v="55421"/>
    <s v="116221"/>
    <s v="393821"/>
    <s v="490121"/>
    <s v="176275721"/>
    <s v="-0"/>
    <x v="0"/>
    <x v="5"/>
  </r>
  <r>
    <s v="54521"/>
    <s v="2021-06-03 00:00:00"/>
    <s v="2021-06-03 07:32:00"/>
    <s v="Gasto"/>
    <s v="Con Compromiso"/>
    <s v="0200"/>
    <x v="0"/>
    <x v="15"/>
    <s v="ADQUISICIÓN DE BIENES Y SERVICIOS - SERVICIOS DE INFORMACIÓN IMPLEMENTADOS - IMPLEMENTACIÓN DE UN SISTEMA DE GESTIÓN DOCUMENTAL EN EL IGAC A NIVEL   NACIONAL"/>
    <s v="Nación"/>
    <x v="0"/>
    <s v="CSF"/>
    <n v="43135393"/>
    <n v="0"/>
    <n v="43135393"/>
    <n v="0"/>
    <s v="Prestación de servicios profesionales para el soporte técnico, mantenimiento y actualización del Sistema de Gestión Documental -SIGAC sobre la plataforma BPM/FOREST."/>
    <s v="59021"/>
    <s v="111521"/>
    <s v="507521"/>
    <s v="600221"/>
    <s v="224419821"/>
    <s v="-0"/>
    <x v="0"/>
    <x v="0"/>
  </r>
  <r>
    <s v="54621"/>
    <s v="2021-06-03 00:00:00"/>
    <s v="2021-06-03 07: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Gastos de salida de campo acompañamiento para revisión de las clases Agrologicas en el municipio de Cajicá - Cundinamarca"/>
    <s v="59321"/>
    <s v="96221"/>
    <s v="290721"/>
    <s v="393921"/>
    <s v="131277421"/>
    <s v="-0"/>
    <x v="0"/>
    <x v="5"/>
  </r>
  <r>
    <s v="54721"/>
    <s v="2021-06-03 00:00:00"/>
    <s v="2021-06-03 07:3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40292"/>
    <n v="0"/>
    <n v="240292"/>
    <n v="0"/>
    <s v="Gastos de salida de campo para revisión de las Clases Agrológicas en el municipio de Cajicá – Cundinamarca"/>
    <s v="59421"/>
    <s v="96321"/>
    <s v="290621"/>
    <s v="394021"/>
    <s v="131280621"/>
    <s v="-0"/>
    <x v="0"/>
    <x v="5"/>
  </r>
  <r>
    <s v="54921"/>
    <s v="2021-06-03 00:00:00"/>
    <s v="2021-06-03 14:50:00"/>
    <s v="Gasto"/>
    <s v="Con Compromiso"/>
    <s v="0300"/>
    <x v="0"/>
    <x v="4"/>
    <s v="ADQUISICIÓN DE BIENES Y SERVICIOS - SERVICIOS DE INFORMACIÓN GEODÉSICA ACTUALIZADO - LEVANTAMIENTO , GENERACIÓN Y ACTUALIZACIÓN DE LA RED GEODÉSICA Y LA CARTOGRAFÍA BÁSICA A NIVEL   NACIONAL"/>
    <s v="Nación"/>
    <x v="0"/>
    <s v="CSF"/>
    <n v="6210644"/>
    <n v="-3484531"/>
    <n v="2726113"/>
    <n v="0"/>
    <s v="REALIZAR FOTOCONTROL Y PUNTOS DE VERIFICACIÓN PARA ELABORACION DE CARTOGRAFÍA VECTORIAL URBANA DEL MUNICIPIO DE MONTECRISTO - BOLÍVAR"/>
    <s v="58921"/>
    <s v="98821, 99821, 104421"/>
    <s v="295221, 296421, 325721"/>
    <s v="397121, 397721, 424321"/>
    <s v="135158621, 136517521, 145223621"/>
    <s v="14521"/>
    <x v="0"/>
    <x v="3"/>
  </r>
  <r>
    <s v="55021"/>
    <s v="2021-06-03 00:00:00"/>
    <s v="2021-06-03 15:03:00"/>
    <s v="Gasto"/>
    <s v="Con Compromiso"/>
    <s v="0300"/>
    <x v="0"/>
    <x v="4"/>
    <s v="ADQUISICIÓN DE BIENES Y SERVICIOS - SERVICIOS DE INFORMACIÓN GEODÉSICA ACTUALIZADO - LEVANTAMIENTO , GENERACIÓN Y ACTUALIZACIÓN DE LA RED GEODÉSICA Y LA CARTOGRAFÍA BÁSICA A NIVEL   NACIONAL"/>
    <s v="Nación"/>
    <x v="0"/>
    <s v="CSF"/>
    <n v="16230922"/>
    <n v="-9045300"/>
    <n v="7185622"/>
    <n v="0"/>
    <s v="REALIZAR FOTOCONTROL Y PUNTOS DE VERIFICACÓN PARA ELABORACIONDE CARTOGRAFÍA VECTORIAL EN EL MUNICIPIO DE SANTANDER DE QUILICHAO EN EL DEPARTAMENTO DEL CAUCA"/>
    <s v="58521"/>
    <s v="102721, 102821"/>
    <s v="309221, 310321"/>
    <s v="409721, 410121"/>
    <s v="141668921, 141687021"/>
    <s v="15321"/>
    <x v="0"/>
    <x v="3"/>
  </r>
  <r>
    <s v="55121"/>
    <s v="2021-06-03 00:00:00"/>
    <s v="2021-06-03 15:09:00"/>
    <s v="Gasto"/>
    <s v="Con Compromiso"/>
    <s v="0300"/>
    <x v="0"/>
    <x v="4"/>
    <s v="ADQUISICIÓN DE BIENES Y SERVICIOS - SERVICIOS DE INFORMACIÓN GEODÉSICA ACTUALIZADO - LEVANTAMIENTO , GENERACIÓN Y ACTUALIZACIÓN DE LA RED GEODÉSICA Y LA CARTOGRAFÍA BÁSICA A NIVEL   NACIONAL"/>
    <s v="Nación"/>
    <x v="0"/>
    <s v="CSF"/>
    <n v="11109518"/>
    <n v="1676891"/>
    <n v="12786409"/>
    <n v="0"/>
    <s v="REALIZAR FOTOCONTROL Y PUNTOS DE VERIFICACÓN PARA ELABORACIONDE CARTOGRAFÍA VECTORIAL URBANA DE COLOMBIA (HUILA), RICAURTE (CUNDINAMARCA) Y SAN LUIS DE CUBARRAL CUBARRAL_x000a_(META)"/>
    <s v="58621"/>
    <s v="98421, 98521, 105821, 105921"/>
    <s v="293721, 293921, 336321, 336421"/>
    <s v="396121, 396221, 434621, 434721"/>
    <s v="132798321, 132798621, 147423621, 147426421"/>
    <s v="15421, 15521, 15621, 15721"/>
    <x v="0"/>
    <x v="3"/>
  </r>
  <r>
    <s v="55221"/>
    <s v="2021-06-03 00:00:00"/>
    <s v="2021-06-03 15:18:00"/>
    <s v="Gasto"/>
    <s v="Con Compromiso"/>
    <s v="0300"/>
    <x v="0"/>
    <x v="4"/>
    <s v="ADQUISICIÓN DE BIENES Y SERVICIOS - SERVICIOS DE INFORMACIÓN GEODÉSICA ACTUALIZADO - LEVANTAMIENTO , GENERACIÓN Y ACTUALIZACIÓN DE LA RED GEODÉSICA Y LA CARTOGRAFÍA BÁSICA A NIVEL   NACIONAL"/>
    <s v="Nación"/>
    <x v="0"/>
    <s v="CSF"/>
    <n v="3863888"/>
    <n v="0"/>
    <n v="3863888"/>
    <n v="0"/>
    <s v="REALIZAR TRABAJOS DE AEROFOTOGRAFIA CON AERONAVES NO TRIPULADAS TIPO DRON EN EL MUNICIPIO DE SAN LUIS DE CUBARRAL (META), COLOMBIA (HUILA) Y SANTANDER DE QUILICHAO (CAUCA)"/>
    <s v="58721"/>
    <s v="97921"/>
    <s v="293821"/>
    <s v="396021"/>
    <s v="132801821"/>
    <s v="-0"/>
    <x v="0"/>
    <x v="3"/>
  </r>
  <r>
    <s v="55321"/>
    <s v="2021-06-03 00:00:00"/>
    <s v="2021-06-03 15:19:00"/>
    <s v="Gasto"/>
    <s v="Con Compromiso"/>
    <s v="0300"/>
    <x v="0"/>
    <x v="12"/>
    <s v="ADQUISICIÓN DE BIENES Y SERVICIOS - SERVICIO DE INFORMACIÓN CARTOGRÁFICA ACTUALIZADO - LEVANTAMIENTO , GENERACIÓN Y ACTUALIZACIÓN DE LA RED GEODÉSICA Y LA CARTOGRAFÍA BÁSICA A NIVEL   NACIONAL"/>
    <s v="Nación"/>
    <x v="0"/>
    <s v="CSF"/>
    <n v="11093458"/>
    <n v="-829520"/>
    <n v="10263938"/>
    <n v="0"/>
    <s v="REALIZAR TRABAJOS DE AEROFOTOGRAFIA CON AERONAVES NO TRIPULADAS TIPO DRON EN EL MUNICIPIO DE SAN LUIS DE CUBARRAL (META), COLOMBIA (HUILA) Y SANTANDER DE QUILICHAO (CAUCA)"/>
    <s v="58821"/>
    <s v="98221, 98321, 105521, 105721"/>
    <s v="293421, 293621, 336521, 336621"/>
    <s v="396321, 396421, 434421, 434521"/>
    <s v="132796321, 132797121, 147431021, 147433321"/>
    <s v="14821, 14921"/>
    <x v="0"/>
    <x v="3"/>
  </r>
  <r>
    <s v="55421"/>
    <s v="2021-06-08 00:00:00"/>
    <s v="2021-06-08 15:41:00"/>
    <s v="Gasto"/>
    <s v="Con Compromiso"/>
    <s v="0300"/>
    <x v="0"/>
    <x v="4"/>
    <s v="ADQUISICIÓN DE BIENES Y SERVICIOS - SERVICIOS DE INFORMACIÓN GEODÉSICA ACTUALIZADO - LEVANTAMIENTO , GENERACIÓN Y ACTUALIZACIÓN DE LA RED GEODÉSICA Y LA CARTOGRAFÍA BÁSICA A NIVEL   NACIONAL"/>
    <s v="Nación"/>
    <x v="0"/>
    <s v="CSF"/>
    <n v="4133511"/>
    <n v="-1882955"/>
    <n v="2250556"/>
    <n v="0"/>
    <s v="Realizar el mantenimiento de la red geodesica nacional activa MAGNA-ECO de dos estaciones de funcionamiento continuo en Puerto Lleras y Villavicencio en el departamento del meta"/>
    <s v="59621"/>
    <s v="98921, 99021"/>
    <s v="295321, 295421"/>
    <s v="397221, 397321"/>
    <s v="135159521, 135160321"/>
    <s v="-0"/>
    <x v="0"/>
    <x v="3"/>
  </r>
  <r>
    <s v="55521"/>
    <s v="2021-06-09 00:00:00"/>
    <s v="2021-06-09 09:15:00"/>
    <s v="Gasto"/>
    <s v="Con Compromiso"/>
    <s v="0300"/>
    <x v="0"/>
    <x v="12"/>
    <s v="ADQUISICIÓN DE BIENES Y SERVICIOS - SERVICIO DE INFORMACIÓN CARTOGRÁFICA ACTUALIZADO - LEVANTAMIENTO , GENERACIÓN Y ACTUALIZACIÓN DE LA RED GEODÉSICA Y LA CARTOGRAFÍA BÁSICA A NIVEL   NACIONAL"/>
    <s v="Propios"/>
    <x v="1"/>
    <s v="CSF"/>
    <n v="143441038"/>
    <n v="0"/>
    <n v="143441038"/>
    <n v="0"/>
    <s v="Adicion contrato poliza de casco avion y dron Ebee"/>
    <s v="59721"/>
    <s v="99321"/>
    <s v="434321"/>
    <s v="529621"/>
    <s v="207512921"/>
    <s v="-0"/>
    <x v="0"/>
    <x v="3"/>
  </r>
  <r>
    <s v="55821"/>
    <s v="2021-06-11 00:00:00"/>
    <s v="2021-06-11 15:2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Realizar validación Protocolo de Evaluación el impacto del Cambio de Uso en el complejo de Paramos de Iguaque Merchán, en los municipios de Chiquinquirá y Saboya - Boyacá"/>
    <s v="60121"/>
    <s v="100521"/>
    <s v="300021"/>
    <s v="401021"/>
    <s v="138669421"/>
    <s v="-0"/>
    <x v="0"/>
    <x v="5"/>
  </r>
  <r>
    <s v="55921"/>
    <s v="2021-06-11 00:00:00"/>
    <s v="2021-06-11 15: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Gestión Social para los Trabajos de Campo del Proyecto CAR - Páramos, en los municipios de Cabrera, Pasca, San Bernardo, Soacha, Sibaté, Venecia, Arbeláez y Zona Rural de Bogotá en el_x000a_departamento de Cundinamarca."/>
    <s v="60021"/>
    <s v="100421"/>
    <s v="300121"/>
    <s v="401121"/>
    <s v="138671021"/>
    <s v="-0"/>
    <x v="0"/>
    <x v="5"/>
  </r>
  <r>
    <s v="56021"/>
    <s v="2021-06-11 00:00:00"/>
    <s v="2021-06-11 15:33:00"/>
    <s v="Gasto"/>
    <s v="Generado"/>
    <s v="0300"/>
    <x v="0"/>
    <x v="4"/>
    <s v="ADQUISICIÓN DE BIENES Y SERVICIOS - SERVICIOS DE INFORMACIÓN GEODÉSICA ACTUALIZADO - LEVANTAMIENTO , GENERACIÓN Y ACTUALIZACIÓN DE LA RED GEODÉSICA Y LA CARTOGRAFÍA BÁSICA A NIVEL   NACIONAL"/>
    <s v="Nación"/>
    <x v="0"/>
    <s v="CSF"/>
    <n v="18468340"/>
    <n v="-18468340"/>
    <n v="0"/>
    <n v="0"/>
    <s v="Realizar la materialización de una estación CORS y un mantenimiento de estación Cors en Tumaco (Nariño) y mantenimiento de una estaciones CORS en Silvia (Cauca)"/>
    <s v="60621"/>
    <s v="-0"/>
    <s v="-0"/>
    <s v="-0"/>
    <s v="-0"/>
    <s v="-0"/>
    <x v="0"/>
    <x v="3"/>
  </r>
  <r>
    <s v="56121"/>
    <s v="2021-06-15 00:00:00"/>
    <s v="2021-06-15 12:35:00"/>
    <s v="Gasto"/>
    <s v="Con Compromiso"/>
    <s v="0500"/>
    <x v="0"/>
    <x v="1"/>
    <s v="ADQUISICIÓN DE BIENES Y SERVICIOS - SERVICIO DE INFORMACIÓN CATASTRAL - ACTUALIZACIÓN  Y GESTIÓN CATASTRAL  NACIONAL"/>
    <s v="Nación"/>
    <x v="0"/>
    <s v="CSF"/>
    <n v="18025000"/>
    <n v="0"/>
    <n v="18025000"/>
    <n v="0"/>
    <s v="Prestación de servicios técnicos de apoyo para realizar el seguimiento, planeación y gestión del reconocimiento predial en el proceso de actualización catastral multiproposito de los municipios de El Guamo y Córdoba (Bolivar) y_x000a_Río Blanco (Tolima)"/>
    <s v="60421"/>
    <s v="110221"/>
    <s v="505621"/>
    <s v="596921, 607721"/>
    <s v="223971121, 228099621"/>
    <s v="-0"/>
    <x v="0"/>
    <x v="1"/>
  </r>
  <r>
    <s v="56221"/>
    <s v="2021-06-15 00:00:00"/>
    <s v="2021-06-15 12:36:00"/>
    <s v="Gasto"/>
    <s v="Con Compromiso"/>
    <s v="0500"/>
    <x v="0"/>
    <x v="1"/>
    <s v="ADQUISICIÓN DE BIENES Y SERVICIOS - SERVICIO DE INFORMACIÓN CATASTRAL - ACTUALIZACIÓN  Y GESTIÓN CATASTRAL  NACIONAL"/>
    <s v="Nación"/>
    <x v="0"/>
    <s v="CSF"/>
    <n v="12498928"/>
    <n v="0"/>
    <n v="12498928"/>
    <n v="0"/>
    <s v="Prestación de servicios personales para desarrollar las actividades de reconocimiento predial en el proceso de actualización catastral multiproposito de los municipios de El Guamo y Córdoba (Bolivar) y Río Blanco (Tolima)"/>
    <s v="60521"/>
    <s v="113721"/>
    <s v="486321"/>
    <s v="580621, 600921"/>
    <s v="218218821, 224426821"/>
    <s v="-0"/>
    <x v="0"/>
    <x v="1"/>
  </r>
  <r>
    <s v="56321"/>
    <s v="2021-06-15 00:00:00"/>
    <s v="2021-06-15 14:0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9197"/>
    <n v="-46600"/>
    <n v="92597"/>
    <n v="0"/>
    <s v="Transportar servidor público Subdirección de Agrología para realizar apoyo a la Fiscalía del municipio de Fusagasugá – Cundinamarca"/>
    <s v="60821"/>
    <s v="101521"/>
    <s v="303721"/>
    <s v="404421"/>
    <s v="139081421"/>
    <s v="13521"/>
    <x v="0"/>
    <x v="5"/>
  </r>
  <r>
    <s v="56421"/>
    <s v="2021-06-15 00:00:00"/>
    <s v="2021-06-15 14:0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alizar Peritaje a un predio del municipio de Fusagasugá como apoyo a la Fiscalía Segunda de Fusagasugá – Cundinamarca."/>
    <s v="60721"/>
    <s v="101421"/>
    <s v="303521"/>
    <s v="404221"/>
    <s v="139078421"/>
    <s v="-0"/>
    <x v="0"/>
    <x v="5"/>
  </r>
  <r>
    <s v="56521"/>
    <s v="2021-06-17 00:00:00"/>
    <s v="2021-06-17 11:27:00"/>
    <s v="Gasto"/>
    <s v="Generado"/>
    <s v="0300"/>
    <x v="0"/>
    <x v="4"/>
    <s v="ADQUISICIÓN DE BIENES Y SERVICIOS - SERVICIOS DE INFORMACIÓN GEODÉSICA ACTUALIZADO - LEVANTAMIENTO , GENERACIÓN Y ACTUALIZACIÓN DE LA RED GEODÉSICA Y LA CARTOGRAFÍA BÁSICA A NIVEL   NACIONAL"/>
    <s v="Propios"/>
    <x v="1"/>
    <s v="CSF"/>
    <n v="76844250"/>
    <n v="0"/>
    <n v="76844250"/>
    <n v="76844250"/>
    <s v="Realizar el mantenimiento, patronamiento y verificación de equipos geodésicos hiper sr -hiper v y estación total os 101, incluido los respuestos, para dar cumplimiento a las labores de fotocontrol y rastreo de coordenadas."/>
    <s v="58421"/>
    <s v="-0"/>
    <s v="-0"/>
    <s v="-0"/>
    <s v="-0"/>
    <s v="-0"/>
    <x v="0"/>
    <x v="3"/>
  </r>
  <r>
    <s v="56621"/>
    <s v="2021-06-17 00:00:00"/>
    <s v="2021-06-17 16: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42044"/>
    <n v="-240584"/>
    <n v="601460"/>
    <n v="0"/>
    <s v="Realizar seguimiento y control de calidad del trabajo de campo para la verificación de las condiciones agronómicas y limitantes específicos en el marco de la actualización de las Áreas Homogéneas de Tierra con fines de Catastro_x000a_multipropósito."/>
    <s v="61321"/>
    <s v="103021"/>
    <s v="312121"/>
    <s v="411821"/>
    <s v="142406221"/>
    <s v="-0"/>
    <x v="0"/>
    <x v="5"/>
  </r>
  <r>
    <s v="56721"/>
    <s v="2021-06-17 00:00:00"/>
    <s v="2021-06-17 16: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975627"/>
    <n v="-3504"/>
    <n v="3972123"/>
    <n v="720000"/>
    <s v="Realizar trabajo de campo para la verificación de las condiciones agronómicas y limitantes específicos en el marco de la actualización de las Áreas Homogéneas de Tierra con fines de Catastro multipropósito del municipio de Popayán,_x000a_departamento del C"/>
    <s v="61221"/>
    <s v="102921, 103121"/>
    <s v="311521, 312221"/>
    <s v="411221, 412021"/>
    <s v="142044521, 142407121"/>
    <s v="14621"/>
    <x v="0"/>
    <x v="5"/>
  </r>
  <r>
    <s v="56821"/>
    <s v="2021-06-17 00:00:00"/>
    <s v="2021-06-17 16: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85876"/>
    <n v="-240584"/>
    <n v="745292"/>
    <n v="0"/>
    <s v="Realizar seguimiento y pago de baquianos del trabajo de campo de la validación Protocolo de Evaluación el impacto del Cambio de Uso en el complejo de Paramos de Iguaque Merchán, en los municipios de Chiquinquirá y Saboya - Boyacá ."/>
    <s v="61121"/>
    <s v="103221"/>
    <s v="312421"/>
    <s v="412221"/>
    <s v="142408321"/>
    <s v="-0"/>
    <x v="0"/>
    <x v="5"/>
  </r>
  <r>
    <s v="56921"/>
    <s v="2021-06-18 00:00:00"/>
    <s v="2021-06-18 13:28: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0"/>
    <n v="2424530"/>
    <n v="0"/>
    <s v="Realizar la toma de observaciones del campo magnético de la tierra en el Observatorio Geomagnético Nacional de Colombia ubicado en la isla El Santuario de Fúquene en el municipio de Ráquira del departamento de Boyacá."/>
    <s v="61021"/>
    <s v="103821"/>
    <s v="317321"/>
    <s v="416221"/>
    <s v="143123221"/>
    <s v="-0"/>
    <x v="0"/>
    <x v="3"/>
  </r>
  <r>
    <s v="57021"/>
    <s v="2021-06-18 00:00:00"/>
    <s v="2021-06-18 17:1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visión de Clases Agrologicas municipio de Funza - Cundinamarca."/>
    <s v="61721"/>
    <s v="103721"/>
    <s v="316721"/>
    <s v="417321"/>
    <s v="143338721"/>
    <s v="-0"/>
    <x v="0"/>
    <x v="5"/>
  </r>
  <r>
    <s v="57121"/>
    <s v="2021-06-21 00:00:00"/>
    <s v="2021-06-21 09:3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103053"/>
    <n v="0"/>
    <n v="2103053"/>
    <n v="0"/>
    <s v="REALIZAR DILIGENCIA DE CAMPO DEL PROCESO DE DESLINDE DE LOS MUNICIPIOS FREDONIA Y VENECIA EN EL DEPARTAMENTO DE ANTIOQUIA"/>
    <s v="61521"/>
    <s v="104321, 104521"/>
    <s v="329121, 331621"/>
    <s v="424521, 428521"/>
    <s v="145794521, 145927121"/>
    <s v="-0"/>
    <x v="0"/>
    <x v="3"/>
  </r>
  <r>
    <s v="57521"/>
    <s v="2021-06-22 00:00:00"/>
    <s v="2021-06-22 09:31:00"/>
    <s v="Gasto"/>
    <s v="Con Compromiso"/>
    <s v="0500"/>
    <x v="0"/>
    <x v="1"/>
    <s v="ADQUISICIÓN DE BIENES Y SERVICIOS - SERVICIO DE INFORMACIÓN CATASTRAL - ACTUALIZACIÓN  Y GESTIÓN CATASTRAL  NACIONAL"/>
    <s v="Propios"/>
    <x v="1"/>
    <s v="CSF"/>
    <n v="40304551"/>
    <n v="-5757793"/>
    <n v="34546758"/>
    <n v="0"/>
    <s v="Prestación de servicios profesionales para revisar y aprobar los estudios de zonas homogéneas físicas y geoeconómicas requeridos en los procesos de la gestión catastral"/>
    <s v="60321"/>
    <s v="111321"/>
    <s v="383721"/>
    <s v="481921, 550721"/>
    <s v="173809221, 209384621"/>
    <s v="-0"/>
    <x v="0"/>
    <x v="1"/>
  </r>
  <r>
    <s v="57621"/>
    <s v="2021-06-22 00:00:00"/>
    <s v="2021-06-22 09:45:00"/>
    <s v="Gasto"/>
    <s v="Con Compromiso"/>
    <s v="0300"/>
    <x v="0"/>
    <x v="4"/>
    <s v="ADQUISICIÓN DE BIENES Y SERVICIOS - SERVICIOS DE INFORMACIÓN GEODÉSICA ACTUALIZADO - LEVANTAMIENTO , GENERACIÓN Y ACTUALIZACIÓN DE LA RED GEODÉSICA Y LA CARTOGRAFÍA BÁSICA A NIVEL   NACIONAL"/>
    <s v="Nación"/>
    <x v="0"/>
    <s v="CSF"/>
    <n v="8000000"/>
    <n v="-96000"/>
    <n v="7904000"/>
    <n v="0"/>
    <s v="PAGO MEMBRESIA DE IUGG (INTERNATIONAL UNION OF GEODESY AND GEOPHYSICS UNION GEODESIQUE ET GEOPHYSIQUE INTERNATIONALES"/>
    <s v="61621"/>
    <s v="110321"/>
    <s v="360321"/>
    <s v="460721"/>
    <s v="158466921"/>
    <s v="-0"/>
    <x v="0"/>
    <x v="3"/>
  </r>
  <r>
    <s v="57921"/>
    <s v="2021-06-24 00:00:00"/>
    <s v="2021-06-24 10:11:00"/>
    <s v="Gasto"/>
    <s v="Con Compromiso"/>
    <s v="0510"/>
    <x v="0"/>
    <x v="16"/>
    <s v="ADQUISICIÓN DE BIENES Y SERVICIOS - SERVICIO DE AVALÚOS - ACTUALIZACIÓN  Y GESTIÓN CATASTRAL  NACIONAL"/>
    <s v="Propios"/>
    <x v="1"/>
    <s v="CSF"/>
    <n v="200000000"/>
    <n v="0"/>
    <n v="200000000"/>
    <n v="120000000"/>
    <s v="Prestación de servicios profesionales para realizar avalúos comerciales, a nivel nacional de los bienes urbanos y rurales."/>
    <s v="60221"/>
    <s v="120421, 124021"/>
    <s v="-0"/>
    <s v="-0"/>
    <s v="-0"/>
    <s v="-0"/>
    <x v="0"/>
    <x v="6"/>
  </r>
  <r>
    <s v="58021"/>
    <s v="2021-06-24 00:00:00"/>
    <s v="2021-06-24 10:15:00"/>
    <s v="Gasto"/>
    <s v="Anulado"/>
    <s v="0200"/>
    <x v="0"/>
    <x v="0"/>
    <s v="ADQUISICIÓN DE BIENES Y SERVICIOS - SERVICIOS TECNOLÓGICOS - FORTALECIMIENTO DE LA GESTIÓN INSTITUCIONAL DEL IGAC A NIVEL   NACIONAL"/>
    <s v="Propios"/>
    <x v="1"/>
    <s v="CSF"/>
    <n v="71646848"/>
    <n v="-71646848"/>
    <n v="0"/>
    <n v="0"/>
    <s v="Prestación de servicios profesionales para identificar, revisar, proponer, implementar y optimizar mejoras al sistema de gestión de seguridad de la información del Instituto."/>
    <s v="62621"/>
    <s v="-0"/>
    <s v="-0"/>
    <s v="-0"/>
    <s v="-0"/>
    <s v="-0"/>
    <x v="0"/>
    <x v="0"/>
  </r>
  <r>
    <s v="58121"/>
    <s v="2021-06-24 00:00:00"/>
    <s v="2021-06-24 11: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6072500"/>
    <n v="0"/>
    <n v="16072500"/>
    <n v="10640475"/>
    <s v="Trasportar a los funcionarios de la comisión para realizar los trabajos de campo en el reconocimiento de los suelos del contrato interadministrativo No. 5153 de 2019 con la Corporación Autónoma Regional de Cundinamarca (CAR) “Estudio_x000a_multitemporal"/>
    <s v="61921"/>
    <s v="107321, 114021"/>
    <s v="340721, 365821"/>
    <s v="441621, 465221"/>
    <s v="148391421, 164844721"/>
    <s v="17921, 18721"/>
    <x v="0"/>
    <x v="5"/>
  </r>
  <r>
    <s v="58221"/>
    <s v="2021-06-24 00:00:00"/>
    <s v="2021-06-24 11: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50279000"/>
    <n v="0"/>
    <n v="50279000"/>
    <n v="19816368.219999999"/>
    <s v="Viaticos y gastos de la comisión para realizar los trabajos de campo en el reconocimiento de los suelos del contrato interadministrativo No. 5153 de 2019 con la Corporación Autónoma Regional de Cundinamarca (CAR) “Estudio_x000a_multitemporal de las cobertu"/>
    <s v="61821"/>
    <s v="107021, 107121, 107221, 107421, 107521, 107621, 107721, 107821"/>
    <s v="340021, 340121, 340221, 340321, 340421, 340521, 340821, 340921"/>
    <s v="440821, 441021, 441221, 441421, 441721, 441821, 442021, 442221"/>
    <s v="148396821, 148400221, 148402021, 148406221, 148409321, 148897221, 148900321, 148900621"/>
    <s v="17421, 18021, 18121, 18221, 18321, 18421, 18521, 18621"/>
    <x v="0"/>
    <x v="5"/>
  </r>
  <r>
    <s v="58321"/>
    <s v="2021-06-24 00:00:00"/>
    <s v="2021-06-24 12: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48587500"/>
    <n v="0"/>
    <n v="48587500"/>
    <n v="1836458"/>
    <s v="Gastos de Desplazamiento para realizar los trabajos de campo en el reconocimiento de los suelos del contrato interadministrativo No. 5153 de 2019 con la Corporación Autónoma Regional de Cundinamarca (CAR) “Estudio multitemporal de_x000a_las coberturas y us"/>
    <s v="62221"/>
    <s v="107921, 108021, 108121, 108221, 108321, 108421, 108521, 108621, 108721, 108821"/>
    <s v="341021, 341221, 341321, 341421, 341521, 341621, 341721, 341821, 341921, 342021"/>
    <s v="442321, 442421, 442521, 442621, 442721, 442821, 442921, 443021, 443121, 443221"/>
    <s v="148901121, 148901521, 148901921, 148902221, 148903021, 148903721, 148904121, 148904421, 148905021, 148905321"/>
    <s v="-0"/>
    <x v="0"/>
    <x v="5"/>
  </r>
  <r>
    <s v="58621"/>
    <s v="2021-06-24 00:00:00"/>
    <s v="2021-06-24 15:29:00"/>
    <s v="Gasto"/>
    <s v="Con Compromiso"/>
    <s v="0300"/>
    <x v="0"/>
    <x v="4"/>
    <s v="ADQUISICIÓN DE BIENES Y SERVICIOS - SERVICIOS DE INFORMACIÓN GEODÉSICA ACTUALIZADO - LEVANTAMIENTO , GENERACIÓN Y ACTUALIZACIÓN DE LA RED GEODÉSICA Y LA CARTOGRAFÍA BÁSICA A NIVEL   NACIONAL"/>
    <s v="Nación"/>
    <x v="0"/>
    <s v="CSF"/>
    <n v="2625955"/>
    <n v="-140850"/>
    <n v="2485105"/>
    <n v="0"/>
    <s v="Realizar mantenimiento correctivo de una estación de funcionamiento continuo de la red MAGNA ECO en la Isla El Santuario de Fúquene en el Municipio de Ráquira del Departamento de Boyacá."/>
    <s v="62721"/>
    <s v="109321, 109421"/>
    <s v="348021, 351221"/>
    <s v="449921, 452821"/>
    <s v="151907521, 152444721"/>
    <s v="14721"/>
    <x v="0"/>
    <x v="3"/>
  </r>
  <r>
    <s v="58821"/>
    <s v="2021-06-29 00:00:00"/>
    <s v="2021-06-29 08:0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9952848"/>
    <n v="0"/>
    <n v="9952848"/>
    <n v="0"/>
    <s v="Prestación de servicios profesionales para realizar el control de calidad de la interacción de la información de la geomorfología y las Áreas Homogéneas de Tierra con fines de Catastro Multipropósito, en el marco de la actualización catastral de Arau"/>
    <s v="63321"/>
    <s v="116921"/>
    <s v="470421"/>
    <s v="593221"/>
    <s v="226308621"/>
    <s v="-0"/>
    <x v="0"/>
    <x v="5"/>
  </r>
  <r>
    <s v="58921"/>
    <s v="2021-06-29 00:00:00"/>
    <s v="2021-06-29 08: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realizar la estructuración final de la información cartográfica y alfanumérica y revisión digital de la información espacial temática de Áreas Homogéneas de Tierra con fines de Catastro_x000a_Multipropósito."/>
    <s v="63221"/>
    <s v="117221"/>
    <s v="499421"/>
    <s v="595121"/>
    <s v="226433221"/>
    <s v="-0"/>
    <x v="0"/>
    <x v="5"/>
  </r>
  <r>
    <s v="59021"/>
    <s v="2021-06-29 00:00:00"/>
    <s v="2021-06-29 08: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ejecutar las diferentes etapas de la actualización de Áreas Homogéneas de Tierras con fines de catastro multipropósito, en el marco de la actualización catastral de Arauquita."/>
    <s v="63121"/>
    <s v="122121"/>
    <s v="503321"/>
    <s v="593821"/>
    <s v="226319921"/>
    <s v="-0"/>
    <x v="0"/>
    <x v="5"/>
  </r>
  <r>
    <s v="59121"/>
    <s v="2021-06-30 00:00:00"/>
    <s v="2021-06-30 08:5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2678703"/>
    <n v="0"/>
    <n v="52678703"/>
    <n v="0"/>
    <s v="Prestación de servicios profesionales para realizar la planeación, desarrollo, soporte y seguimiento a los proyectos relacionados con desarrollo de aplicaciones de tecnologías de información_x000a_geográfica a cargo de la oficina CIAF"/>
    <s v="58221"/>
    <s v="116121"/>
    <s v="433421"/>
    <s v="529021, 591221"/>
    <s v="187312221, 225892121"/>
    <s v="-0"/>
    <x v="0"/>
    <x v="4"/>
  </r>
  <r>
    <s v="59221"/>
    <s v="2021-06-30 00:00:00"/>
    <s v="2021-06-30 08:58:00"/>
    <s v="Gasto"/>
    <s v="Anul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16910180"/>
    <n v="0"/>
    <n v="0"/>
    <s v="Prestación de servicios profesionales para desarrollar herramientas asociadas a la transferencia de conocimiento técnico especializado de acuerdos con los requerimientos y necesidades de la oficina_x000a_CIAF."/>
    <s v="58021"/>
    <s v="-0"/>
    <s v="-0"/>
    <s v="-0"/>
    <s v="-0"/>
    <s v="-0"/>
    <x v="0"/>
    <x v="4"/>
  </r>
  <r>
    <s v="59421"/>
    <s v="2021-07-01 00:00:00"/>
    <s v="2021-07-01 08:33:00"/>
    <s v="Gasto"/>
    <s v="Con Compromiso"/>
    <s v="0300"/>
    <x v="0"/>
    <x v="4"/>
    <s v="ADQUISICIÓN DE BIENES Y SERVICIOS - SERVICIOS DE INFORMACIÓN GEODÉSICA ACTUALIZADO - LEVANTAMIENTO , GENERACIÓN Y ACTUALIZACIÓN DE LA RED GEODÉSICA Y LA CARTOGRAFÍA BÁSICA A NIVEL   NACIONAL"/>
    <s v="Nación"/>
    <x v="0"/>
    <s v="CSF"/>
    <n v="10720532"/>
    <n v="0"/>
    <n v="10720532"/>
    <n v="0"/>
    <s v="Realizar la toma de observaciones gravimétricas relativas en campo para el establecimiento de la Red Gravimétrica relativa nacional de primer orden IGAC - OSU."/>
    <s v="63621"/>
    <s v="110821, 110921"/>
    <s v="360921, 361521"/>
    <s v="460921, 461621"/>
    <s v="158469821, 158483121"/>
    <s v="-0"/>
    <x v="0"/>
    <x v="3"/>
  </r>
  <r>
    <s v="59621"/>
    <s v="2021-07-02 00:00:00"/>
    <s v="2021-07-02 11:27:00"/>
    <s v="Gasto"/>
    <s v="Con Compromiso"/>
    <s v="0300"/>
    <x v="0"/>
    <x v="4"/>
    <s v="ADQUISICIÓN DE BIENES Y SERVICIOS - SERVICIOS DE INFORMACIÓN GEODÉSICA ACTUALIZADO - LEVANTAMIENTO , GENERACIÓN Y ACTUALIZACIÓN DE LA RED GEODÉSICA Y LA CARTOGRAFÍA BÁSICA A NIVEL   NACIONAL"/>
    <s v="Nación"/>
    <x v="0"/>
    <s v="CSF"/>
    <n v="419114"/>
    <n v="-53607"/>
    <n v="365507"/>
    <n v="0"/>
    <s v="Realizar visita técnica a la Isla Santuario de Fúquene en el Municipio de Ráquira del departamento de Boyacá"/>
    <s v="63721"/>
    <s v="114121, 114221, 114921"/>
    <s v="365921, 367621"/>
    <s v="465321, 465421"/>
    <s v="164849321, 165513121"/>
    <s v="15221"/>
    <x v="0"/>
    <x v="3"/>
  </r>
  <r>
    <s v="59721"/>
    <s v="2021-07-07 00:00:00"/>
    <s v="2021-07-07 08:58:00"/>
    <s v="Gasto"/>
    <s v="Con Compromiso"/>
    <s v="0300"/>
    <x v="0"/>
    <x v="4"/>
    <s v="ADQUISICIÓN DE BIENES Y SERVICIOS - SERVICIOS DE INFORMACIÓN GEODÉSICA ACTUALIZADO - LEVANTAMIENTO , GENERACIÓN Y ACTUALIZACIÓN DE LA RED GEODÉSICA Y LA CARTOGRAFÍA BÁSICA A NIVEL   NACIONAL"/>
    <s v="Nación"/>
    <x v="0"/>
    <s v="CSF"/>
    <n v="8191520"/>
    <n v="-6758620"/>
    <n v="1432900"/>
    <n v="0"/>
    <s v="REALIZAR FOTOCONTROL Y PUNTOS DE VERIFICACION PARA ELABORACION DE CARTOGRAFIA VECTORIAL EN EL MUNICIPIO DE SAN CARLOS (CORDOBA) Y PAZ DEL RIO (BOYACA)"/>
    <s v="63921"/>
    <s v="115321"/>
    <s v="368521"/>
    <s v="466621"/>
    <s v="165937021"/>
    <s v="19021"/>
    <x v="0"/>
    <x v="3"/>
  </r>
  <r>
    <s v="59821"/>
    <s v="2021-07-08 00:00:00"/>
    <s v="2021-07-08 10:52:00"/>
    <s v="Gasto"/>
    <s v="Con Compromiso"/>
    <s v="0300"/>
    <x v="0"/>
    <x v="4"/>
    <s v="ADQUISICIÓN DE BIENES Y SERVICIOS - SERVICIOS DE INFORMACIÓN GEODÉSICA ACTUALIZADO - LEVANTAMIENTO , GENERACIÓN Y ACTUALIZACIÓN DE LA RED GEODÉSICA Y LA CARTOGRAFÍA BÁSICA A NIVEL   NACIONAL"/>
    <s v="Nación"/>
    <x v="0"/>
    <s v="CSF"/>
    <n v="3852484"/>
    <n v="-2289743"/>
    <n v="1562741"/>
    <n v="0"/>
    <s v="Realizar la exploración de sitios para instalación de estaciones de funcionamiento continúo GNSS de la red geodésica activa MAGNA-ECO en Garzón y Colombia en el departamento del Huila"/>
    <s v="64021"/>
    <s v="114421"/>
    <s v="367421"/>
    <s v="465821"/>
    <s v="165735721"/>
    <s v="-0"/>
    <x v="0"/>
    <x v="3"/>
  </r>
  <r>
    <s v="59921"/>
    <s v="2021-07-08 00:00:00"/>
    <s v="2021-07-08 10:54:00"/>
    <s v="Gasto"/>
    <s v="Con Compromiso"/>
    <s v="0300"/>
    <x v="0"/>
    <x v="4"/>
    <s v="ADQUISICIÓN DE BIENES Y SERVICIOS - SERVICIOS DE INFORMACIÓN GEODÉSICA ACTUALIZADO - LEVANTAMIENTO , GENERACIÓN Y ACTUALIZACIÓN DE LA RED GEODÉSICA Y LA CARTOGRAFÍA BÁSICA A NIVEL   NACIONAL"/>
    <s v="Nación"/>
    <x v="0"/>
    <s v="CSF"/>
    <n v="18408999"/>
    <n v="-6689091"/>
    <n v="11719908"/>
    <n v="0"/>
    <s v="Realizar la materialización de una estación CORS y un mantenimiento de estación Cors en Tumaco (Nariño) y mantenimiento de una estaciones CORS en Silvia (Cauca)"/>
    <s v="64121"/>
    <s v="114721, 114821, 115421"/>
    <s v="367821, 368121, 368221"/>
    <s v="465921, 466021, 466121"/>
    <s v="165736221, 165736521, 165738221"/>
    <s v="19321, 19421"/>
    <x v="0"/>
    <x v="3"/>
  </r>
  <r>
    <s v="60021"/>
    <s v="2021-07-08 00:00:00"/>
    <s v="2021-07-08 10:55:00"/>
    <s v="Gasto"/>
    <s v="Con Compromiso"/>
    <s v="0300"/>
    <x v="0"/>
    <x v="12"/>
    <s v="ADQUISICIÓN DE BIENES Y SERVICIOS - SERVICIO DE INFORMACIÓN CARTOGRÁFICA ACTUALIZADO - LEVANTAMIENTO , GENERACIÓN Y ACTUALIZACIÓN DE LA RED GEODÉSICA Y LA CARTOGRAFÍA BÁSICA A NIVEL   NACIONAL"/>
    <s v="Nación"/>
    <x v="0"/>
    <s v="CSF"/>
    <n v="15127323"/>
    <n v="-10594882"/>
    <n v="4532441"/>
    <n v="0"/>
    <s v="REALIZAR TRABAJOS DE AEROFOTOGRAFIA CON AERONAVES NO TRIPULADAS TIPO DRON EN SAN CARLOS (CORDOBA), MONTECRISTO (BOLIVAR), PAZ DEL RIO (BOYACÁ) Y TRINIDAD (CASANARE)"/>
    <s v="64221"/>
    <s v="115621, 115721"/>
    <s v="368621, 368721"/>
    <s v="466721, 466821"/>
    <s v="166374221, 166376321"/>
    <s v="19521"/>
    <x v="0"/>
    <x v="3"/>
  </r>
  <r>
    <s v="60121"/>
    <s v="2021-07-08 00:00:00"/>
    <s v="2021-07-08 11:0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90572"/>
    <n v="0"/>
    <n v="6690572"/>
    <n v="0"/>
    <s v="Adición al contrato de prestación de servicios 24338"/>
    <s v="64521"/>
    <s v="120021"/>
    <s v="-0"/>
    <s v="-0"/>
    <s v="-0"/>
    <s v="-0"/>
    <x v="0"/>
    <x v="5"/>
  </r>
  <r>
    <s v="602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26045"/>
    <n v="0"/>
    <n v="1426045"/>
    <n v="0"/>
    <s v="Realizar socialización proyecto Vocación de los Suelos del municipio de Tumaco, Nariño"/>
    <s v="64621"/>
    <s v="115121, 115221"/>
    <s v="368321, 368421"/>
    <s v="466421, 466521"/>
    <s v="165925321, 165934321"/>
    <s v="-0"/>
    <x v="0"/>
    <x v="5"/>
  </r>
  <r>
    <s v="603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0616396"/>
    <n v="0"/>
    <n v="10616396"/>
    <n v="0"/>
    <s v="Adición a los contratos de prestación de servicios 24308"/>
    <s v="64421"/>
    <s v="120121"/>
    <s v="-0"/>
    <s v="-0"/>
    <s v="-0"/>
    <s v="-0"/>
    <x v="0"/>
    <x v="5"/>
  </r>
  <r>
    <s v="60421"/>
    <s v="2021-07-08 00:00:00"/>
    <s v="2021-07-08 11:14:00"/>
    <s v="Gasto"/>
    <s v="Con Compromiso"/>
    <s v="0300"/>
    <x v="0"/>
    <x v="4"/>
    <s v="ADQUISICIÓN DE BIENES Y SERVICIOS - SERVICIOS DE INFORMACIÓN GEODÉSICA ACTUALIZADO - LEVANTAMIENTO , GENERACIÓN Y ACTUALIZACIÓN DE LA RED GEODÉSICA Y LA CARTOGRAFÍA BÁSICA A NIVEL   NACIONAL"/>
    <s v="Propios"/>
    <x v="1"/>
    <s v="CSF"/>
    <n v="2101413"/>
    <n v="0"/>
    <n v="2101413"/>
    <n v="0"/>
    <s v="REALIZAR FOTOCONTROL Y PUNTOS DE VERIFICACION PARA ELABORACION DE CARTOGRAFIA VECTORIAL EN EL MUNICIPIO DE SAN CARLOS (CORDOBA) Y PAZ DEL RIO (BOYACA)"/>
    <s v="64321"/>
    <s v="114521"/>
    <s v="367321"/>
    <s v="465721"/>
    <s v="165735021"/>
    <s v="-0"/>
    <x v="0"/>
    <x v="3"/>
  </r>
  <r>
    <s v="60621"/>
    <s v="2021-07-14 00:00:00"/>
    <s v="2021-07-14 12:46:00"/>
    <s v="Gasto"/>
    <s v="Generado"/>
    <s v="0300"/>
    <x v="0"/>
    <x v="4"/>
    <s v="ADQUISICIÓN DE BIENES Y SERVICIOS - SERVICIOS DE INFORMACIÓN GEODÉSICA ACTUALIZADO - LEVANTAMIENTO , GENERACIÓN Y ACTUALIZACIÓN DE LA RED GEODÉSICA Y LA CARTOGRAFÍA BÁSICA A NIVEL   NACIONAL"/>
    <s v="Nación"/>
    <x v="0"/>
    <s v="CSF"/>
    <n v="7044298"/>
    <n v="-7044298"/>
    <n v="0"/>
    <n v="0"/>
    <s v="REALIZAR TRABAJOS DE AEROFOTOGRAFIA CON AERONAVES NO TRIPULADAS TIPO DRON EN EL MUNICIPIO DE GACHANCIPÁ EN EL DEPARTAMENTO DE CUNDINAMARCA"/>
    <s v="65021"/>
    <s v="-0"/>
    <s v="-0"/>
    <s v="-0"/>
    <s v="-0"/>
    <s v="-0"/>
    <x v="0"/>
    <x v="3"/>
  </r>
  <r>
    <s v="60721"/>
    <s v="2021-07-15 00:00:00"/>
    <s v="2021-07-15 08:11:00"/>
    <s v="Gasto"/>
    <s v="Con Compromiso"/>
    <s v="0500"/>
    <x v="0"/>
    <x v="1"/>
    <s v="ADQUISICIÓN DE BIENES Y SERVICIOS - SERVICIO DE INFORMACIÓN CATASTRAL - ACTUALIZACIÓN  Y GESTIÓN CATASTRAL  NACIONAL"/>
    <s v="Nación"/>
    <x v="0"/>
    <s v="CSF"/>
    <n v="135904986"/>
    <n v="0"/>
    <n v="135904986"/>
    <n v="15100554"/>
    <s v="Prestación de servicios profesionales para adelantar, desarrollar e implementar las metodologías de valoración predial requeridas para el desarrollo de los procesos de actualización catastral con enfoque multipropósito."/>
    <s v="65221"/>
    <s v="121121, 121221, 134321"/>
    <s v="490821"/>
    <s v="601021"/>
    <s v="224428121"/>
    <s v="-0"/>
    <x v="0"/>
    <x v="1"/>
  </r>
  <r>
    <s v="60821"/>
    <s v="2021-07-15 00:00:00"/>
    <s v="2021-07-15 09:27:00"/>
    <s v="Gasto"/>
    <s v="Con Compromiso"/>
    <s v="0200"/>
    <x v="0"/>
    <x v="0"/>
    <s v="ADQUISICIÓN DE BIENES Y SERVICIOS - SERVICIOS TECNOLÓGICOS - FORTALECIMIENTO DE LA GESTIÓN INSTITUCIONAL DEL IGAC A NIVEL   NACIONAL"/>
    <s v="Propios"/>
    <x v="1"/>
    <s v="CSF"/>
    <n v="66135552"/>
    <n v="-9552913"/>
    <n v="56582639"/>
    <n v="0"/>
    <s v="Prestación de servicios profesionales para definir, implementar y optimizar mejoras al sistema de gestión de continuidad de negocio realizando los análisis de impacto al negocio, identificación de riesgos de continuidad y estructurando los planes de"/>
    <s v="64721"/>
    <s v="123321"/>
    <s v="-0"/>
    <s v="-0"/>
    <s v="-0"/>
    <s v="-0"/>
    <x v="0"/>
    <x v="0"/>
  </r>
  <r>
    <s v="60921"/>
    <s v="2021-07-15 00:00:00"/>
    <s v="2021-07-15 12:0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0000000"/>
    <n v="0"/>
    <n v="10000000"/>
    <n v="3494484"/>
    <s v="Suministro de Gases especiales para la ejecución de análisis para el Laboratorio Nacional de Suelos"/>
    <s v="63421"/>
    <s v="124621"/>
    <s v="-0"/>
    <s v="-0"/>
    <s v="-0"/>
    <s v="-0"/>
    <x v="0"/>
    <x v="5"/>
  </r>
  <r>
    <s v="61021"/>
    <s v="2021-07-15 00:00:00"/>
    <s v="2021-07-15 15:3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41248"/>
    <n v="0"/>
    <n v="441248"/>
    <n v="0"/>
    <s v="APOYAR LA REALIZACION DE LA GEORREFERENCIACIÓN DE LA LINEA DEL OLEODUCTO PIOJO LURUACO EN EL DEPARTAMENTO DEL ATLANTICO."/>
    <s v="65121"/>
    <s v="117721"/>
    <s v="383021"/>
    <s v="479621"/>
    <s v="172802721"/>
    <s v="-0"/>
    <x v="0"/>
    <x v="3"/>
  </r>
  <r>
    <s v="61121"/>
    <s v="2021-07-15 00:00:00"/>
    <s v="2021-07-15 17:15: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1215265"/>
    <n v="1209265"/>
    <n v="0"/>
    <s v="Realizar la toma de observaciones del campo magnético de la tierra en el Observatorio Geomagnético Nacional de Colombia ubicado en la Isla Santuario de Fúquene en el municipio de Ráquira del departamento de Boyacá."/>
    <s v="64921"/>
    <s v="118221"/>
    <s v="382421"/>
    <s v="479021"/>
    <s v="172811721"/>
    <s v="19221"/>
    <x v="0"/>
    <x v="3"/>
  </r>
  <r>
    <s v="61221"/>
    <s v="2021-07-19 00:00:00"/>
    <s v="2021-07-19 19:2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83307"/>
    <n v="0"/>
    <n v="2083307"/>
    <n v="0"/>
    <s v="PARA REALIZAR DILIGENCIA DE CAMPO PROCESO DE DESLINDE DE LOS MUNICIPIOS EL RETIRO Y ENVIGADO EN ANTIOQUIA"/>
    <s v="65521"/>
    <s v="119121, 119221"/>
    <s v="392121, 392621"/>
    <s v="488521, 488621"/>
    <s v="176116821, 176120821"/>
    <s v="-0"/>
    <x v="0"/>
    <x v="3"/>
  </r>
  <r>
    <s v="61321"/>
    <s v="2021-07-19 00:00:00"/>
    <s v="2021-07-19 19: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43053"/>
    <n v="0"/>
    <n v="2043053"/>
    <n v="0"/>
    <s v="REALIZAR DILIGENCIA DE CAMPO PROCESO DE DESLINDE DE LOS MUNICIPIOS CAMPAMENTO Y GUADALUPE EN EL DEPARTAMENTO DE ANTIOQUIA"/>
    <s v="65421"/>
    <s v="119021, 119321"/>
    <s v="392021, 392721"/>
    <s v="488421, 488721"/>
    <s v="176116021, 176129021"/>
    <s v="-0"/>
    <x v="0"/>
    <x v="3"/>
  </r>
  <r>
    <s v="61821"/>
    <s v="2021-07-23 00:00:00"/>
    <s v="2021-07-23 16: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414855"/>
    <n v="1082628"/>
    <n v="1082628"/>
    <s v="Atender requerimientos de la Policía Nacional – Monitoreo antes e inmediatamente después de las operaciones de aspersión (Semestre II – 2021). Municipio de Villagarzón departamento del Putumayo."/>
    <s v="66021"/>
    <s v="120921, 128421"/>
    <s v="404321, 443321"/>
    <s v="501821, 538221"/>
    <s v="178853521"/>
    <s v="19121"/>
    <x v="0"/>
    <x v="5"/>
  </r>
  <r>
    <s v="62121"/>
    <s v="2021-07-29 00:00:00"/>
    <s v="2021-07-29 14:42:00"/>
    <s v="Gasto"/>
    <s v="Con Compromiso"/>
    <s v="0300"/>
    <x v="0"/>
    <x v="4"/>
    <s v="ADQUISICIÓN DE BIENES Y SERVICIOS - SERVICIOS DE INFORMACIÓN GEODÉSICA ACTUALIZADO - LEVANTAMIENTO , GENERACIÓN Y ACTUALIZACIÓN DE LA RED GEODÉSICA Y LA CARTOGRAFÍA BÁSICA A NIVEL   NACIONAL"/>
    <s v="Nación"/>
    <x v="0"/>
    <s v="CSF"/>
    <n v="22396177"/>
    <n v="339553"/>
    <n v="22735730"/>
    <n v="0"/>
    <s v="Realizar la densificación de la red geodesica pasiva en los municipios de Cabuyaro y Barranca de Upía (Meta), Villanueva (Casanare) Capitanejo (Santander), Sogamoso, Gámeza, Cuítiva, Tópaga, Tipacoque, Iza, Monguí,_x000a_Covarachía, Boavita, la Uvita (Boya"/>
    <s v="66321"/>
    <s v="123521, 123621, 123721, 124121"/>
    <s v="436621, 437321, 437421, 437521"/>
    <s v="531521, 532121, 532221, 532321"/>
    <s v="190705221, 190769121, 190770421, 190771521"/>
    <s v="-0"/>
    <x v="0"/>
    <x v="3"/>
  </r>
  <r>
    <s v="62221"/>
    <s v="2021-08-04 00:00:00"/>
    <s v="2021-08-04 09:18:00"/>
    <s v="Gasto"/>
    <s v="Con Compromiso"/>
    <s v="0300"/>
    <x v="0"/>
    <x v="4"/>
    <s v="ADQUISICIÓN DE BIENES Y SERVICIOS - SERVICIOS DE INFORMACIÓN GEODÉSICA ACTUALIZADO - LEVANTAMIENTO , GENERACIÓN Y ACTUALIZACIÓN DE LA RED GEODÉSICA Y LA CARTOGRAFÍA BÁSICA A NIVEL   NACIONAL"/>
    <s v="Nación"/>
    <x v="0"/>
    <s v="CSF"/>
    <n v="942800"/>
    <n v="-132561"/>
    <n v="810239"/>
    <n v="0"/>
    <s v="REALIZAR LA MATERIALIZACIÓN DE DOS VERTICES GEODESICOS DE LA RED PASIVA EN LA CIUDAD DE POPAYAN"/>
    <s v="66421"/>
    <s v="124721"/>
    <s v="438621"/>
    <s v="532821"/>
    <s v="191942721"/>
    <s v="-0"/>
    <x v="0"/>
    <x v="3"/>
  </r>
  <r>
    <s v="62321"/>
    <s v="2021-08-04 00:00:00"/>
    <s v="2021-08-04 09:2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COMISION PARA EL LEVANTAMIENTO DE PUNTOS DE CONTROL PARA LA ELABORACION DE CARTOGRAFÍA VECTORIAL URBANA DE LAS CABECERAS MUNICIPALES DE NOCAIMA, LA PEÑA, LA PALMA, EL PEÑON,_x000a_PAIME, CARMEN DE CARUPA, FUQUENE, LEGUAZAQUE, CUCUNUBA, MANTA EN CUNDINAMA"/>
    <s v="67021"/>
    <s v="128321"/>
    <s v="442721"/>
    <s v="537621"/>
    <s v="195868121"/>
    <s v="-0"/>
    <x v="0"/>
    <x v="3"/>
  </r>
  <r>
    <s v="62421"/>
    <s v="2021-08-04 00:00:00"/>
    <s v="2021-08-04 09:25:00"/>
    <s v="Gasto"/>
    <s v="Con Compromiso"/>
    <s v="0300"/>
    <x v="0"/>
    <x v="12"/>
    <s v="ADQUISICIÓN DE BIENES Y SERVICIOS - SERVICIO DE INFORMACIÓN CARTOGRÁFICA ACTUALIZADO - LEVANTAMIENTO , GENERACIÓN Y ACTUALIZACIÓN DE LA RED GEODÉSICA Y LA CARTOGRAFÍA BÁSICA A NIVEL   NACIONAL"/>
    <s v="Nación"/>
    <x v="0"/>
    <s v="CSF"/>
    <n v="24776810"/>
    <n v="0"/>
    <n v="24776810"/>
    <n v="7012623"/>
    <s v="COMISION PARA EL LEVANTAMIENTO DE PUNTOS DE CONTROL PARA LA ELABORACION DE CARTOGRAFÍA VECTORIAL URBANA DE LAS CABECERAS MUNICIPALES DE NOCAIMA, LA PEÑA, LA PALMA, EL PEÑON,_x000a_PAIME, CARMEN DE CARUPA, FUQUENE, LEGUAZAQUE, CUCUNUBA, MANTA EN CUNDINAMA"/>
    <s v="67121"/>
    <s v="126021, 127821, 127921"/>
    <s v="439021, 441821, 441921"/>
    <s v="533721, 536621, 536721"/>
    <s v="193653321, 195156921, 195181421"/>
    <s v="-0"/>
    <x v="0"/>
    <x v="3"/>
  </r>
  <r>
    <s v="62521"/>
    <s v="2021-08-04 00:00:00"/>
    <s v="2021-08-04 09:26:00"/>
    <s v="Gasto"/>
    <s v="Con Compromiso"/>
    <s v="0300"/>
    <x v="0"/>
    <x v="4"/>
    <s v="ADQUISICIÓN DE BIENES Y SERVICIOS - SERVICIOS DE INFORMACIÓN GEODÉSICA ACTUALIZADO - LEVANTAMIENTO , GENERACIÓN Y ACTUALIZACIÓN DE LA RED GEODÉSICA Y LA CARTOGRAFÍA BÁSICA A NIVEL   NACIONAL"/>
    <s v="Nación"/>
    <x v="0"/>
    <s v="CSF"/>
    <n v="27464172"/>
    <n v="0"/>
    <n v="27464172"/>
    <n v="0"/>
    <s v="REALIZAR FOTOCONTROL Y PUNTOS DE VERIFICACÓN PARA ELABORACIONDE CARTOGRAFÍA VECTORIAL URBANA DEL PROYECTO CABECERAS DE FÓMEQUE, JUNÍN, GAMA, GACHALÁ, MEDINA EN_x000a_CUNDINAMARCA"/>
    <s v="67221"/>
    <s v="126221, 127621, 127721, 128121, 128221"/>
    <s v="439121, 442021, 442121, 442521, 442621"/>
    <s v="533821, 536921, 537021, 537321, 537421"/>
    <s v="193657821, 195172421, 195173621, 195867021, 195867821"/>
    <s v="-0"/>
    <x v="0"/>
    <x v="3"/>
  </r>
  <r>
    <s v="62621"/>
    <s v="2021-08-05 00:00:00"/>
    <s v="2021-08-05 10:09:00"/>
    <s v="Gasto"/>
    <s v="Con Compromiso"/>
    <s v="0160"/>
    <x v="0"/>
    <x v="2"/>
    <s v="ADQUISICIÓN DE BIENES Y SERVICIOS - DOCUMENTOS DE LINEAMIENTOS TÉCNICOS - FORTALECIMIENTO DE LOS PROCESOS DE DIFUSIÓN Y ACCESO A LA INFORMACIÓN GEOGRÁFICA A NIVEL   NACIONAL"/>
    <s v="Propios"/>
    <x v="1"/>
    <s v="CSF"/>
    <n v="15562038"/>
    <n v="0"/>
    <n v="15562038"/>
    <n v="30364"/>
    <s v="Prestación de servicios profesionales para realizar seguimiento y ejecución a los trámites y servicios solicitados por los usuarios internos y externos del IGAC."/>
    <s v="66721"/>
    <s v="133321"/>
    <s v="-0"/>
    <s v="-0"/>
    <s v="-0"/>
    <s v="-0"/>
    <x v="0"/>
    <x v="2"/>
  </r>
  <r>
    <s v="62721"/>
    <s v="2021-08-05 00:00:00"/>
    <s v="2021-08-05 17: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78733"/>
    <n v="0"/>
    <n v="2878733"/>
    <n v="0"/>
    <s v="REALIZAR DILIGENCIA DE VISITA TECNICA DE CAMPO A PREDIO RURAL &quot;EL SOCORRO&quot; UBICADO EN EL MUNICIPIO DE PUERTO GAITÁN (META), EN CUMPLIMIENTO DE ORDEN JUDICIAL EMITIDA POR EL_x000a_JUZGADO SEGUNDO CIVIL DEL CIRCUITO ESPECIALIZADO EN_x000a_RESTITUCIÓN DE TIERRAS"/>
    <s v="67321"/>
    <s v="127221"/>
    <s v="441421"/>
    <s v="535821"/>
    <s v="194402321"/>
    <s v="-0"/>
    <x v="0"/>
    <x v="3"/>
  </r>
  <r>
    <s v="62821"/>
    <s v="2021-08-05 00:00:00"/>
    <s v="2021-08-05 17:18:00"/>
    <s v="Gasto"/>
    <s v="Con Compromiso"/>
    <s v="0300"/>
    <x v="0"/>
    <x v="4"/>
    <s v="ADQUISICIÓN DE BIENES Y SERVICIOS - SERVICIOS DE INFORMACIÓN GEODÉSICA ACTUALIZADO - LEVANTAMIENTO , GENERACIÓN Y ACTUALIZACIÓN DE LA RED GEODÉSICA Y LA CARTOGRAFÍA BÁSICA A NIVEL   NACIONAL"/>
    <s v="Nación"/>
    <x v="0"/>
    <s v="CSF"/>
    <n v="5072563"/>
    <n v="0"/>
    <n v="5072563"/>
    <n v="522000"/>
    <s v="REALIZAR DILIGENCIA DE VISITA TECNICA DE CAMPO A PREDIO RURAL &quot;EL SOCORRO&quot; UBICADO EN EL MUNICIPIO DE PUERTO GAITÁN (META), EN CUMPLIMIENTO DE ORDEN JUDICIAL EMITIDA POR EL_x000a_JUZGADO SEGUNDO CIVIL DEL CIRCUITO ESPECIALIZADO EN RESTITUCIÓN DE TIERRAS"/>
    <s v="67421"/>
    <s v="127321, 128021"/>
    <s v="441521, 442221"/>
    <s v="536021, 536821"/>
    <s v="194403721, 195165921"/>
    <s v="21421"/>
    <x v="0"/>
    <x v="3"/>
  </r>
  <r>
    <s v="62921"/>
    <s v="2021-08-10 00:00:00"/>
    <s v="2021-08-10 08:4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40169"/>
    <n v="0"/>
    <n v="7640169"/>
    <n v="0"/>
    <s v="Realizar los trabajos de campo de Intensificación de la recta Tabatinga-Apaporis en el lugar que se defina en la presente conferencia mixta entre el hito 1936-8 y 1936-9, sector donde se han realizado asentamientos humanos en el_x000a_Amazonas"/>
    <s v="67621"/>
    <s v="129021, 129121, 129521"/>
    <s v="444321, 444421, 445521"/>
    <s v="538821, 538921, 540421"/>
    <s v="198623321, 198623921, 198909321"/>
    <s v="-0"/>
    <x v="0"/>
    <x v="3"/>
  </r>
  <r>
    <s v="63021"/>
    <s v="2021-08-10 00:00:00"/>
    <s v="2021-08-10 08:48:00"/>
    <s v="Gasto"/>
    <s v="Con Compromiso"/>
    <s v="0300"/>
    <x v="0"/>
    <x v="4"/>
    <s v="ADQUISICIÓN DE BIENES Y SERVICIOS - SERVICIOS DE INFORMACIÓN GEODÉSICA ACTUALIZADO - LEVANTAMIENTO , GENERACIÓN Y ACTUALIZACIÓN DE LA RED GEODÉSICA Y LA CARTOGRAFÍA BÁSICA A NIVEL   NACIONAL"/>
    <s v="Nación"/>
    <x v="0"/>
    <s v="CSF"/>
    <n v="4327106"/>
    <n v="0"/>
    <n v="4327106"/>
    <n v="0"/>
    <s v="Realizar la exploración de sitios aptos para estaciones de funcionamiento continuo GNSS de la red geodésica activa magna en trinidad Casanare y mantenimiento de una estación de funcionamiento continúo de la red magna en_x000a_Garagoa en el departamento de"/>
    <s v="67821"/>
    <s v="129921, 130221"/>
    <s v="448521, 448621"/>
    <s v="543221, 543521"/>
    <s v="200900021, 200901721"/>
    <s v="-0"/>
    <x v="0"/>
    <x v="3"/>
  </r>
  <r>
    <s v="63121"/>
    <s v="2021-08-10 00:00:00"/>
    <s v="2021-08-10 08:55:00"/>
    <s v="Gasto"/>
    <s v="Con Compromiso"/>
    <s v="0300"/>
    <x v="0"/>
    <x v="4"/>
    <s v="ADQUISICIÓN DE BIENES Y SERVICIOS - SERVICIOS DE INFORMACIÓN GEODÉSICA ACTUALIZADO - LEVANTAMIENTO , GENERACIÓN Y ACTUALIZACIÓN DE LA RED GEODÉSICA Y LA CARTOGRAFÍA BÁSICA A NIVEL   NACIONAL"/>
    <s v="Nación"/>
    <x v="0"/>
    <s v="CSF"/>
    <n v="5571222"/>
    <n v="0"/>
    <n v="5571222"/>
    <n v="0"/>
    <s v="Realizar exploración de sitios aptos para estaciones de GNSS de la red geodésica activa magna, en mesetas y san luis de cubarral en el meta y mantenimiento correctivo de una estación de funcionamiento continúo de la red magna_x000a_en santa rosalía en el V"/>
    <s v="67721"/>
    <s v="130021, 130121"/>
    <s v="448321, 448421"/>
    <s v="543321, 543421"/>
    <s v="200900721, 200901421"/>
    <s v="-0"/>
    <x v="0"/>
    <x v="3"/>
  </r>
  <r>
    <s v="63221"/>
    <s v="2021-08-10 00:00:00"/>
    <s v="2021-08-10 09:15:00"/>
    <s v="Gasto"/>
    <s v="Con Compromiso"/>
    <s v="0300"/>
    <x v="0"/>
    <x v="4"/>
    <s v="ADQUISICIÓN DE BIENES Y SERVICIOS - SERVICIOS DE INFORMACIÓN GEODÉSICA ACTUALIZADO - LEVANTAMIENTO , GENERACIÓN Y ACTUALIZACIÓN DE LA RED GEODÉSICA Y LA CARTOGRAFÍA BÁSICA A NIVEL   NACIONAL"/>
    <s v="Propios"/>
    <x v="1"/>
    <s v="CSF"/>
    <n v="10180038"/>
    <n v="0"/>
    <n v="10180038"/>
    <n v="0"/>
    <s v="REALIZAR LA TOMA DE OBSERVACIONES GRAVIMÉTRICAS DE LA RED DE GRAVEDAD RELATIVA DE PRIMER ORDEN (IGAC-OSU) EN SANTAMARTA EN MAGDALENA, BARRANQUILLA EN ATLANTICO, CARTAGENA_x000a_EN BOLIVAR, OVEJAS, SINCELEJO EN SUCRE, MONTERÍA EN CORDOBA, CAUCASIA, YARUMAL"/>
    <s v="67521"/>
    <s v="128921, 129221"/>
    <s v="443721, 444221"/>
    <s v="538621, 538721"/>
    <s v="198623021, 198651121"/>
    <s v="-0"/>
    <x v="0"/>
    <x v="3"/>
  </r>
  <r>
    <s v="63421"/>
    <s v="2021-08-10 00:00:00"/>
    <s v="2021-08-10 15:34:00"/>
    <s v="Gasto"/>
    <s v="Generad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29858544"/>
    <n v="0"/>
    <n v="29858544"/>
    <n v="29858544"/>
    <s v="Prestación de servicios profesionales para realizar seguimiento y control a la gestión de los procesos de la Subdirección de Agrología."/>
    <s v="65321"/>
    <s v="-0"/>
    <s v="-0"/>
    <s v="-0"/>
    <s v="-0"/>
    <s v="-0"/>
    <x v="0"/>
    <x v="5"/>
  </r>
  <r>
    <s v="63521"/>
    <s v="2021-08-12 00:00:00"/>
    <s v="2021-08-12 16:45:00"/>
    <s v="Gasto"/>
    <s v="Con Compromiso"/>
    <s v="0300"/>
    <x v="0"/>
    <x v="12"/>
    <s v="ADQUISICIÓN DE BIENES Y SERVICIOS - SERVICIO DE INFORMACIÓN CARTOGRÁFICA ACTUALIZADO - LEVANTAMIENTO , GENERACIÓN Y ACTUALIZACIÓN DE LA RED GEODÉSICA Y LA CARTOGRAFÍA BÁSICA A NIVEL   NACIONAL"/>
    <s v="Nación"/>
    <x v="0"/>
    <s v="CSF"/>
    <n v="12659187"/>
    <n v="0"/>
    <n v="12659187"/>
    <n v="0"/>
    <s v="REALIZAR TRABAJOS DE AEROFOTOGRAFIA CON AERONAVES NO TRIPULADAS TIPO DRON EN LAS CABECERAS MUNICIPALES Y LOS RESPECTIVOS CENTROS POBLADOS DE LOS MUNICIPIOS DE AGUA DE_x000a_DIOS, ALBÁN, ARBELAEZ, BITUIMA, CABRERA, CACHIPAY, EL COLEGIO, GRANADA, GUAYABLA D"/>
    <s v="68021"/>
    <s v="130321, 130421"/>
    <s v="448721, 448821"/>
    <s v="543621, 543721"/>
    <s v="200903821, 200904521"/>
    <s v="-0"/>
    <x v="0"/>
    <x v="3"/>
  </r>
  <r>
    <s v="63821"/>
    <s v="2021-08-19 00:00:00"/>
    <s v="2021-08-19 07:36: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11576426"/>
    <n v="0"/>
    <n v="11576426"/>
    <n v="0"/>
    <s v="Prestación de servicios para apoyar la implementación de productos digitales asociados a los procesos geográficos, geodésicos y cartográficos."/>
    <s v="69021"/>
    <s v="133221"/>
    <s v="-0"/>
    <s v="-0"/>
    <s v="-0"/>
    <s v="-0"/>
    <x v="0"/>
    <x v="3"/>
  </r>
  <r>
    <s v="63921"/>
    <s v="2021-08-19 00:00:00"/>
    <s v="2021-08-19 07:38: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24950436"/>
    <n v="0"/>
    <n v="24950436"/>
    <n v="0"/>
    <s v="Prestación de servicios para la implementación de contenidos e interfaces de los productos digitales asociados a los procesos geográficos, geodésicos y cartográficos."/>
    <s v="69221"/>
    <s v="133621"/>
    <s v="-0"/>
    <s v="-0"/>
    <s v="-0"/>
    <s v="-0"/>
    <x v="0"/>
    <x v="3"/>
  </r>
  <r>
    <s v="64021"/>
    <s v="2021-08-19 00:00:00"/>
    <s v="2021-08-19 07:45:00"/>
    <s v="Gasto"/>
    <s v="Con Compromiso"/>
    <s v="0500"/>
    <x v="0"/>
    <x v="1"/>
    <s v="ADQUISICIÓN DE BIENES Y SERVICIOS - SERVICIO DE INFORMACIÓN CATASTRAL - ACTUALIZACIÓN  Y GESTIÓN CATASTRAL  NACIONAL"/>
    <s v="Nación"/>
    <x v="0"/>
    <s v="CSF"/>
    <n v="46062344"/>
    <n v="0"/>
    <n v="46062344"/>
    <n v="0"/>
    <s v="Prestación de servicios profesionales para la consolidación y análisis de la información catastral en su componente geográfico de los municipios jurisdicción del IGAC."/>
    <s v="68221"/>
    <s v="136321, 136421"/>
    <s v="-0"/>
    <s v="-0"/>
    <s v="-0"/>
    <s v="-0"/>
    <x v="0"/>
    <x v="1"/>
  </r>
  <r>
    <s v="64121"/>
    <s v="2021-08-19 00:00:00"/>
    <s v="2021-08-19 07:47:00"/>
    <s v="Gasto"/>
    <s v="Con Compromiso"/>
    <s v="0500"/>
    <x v="0"/>
    <x v="1"/>
    <s v="ADQUISICIÓN DE BIENES Y SERVICIOS - SERVICIO DE INFORMACIÓN CATASTRAL - ACTUALIZACIÓN  Y GESTIÓN CATASTRAL  NACIONAL"/>
    <s v="Nación"/>
    <x v="0"/>
    <s v="CSF"/>
    <n v="19905696"/>
    <n v="0"/>
    <n v="19905696"/>
    <n v="0"/>
    <s v="Prestación de servicios profesionales para la consolidación, análisis y trazabilidad de la información catastral en su componente alfanumérico de los municipios jurisdicción del IGAC"/>
    <s v="68321"/>
    <s v="136221"/>
    <s v="-0"/>
    <s v="-0"/>
    <s v="-0"/>
    <s v="-0"/>
    <x v="0"/>
    <x v="1"/>
  </r>
  <r>
    <s v="64221"/>
    <s v="2021-08-19 00:00:00"/>
    <s v="2021-08-19 07:50:00"/>
    <s v="Gasto"/>
    <s v="Con Compromiso"/>
    <s v="0500"/>
    <x v="0"/>
    <x v="1"/>
    <s v="ADQUISICIÓN DE BIENES Y SERVICIOS - SERVICIO DE INFORMACIÓN CATASTRAL - ACTUALIZACIÓN  Y GESTIÓN CATASTRAL  NACIONAL"/>
    <s v="Nación"/>
    <x v="0"/>
    <s v="CSF"/>
    <n v="19905696"/>
    <n v="0"/>
    <n v="19905696"/>
    <n v="0"/>
    <s v="Prestación de servicios profesionales para apoyar las actividades que correspondan en la administración de la información catastral en su componente geográfico mediante el uso de tecnologías de sistemas de información geográfica en los municipios jur"/>
    <s v="68421"/>
    <s v="139321"/>
    <s v="-0"/>
    <s v="-0"/>
    <s v="-0"/>
    <s v="-0"/>
    <x v="0"/>
    <x v="1"/>
  </r>
  <r>
    <s v="64321"/>
    <s v="2021-08-19 00:00:00"/>
    <s v="2021-08-19 07:51:00"/>
    <s v="Gasto"/>
    <s v="Con Compromiso"/>
    <s v="0500"/>
    <x v="0"/>
    <x v="1"/>
    <s v="ADQUISICIÓN DE BIENES Y SERVICIOS - SERVICIO DE INFORMACIÓN CATASTRAL - ACTUALIZACIÓN  Y GESTIÓN CATASTRAL  NACIONAL"/>
    <s v="Nación"/>
    <x v="0"/>
    <s v="CSF"/>
    <n v="10685932"/>
    <n v="0"/>
    <n v="10685932"/>
    <n v="0"/>
    <s v="Prestación de servicios para la actualización y elaboración de productos a partir de la información catastral en su componente alfanumérico de los municipios jurisdicción del IGAC."/>
    <s v="68521"/>
    <s v="139221"/>
    <s v="-0"/>
    <s v="-0"/>
    <s v="-0"/>
    <s v="-0"/>
    <x v="0"/>
    <x v="1"/>
  </r>
  <r>
    <s v="64421"/>
    <s v="2021-08-19 00:00:00"/>
    <s v="2021-08-19 07:52:00"/>
    <s v="Gasto"/>
    <s v="Con Compromiso"/>
    <s v="0500"/>
    <x v="0"/>
    <x v="1"/>
    <s v="ADQUISICIÓN DE BIENES Y SERVICIOS - SERVICIO DE INFORMACIÓN CATASTRAL - ACTUALIZACIÓN  Y GESTIÓN CATASTRAL  NACIONAL"/>
    <s v="Nación"/>
    <x v="0"/>
    <s v="CSF"/>
    <n v="10685932"/>
    <n v="0"/>
    <n v="10685932"/>
    <n v="0"/>
    <s v="Prestación de servicios de apoyo a la gestión desarrollada en el proyecto de actualización catastral con enfoque multipropósito"/>
    <s v="68721"/>
    <s v="136621"/>
    <s v="-0"/>
    <s v="-0"/>
    <s v="-0"/>
    <s v="-0"/>
    <x v="0"/>
    <x v="1"/>
  </r>
  <r>
    <s v="64521"/>
    <s v="2021-08-19 00:00:00"/>
    <s v="2021-08-19 15:1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10786527"/>
    <n v="0"/>
    <n v="10786527"/>
    <n v="10786527"/>
    <s v="Prestación de servicios profesionales para realizar el análisis y documentación de información asociada a los límites de las entidades Territoriales"/>
    <s v="69821"/>
    <s v="-0"/>
    <s v="-0"/>
    <s v="-0"/>
    <s v="-0"/>
    <s v="-0"/>
    <x v="0"/>
    <x v="3"/>
  </r>
  <r>
    <s v="64621"/>
    <s v="2021-08-19 00:00:00"/>
    <s v="2021-08-19 15:14: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1573053"/>
    <n v="0"/>
    <n v="21573053"/>
    <n v="21573053"/>
    <s v="Prestación de servicios para gestionar y consolidar información geográfica requerida para los proyectos asignados."/>
    <s v="69721"/>
    <s v="-0"/>
    <s v="-0"/>
    <s v="-0"/>
    <s v="-0"/>
    <s v="-0"/>
    <x v="0"/>
    <x v="3"/>
  </r>
  <r>
    <s v="64721"/>
    <s v="2021-08-19 00:00:00"/>
    <s v="2021-08-19 15:15: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0481370"/>
    <n v="0"/>
    <n v="20481370"/>
    <n v="20481370"/>
    <s v="Prestación de servicios para elaborar la cartografía temática requerida en los proyectos asignados, de conformidad con los lineamientos técnicos."/>
    <s v="69621"/>
    <s v="-0"/>
    <s v="-0"/>
    <s v="-0"/>
    <s v="-0"/>
    <s v="-0"/>
    <x v="0"/>
    <x v="3"/>
  </r>
  <r>
    <s v="64821"/>
    <s v="2021-08-19 00:00:00"/>
    <s v="2021-08-19 15:20:00"/>
    <s v="Gasto"/>
    <s v="Con Compromiso"/>
    <s v="0300"/>
    <x v="0"/>
    <x v="4"/>
    <s v="ADQUISICIÓN DE BIENES Y SERVICIOS - SERVICIOS DE INFORMACIÓN GEODÉSICA ACTUALIZADO - LEVANTAMIENTO , GENERACIÓN Y ACTUALIZACIÓN DE LA RED GEODÉSICA Y LA CARTOGRAFÍA BÁSICA A NIVEL   NACIONAL"/>
    <s v="Nación"/>
    <x v="0"/>
    <s v="CSF"/>
    <n v="2910663"/>
    <n v="0"/>
    <n v="2910663"/>
    <n v="0"/>
    <s v="Realizar la toma de observaciones del campo magnético de la tierra en el Observatorio Geomagnético Nacional de Colombia ubicado en la isla El Santuario de Fúquene en el municipio de Ráquira del departamento de Boyacá."/>
    <s v="69521"/>
    <s v="132421, 132521"/>
    <s v="464621, 464721"/>
    <s v="556621, 556721"/>
    <s v="210804721, 210810721"/>
    <s v="-0"/>
    <x v="0"/>
    <x v="3"/>
  </r>
  <r>
    <s v="65221"/>
    <s v="2021-08-23 00:00:00"/>
    <s v="2021-08-23 19:29: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233743"/>
    <n v="0"/>
    <n v="1233743"/>
    <n v="493497"/>
    <s v="Realizar trabajos de campo de identificación y georreferenciación de islas en el río Meta internacional"/>
    <s v="70021"/>
    <s v="133121"/>
    <s v="479621"/>
    <s v="568921"/>
    <s v="213667121"/>
    <s v="-0"/>
    <x v="0"/>
    <x v="3"/>
  </r>
  <r>
    <s v="65321"/>
    <s v="2021-08-23 00:00:00"/>
    <s v="2021-08-23 19:32:00"/>
    <s v="Gasto"/>
    <s v="Con Compromiso"/>
    <s v="0300"/>
    <x v="0"/>
    <x v="12"/>
    <s v="ADQUISICIÓN DE BIENES Y SERVICIOS - SERVICIO DE INFORMACIÓN CARTOGRÁFICA ACTUALIZADO - LEVANTAMIENTO , GENERACIÓN Y ACTUALIZACIÓN DE LA RED GEODÉSICA Y LA CARTOGRAFÍA BÁSICA A NIVEL   NACIONAL"/>
    <s v="Nación"/>
    <x v="0"/>
    <s v="CSF"/>
    <n v="583778"/>
    <n v="13672"/>
    <n v="597450"/>
    <n v="0"/>
    <s v="PARTICIPACIÓN JORNADA DE ATENCIÓN DESCENTRALIZADA EN EL MARCO DEL RETORNO VEREDA LA ALEMANIA DEL DEPARTAMENTO DE SUCRE (GESTIÓN LÍMITE ENTRE LOS MUNICIPIOS DE OVEJAS Y_x000a_CHALÁN)"/>
    <s v="70321"/>
    <s v="134821"/>
    <s v="489821"/>
    <s v="578421"/>
    <s v="217636321"/>
    <s v="-0"/>
    <x v="0"/>
    <x v="3"/>
  </r>
  <r>
    <s v="65421"/>
    <s v="2021-08-25 00:00:00"/>
    <s v="2021-08-25 14:09:00"/>
    <s v="Gasto"/>
    <s v="Con Compromiso"/>
    <s v="0510"/>
    <x v="0"/>
    <x v="16"/>
    <s v="ADQUISICIÓN DE BIENES Y SERVICIOS - SERVICIO DE AVALÚOS - ACTUALIZACIÓN  Y GESTIÓN CATASTRAL  NACIONAL"/>
    <s v="Propios"/>
    <x v="1"/>
    <s v="CSF"/>
    <n v="10685932"/>
    <n v="0"/>
    <n v="10685932"/>
    <n v="0"/>
    <s v="Prestación de servicios para realizar actividades de gestión derivada de los contratos que tiene a cargo la Dirección de Gestión Catastral en materia de Avalúos"/>
    <s v="68621"/>
    <s v="136121"/>
    <s v="-0"/>
    <s v="-0"/>
    <s v="-0"/>
    <s v="-0"/>
    <x v="0"/>
    <x v="6"/>
  </r>
  <r>
    <s v="65521"/>
    <s v="2021-08-25 00:00:00"/>
    <s v="2021-08-25 14:10:00"/>
    <s v="Gasto"/>
    <s v="Con Compromiso"/>
    <s v="0500"/>
    <x v="0"/>
    <x v="1"/>
    <s v="ADQUISICIÓN DE BIENES Y SERVICIOS - SERVICIO DE INFORMACIÓN CATASTRAL - ACTUALIZACIÓN  Y GESTIÓN CATASTRAL  NACIONAL"/>
    <s v="Propios"/>
    <x v="1"/>
    <s v="CSF"/>
    <n v="57978064"/>
    <n v="0"/>
    <n v="57978064"/>
    <n v="1740"/>
    <s v="Prestación de servicios profesionales para establecer actividades de seguimiento, planeación y control de los proyectos de la Actualización y Gestión Catastral Nacional multipropósito adelantados por el IGAC."/>
    <s v="68821"/>
    <s v="136021"/>
    <s v="-0"/>
    <s v="-0"/>
    <s v="-0"/>
    <s v="-0"/>
    <x v="0"/>
    <x v="1"/>
  </r>
  <r>
    <s v="65621"/>
    <s v="2021-08-25 00:00:00"/>
    <s v="2021-08-25 14:11:00"/>
    <s v="Gasto"/>
    <s v="Generado"/>
    <s v="0500"/>
    <x v="0"/>
    <x v="1"/>
    <s v="ADQUISICIÓN DE BIENES Y SERVICIOS - SERVICIO DE INFORMACIÓN CATASTRAL - ACTUALIZACIÓN  Y GESTIÓN CATASTRAL  NACIONAL"/>
    <s v="Propios"/>
    <x v="1"/>
    <s v="CSF"/>
    <n v="39461136"/>
    <n v="0"/>
    <n v="39461136"/>
    <n v="39461136"/>
    <s v="Prestación de servicios profesionales para realizar el seguimiento, control y planeación de los proyectos de gestión catastral y procedimientos con enfoque multipropósito a cargo del IGAC"/>
    <s v="68921"/>
    <s v="-0"/>
    <s v="-0"/>
    <s v="-0"/>
    <s v="-0"/>
    <s v="-0"/>
    <x v="0"/>
    <x v="1"/>
  </r>
  <r>
    <s v="65821"/>
    <s v="2021-08-26 00:00:00"/>
    <s v="2021-08-26 15:15:00"/>
    <s v="Gasto"/>
    <s v="Con Compromiso"/>
    <s v="0300"/>
    <x v="0"/>
    <x v="4"/>
    <s v="ADQUISICIÓN DE BIENES Y SERVICIOS - SERVICIOS DE INFORMACIÓN GEODÉSICA ACTUALIZADO - LEVANTAMIENTO , GENERACIÓN Y ACTUALIZACIÓN DE LA RED GEODÉSICA Y LA CARTOGRAFÍA BÁSICA A NIVEL   NACIONAL"/>
    <s v="Nación"/>
    <x v="0"/>
    <s v="CSF"/>
    <n v="9881938"/>
    <n v="595000"/>
    <n v="10476938"/>
    <n v="595000"/>
    <s v="Realizar la materialización de una estación CORS en el municipio de Tibú en Norte de Santander"/>
    <s v="70521"/>
    <s v="139521, 140221, 140821"/>
    <s v="508321, 513021, 513821"/>
    <s v="601121, 605821, 606321"/>
    <s v="224500421, 226329921, 226365921"/>
    <s v="-0"/>
    <x v="0"/>
    <x v="3"/>
  </r>
  <r>
    <s v="66021"/>
    <s v="2021-08-30 00:00:00"/>
    <s v="2021-08-30 14:40:00"/>
    <s v="Gasto"/>
    <s v="Generado"/>
    <s v="0500"/>
    <x v="0"/>
    <x v="1"/>
    <s v="ADQUISICIÓN DE BIENES Y SERVICIOS - SERVICIO DE INFORMACIÓN CATASTRAL - ACTUALIZACIÓN  Y GESTIÓN CATASTRAL  NACIONAL"/>
    <s v="Nación"/>
    <x v="0"/>
    <s v="CSF"/>
    <n v="49995712"/>
    <n v="0"/>
    <n v="49995712"/>
    <n v="49995712"/>
    <s v="Prestación de servicios personales para realizar actividades de reconocimiento predial en el proceso de actualización catastra multiproposito en el municipio de Rioblanco - Tolima"/>
    <s v="72421"/>
    <s v="-0"/>
    <s v="-0"/>
    <s v="-0"/>
    <s v="-0"/>
    <s v="-0"/>
    <x v="0"/>
    <x v="1"/>
  </r>
  <r>
    <s v="66121"/>
    <s v="2021-08-30 00:00:00"/>
    <s v="2021-08-30 14:41:00"/>
    <s v="Gasto"/>
    <s v="Generado"/>
    <s v="0500"/>
    <x v="0"/>
    <x v="1"/>
    <s v="ADQUISICIÓN DE BIENES Y SERVICIOS - SERVICIO DE INFORMACIÓN CATASTRAL - ACTUALIZACIÓN  Y GESTIÓN CATASTRAL  NACIONAL"/>
    <s v="Nación"/>
    <x v="0"/>
    <s v="CSF"/>
    <n v="14420000"/>
    <n v="0"/>
    <n v="14420000"/>
    <n v="14420000"/>
    <s v="Prestación de servicios técnicos de apoyo al seguimiento, planeación y gestión del reconocimiento predial en el proceso de actualización catastral multiproposito en el municipio de RioBlanco - Tolima"/>
    <s v="72521"/>
    <s v="-0"/>
    <s v="-0"/>
    <s v="-0"/>
    <s v="-0"/>
    <s v="-0"/>
    <x v="0"/>
    <x v="1"/>
  </r>
  <r>
    <s v="66221"/>
    <s v="2021-08-30 00:00:00"/>
    <s v="2021-08-30 14:42:00"/>
    <s v="Gasto"/>
    <s v="Generado"/>
    <s v="0500"/>
    <x v="0"/>
    <x v="1"/>
    <s v="ADQUISICIÓN DE BIENES Y SERVICIOS - SERVICIO DE INFORMACIÓN CATASTRAL - ACTUALIZACIÓN  Y GESTIÓN CATASTRAL  NACIONAL"/>
    <s v="Nación"/>
    <x v="0"/>
    <s v="CSF"/>
    <n v="23031172"/>
    <n v="0"/>
    <n v="23031172"/>
    <n v="23031172"/>
    <s v="Prestación de servicios profesionales para adelantar la implementación de la gestión catastral con enfoque multipropósito, el desarrollo de costeo de procesos de actualización y procesos para la implementación de estrategias."/>
    <s v="72621"/>
    <s v="-0"/>
    <s v="-0"/>
    <s v="-0"/>
    <s v="-0"/>
    <s v="-0"/>
    <x v="0"/>
    <x v="1"/>
  </r>
  <r>
    <s v="66321"/>
    <s v="2021-08-30 00:00:00"/>
    <s v="2021-08-30 15:53: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0"/>
    <n v="16910180"/>
    <n v="16910180"/>
    <s v="Prestación de servicios profesionales para desarrollar herramientas asociadas a la transferencia de conocimiento técnico especializado de acuerdos con los requerimientos y necesidades de la Dirección de investigación y_x000a_prospectiva"/>
    <s v="70921"/>
    <s v="-0"/>
    <s v="-0"/>
    <s v="-0"/>
    <s v="-0"/>
    <s v="-0"/>
    <x v="0"/>
    <x v="4"/>
  </r>
  <r>
    <s v="66421"/>
    <s v="2021-08-30 00:00:00"/>
    <s v="2021-08-30 15:54:00"/>
    <s v="Gasto"/>
    <s v="Gener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4929272"/>
    <n v="0"/>
    <n v="14929272"/>
    <n v="14929272"/>
    <s v="Prestación de servicios profesionales para el análisis y levantamiento de requerimientos de los proyectos de desarrollo de aplicaciones en tecnologías de información geográfica a cargo de Dirección de investigación y prospectiva"/>
    <s v="71021"/>
    <s v="-0"/>
    <s v="-0"/>
    <s v="-0"/>
    <s v="-0"/>
    <s v="-0"/>
    <x v="0"/>
    <x v="4"/>
  </r>
  <r>
    <s v="66621"/>
    <s v="2021-08-31 00:00:00"/>
    <s v="2021-08-31 07:23:00"/>
    <s v="Gasto"/>
    <s v="Generado"/>
    <s v="0200"/>
    <x v="0"/>
    <x v="19"/>
    <s v="ADQUISICIÓN DE BIENES Y SERVICIOS - SEDES MANTENIDAS - FORTALECIMIENTO DE LA INFRAESTRUCTURA FÍSICA DEL IGAC A NIVEL  NACIONAL"/>
    <s v="Nación"/>
    <x v="0"/>
    <s v="CSF"/>
    <n v="833000"/>
    <n v="0"/>
    <n v="833000"/>
    <n v="833000"/>
    <s v="Diagnóstico y certificación anual de los sistemas de transporte vertical (ascensores) de la sede central del IGAC"/>
    <s v="73021"/>
    <s v="-0"/>
    <s v="-0"/>
    <s v="-0"/>
    <s v="-0"/>
    <s v="-0"/>
    <x v="0"/>
    <x v="0"/>
  </r>
  <r>
    <s v="66721"/>
    <s v="2021-08-31 00:00:00"/>
    <s v="2021-08-31 10:23:00"/>
    <s v="Gasto"/>
    <s v="Generado"/>
    <s v="0300"/>
    <x v="0"/>
    <x v="4"/>
    <s v="ADQUISICIÓN DE BIENES Y SERVICIOS - SERVICIOS DE INFORMACIÓN GEODÉSICA ACTUALIZADO - LEVANTAMIENTO , GENERACIÓN Y ACTUALIZACIÓN DE LA RED GEODÉSICA Y LA CARTOGRAFÍA BÁSICA A NIVEL   NACIONAL"/>
    <s v="Nación"/>
    <x v="0"/>
    <s v="CSF"/>
    <n v="2057656"/>
    <n v="0"/>
    <n v="2057656"/>
    <n v="2057656"/>
    <s v="REALIZAR MANTENIMIENTO CORRECTIVO DE UNA ESTACIÓN DE FUNCIONAMIENTO CONTINÚO DE LA RED MAGNA-ECO EN EL MUNICIPIO DE PUERTO CARREÑO EN EL DEPARTAMENTO DEL VICHADA"/>
    <s v="72821"/>
    <s v="-0"/>
    <s v="-0"/>
    <s v="-0"/>
    <s v="-0"/>
    <s v="-0"/>
    <x v="0"/>
    <x v="3"/>
  </r>
  <r>
    <s v="66921"/>
    <s v="2021-09-01 00:00:00"/>
    <s v="2021-09-01 07:49:00"/>
    <s v="Gasto"/>
    <s v="Con Compromiso"/>
    <s v="0300"/>
    <x v="0"/>
    <x v="4"/>
    <s v="ADQUISICIÓN DE BIENES Y SERVICIOS - SERVICIOS DE INFORMACIÓN GEODÉSICA ACTUALIZADO - LEVANTAMIENTO , GENERACIÓN Y ACTUALIZACIÓN DE LA RED GEODÉSICA Y LA CARTOGRAFÍA BÁSICA A NIVEL   NACIONAL"/>
    <s v="Nación"/>
    <x v="0"/>
    <s v="CSF"/>
    <n v="37280482"/>
    <n v="0"/>
    <n v="37280482"/>
    <n v="8095416"/>
    <s v="REALIZAR EXPLORACIÓN, MATERIALIZACIÓN Y NIVELACIÓN EN LOS MUNICIPIOS DE LA DORADA EN CALDAS, DORADAL Y PUERTO TRIUNFO EN ANTIOQUIA, VALLEDUPAR Y LA PAZ EN CESAR. LA JAGUA DEL_x000a_PILAR Y URUMITA EN LA GUAJIRA"/>
    <s v="72721"/>
    <s v="140321, 140421, 140521, 140621, 140721, 140921, 141021"/>
    <s v="513221, 513321, 513421, 513521, 513621, 513921, 514021"/>
    <s v="605921, 606021, 606121, 606221, 606421, 606521, 606621"/>
    <s v="226332021, 226338121, 226350321, 226355421, 226356321, 226357621, 226360521"/>
    <s v="-0"/>
    <x v="0"/>
    <x v="3"/>
  </r>
  <r>
    <s v="67021"/>
    <s v="2021-09-01 00:00:00"/>
    <s v="2021-09-01 16:10:00"/>
    <s v="Gasto"/>
    <s v="Generado"/>
    <s v="0500"/>
    <x v="0"/>
    <x v="1"/>
    <s v="ADQUISICIÓN DE BIENES Y SERVICIOS - SERVICIO DE INFORMACIÓN CATASTRAL - ACTUALIZACIÓN  Y GESTIÓN CATASTRAL  NACIONAL"/>
    <s v="Propios"/>
    <x v="1"/>
    <s v="CSF"/>
    <n v="20000000"/>
    <n v="0"/>
    <n v="20000000"/>
    <n v="20000000"/>
    <s v="CAJA MENOR"/>
    <s v="73621"/>
    <s v="-0"/>
    <s v="-0"/>
    <s v="-0"/>
    <s v="-0"/>
    <s v="-0"/>
    <x v="0"/>
    <x v="1"/>
  </r>
  <r>
    <s v="67121"/>
    <s v="2021-09-02 00:00:00"/>
    <s v="2021-09-02 12:03:00"/>
    <s v="Gasto"/>
    <s v="Generado"/>
    <s v="0300"/>
    <x v="0"/>
    <x v="4"/>
    <s v="ADQUISICIÓN DE BIENES Y SERVICIOS - SERVICIOS DE INFORMACIÓN GEODÉSICA ACTUALIZADO - LEVANTAMIENTO , GENERACIÓN Y ACTUALIZACIÓN DE LA RED GEODÉSICA Y LA CARTOGRAFÍA BÁSICA A NIVEL   NACIONAL"/>
    <s v="Nación"/>
    <x v="0"/>
    <s v="CSF"/>
    <n v="2218080"/>
    <n v="0"/>
    <n v="2218080"/>
    <n v="2218080"/>
    <s v="REALIZAR EL MANTENIMIENTO CORRECTIVO DE UNA ESTACIÓN DE FUNCIONAMIENTO CONTINÚO DE LA RED MAGNA-ECO EN BUENAVENTURA EN EL DEPARTAMENTO DEL VALLE DEL CAUCA.."/>
    <s v="72921"/>
    <s v="-0"/>
    <s v="-0"/>
    <s v="-0"/>
    <s v="-0"/>
    <s v="-0"/>
    <x v="0"/>
    <x v="3"/>
  </r>
  <r>
    <s v="67321"/>
    <s v="2021-09-03 00:00:00"/>
    <s v="2021-09-03 14:57:00"/>
    <s v="Gasto"/>
    <s v="Generado"/>
    <s v="0500"/>
    <x v="0"/>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San Carlos - Cordoba"/>
    <s v="71321"/>
    <s v="-0"/>
    <s v="-0"/>
    <s v="-0"/>
    <s v="-0"/>
    <s v="-0"/>
    <x v="0"/>
    <x v="1"/>
  </r>
  <r>
    <s v="67421"/>
    <s v="2021-09-03 00:00:00"/>
    <s v="2021-09-03 14:58:00"/>
    <s v="Gasto"/>
    <s v="Generado"/>
    <s v="0500"/>
    <x v="0"/>
    <x v="1"/>
    <s v="ADQUISICIÓN DE BIENES Y SERVICIOS - SERVICIO DE INFORMACIÓN CATASTRAL - ACTUALIZACIÓN  Y GESTIÓN CATASTRAL  NACIONAL"/>
    <s v="Propios"/>
    <x v="1"/>
    <s v="CSF"/>
    <n v="37496784"/>
    <n v="0"/>
    <n v="37496784"/>
    <n v="37496784"/>
    <s v="Prestación de servicios personales para realizar actividades de reconocimiento predial en el proceso de actualización catastro multiproposito en el municipio de San Carlos - Cordoba"/>
    <s v="71421"/>
    <s v="-0"/>
    <s v="-0"/>
    <s v="-0"/>
    <s v="-0"/>
    <s v="-0"/>
    <x v="0"/>
    <x v="1"/>
  </r>
  <r>
    <s v="67521"/>
    <s v="2021-09-03 00:00:00"/>
    <s v="2021-09-03 14:59:00"/>
    <s v="Gasto"/>
    <s v="Generado"/>
    <s v="0500"/>
    <x v="0"/>
    <x v="1"/>
    <s v="ADQUISICIÓN DE BIENES Y SERVICIOS - SERVICIO DE INFORMACIÓN CATASTRAL - ACTUALIZACIÓN  Y GESTIÓN CATASTRAL  NACIONAL"/>
    <s v="Propios"/>
    <x v="1"/>
    <s v="CSF"/>
    <n v="11330000"/>
    <n v="0"/>
    <n v="11330000"/>
    <n v="11330000"/>
    <s v="Prestación de servicios de apoyo a la gestión reconocedor predial y atención de requerimientos administrativos y judiciales en el proceso de actualización catastral multiproposito en el municipio de San Carlos - Cordoba"/>
    <s v="71521"/>
    <s v="-0"/>
    <s v="-0"/>
    <s v="-0"/>
    <s v="-0"/>
    <s v="-0"/>
    <x v="0"/>
    <x v="1"/>
  </r>
  <r>
    <s v="67621"/>
    <s v="2021-09-03 00:00:00"/>
    <s v="2021-09-03 15:01:00"/>
    <s v="Gasto"/>
    <s v="Generado"/>
    <s v="0500"/>
    <x v="0"/>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osito en el municipio de San Carlos - Cordoba"/>
    <s v="71621"/>
    <s v="-0"/>
    <s v="-0"/>
    <s v="-0"/>
    <s v="-0"/>
    <s v="-0"/>
    <x v="0"/>
    <x v="1"/>
  </r>
  <r>
    <s v="67721"/>
    <s v="2021-09-03 00:00:00"/>
    <s v="2021-09-03 15:03:00"/>
    <s v="Gasto"/>
    <s v="Generado"/>
    <s v="0500"/>
    <x v="0"/>
    <x v="1"/>
    <s v="ADQUISICIÓN DE BIENES Y SERVICIOS - SERVICIO DE INFORMACIÓN CATASTRAL - ACTUALIZACIÓN  Y GESTIÓN CATASTRAL  NACIONAL"/>
    <s v="Propios"/>
    <x v="1"/>
    <s v="CSF"/>
    <n v="14420000"/>
    <n v="0"/>
    <n v="14420000"/>
    <n v="14420000"/>
    <s v="Prestación de servicios técnicos de apoyo al seguimiento, planeación y gestión del reconocimiento predial en el proceso de actualización catastral multiproposito en el municipio de San Carlos - Cordoba"/>
    <s v="71721"/>
    <s v="-0"/>
    <s v="-0"/>
    <s v="-0"/>
    <s v="-0"/>
    <s v="-0"/>
    <x v="0"/>
    <x v="1"/>
  </r>
  <r>
    <s v="67821"/>
    <s v="2021-09-03 00:00:00"/>
    <s v="2021-09-03 15:05:00"/>
    <s v="Gasto"/>
    <s v="Generado"/>
    <s v="0500"/>
    <x v="0"/>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osito en el municipio de San Carlos - Cordoba"/>
    <s v="71821"/>
    <s v="-0"/>
    <s v="-0"/>
    <s v="-0"/>
    <s v="-0"/>
    <s v="-0"/>
    <x v="0"/>
    <x v="1"/>
  </r>
  <r>
    <s v="67921"/>
    <s v="2021-09-03 00:00:00"/>
    <s v="2021-09-03 15:07:00"/>
    <s v="Gasto"/>
    <s v="Generado"/>
    <s v="0500"/>
    <x v="0"/>
    <x v="1"/>
    <s v="ADQUISICIÓN DE BIENES Y SERVICIOS - SERVICIO DE INFORMACIÓN CATASTRAL - ACTUALIZACIÓN  Y GESTIÓN CATASTRAL  NACIONAL"/>
    <s v="Propios"/>
    <x v="1"/>
    <s v="CSF"/>
    <n v="10685932"/>
    <n v="0"/>
    <n v="10685932"/>
    <n v="10685932"/>
    <s v="Prestación de servicios personales para realizar actividades de digitalización y generación de productos resultantes del proceso de actualización catastral multiproposito en el municipio de San Carlos - Cordoba"/>
    <s v="71921"/>
    <s v="-0"/>
    <s v="-0"/>
    <s v="-0"/>
    <s v="-0"/>
    <s v="-0"/>
    <x v="0"/>
    <x v="1"/>
  </r>
  <r>
    <s v="68021"/>
    <s v="2021-09-03 00:00:00"/>
    <s v="2021-09-03 15:10:00"/>
    <s v="Gasto"/>
    <s v="Generado"/>
    <s v="0500"/>
    <x v="0"/>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San_x000a_Carlos - Cordoba."/>
    <s v="72021"/>
    <s v="-0"/>
    <s v="-0"/>
    <s v="-0"/>
    <s v="-0"/>
    <s v="-0"/>
    <x v="0"/>
    <x v="1"/>
  </r>
  <r>
    <s v="68121"/>
    <s v="2021-09-03 00:00:00"/>
    <s v="2021-09-03 15:11:00"/>
    <s v="Gasto"/>
    <s v="Generado"/>
    <s v="0500"/>
    <x v="0"/>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San Carlos - Cordoba"/>
    <s v="72121"/>
    <s v="-0"/>
    <s v="-0"/>
    <s v="-0"/>
    <s v="-0"/>
    <s v="-0"/>
    <x v="0"/>
    <x v="1"/>
  </r>
  <r>
    <s v="68221"/>
    <s v="2021-09-03 00:00:00"/>
    <s v="2021-09-03 15:13:00"/>
    <s v="Gasto"/>
    <s v="Generado"/>
    <s v="0500"/>
    <x v="0"/>
    <x v="1"/>
    <s v="ADQUISICIÓN DE BIENES Y SERVICIOS - SERVICIO DE INFORMACIÓN CATASTRAL - ACTUALIZACIÓN  Y GESTIÓN CATASTRAL  NACIONAL"/>
    <s v="Propios"/>
    <x v="1"/>
    <s v="CSF"/>
    <n v="34831904"/>
    <n v="0"/>
    <n v="34831904"/>
    <n v="34831904"/>
    <s v="Prestación de servicios profesionales para el seguimiento y control de las actividades del proyecto de gestión catastral multiproposito en el municipio de Arauquita - Arauca."/>
    <s v="72221"/>
    <s v="-0"/>
    <s v="-0"/>
    <s v="-0"/>
    <s v="-0"/>
    <s v="-0"/>
    <x v="0"/>
    <x v="1"/>
  </r>
  <r>
    <s v="68321"/>
    <s v="2021-09-03 00:00:00"/>
    <s v="2021-09-03 15:15:00"/>
    <s v="Gasto"/>
    <s v="Generado"/>
    <s v="0500"/>
    <x v="0"/>
    <x v="1"/>
    <s v="ADQUISICIÓN DE BIENES Y SERVICIOS - SERVICIO DE INFORMACIÓN CATASTRAL - ACTUALIZACIÓN  Y GESTIÓN CATASTRAL  NACIONAL"/>
    <s v="Propios"/>
    <x v="1"/>
    <s v="CSF"/>
    <n v="11330000"/>
    <n v="0"/>
    <n v="11330000"/>
    <n v="11330000"/>
    <s v="Prestación de servicios profesionales para el seguimiento y control de las actividades del proyecto de gestión catastral multiproposito en el municipio de Arauquita - Arauca."/>
    <s v="72321"/>
    <s v="-0"/>
    <s v="-0"/>
    <s v="-0"/>
    <s v="-0"/>
    <s v="-0"/>
    <x v="0"/>
    <x v="1"/>
  </r>
  <r>
    <s v="68421"/>
    <s v="2021-09-03 00:00:00"/>
    <s v="2021-09-03 15:35:00"/>
    <s v="Gasto"/>
    <s v="Generado"/>
    <s v="0500"/>
    <x v="0"/>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ecnicas de la etapa operativa del proyecto de gestión catastral multiproposito en el municipio de San Carlos - Cordoba"/>
    <s v="71221"/>
    <s v="-0"/>
    <s v="-0"/>
    <s v="-0"/>
    <s v="-0"/>
    <s v="-0"/>
    <x v="0"/>
    <x v="1"/>
  </r>
  <r>
    <s v="621"/>
    <s v="2021-02-01 00:00:00"/>
    <s v="2021-02-01 16:59:00"/>
    <s v="Gasto"/>
    <s v="Con Compromiso"/>
    <s v="0500"/>
    <x v="1"/>
    <x v="1"/>
    <s v="ADQUISICIÓN DE BIENES Y SERVICIOS - SERVICIO DE INFORMACIÓN CATASTRAL - ACTUALIZACIÓN  Y GESTIÓN CATASTRAL  NACIONAL"/>
    <s v="Nación"/>
    <x v="0"/>
    <s v="CSF"/>
    <n v="11540183"/>
    <n v="0"/>
    <n v="11540183"/>
    <n v="0"/>
    <s v="PRESTACION DE SERVICIOS DE APOYO A LA GESTION DESARROLLADA EN LOS PROCESOS CATASTRALES EN LA TERRITORIAL ATLANTICO"/>
    <s v="621"/>
    <s v="1221"/>
    <s v="1121"/>
    <s v="11321, 16821, 18921, 21521, 24721, 26021, 28121"/>
    <s v="57952121, 75803721, 99078421, 119894621, 146041121, 175474521, 190785321"/>
    <s v="-0"/>
    <x v="0"/>
    <x v="1"/>
  </r>
  <r>
    <s v="721"/>
    <s v="2021-02-01 00:00:00"/>
    <s v="2021-02-01 17:03:00"/>
    <s v="Gasto"/>
    <s v="Con Compromiso"/>
    <s v="0500"/>
    <x v="1"/>
    <x v="1"/>
    <s v="ADQUISICIÓN DE BIENES Y SERVICIOS - SERVICIO DE INFORMACIÓN CATASTRAL - ACTUALIZACIÓN  Y GESTIÓN CATASTRAL  NACIONAL"/>
    <s v="Nación"/>
    <x v="0"/>
    <s v="CSF"/>
    <n v="23080365"/>
    <n v="0"/>
    <n v="23080365"/>
    <n v="0"/>
    <s v="PRESTACION DE SERVICIOS DE APOYO EN LA GESTION DE APOYO EN LA VENTANILLA PARA LA ATENCION AL PUBLICO EN LOS PROCESOS CATASTRALES DE LA DIRECCION TERRITORIAL ATLANTICO"/>
    <s v="721"/>
    <s v="1321, 1421"/>
    <s v="1221, 1321"/>
    <s v="11421, 11521, 16921, 17021, 19021, 19121, 21621, 21721, 24821, 24921, 25721, 27621, 28221, 28321, 28421"/>
    <s v="57954221, 57959621, 75807621, 75816121, 99114321, 99216321, 119901921, 121402621, 146051521, 146055621, 172062321, 176583721, 190786221, 192756121, 192756721"/>
    <s v="-0"/>
    <x v="0"/>
    <x v="1"/>
  </r>
  <r>
    <s v="821"/>
    <s v="2021-02-01 00:00:00"/>
    <s v="2021-02-01 17:06:00"/>
    <s v="Gasto"/>
    <s v="Con Compromiso"/>
    <s v="0500"/>
    <x v="1"/>
    <x v="1"/>
    <s v="ADQUISICIÓN DE BIENES Y SERVICIOS - SERVICIO DE INFORMACIÓN CATASTRAL - ACTUALIZACIÓN  Y GESTIÓN CATASTRAL  NACIONAL"/>
    <s v="Nación"/>
    <x v="0"/>
    <s v="CSF"/>
    <n v="18713673"/>
    <n v="0"/>
    <n v="18713673"/>
    <n v="1"/>
    <s v="PRESTACION DE SERVICIOS PERSONALES PARA  REALIZAR ACTIVIDADES DE APOYO OPERATIVO EN LOS PROCESOS CATASTRALES EN LA DIRECCION TERRITORIAL ATLANTICO"/>
    <s v="821"/>
    <s v="2821, 2921"/>
    <s v="3421, 3621"/>
    <s v="19821, 21421, 22521, 22621, 24521, 24621, 27721, 27921, 30921, 31021"/>
    <s v="115698121, 119886421, 136159221, 136160421, 146002921, 146007821, 178574021, 178692121, 216317921, 216318921"/>
    <s v="-0"/>
    <x v="0"/>
    <x v="1"/>
  </r>
  <r>
    <s v="921"/>
    <s v="2021-02-01 00:00:00"/>
    <s v="2021-02-01 17:10:00"/>
    <s v="Gasto"/>
    <s v="Con Compromiso"/>
    <s v="0500"/>
    <x v="1"/>
    <x v="1"/>
    <s v="ADQUISICIÓN DE BIENES Y SERVICIOS - SERVICIO DE INFORMACIÓN CATASTRAL - ACTUALIZACIÓN  Y GESTIÓN CATASTRAL  NACIONAL"/>
    <s v="Nación"/>
    <x v="0"/>
    <s v="CSF"/>
    <n v="51558078"/>
    <n v="0"/>
    <n v="51558078"/>
    <n v="0"/>
    <s v="PRESTACION DE SERVICIOS PERSONALES PARA REALIZAR ACTIVIDADES DE RECONOCIMIENTO  CATASTRAL RURAL Y URBANO PARA LA ATENCION DE TRAMITES EN LOS PROCESOS CATASTRALES DE LA DIRECCION TERRITORIAL ATLANTICO"/>
    <s v="921"/>
    <s v="1821, 1921, 2021"/>
    <s v="3121, 3221, 3321"/>
    <s v="19521, 19621, 19721, 22221, 22321, 22421, 24321, 24421, 25021, 26121, 27821, 28021, 31121, 31221, 31321"/>
    <s v="115689721, 115692921, 115694621, 136151121, 136152721, 136157721, 145982721, 145993221, 149127321, 175482021, 178595821, 179714521, 217943121, 217963321, 217976521"/>
    <s v="-0"/>
    <x v="0"/>
    <x v="1"/>
  </r>
  <r>
    <s v="1021"/>
    <s v="2021-02-02 00:00:00"/>
    <s v="2021-02-02 08:42:00"/>
    <s v="Gasto"/>
    <s v="Con Compromiso"/>
    <s v="0500"/>
    <x v="1"/>
    <x v="1"/>
    <s v="ADQUISICIÓN DE BIENES Y SERVICIOS - SERVICIO DE INFORMACIÓN CATASTRAL - ACTUALIZACIÓN  Y GESTIÓN CATASTRAL  NACIONAL"/>
    <s v="Nación"/>
    <x v="0"/>
    <s v="CSF"/>
    <n v="3990988"/>
    <n v="0"/>
    <n v="3990988"/>
    <n v="2814219"/>
    <s v="VIATICOS Y GASTOS DE COMISION"/>
    <s v="1021"/>
    <s v="2421, 2521, 5921, 8021"/>
    <s v="1421, 1521, 8521"/>
    <s v="16621, 16721, 28721"/>
    <s v="63618721, 63621421, 194368621"/>
    <s v="121"/>
    <x v="0"/>
    <x v="1"/>
  </r>
  <r>
    <s v="3321"/>
    <s v="2021-07-15 00:00:00"/>
    <s v="2021-07-15 15:26:00"/>
    <s v="Gasto"/>
    <s v="Con Compromiso"/>
    <s v="0300"/>
    <x v="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71450"/>
    <n v="0"/>
    <n v="671450"/>
    <n v="0"/>
    <s v="VIATICOS Y GASTO DE COMISION  - CONDUCTOR DE LA T ATLANTICO"/>
    <s v="3721"/>
    <s v="5521"/>
    <s v="6721"/>
    <s v="25821"/>
    <s v="174060521"/>
    <s v="521"/>
    <x v="0"/>
    <x v="3"/>
  </r>
  <r>
    <s v="3721"/>
    <s v="2021-07-30 00:00:00"/>
    <s v="2021-07-30 10:05:00"/>
    <s v="Gasto"/>
    <s v="Con Compromiso"/>
    <s v="0500"/>
    <x v="1"/>
    <x v="1"/>
    <s v="ADQUISICIÓN DE BIENES Y SERVICIOS - SERVICIO DE INFORMACIÓN CATASTRAL - ACTUALIZACIÓN  Y GESTIÓN CATASTRAL  NACIONAL"/>
    <s v="Propios"/>
    <x v="1"/>
    <s v="CSF"/>
    <n v="3468160"/>
    <n v="0"/>
    <n v="3468160"/>
    <n v="420906"/>
    <s v="VALOR PARA VIATISO Y GASTOS DE COMISION A FUNCIONARIOS DE PLANTA DE LA D.T. ATLANTICO"/>
    <s v="4221"/>
    <s v="6221, 6321, 6421, 6521, 6821, 6921, 7021, 7121, 7821, 7921, 8121, 8221"/>
    <s v="8721, 8821, 8921, 9021, 9821, 9921, 10021, 10121"/>
    <s v="28921, 29021, 29121, 29221, 31421, 31521, 31621, 31721"/>
    <s v="207548521, 207551121, 207552921, 207555121, 218160021, 218163521, 218173521, 218178221"/>
    <s v="-0"/>
    <x v="0"/>
    <x v="1"/>
  </r>
  <r>
    <s v="3821"/>
    <s v="2021-08-12 00:00:00"/>
    <s v="2021-08-12 13:21:00"/>
    <s v="Gasto"/>
    <s v="Con Compromiso"/>
    <s v="0500"/>
    <x v="1"/>
    <x v="1"/>
    <s v="ADQUISICIÓN DE BIENES Y SERVICIOS - SERVICIO DE INFORMACIÓN CATASTRAL - ACTUALIZACIÓN  Y GESTIÓN CATASTRAL  NACIONAL"/>
    <s v="Propios"/>
    <x v="1"/>
    <s v="CSF"/>
    <n v="85205006"/>
    <n v="0"/>
    <n v="85205006"/>
    <n v="2884000"/>
    <s v="SE EXPIDE  CDP PARA CONTRATAR AL PERSONAL PARA EL PROGRAMA DE TITULACION EN EL MUNICIPIO DE LURUACO"/>
    <s v="4321"/>
    <s v="7221, 7321, 7421, 7521, 7621, 7721, 8421"/>
    <s v="-0"/>
    <s v="-0"/>
    <s v="-0"/>
    <s v="-0"/>
    <x v="0"/>
    <x v="1"/>
  </r>
  <r>
    <s v="3921"/>
    <s v="2021-08-12 00:00:00"/>
    <s v="2021-08-12 13:33:00"/>
    <s v="Gasto"/>
    <s v="Generado"/>
    <s v="0500"/>
    <x v="1"/>
    <x v="1"/>
    <s v="ADQUISICIÓN DE BIENES Y SERVICIOS - SERVICIO DE INFORMACIÓN CATASTRAL - ACTUALIZACIÓN  Y GESTIÓN CATASTRAL  NACIONAL"/>
    <s v="Propios"/>
    <x v="1"/>
    <s v="CSF"/>
    <n v="20000000"/>
    <n v="0"/>
    <n v="20000000"/>
    <n v="20000000"/>
    <s v="MANTENIMIENTOS DE AIRES ACONDICIONADOS"/>
    <s v="4421"/>
    <s v="-0"/>
    <s v="-0"/>
    <s v="-0"/>
    <s v="-0"/>
    <s v="-0"/>
    <x v="0"/>
    <x v="1"/>
  </r>
  <r>
    <s v="721"/>
    <s v="2021-01-27 00:00:00"/>
    <s v="2021-01-27 16:16:00"/>
    <s v="Gasto"/>
    <s v="Con Compromiso"/>
    <s v="0500"/>
    <x v="2"/>
    <x v="1"/>
    <s v="ADQUISICIÓN DE BIENES Y SERVICIOS - SERVICIO DE INFORMACIÓN CATASTRAL - ACTUALIZACIÓN  Y GESTIÓN CATASTRAL  NACIONAL"/>
    <s v="Nación"/>
    <x v="0"/>
    <s v="CSF"/>
    <n v="55882246"/>
    <n v="-19269740"/>
    <n v="36612506"/>
    <n v="0"/>
    <s v="PRESTACION DE SERVICIOS PERSONALES PARA REALIZAR ACTIVIDADES DE APOYO OPERATIVO EN LOS PROCESOS CATASTRALES EN LA DIRECCION TERRITORIAL BOLIVAR."/>
    <s v="721"/>
    <s v="1221, 1321, 1421, 1521, 1621"/>
    <s v="2221, 2321, 2421, 2521, 3021"/>
    <s v="8821, 8921, 9021, 9121, 9621, 14521, 14621, 14721, 14821, 14921, 15621, 17921, 18021, 18121, 18621, 18721, 21321, 21421, 21521, 21621, 23221, 25221, 25321, 25421, 25521, 25621"/>
    <s v="42395121, 42405021, 42412121, 42427821, 43812421, 73924421, 73924921, 73935221, 73935821, 73936821, 75771821, 101612921, 101622421, 101623621, 102813921, 102818421, 129947421, 129956321, 129958821, 129963221, 136761821, 152941121, 152957921, 152967621, 152971021, 152983221"/>
    <s v="-0"/>
    <x v="0"/>
    <x v="1"/>
  </r>
  <r>
    <s v="821"/>
    <s v="2021-01-27 00:00:00"/>
    <s v="2021-01-27 17:45:00"/>
    <s v="Gasto"/>
    <s v="Con Compromiso"/>
    <s v="0500"/>
    <x v="2"/>
    <x v="1"/>
    <s v="ADQUISICIÓN DE BIENES Y SERVICIOS - SERVICIO DE INFORMACIÓN CATASTRAL - ACTUALIZACIÓN  Y GESTIÓN CATASTRAL  NACIONAL"/>
    <s v="Nación"/>
    <x v="0"/>
    <s v="CSF"/>
    <n v="13784390"/>
    <n v="-4956948"/>
    <n v="8827442"/>
    <n v="0"/>
    <s v="PRESTACION DE SERVICIOS DE APOYO A LA GESTION EN VENTANILLA PARA ATENCION AL PUBLICO EN LOS PROCESOS CATASTRALES DE LA DIRECCION TERRITORIAL BOLIVAR"/>
    <s v="821"/>
    <s v="3221"/>
    <s v="2621"/>
    <s v="9221, 15021, 19221, 22021, 26221"/>
    <s v="42432121, 73940621, 102845921, 130060021, 160123521"/>
    <s v="-0"/>
    <x v="0"/>
    <x v="1"/>
  </r>
  <r>
    <s v="921"/>
    <s v="2021-01-27 00:00:00"/>
    <s v="2021-01-27 17:52:00"/>
    <s v="Gasto"/>
    <s v="Con Compromiso"/>
    <s v="0500"/>
    <x v="2"/>
    <x v="1"/>
    <s v="ADQUISICIÓN DE BIENES Y SERVICIOS - SERVICIO DE INFORMACIÓN CATASTRAL - ACTUALIZACIÓN  Y GESTIÓN CATASTRAL  NACIONAL"/>
    <s v="Nación"/>
    <x v="0"/>
    <s v="CSF"/>
    <n v="35101041"/>
    <n v="-12622543"/>
    <n v="22478498"/>
    <n v="0"/>
    <s v="PRESTACION DE SERVICIOS PERSONALES COMO TECNICO DE APOYO PARA REALIZAR LAS ACTIVIDADES APOYO AL RESPONSABLE DE CONSERVACION CATASTRAL EN LA DIRECCION TERRITORIAL BOLIVAR"/>
    <s v="921"/>
    <s v="1821, 1921"/>
    <s v="2721, 2921"/>
    <s v="9321, 9521, 14221, 15221, 18221, 19421, 21721, 21921, 25821, 25921"/>
    <s v="42437221, 42456021, 73919321, 74565821, 101625021, 104549121, 129990821, 130002921, 153062521, 153067321"/>
    <s v="-0"/>
    <x v="0"/>
    <x v="1"/>
  </r>
  <r>
    <s v="1021"/>
    <s v="2021-01-27 00:00:00"/>
    <s v="2021-01-27 17:59:00"/>
    <s v="Gasto"/>
    <s v="Con Compromiso"/>
    <s v="0500"/>
    <x v="2"/>
    <x v="1"/>
    <s v="ADQUISICIÓN DE BIENES Y SERVICIOS - SERVICIO DE INFORMACIÓN CATASTRAL - ACTUALIZACIÓN  Y GESTIÓN CATASTRAL  NACIONAL"/>
    <s v="Nación"/>
    <x v="0"/>
    <s v="CSF"/>
    <n v="82112688"/>
    <n v="-29528208"/>
    <n v="52584480"/>
    <n v="0"/>
    <s v="PRESTACION DE SERVICIOS PERSONALES PARA REALIZAR ACTIVIDADES DE RECONOCIMIENTO PREDIAL URBANO Y RURAL DE SERVICIOS PERSONALES PARA LA ATENCION DE TRAMITES EN LOS PROCESOS CATASTRALES DE LA TERRITORIAL BOLIVAR"/>
    <s v="1021"/>
    <s v="2421, 2521, 2621, 2721"/>
    <s v="3121, 3221, 3421, 3521"/>
    <s v="9721, 9821, 10021, 10121, 15121, 15321, 15421, 15521, 18521, 19021, 19121, 19321, 22221, 22321, 22421, 23121, 26421, 26621, 26721, 26821"/>
    <s v="46346021, 46348321, 46436421, 46436521, 73948921, 75144521, 75148621, 75151621, 101635621, 102840821, 102843821, 102857421, 130112521, 131216421, 131218721, 134513521, 160129421, 160138521, 160143221, 160160621"/>
    <s v="-0"/>
    <x v="0"/>
    <x v="1"/>
  </r>
  <r>
    <s v="1121"/>
    <s v="2021-01-27 00:00:00"/>
    <s v="2021-01-27 18:02:00"/>
    <s v="Gasto"/>
    <s v="Con Compromiso"/>
    <s v="0500"/>
    <x v="2"/>
    <x v="1"/>
    <s v="ADQUISICIÓN DE BIENES Y SERVICIOS - SERVICIO DE INFORMACIÓN CATASTRAL - ACTUALIZACIÓN  Y GESTIÓN CATASTRAL  NACIONAL"/>
    <s v="Nación"/>
    <x v="0"/>
    <s v="CSF"/>
    <n v="14593000"/>
    <n v="-8745452"/>
    <n v="5847548"/>
    <n v="1896141"/>
    <s v="VIATICOS Y GASTOS PARA CUMPLIR COMISION FUNCIONARIOS"/>
    <s v="1121"/>
    <s v="3321, 3421, 5921, 8721, 10221"/>
    <s v="1721, 1821, 8921, 15921, 17021"/>
    <s v="5121, 5221, 19621, 29221, 30321"/>
    <s v="29308021, 29308921, 107717121, 195089721, 217472821"/>
    <s v="-0"/>
    <x v="0"/>
    <x v="1"/>
  </r>
  <r>
    <s v="1221"/>
    <s v="2021-02-03 00:00:00"/>
    <s v="2021-02-03 14:53:00"/>
    <s v="Gasto"/>
    <s v="Con Compromiso"/>
    <s v="0500"/>
    <x v="2"/>
    <x v="1"/>
    <s v="ADQUISICIÓN DE BIENES Y SERVICIOS - SERVICIO DE INFORMACIÓN CATASTRAL - ACTUALIZACIÓN  Y GESTIÓN CATASTRAL  NACIONAL"/>
    <s v="Nación"/>
    <x v="0"/>
    <s v="CSF"/>
    <n v="35342100"/>
    <n v="0"/>
    <n v="35342100"/>
    <n v="0"/>
    <s v="PRESTACION DE SERVICOS PROFECIONALES PARA APOYAR A LA DIRECCION TERRITORIAL BOLIVAR EN LOS REQUERIMIENTOS DEL TRAMITE ADMINISTRAIVO, JUDICIAL Y EL POSTFALLO DEL PROCESO DE RESTITUCION DE TIERRAS EN EL MARCO DE LA LEY 1448 DE 2011 Y LA POLITICA INTEGR"/>
    <s v="1221"/>
    <s v="3021"/>
    <s v="2821"/>
    <s v="9421, 14421, 18421, 22121, 26321, 29321, 32121"/>
    <s v="42442321, 73923221, 101631121, 130061021, 160125521, 209581021, 226451821"/>
    <s v="-0"/>
    <x v="0"/>
    <x v="1"/>
  </r>
  <r>
    <s v="1321"/>
    <s v="2021-02-03 00:00:00"/>
    <s v="2021-02-03 14:59:00"/>
    <s v="Gasto"/>
    <s v="Con Compromiso"/>
    <s v="0500"/>
    <x v="2"/>
    <x v="1"/>
    <s v="ADQUISICIÓN DE BIENES Y SERVICIOS - SERVICIO DE INFORMACIÓN CATASTRAL - ACTUALIZACIÓN  Y GESTIÓN CATASTRAL  NACIONAL"/>
    <s v="Nación"/>
    <x v="0"/>
    <s v="CSF"/>
    <n v="27500000"/>
    <n v="0"/>
    <n v="27500000"/>
    <n v="0"/>
    <s v="PRESTACION DE SERVICIOS PERSONALES PARA ADELANTAR ACTIVIDADES DE RECONOCIMIENTO PREDIAL URBANO Y RURAL, EN ATENCION A OS REQUERIMIENTOS ADMINISTRATIVOS Y JUDICIALES DEL PROCESO DE RESTITUCION DE TIERRAS EN LA DIRECCION TERRITORIAL BOLIVAR"/>
    <s v="1321"/>
    <s v="3121"/>
    <s v="3321"/>
    <s v="9921, 14321, 18321, 21821, 26521, 29521, 32021"/>
    <s v="46349621, 73922221, 101626121, 129994321, 160130221, 209583921, 226450621"/>
    <s v="-0"/>
    <x v="0"/>
    <x v="1"/>
  </r>
  <r>
    <s v="1421"/>
    <s v="2021-02-03 00:00:00"/>
    <s v="2021-02-03 15:03:00"/>
    <s v="Gasto"/>
    <s v="Generado"/>
    <s v="0500"/>
    <x v="2"/>
    <x v="1"/>
    <s v="ADQUISICIÓN DE BIENES Y SERVICIOS - SERVICIO DE INFORMACIÓN CATASTRAL - ACTUALIZACIÓN  Y GESTIÓN CATASTRAL  NACIONAL"/>
    <s v="Nación"/>
    <x v="0"/>
    <s v="CSF"/>
    <n v="3534059"/>
    <n v="0"/>
    <n v="3534059"/>
    <n v="3534059"/>
    <s v="GASTOS DE MANUTENCION Y ALOJAMIENTO"/>
    <s v="1421"/>
    <s v="-0"/>
    <s v="-0"/>
    <s v="-0"/>
    <s v="-0"/>
    <s v="-0"/>
    <x v="0"/>
    <x v="1"/>
  </r>
  <r>
    <s v="2121"/>
    <s v="2021-04-13 00:00:00"/>
    <s v="2021-04-13 18:16:00"/>
    <s v="Gasto"/>
    <s v="Con Compromiso"/>
    <s v="0500"/>
    <x v="2"/>
    <x v="1"/>
    <s v="ADQUISICIÓN DE BIENES Y SERVICIOS - SERVICIO DE INFORMACIÓN CATASTRAL - ACTUALIZACIÓN  Y GESTIÓN CATASTRAL  NACIONAL"/>
    <s v="Nación"/>
    <x v="0"/>
    <s v="CSF"/>
    <n v="34546758"/>
    <n v="0"/>
    <n v="34546758"/>
    <n v="0"/>
    <s v="ADQUISICION DE BIENES Y SERVICIOS DE INFORMACION,  ACTUALIZACION Y GESTION CATASTRAL NACIONAL"/>
    <s v="2121"/>
    <s v="5421"/>
    <s v="10921"/>
    <s v="22721, 22821, 26121, 30221"/>
    <s v="131676621, 131678321, 160118821, 210879621"/>
    <s v="-0"/>
    <x v="0"/>
    <x v="1"/>
  </r>
  <r>
    <s v="2621"/>
    <s v="2021-06-01 00:00:00"/>
    <s v="2021-06-01 11:19:00"/>
    <s v="Gasto"/>
    <s v="Con Compromiso"/>
    <s v="0200"/>
    <x v="2"/>
    <x v="19"/>
    <s v="ADQUISICIÓN DE BIENES Y SERVICIOS - SEDES MANTENIDAS - FORTALECIMIENTO DE LA INFRAESTRUCTURA FÍSICA DEL IGAC A NIVEL  NACIONAL"/>
    <s v="Nación"/>
    <x v="0"/>
    <s v="CSF"/>
    <n v="2000000"/>
    <n v="0"/>
    <n v="2000000"/>
    <n v="992000"/>
    <s v="CONTRATACION MANTENIMIENTO Y RECARGA DE EXTINTORES TERRITORIAL BOLIVAR"/>
    <s v="2621"/>
    <s v="9421"/>
    <s v="-0"/>
    <s v="-0"/>
    <s v="-0"/>
    <s v="-0"/>
    <x v="0"/>
    <x v="0"/>
  </r>
  <r>
    <s v="3221"/>
    <s v="2021-07-02 00:00:00"/>
    <s v="2021-07-02 14:57:00"/>
    <s v="Gasto"/>
    <s v="Con Compromiso"/>
    <s v="0500"/>
    <x v="2"/>
    <x v="1"/>
    <s v="ADQUISICIÓN DE BIENES Y SERVICIOS - SERVICIO DE INFORMACIÓN CATASTRAL - ACTUALIZACIÓN  Y GESTIÓN CATASTRAL  NACIONAL"/>
    <s v="Propios"/>
    <x v="1"/>
    <s v="CSF"/>
    <n v="1618453"/>
    <n v="0"/>
    <n v="1618453"/>
    <n v="198453"/>
    <s v="CONTRATACION MANTENIMIENTO CORRECTIVO DEL VEHICULO ASIGNADO A LA DIRECCION TERRITORIAL BOLIVAR"/>
    <s v="3221"/>
    <s v="10521"/>
    <s v="-0"/>
    <s v="-0"/>
    <s v="-0"/>
    <s v="-0"/>
    <x v="0"/>
    <x v="1"/>
  </r>
  <r>
    <s v="3321"/>
    <s v="2021-07-02 00:00:00"/>
    <s v="2021-07-02 20:06:00"/>
    <s v="Gasto"/>
    <s v="Con Compromiso"/>
    <s v="0500"/>
    <x v="2"/>
    <x v="1"/>
    <s v="ADQUISICIÓN DE BIENES Y SERVICIOS - SERVICIO DE INFORMACIÓN CATASTRAL - ACTUALIZACIÓN  Y GESTIÓN CATASTRAL  NACIONAL"/>
    <s v="Nación"/>
    <x v="0"/>
    <s v="CSF"/>
    <n v="8745452"/>
    <n v="0"/>
    <n v="8745452"/>
    <n v="5342966"/>
    <s v="CONTRATACION ADQUISICION DE BIENES Y SERVICIOS - SERVICIO DE INFORMACION CATASTRAL - ACTUALIZACION   Y GESTION CATASTRAL NACIONAL"/>
    <s v="3321"/>
    <s v="8421"/>
    <s v="16221"/>
    <s v="29421, 32221"/>
    <s v="209583321, 226457921"/>
    <s v="-0"/>
    <x v="0"/>
    <x v="1"/>
  </r>
  <r>
    <s v="3721"/>
    <s v="2021-08-03 00:00:00"/>
    <s v="2021-08-03 20:28:00"/>
    <s v="Gasto"/>
    <s v="Con Compromiso"/>
    <s v="0500"/>
    <x v="2"/>
    <x v="1"/>
    <s v="ADQUISICIÓN DE BIENES Y SERVICIOS - SERVICIO DE INFORMACIÓN CATASTRAL - ACTUALIZACIÓN  Y GESTIÓN CATASTRAL  NACIONAL"/>
    <s v="Propios"/>
    <x v="1"/>
    <s v="CSF"/>
    <n v="18025000"/>
    <n v="0"/>
    <n v="18025000"/>
    <n v="2763834"/>
    <s v="CONTRATACIÓN SERVICIOS DE COORDINADOR DE RECONOCIMIENTO"/>
    <s v="3721"/>
    <s v="10121"/>
    <s v="-0"/>
    <s v="-0"/>
    <s v="-0"/>
    <s v="-0"/>
    <x v="0"/>
    <x v="1"/>
  </r>
  <r>
    <s v="3821"/>
    <s v="2021-08-03 00:00:00"/>
    <s v="2021-08-03 20:34:00"/>
    <s v="Gasto"/>
    <s v="Con Compromiso"/>
    <s v="0500"/>
    <x v="2"/>
    <x v="1"/>
    <s v="ADQUISICIÓN DE BIENES Y SERVICIOS - SERVICIO DE INFORMACIÓN CATASTRAL - ACTUALIZACIÓN  Y GESTIÓN CATASTRAL  NACIONAL"/>
    <s v="Propios"/>
    <x v="1"/>
    <s v="CSF"/>
    <n v="78118300"/>
    <n v="0"/>
    <n v="78118300"/>
    <n v="12498930"/>
    <s v="CONTRATACION SERVICIOS COMO RECONOCEDORES"/>
    <s v="3821"/>
    <s v="10621, 10721, 10821, 10921, 11021"/>
    <s v="-0"/>
    <s v="-0"/>
    <s v="-0"/>
    <s v="-0"/>
    <x v="0"/>
    <x v="1"/>
  </r>
  <r>
    <s v="3921"/>
    <s v="2021-08-03 00:00:00"/>
    <s v="2021-08-03 20:38:00"/>
    <s v="Gasto"/>
    <s v="Con Compromiso"/>
    <s v="0500"/>
    <x v="2"/>
    <x v="1"/>
    <s v="ADQUISICIÓN DE BIENES Y SERVICIOS - SERVICIO DE INFORMACIÓN CATASTRAL - ACTUALIZACIÓN  Y GESTIÓN CATASTRAL  NACIONAL"/>
    <s v="Propios"/>
    <x v="1"/>
    <s v="CSF"/>
    <n v="70812500"/>
    <n v="0"/>
    <n v="70812500"/>
    <n v="11802085"/>
    <s v="CONTRATACION SERVICIOS COMO RECONOCEDOR PREDIAL JUNIOR"/>
    <s v="3921"/>
    <s v="11221, 11321, 11421, 11521, 11621"/>
    <s v="-0"/>
    <s v="-0"/>
    <s v="-0"/>
    <s v="-0"/>
    <x v="0"/>
    <x v="1"/>
  </r>
  <r>
    <s v="4021"/>
    <s v="2021-08-03 00:00:00"/>
    <s v="2021-08-03 20:44:00"/>
    <s v="Gasto"/>
    <s v="Con Compromiso"/>
    <s v="0500"/>
    <x v="2"/>
    <x v="1"/>
    <s v="ADQUISICIÓN DE BIENES Y SERVICIOS - SERVICIO DE INFORMACIÓN CATASTRAL - ACTUALIZACIÓN  Y GESTIÓN CATASTRAL  NACIONAL"/>
    <s v="Propios"/>
    <x v="1"/>
    <s v="CSF"/>
    <n v="26714830"/>
    <n v="0"/>
    <n v="26714830"/>
    <n v="4096274"/>
    <s v="CONTRATACION SERVICIOS DE TECNICO 2 APOYO A LA GESTION"/>
    <s v="4021"/>
    <s v="10321, 10421"/>
    <s v="-0"/>
    <s v="-0"/>
    <s v="-0"/>
    <s v="-0"/>
    <x v="0"/>
    <x v="1"/>
  </r>
  <r>
    <s v="4121"/>
    <s v="2021-08-03 00:00:00"/>
    <s v="2021-08-03 20:47:00"/>
    <s v="Gasto"/>
    <s v="Con Compromiso"/>
    <s v="0500"/>
    <x v="2"/>
    <x v="1"/>
    <s v="ADQUISICIÓN DE BIENES Y SERVICIOS - SERVICIO DE INFORMACIÓN CATASTRAL - ACTUALIZACIÓN  Y GESTIÓN CATASTRAL  NACIONAL"/>
    <s v="Propios"/>
    <x v="1"/>
    <s v="CSF"/>
    <n v="20982150"/>
    <n v="0"/>
    <n v="20982150"/>
    <n v="3077382"/>
    <s v="CONTRATACION SERVICIOS DE TECNICO 1 APOYO A LA GESTION"/>
    <s v="4121"/>
    <s v="9921, 10021"/>
    <s v="-0"/>
    <s v="-0"/>
    <s v="-0"/>
    <s v="-0"/>
    <x v="0"/>
    <x v="1"/>
  </r>
  <r>
    <s v="4221"/>
    <s v="2021-08-03 00:00:00"/>
    <s v="2021-08-03 20:51:00"/>
    <s v="Gasto"/>
    <s v="Con Compromiso"/>
    <s v="0500"/>
    <x v="2"/>
    <x v="1"/>
    <s v="ADQUISICIÓN DE BIENES Y SERVICIOS - SERVICIO DE INFORMACIÓN CATASTRAL - ACTUALIZACIÓN  Y GESTIÓN CATASTRAL  NACIONAL"/>
    <s v="Propios"/>
    <x v="1"/>
    <s v="CSF"/>
    <n v="34024860"/>
    <n v="0"/>
    <n v="34024860"/>
    <n v="4309816"/>
    <s v="CONTRATACION SERVICIOS DE AUXILIAR DE APOYO A LA GESTION"/>
    <s v="4221"/>
    <s v="9521, 9621, 9721, 9821"/>
    <s v="-0"/>
    <s v="-0"/>
    <s v="-0"/>
    <s v="-0"/>
    <x v="0"/>
    <x v="1"/>
  </r>
  <r>
    <s v="4321"/>
    <s v="2021-08-03 00:00:00"/>
    <s v="2021-08-03 20:55:00"/>
    <s v="Gasto"/>
    <s v="Generado"/>
    <s v="0500"/>
    <x v="2"/>
    <x v="1"/>
    <s v="ADQUISICIÓN DE BIENES Y SERVICIOS - SERVICIO DE INFORMACIÓN CATASTRAL - ACTUALIZACIÓN  Y GESTIÓN CATASTRAL  NACIONAL"/>
    <s v="Propios"/>
    <x v="1"/>
    <s v="CSF"/>
    <n v="21600000"/>
    <n v="0"/>
    <n v="21600000"/>
    <n v="21600000"/>
    <s v="CONTRATACION SERVICIOS DE ALQUILER DE COMPUTADORES"/>
    <s v="4321"/>
    <s v="-0"/>
    <s v="-0"/>
    <s v="-0"/>
    <s v="-0"/>
    <s v="-0"/>
    <x v="0"/>
    <x v="1"/>
  </r>
  <r>
    <s v="4421"/>
    <s v="2021-08-03 00:00:00"/>
    <s v="2021-08-03 20:58:00"/>
    <s v="Gasto"/>
    <s v="Generado"/>
    <s v="0500"/>
    <x v="2"/>
    <x v="1"/>
    <s v="ADQUISICIÓN DE BIENES Y SERVICIOS - SERVICIO DE INFORMACIÓN CATASTRAL - ACTUALIZACIÓN  Y GESTIÓN CATASTRAL  NACIONAL"/>
    <s v="Propios"/>
    <x v="1"/>
    <s v="CSF"/>
    <n v="1000000"/>
    <n v="0"/>
    <n v="1000000"/>
    <n v="1000000"/>
    <s v="CONTRATACION SERVICIOS PARA MANTENIMIENTO CORRECTIVO DE PLOTTER"/>
    <s v="4421"/>
    <s v="-0"/>
    <s v="-0"/>
    <s v="-0"/>
    <s v="-0"/>
    <s v="-0"/>
    <x v="0"/>
    <x v="1"/>
  </r>
  <r>
    <s v="4521"/>
    <s v="2021-08-03 00:00:00"/>
    <s v="2021-08-03 21:02:00"/>
    <s v="Gasto"/>
    <s v="Generado"/>
    <s v="0500"/>
    <x v="2"/>
    <x v="1"/>
    <s v="ADQUISICIÓN DE BIENES Y SERVICIOS - SERVICIO DE INFORMACIÓN CATASTRAL - ACTUALIZACIÓN  Y GESTIÓN CATASTRAL  NACIONAL"/>
    <s v="Propios"/>
    <x v="1"/>
    <s v="CSF"/>
    <n v="9000000"/>
    <n v="0"/>
    <n v="9000000"/>
    <n v="9000000"/>
    <s v="CONTRATACION ADQUISICION DE IMPRESORAS"/>
    <s v="4521"/>
    <s v="-0"/>
    <s v="-0"/>
    <s v="-0"/>
    <s v="-0"/>
    <s v="-0"/>
    <x v="0"/>
    <x v="1"/>
  </r>
  <r>
    <s v="4621"/>
    <s v="2021-08-18 00:00:00"/>
    <s v="2021-08-18 19:10:00"/>
    <s v="Gasto"/>
    <s v="Generado"/>
    <s v="0200"/>
    <x v="2"/>
    <x v="19"/>
    <s v="ADQUISICIÓN DE BIENES Y SERVICIOS - SEDES MANTENIDAS - FORTALECIMIENTO DE LA INFRAESTRUCTURA FÍSICA DEL IGAC A NIVEL  NACIONAL"/>
    <s v="Nación"/>
    <x v="0"/>
    <s v="CSF"/>
    <n v="18215491"/>
    <n v="0"/>
    <n v="18215491"/>
    <n v="18215491"/>
    <s v="CONTRATACION SERVICIOS DE MANTENIMIENTO DE AIRES ACONDICIONADO"/>
    <s v="4721"/>
    <s v="-0"/>
    <s v="-0"/>
    <s v="-0"/>
    <s v="-0"/>
    <s v="-0"/>
    <x v="0"/>
    <x v="0"/>
  </r>
  <r>
    <s v="4921"/>
    <s v="2021-08-31 00:00:00"/>
    <s v="2021-08-31 15:52:00"/>
    <s v="Gasto"/>
    <s v="Generado"/>
    <s v="0200"/>
    <x v="2"/>
    <x v="19"/>
    <s v="ADQUISICIÓN DE BIENES Y SERVICIOS - SEDES MANTENIDAS - FORTALECIMIENTO DE LA INFRAESTRUCTURA FÍSICA DEL IGAC A NIVEL  NACIONAL"/>
    <s v="Nación"/>
    <x v="0"/>
    <s v="CSF"/>
    <n v="550000"/>
    <n v="0"/>
    <n v="550000"/>
    <n v="550000"/>
    <s v="CONTRATACION SERVICIO DE FUMIGACION EN LA SEDE TERRITORIAL BOLIVAR"/>
    <s v="5021"/>
    <s v="-0"/>
    <s v="-0"/>
    <s v="-0"/>
    <s v="-0"/>
    <s v="-0"/>
    <x v="0"/>
    <x v="0"/>
  </r>
  <r>
    <s v="5021"/>
    <s v="2021-08-31 00:00:00"/>
    <s v="2021-08-31 15:54:00"/>
    <s v="Gasto"/>
    <s v="Generado"/>
    <s v="0500"/>
    <x v="2"/>
    <x v="1"/>
    <s v="ADQUISICIÓN DE BIENES Y SERVICIOS - SERVICIO DE INFORMACIÓN CATASTRAL - ACTUALIZACIÓN  Y GESTIÓN CATASTRAL  NACIONAL"/>
    <s v="Propios"/>
    <x v="1"/>
    <s v="CSF"/>
    <n v="28003890"/>
    <n v="0"/>
    <n v="28003890"/>
    <n v="28003890"/>
    <s v="ANTICIPO DE VIATICOS Y GASTOS PARA CUMPLIR COMISION"/>
    <s v="5121"/>
    <s v="-0"/>
    <s v="-0"/>
    <s v="-0"/>
    <s v="-0"/>
    <s v="-0"/>
    <x v="0"/>
    <x v="1"/>
  </r>
  <r>
    <s v="321"/>
    <s v="2021-01-12 00:00:00"/>
    <s v="2021-01-12 09:12:00"/>
    <s v="Gasto"/>
    <s v="Con Compromiso"/>
    <s v="0200"/>
    <x v="3"/>
    <x v="18"/>
    <s v="ADQUISICIÓN DE BIENES Y SERVICIOS - SEDES ADECUADAS - FORTALECIMIENTO DE LA INFRAESTRUCTURA FÍSICA DEL IGAC A NIVEL  NACIONAL"/>
    <s v="Nación"/>
    <x v="0"/>
    <s v="CSF"/>
    <n v="20000000"/>
    <n v="-4500000"/>
    <n v="15500000"/>
    <n v="0"/>
    <s v="TRASLADO DE BIENES DE LAS UNIDADES OPERATIVAS A SEDE TUNJA .  T.BOYACÁ"/>
    <s v="321"/>
    <s v="821"/>
    <s v="4521"/>
    <s v="25721"/>
    <s v="91502021"/>
    <s v="-0"/>
    <x v="0"/>
    <x v="0"/>
  </r>
  <r>
    <s v="721"/>
    <s v="2021-02-01 00:00:00"/>
    <s v="2021-02-01 13:23:00"/>
    <s v="Gasto"/>
    <s v="Con Compromiso"/>
    <s v="0500"/>
    <x v="3"/>
    <x v="1"/>
    <s v="ADQUISICIÓN DE BIENES Y SERVICIOS - SERVICIO DE INFORMACIÓN CATASTRAL - ACTUALIZACIÓN  Y GESTIÓN CATASTRAL  NACIONAL"/>
    <s v="Nación"/>
    <x v="0"/>
    <s v="CSF"/>
    <n v="278765160"/>
    <n v="0"/>
    <n v="278765160"/>
    <n v="0"/>
    <s v="PROCESO CONTRATACIÓN 2021 PRESTACION SERVICIOS  CONSERVACIÓN. T. BOYACÁ"/>
    <s v="721"/>
    <s v="2121, 2221, 2321, 2421, 2521, 2621, 2721, 2821, 2921, 3021, 3121, 9521, 9621"/>
    <s v="3121, 3221, 3321, 3421, 3521, 3621, 4021, 4121, 4321, 4421, 4821, 16421"/>
    <s v="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
    <s v="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
    <s v="-0"/>
    <x v="0"/>
    <x v="1"/>
  </r>
  <r>
    <s v="821"/>
    <s v="2021-02-01 00:00:00"/>
    <s v="2021-02-01 13:29:00"/>
    <s v="Gasto"/>
    <s v="Con Compromiso"/>
    <s v="0500"/>
    <x v="3"/>
    <x v="1"/>
    <s v="ADQUISICIÓN DE BIENES Y SERVICIOS - SERVICIO DE INFORMACIÓN CATASTRAL - ACTUALIZACIÓN  Y GESTIÓN CATASTRAL  NACIONAL"/>
    <s v="Nación"/>
    <x v="0"/>
    <s v="CSF"/>
    <n v="35082226"/>
    <n v="1665719"/>
    <n v="36747945"/>
    <n v="24288268"/>
    <s v="VIATICOS Y GASTOS DE COMISIÓN ACTUALIZACION T. BOYACÁ 2021"/>
    <s v="821"/>
    <s v="1321, 1421, 3221, 5021, 5221, 5321, 5821, 5921, 6021, 6121, 6421, 6521, 6621, 8121, 8221, 8321, 8921, 9321, 9421, 9921, 10021, 10121, 10721, 11021"/>
    <s v="721, 821, 1521, 4221, 4921, 5021, 5821, 5921, 6021, 6121, 6921, 7021, 7121, 10721, 10921, 11021, 11421, 13221, 13321, 14021, 14121, 14221, 16221, 17021"/>
    <s v="7621, 7721, 14721, 22721, 23321, 23421, 23821, 23921, 24021, 24121, 26121, 26221, 26321, 30921, 31121, 31221, 32921, 34321, 34421, 35121, 35221, 35321, 37921, 38621"/>
    <s v="25137121, 25138021, 41760521, 76630821, 80294621, 80295121, 89998721, 90004721, 90010421, 90016621, 100621121, 100626821, 100628421, 142245021, 144511921, 144512721, 147610321, 168276421, 168278521, 174848821, 174850221, 174854121, 192406321, 207296621"/>
    <s v="-0"/>
    <x v="0"/>
    <x v="1"/>
  </r>
  <r>
    <s v="921"/>
    <s v="2021-02-01 00:00:00"/>
    <s v="2021-02-01 13:37:00"/>
    <s v="Gasto"/>
    <s v="Con Compromiso"/>
    <s v="0510"/>
    <x v="3"/>
    <x v="16"/>
    <s v="ADQUISICIÓN DE BIENES Y SERVICIOS - SERVICIO DE AVALÚOS - ACTUALIZACIÓN  Y GESTIÓN CATASTRAL  NACIONAL"/>
    <s v="Propios"/>
    <x v="1"/>
    <s v="CSF"/>
    <n v="20000000"/>
    <n v="0"/>
    <n v="20000000"/>
    <n v="0"/>
    <s v="CONTRATACION PROCESO AVALUOS 2021 T. BOYACÁ"/>
    <s v="921"/>
    <s v="4221, 4321"/>
    <s v="-0"/>
    <s v="-0"/>
    <s v="-0"/>
    <s v="-0"/>
    <x v="0"/>
    <x v="6"/>
  </r>
  <r>
    <s v="1021"/>
    <s v="2021-02-01 00:00:00"/>
    <s v="2021-02-01 13:42:00"/>
    <s v="Gasto"/>
    <s v="Generado"/>
    <s v="0510"/>
    <x v="3"/>
    <x v="16"/>
    <s v="ADQUISICIÓN DE BIENES Y SERVICIOS - SERVICIO DE AVALÚOS - ACTUALIZACIÓN  Y GESTIÓN CATASTRAL  NACIONAL"/>
    <s v="Propios"/>
    <x v="1"/>
    <s v="CSF"/>
    <n v="3500000"/>
    <n v="0"/>
    <n v="3500000"/>
    <n v="3500000"/>
    <s v="VIATICOS Y GASTOS DE COMISIÓN PROCESO AVALUOS 2021 T. BOYACÁ"/>
    <s v="1021"/>
    <s v="-0"/>
    <s v="-0"/>
    <s v="-0"/>
    <s v="-0"/>
    <s v="-0"/>
    <x v="0"/>
    <x v="6"/>
  </r>
  <r>
    <s v="1521"/>
    <s v="2021-03-12 00:00:00"/>
    <s v="2021-03-12 08:33:00"/>
    <s v="Gasto"/>
    <s v="Generado"/>
    <s v="0300"/>
    <x v="3"/>
    <x v="19"/>
    <s v="ADQUISICIÓN DE BIENES Y SERVICIOS - SEDES MANTENIDAS - FORTALECIMIENTO DE LA INFRAESTRUCTURA FÍSICA DEL IGAC A NIVEL  NACIONAL"/>
    <s v="Propios"/>
    <x v="1"/>
    <s v="CSF"/>
    <n v="1866167"/>
    <n v="-1866167"/>
    <n v="0"/>
    <n v="0"/>
    <s v="VIATICOS Y GASTOS DE COMISIÓN AL MUNICIPIO DE GARZON (HUILA) DEL FUNCIONARIO OSWALDO ALFONSO FUQUE (CONDUCTOR) EN COMISIÓN OFICIAL"/>
    <s v="1621"/>
    <s v="3421"/>
    <s v="-0"/>
    <s v="-0"/>
    <s v="-0"/>
    <s v="-0"/>
    <x v="0"/>
    <x v="3"/>
  </r>
  <r>
    <s v="1521"/>
    <s v="2021-03-12 00:00:00"/>
    <s v="2021-03-12 08:33:00"/>
    <s v="Gasto"/>
    <s v="Generado"/>
    <s v="0300"/>
    <x v="3"/>
    <x v="4"/>
    <s v="ADQUISICIÓN DE BIENES Y SERVICIOS - SERVICIOS DE INFORMACIÓN GEODÉSICA ACTUALIZADO - LEVANTAMIENTO , GENERACIÓN Y ACTUALIZACIÓN DE LA RED GEODÉSICA Y LA CARTOGRAFÍA BÁSICA A NIVEL   NACIONAL"/>
    <s v="Propios"/>
    <x v="1"/>
    <s v="CSF"/>
    <n v="0"/>
    <n v="1866167"/>
    <n v="1866167"/>
    <n v="1866167"/>
    <s v="VIATICOS Y GASTOS DE COMISIÓN AL MUNICIPIO DE GARZON (HUILA) DEL FUNCIONARIO OSWALDO ALFONSO FUQUE (CONDUCTOR) EN COMISIÓN OFICIAL"/>
    <s v="1621"/>
    <s v="3421"/>
    <s v="-0"/>
    <s v="-0"/>
    <s v="-0"/>
    <s v="-0"/>
    <x v="0"/>
    <x v="3"/>
  </r>
  <r>
    <s v="1921"/>
    <s v="2021-04-19 00:00:00"/>
    <s v="2021-04-19 10:24:00"/>
    <s v="Gasto"/>
    <s v="Con Compromiso"/>
    <s v="0500"/>
    <x v="3"/>
    <x v="1"/>
    <s v="ADQUISICIÓN DE BIENES Y SERVICIOS - SERVICIO DE INFORMACIÓN CATASTRAL - ACTUALIZACIÓN  Y GESTIÓN CATASTRAL  NACIONAL"/>
    <s v="Propios"/>
    <x v="1"/>
    <s v="CSF"/>
    <n v="11896600"/>
    <n v="-1587600"/>
    <n v="10309000"/>
    <n v="0"/>
    <s v="MANTENIMIENTO DE VEHICULOS 2021 TERRITORIAL BOYACÁ"/>
    <s v="2221"/>
    <s v="6721"/>
    <s v="-0"/>
    <s v="-0"/>
    <s v="-0"/>
    <s v="-0"/>
    <x v="0"/>
    <x v="1"/>
  </r>
  <r>
    <s v="2521"/>
    <s v="2021-06-21 00:00:00"/>
    <s v="2021-06-21 13:40:00"/>
    <s v="Gasto"/>
    <s v="Generado"/>
    <s v="0200"/>
    <x v="3"/>
    <x v="19"/>
    <s v="ADQUISICIÓN DE BIENES Y SERVICIOS - SEDES MANTENIDAS - FORTALECIMIENTO DE LA INFRAESTRUCTURA FÍSICA DEL IGAC A NIVEL  NACIONAL"/>
    <s v="Nación"/>
    <x v="0"/>
    <s v="CSF"/>
    <n v="8000000"/>
    <n v="0"/>
    <n v="8000000"/>
    <n v="8000000"/>
    <s v="ADQUISICION BIENES INSUMOS Y SERVICIOS PARA TERRITORIAL BOYACA (INSUMOS BODEGA TUNJA)"/>
    <s v="2821"/>
    <s v="-0"/>
    <s v="-0"/>
    <s v="-0"/>
    <s v="-0"/>
    <s v="-0"/>
    <x v="0"/>
    <x v="0"/>
  </r>
  <r>
    <s v="421"/>
    <s v="2021-01-21 00:00:00"/>
    <s v="2021-01-21 18:31:00"/>
    <s v="Gasto"/>
    <s v="Con Compromiso"/>
    <s v="0500"/>
    <x v="4"/>
    <x v="1"/>
    <s v="ADQUISICIÓN DE BIENES Y SERVICIOS - SERVICIO DE INFORMACIÓN CATASTRAL - ACTUALIZACIÓN  Y GESTIÓN CATASTRAL  NACIONAL"/>
    <s v="Nación"/>
    <x v="0"/>
    <s v="CSF"/>
    <n v="17415957"/>
    <n v="0"/>
    <n v="17415957"/>
    <n v="12406567"/>
    <s v="VIATICOS Y GASTOS DE COMISION PROCESO DE CONSERVACION CATASTRAL DT CALDAS VIGENCIA 2021."/>
    <s v="521"/>
    <s v="1021, 2721, 2821, 3321, 3421, 7021, 7121, 7621, 8221, 8621, 8721"/>
    <s v="721, 1321, 1421, 1621, 1721, 11121, 11221, 13521, 14821, 16721, 16921"/>
    <s v="4421, 4921, 5021, 9321, 9421, 25221, 25321, 28921, 29221, 29621, 32821, 33021"/>
    <s v="10210021, 25862521, 27017421, 31368221, 31369521, 139814521, 143855921, 163998721, 168273521, 174879221, 188880121, 192654621"/>
    <s v="121, 221, 521"/>
    <x v="0"/>
    <x v="1"/>
  </r>
  <r>
    <s v="721"/>
    <s v="2021-02-03 00:00:00"/>
    <s v="2021-02-03 19:50:00"/>
    <s v="Gasto"/>
    <s v="Con Compromiso"/>
    <s v="0500"/>
    <x v="4"/>
    <x v="1"/>
    <s v="ADQUISICIÓN DE BIENES Y SERVICIOS - SERVICIO DE INFORMACIÓN CATASTRAL - ACTUALIZACIÓN  Y GESTIÓN CATASTRAL  NACIONAL"/>
    <s v="Nación"/>
    <x v="0"/>
    <s v="CSF"/>
    <n v="65619372"/>
    <n v="0"/>
    <n v="65619372"/>
    <n v="0"/>
    <s v="Prestación de servicios personales para realizar actividades de reconocimientos predial urbano y rural para la atención de trámites en los procesos catastrales de la Dirección Territorial Caldas."/>
    <s v="821"/>
    <s v="2221, 2321"/>
    <s v="2521, 2621"/>
    <s v="10221, 10321, 16821, 16921, 17321, 18721, 19021, 19121, 22421, 24521, 28221, 28321, 32621, 32721, 35621, 35721, 37021"/>
    <s v="36559821, 36580421, 66095521, 66160221, 87710421, 88752721, 118680921, 122343921, 150169821, 150780921, 182425721, 183943521, 217123221, 217241421, 220522421"/>
    <s v="-0"/>
    <x v="0"/>
    <x v="1"/>
  </r>
  <r>
    <s v="821"/>
    <s v="2021-02-03 00:00:00"/>
    <s v="2021-02-03 19:57:00"/>
    <s v="Gasto"/>
    <s v="Con Compromiso"/>
    <s v="0500"/>
    <x v="4"/>
    <x v="1"/>
    <s v="ADQUISICIÓN DE BIENES Y SERVICIOS - SERVICIO DE INFORMACIÓN CATASTRAL - ACTUALIZACIÓN  Y GESTIÓN CATASTRAL  NACIONAL"/>
    <s v="Nación"/>
    <x v="0"/>
    <s v="CSF"/>
    <n v="74993568"/>
    <n v="0"/>
    <n v="74993568"/>
    <n v="0"/>
    <s v="Prestación de servicios personales para realizar actividades de reconocimientos predial urbano y rural para la atención de trámites en los procesos catastrales de la Dirección Territorial Caldas."/>
    <s v="921"/>
    <s v="2421, 2521, 3521"/>
    <s v="2721, 2821, 5921"/>
    <s v="10421, 10521, 17021, 17121, 17221, 18621, 18821, 19521, 22321, 24321, 24421, 26421, 28121, 28421, 32421, 32521, 33121, 35921, 36421, 36521"/>
    <s v="36586721, 36595821, 66133621, 66145421, 66149321, 87704421, 87705321, 88755821, 118680121, 122329921, 122338621, 146292821, 150142621, 152782521, 180275121, 182385521, 195055421, 217313521, 217526921, 217559921"/>
    <s v="-0"/>
    <x v="0"/>
    <x v="1"/>
  </r>
  <r>
    <s v="921"/>
    <s v="2021-02-03 00:00:00"/>
    <s v="2021-02-03 20:06:00"/>
    <s v="Gasto"/>
    <s v="Con Compromiso"/>
    <s v="0500"/>
    <x v="4"/>
    <x v="1"/>
    <s v="ADQUISICIÓN DE BIENES Y SERVICIOS - SERVICIO DE INFORMACIÓN CATASTRAL - ACTUALIZACIÓN  Y GESTIÓN CATASTRAL  NACIONAL"/>
    <s v="Nación"/>
    <x v="0"/>
    <s v="CSF"/>
    <n v="37852500"/>
    <n v="0"/>
    <n v="37852500"/>
    <n v="0"/>
    <s v="Prestación de servicios personales para realizar las actividades de control y verificación a los trámites del proceso de conservación catastral en la Dirección Territorial Caldas."/>
    <s v="1021"/>
    <s v="2121"/>
    <s v="2421"/>
    <s v="10121, 16521, 18921, 22721, 26321, 30721, 35521"/>
    <s v="36554121, 63017621, 87706121, 118715521, 146154821, 176156421, 217202521"/>
    <s v="-0"/>
    <x v="0"/>
    <x v="1"/>
  </r>
  <r>
    <s v="1021"/>
    <s v="2021-02-03 00:00:00"/>
    <s v="2021-02-03 20:11:00"/>
    <s v="Gasto"/>
    <s v="Con Compromiso"/>
    <s v="0500"/>
    <x v="4"/>
    <x v="1"/>
    <s v="ADQUISICIÓN DE BIENES Y SERVICIOS - SERVICIO DE INFORMACIÓN CATASTRAL - ACTUALIZACIÓN  Y GESTIÓN CATASTRAL  NACIONAL"/>
    <s v="Nación"/>
    <x v="0"/>
    <s v="CSF"/>
    <n v="91867122"/>
    <n v="0"/>
    <n v="91867122"/>
    <n v="0"/>
    <s v="Prestación de servicios personales para realizar actividades de  apoyo  en los procesos catastrales en la Dirección Territorial Caldas."/>
    <s v="1121"/>
    <s v="1321, 1421, 1521, 1621, 1721, 1821"/>
    <s v="1821, 1921, 2021, 2121, 2221, 2321"/>
    <s v="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
    <s v="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
    <s v="-0"/>
    <x v="0"/>
    <x v="1"/>
  </r>
  <r>
    <s v="1121"/>
    <s v="2021-02-03 00:00:00"/>
    <s v="2021-02-03 20:19:00"/>
    <s v="Gasto"/>
    <s v="Con Compromiso"/>
    <s v="0500"/>
    <x v="4"/>
    <x v="1"/>
    <s v="ADQUISICIÓN DE BIENES Y SERVICIOS - SERVICIO DE INFORMACIÓN CATASTRAL - ACTUALIZACIÓN  Y GESTIÓN CATASTRAL  NACIONAL"/>
    <s v="Nación"/>
    <x v="0"/>
    <s v="CSF"/>
    <n v="29741250"/>
    <n v="0"/>
    <n v="29741250"/>
    <n v="0"/>
    <s v="Prestación de servicios personales para adelantar actividades de reconocimiento predial urbano y rural, en atención a los requerimientos administrativos y judiciales del proceso de restitución de tierras en la Dirección Territorial Caldas."/>
    <s v="1221"/>
    <s v="2621"/>
    <s v="2921"/>
    <s v="10621, 16621, 18521, 22621, 26521, 29821, 35821"/>
    <s v="36603621, 63018821, 87704121, 118707921, 146164521, 175290221, 217271921"/>
    <s v="-0"/>
    <x v="0"/>
    <x v="1"/>
  </r>
  <r>
    <s v="2021"/>
    <s v="2021-04-26 00:00:00"/>
    <s v="2021-04-26 14:16:00"/>
    <s v="Gasto"/>
    <s v="Con Compromiso"/>
    <s v="0510"/>
    <x v="4"/>
    <x v="16"/>
    <s v="ADQUISICIÓN DE BIENES Y SERVICIOS - SERVICIO DE AVALÚOS - ACTUALIZACIÓN  Y GESTIÓN CATASTRAL  NACIONAL"/>
    <s v="Propios"/>
    <x v="1"/>
    <s v="CSF"/>
    <n v="20021298"/>
    <n v="0"/>
    <n v="20021298"/>
    <n v="0"/>
    <s v="PRESTACIÓN DE SERVICIOS PROFESIONALES PARA REALIZAR EL CONTROL DE CALIDAD A LOS INFORMES DE AVALÚOS COMERCIALES, ASÍ COMO REALIZAR AVALÚOS A BIENES INMUEBLES URBANOS Y RURALES EN TODO EL PAÍS."/>
    <s v="2121"/>
    <s v="5721"/>
    <s v="9821"/>
    <s v="22521, 25921, 29721, 30521, 36021"/>
    <s v="118689021, 144747121, 175483021, 217419021"/>
    <s v="-0"/>
    <x v="0"/>
    <x v="6"/>
  </r>
  <r>
    <s v="2121"/>
    <s v="2021-04-26 00:00:00"/>
    <s v="2021-04-26 14:51:00"/>
    <s v="Gasto"/>
    <s v="Con Compromiso"/>
    <s v="0510"/>
    <x v="4"/>
    <x v="16"/>
    <s v="ADQUISICIÓN DE BIENES Y SERVICIOS - SERVICIO DE AVALÚOS - ACTUALIZACIÓN  Y GESTIÓN CATASTRAL  NACIONAL"/>
    <s v="Propios"/>
    <x v="1"/>
    <s v="CSF"/>
    <n v="19978702"/>
    <n v="0"/>
    <n v="19978702"/>
    <n v="0"/>
    <s v="PRESTACIÓN DE SERVICIOS PROFESIONALES PARA REALIZAR AVALÚOS COMERCIALES, A NIVEL NACIONAL DE LOS BIENES URBANOS Y RURALES."/>
    <s v="2221"/>
    <s v="5621"/>
    <s v="16121"/>
    <s v="30821, 33221"/>
    <s v="177963921, 200901621"/>
    <s v="-0"/>
    <x v="0"/>
    <x v="6"/>
  </r>
  <r>
    <s v="2821"/>
    <s v="2021-07-08 00:00:00"/>
    <s v="2021-07-08 16:28:00"/>
    <s v="Gasto"/>
    <s v="Generado"/>
    <s v="0500"/>
    <x v="4"/>
    <x v="1"/>
    <s v="ADQUISICIÓN DE BIENES Y SERVICIOS - SERVICIO DE INFORMACIÓN CATASTRAL - ACTUALIZACIÓN  Y GESTIÓN CATASTRAL  NACIONAL"/>
    <s v="Nación"/>
    <x v="0"/>
    <s v="CSF"/>
    <n v="34546758"/>
    <n v="0"/>
    <n v="34546758"/>
    <n v="34546758"/>
    <s v="Prestación de servicios profesionales de topografía para la atención de tramites en los procesos catastrales de la Dirección Territorial Caldas."/>
    <s v="2921"/>
    <s v="-0"/>
    <s v="-0"/>
    <s v="-0"/>
    <s v="-0"/>
    <s v="-0"/>
    <x v="0"/>
    <x v="1"/>
  </r>
  <r>
    <s v="3121"/>
    <s v="2021-08-17 00:00:00"/>
    <s v="2021-08-17 17:26:00"/>
    <s v="Gasto"/>
    <s v="Generado"/>
    <s v="0500"/>
    <x v="4"/>
    <x v="1"/>
    <s v="ADQUISICIÓN DE BIENES Y SERVICIOS - SERVICIO DE INFORMACIÓN CATASTRAL - ACTUALIZACIÓN  Y GESTIÓN CATASTRAL  NACIONAL"/>
    <s v="Propios"/>
    <x v="1"/>
    <s v="CSF"/>
    <n v="9374196"/>
    <n v="0"/>
    <n v="9374196"/>
    <n v="9374196"/>
    <s v="PRESTACION DE SERVICIOS PERSONALES PARA REALIZAR ACTIVIDADES DE RECONOCIMIENTOS PREDIAL URBANO Y  RURAL PARA EL PROCESO DE TITULACION Y CONSERVACIO CATASTRAL QUE SE ADELANTA EN LA TERRITORIAL CALDAS"/>
    <s v="3221"/>
    <s v="-0"/>
    <s v="-0"/>
    <s v="-0"/>
    <s v="-0"/>
    <s v="-0"/>
    <x v="0"/>
    <x v="1"/>
  </r>
  <r>
    <s v="3221"/>
    <s v="2021-08-17 00:00:00"/>
    <s v="2021-08-17 17:38:00"/>
    <s v="Gasto"/>
    <s v="Generado"/>
    <s v="0500"/>
    <x v="4"/>
    <x v="1"/>
    <s v="ADQUISICIÓN DE BIENES Y SERVICIOS - SERVICIO DE INFORMACIÓN CATASTRAL - ACTUALIZACIÓN  Y GESTIÓN CATASTRAL  NACIONAL"/>
    <s v="Propios"/>
    <x v="1"/>
    <s v="CSF"/>
    <n v="8014449"/>
    <n v="0"/>
    <n v="8014449"/>
    <n v="8014449"/>
    <s v="PRESTACION DE SERVICIOS PERSONALES PARA REALIZAR ACTIVIDADES DE DIGITALIZACION DE INFORMACION CARTOGRAFICA CATASTRAL PARA EL PROCESO DE TITULACION Y CONSERVACION CATASTRAL  QUE SE ADELANTA EN LA TERRITORIAL CALDAS"/>
    <s v="3321"/>
    <s v="-0"/>
    <s v="-0"/>
    <s v="-0"/>
    <s v="-0"/>
    <s v="-0"/>
    <x v="0"/>
    <x v="1"/>
  </r>
  <r>
    <s v="3321"/>
    <s v="2021-08-17 00:00:00"/>
    <s v="2021-08-17 17:47:00"/>
    <s v="Gasto"/>
    <s v="Generado"/>
    <s v="0500"/>
    <x v="4"/>
    <x v="1"/>
    <s v="ADQUISICIÓN DE BIENES Y SERVICIOS - SERVICIO DE INFORMACIÓN CATASTRAL - ACTUALIZACIÓN  Y GESTIÓN CATASTRAL  NACIONAL"/>
    <s v="Propios"/>
    <x v="1"/>
    <s v="CSF"/>
    <n v="12589290"/>
    <n v="0"/>
    <n v="12589290"/>
    <n v="12589290"/>
    <s v="PRESTACION DE SERVICIOS PERSONALES PARA LA REALIZACION DE LOS PROCESOS ARCHIVISTICOS EN ARCHIVOS DE GESTION Y EN ARCHIVO CENTRAL DE LA TERRITORIAL CALDAS, DE ACUERDO A LAS DIRECTRICES DE LA ENTIDAD Y DE LAS NORMAS DEL ARCHIVO GENERAL DE LA NACION"/>
    <s v="3421"/>
    <s v="-0"/>
    <s v="-0"/>
    <s v="-0"/>
    <s v="-0"/>
    <s v="-0"/>
    <x v="0"/>
    <x v="1"/>
  </r>
  <r>
    <s v="3421"/>
    <s v="2021-08-19 00:00:00"/>
    <s v="2021-08-19 08:26:00"/>
    <s v="Gasto"/>
    <s v="Con Compromiso"/>
    <s v="0500"/>
    <x v="4"/>
    <x v="1"/>
    <s v="ADQUISICIÓN DE BIENES Y SERVICIOS - SERVICIO DE INFORMACIÓN CATASTRAL - ACTUALIZACIÓN  Y GESTIÓN CATASTRAL  NACIONAL"/>
    <s v="Propios"/>
    <x v="1"/>
    <s v="CSF"/>
    <n v="6804972"/>
    <n v="0"/>
    <n v="6804972"/>
    <n v="0"/>
    <s v="Prestación de servicios personales para realizar actividades de apoyo operativo para el proceso de titulación y conservación catastral que se adelanta en la Territorial Caldas."/>
    <s v="3521"/>
    <s v="10121"/>
    <s v="-0"/>
    <s v="-0"/>
    <s v="-0"/>
    <s v="-0"/>
    <x v="0"/>
    <x v="1"/>
  </r>
  <r>
    <s v="3521"/>
    <s v="2021-08-19 00:00:00"/>
    <s v="2021-08-19 08:37:00"/>
    <s v="Gasto"/>
    <s v="Con Compromiso"/>
    <s v="0500"/>
    <x v="4"/>
    <x v="1"/>
    <s v="ADQUISICIÓN DE BIENES Y SERVICIOS - SERVICIO DE INFORMACIÓN CATASTRAL - ACTUALIZACIÓN  Y GESTIÓN CATASTRAL  NACIONAL"/>
    <s v="Propios"/>
    <x v="1"/>
    <s v="CSF"/>
    <n v="46870980"/>
    <n v="0"/>
    <n v="46870980"/>
    <n v="9374196"/>
    <s v="Prestación de servicios personales para realizar actividades de reconocimientos predial urbano y rural en el área de conservación, para mantener vigente la base catastral en el marco de los contratos que se desarrollan en la Dirección Territorial Cal"/>
    <s v="3621"/>
    <s v="9221, 9321, 9421"/>
    <s v="-0"/>
    <s v="-0"/>
    <s v="-0"/>
    <s v="-0"/>
    <x v="0"/>
    <x v="1"/>
  </r>
  <r>
    <s v="3621"/>
    <s v="2021-08-19 00:00:00"/>
    <s v="2021-08-19 08:44:00"/>
    <s v="Gasto"/>
    <s v="Con Compromiso"/>
    <s v="0500"/>
    <x v="4"/>
    <x v="1"/>
    <s v="ADQUISICIÓN DE BIENES Y SERVICIOS - SERVICIO DE INFORMACIÓN CATASTRAL - ACTUALIZACIÓN  Y GESTIÓN CATASTRAL  NACIONAL"/>
    <s v="Propios"/>
    <x v="1"/>
    <s v="CSF"/>
    <n v="18025000"/>
    <n v="0"/>
    <n v="18025000"/>
    <n v="3004167"/>
    <s v="Prestación de servicios personales para realizar las actividades de control y verificación a los trámites catastrales en el área de conservación, para mantener vigente la base catastral en el marco de los contratos que se desarrollan en la Dirección"/>
    <s v="3721"/>
    <s v="10021"/>
    <s v="-0"/>
    <s v="-0"/>
    <s v="-0"/>
    <s v="-0"/>
    <x v="0"/>
    <x v="1"/>
  </r>
  <r>
    <s v="3721"/>
    <s v="2021-08-19 00:00:00"/>
    <s v="2021-08-19 08:57:00"/>
    <s v="Gasto"/>
    <s v="Generado"/>
    <s v="0500"/>
    <x v="4"/>
    <x v="1"/>
    <s v="ADQUISICIÓN DE BIENES Y SERVICIOS - SERVICIO DE INFORMACIÓN CATASTRAL - ACTUALIZACIÓN  Y GESTIÓN CATASTRAL  NACIONAL"/>
    <s v="Propios"/>
    <x v="1"/>
    <s v="CSF"/>
    <n v="13357415"/>
    <n v="0"/>
    <n v="13357415"/>
    <n v="13357415"/>
    <s v="Prestación de servicios personales para realizar las actividades de digitalización de información cartográfica catastral en el área de conservación, para mantener vigente la base catastral en el marco de los contratos que se desarrollan en la DT Cald"/>
    <s v="3821"/>
    <s v="-0"/>
    <s v="-0"/>
    <s v="-0"/>
    <s v="-0"/>
    <s v="-0"/>
    <x v="0"/>
    <x v="1"/>
  </r>
  <r>
    <s v="3821"/>
    <s v="2021-08-19 00:00:00"/>
    <s v="2021-08-19 09:05:00"/>
    <s v="Gasto"/>
    <s v="Con Compromiso"/>
    <s v="0500"/>
    <x v="4"/>
    <x v="1"/>
    <s v="ADQUISICIÓN DE BIENES Y SERVICIOS - SERVICIO DE INFORMACIÓN CATASTRAL - ACTUALIZACIÓN  Y GESTIÓN CATASTRAL  NACIONAL"/>
    <s v="Propios"/>
    <x v="1"/>
    <s v="CSF"/>
    <n v="17012340"/>
    <n v="0"/>
    <n v="17012340"/>
    <n v="3402396"/>
    <s v="Prestación de servicios personales para realizar actividades de apoyo en el área de conservación, para mantener vigente la base catastral en el marco de los contratos que se desarrollan en la DT Caldas."/>
    <s v="3921"/>
    <s v="9621, 9821"/>
    <s v="-0"/>
    <s v="-0"/>
    <s v="-0"/>
    <s v="-0"/>
    <x v="0"/>
    <x v="1"/>
  </r>
  <r>
    <s v="3921"/>
    <s v="2021-08-19 00:00:00"/>
    <s v="2021-08-19 09:18:00"/>
    <s v="Gasto"/>
    <s v="Con Compromiso"/>
    <s v="0500"/>
    <x v="4"/>
    <x v="1"/>
    <s v="ADQUISICIÓN DE BIENES Y SERVICIOS - SERVICIO DE INFORMACIÓN CATASTRAL - ACTUALIZACIÓN  Y GESTIÓN CATASTRAL  NACIONAL"/>
    <s v="Propios"/>
    <x v="1"/>
    <s v="CSF"/>
    <n v="24882120"/>
    <n v="0"/>
    <n v="24882120"/>
    <n v="4976424"/>
    <s v="Prestación de servicios profesionales para realizar las actividades de control de calidad SIG   en el área de conservación, para mantener vigente la base catastral en el marco de los contratos que se desarrollan en la DT Caldas."/>
    <s v="4021"/>
    <s v="9921"/>
    <s v="-0"/>
    <s v="-0"/>
    <s v="-0"/>
    <s v="-0"/>
    <x v="0"/>
    <x v="1"/>
  </r>
  <r>
    <s v="721"/>
    <s v="2021-02-04 00:00:00"/>
    <s v="2021-02-04 12:16:00"/>
    <s v="Gasto"/>
    <s v="Con Compromiso"/>
    <s v="0500"/>
    <x v="5"/>
    <x v="1"/>
    <s v="ADQUISICIÓN DE BIENES Y SERVICIOS - SERVICIO DE INFORMACIÓN CATASTRAL - ACTUALIZACIÓN  Y GESTIÓN CATASTRAL  NACIONAL"/>
    <s v="Nación"/>
    <x v="0"/>
    <s v="CSF"/>
    <n v="51558078"/>
    <n v="0"/>
    <n v="51558078"/>
    <n v="0"/>
    <s v="CONTRATACION PRESTACION DE SERVICIOS"/>
    <s v="721"/>
    <s v="821, 921, 1021"/>
    <s v="821, 1021, 1121"/>
    <s v="7521, 7721, 7821, 11521, 11621, 11721, 13821, 13921, 14021, 16121, 16221, 16321, 18421, 18521, 18621, 21521, 21721, 21821, 21921"/>
    <s v="45585021, 45586221, 45588621, 72915221, 72917421, 72918521, 100480921, 100521221, 100525121, 130594321, 130596921, 130600921, 158395621, 158398421, 158407921, 192725521, 192727321, 195873921, 195876621"/>
    <s v="-0"/>
    <x v="0"/>
    <x v="1"/>
  </r>
  <r>
    <s v="821"/>
    <s v="2021-02-04 00:00:00"/>
    <s v="2021-02-04 12:17:00"/>
    <s v="Gasto"/>
    <s v="Con Compromiso"/>
    <s v="0500"/>
    <x v="5"/>
    <x v="1"/>
    <s v="ADQUISICIÓN DE BIENES Y SERVICIOS - SERVICIO DE INFORMACIÓN CATASTRAL - ACTUALIZACIÓN  Y GESTIÓN CATASTRAL  NACIONAL"/>
    <s v="Nación"/>
    <x v="0"/>
    <s v="CSF"/>
    <n v="30325000"/>
    <n v="-779825"/>
    <n v="29545175"/>
    <n v="0"/>
    <s v="CONTRATACION PRESTACION DE SERVICIOS"/>
    <s v="821"/>
    <s v="1121, 2621, 6321"/>
    <s v="921, 2021"/>
    <s v="7621, 11821, 12021, 13721, 16421, 18721, 21621, 23621"/>
    <s v="45587521, 74106421, 85499521, 100526321, 130602621, 158410021, 192726221, 225663721"/>
    <s v="-0"/>
    <x v="0"/>
    <x v="1"/>
  </r>
  <r>
    <s v="1921"/>
    <s v="2021-04-19 00:00:00"/>
    <s v="2021-04-19 09:17:00"/>
    <s v="Gasto"/>
    <s v="Con Compromiso"/>
    <s v="0500"/>
    <x v="5"/>
    <x v="1"/>
    <s v="ADQUISICIÓN DE BIENES Y SERVICIOS - SERVICIO DE INFORMACIÓN CATASTRAL - ACTUALIZACIÓN  Y GESTIÓN CATASTRAL  NACIONAL"/>
    <s v="Propios"/>
    <x v="1"/>
    <s v="CSF"/>
    <n v="2956531"/>
    <n v="0"/>
    <n v="2956531"/>
    <n v="0"/>
    <s v="PAGO COMISION CONDUCTOR A POPAYAN"/>
    <s v="1921"/>
    <s v="2421"/>
    <s v="2121"/>
    <s v="12121"/>
    <s v="85498121"/>
    <s v="421, 521, 621"/>
    <x v="0"/>
    <x v="1"/>
  </r>
  <r>
    <s v="2221"/>
    <s v="2021-04-28 00:00:00"/>
    <s v="2021-04-28 13:35:00"/>
    <s v="Gasto"/>
    <s v="Con Compromiso"/>
    <s v="0500"/>
    <x v="5"/>
    <x v="1"/>
    <s v="ADQUISICIÓN DE BIENES Y SERVICIOS - SERVICIO DE INFORMACIÓN CATASTRAL - ACTUALIZACIÓN  Y GESTIÓN CATASTRAL  NACIONAL"/>
    <s v="Propios"/>
    <x v="1"/>
    <s v="CSF"/>
    <n v="5905032"/>
    <n v="0"/>
    <n v="5905032"/>
    <n v="0"/>
    <s v="PAGO ANTICIPO DE COMISION EDWIN SUAREZ A POPAYAN"/>
    <s v="2221"/>
    <s v="2921"/>
    <s v="2321"/>
    <s v="13621"/>
    <s v="95907721"/>
    <s v="221"/>
    <x v="0"/>
    <x v="1"/>
  </r>
  <r>
    <s v="2821"/>
    <s v="2021-05-28 00:00:00"/>
    <s v="2021-05-28 15:10:00"/>
    <s v="Gasto"/>
    <s v="Con Compromiso"/>
    <s v="0500"/>
    <x v="5"/>
    <x v="1"/>
    <s v="ADQUISICIÓN DE BIENES Y SERVICIOS - SERVICIO DE INFORMACIÓN CATASTRAL - ACTUALIZACIÓN  Y GESTIÓN CATASTRAL  NACIONAL"/>
    <s v="Propios"/>
    <x v="1"/>
    <s v="CSF"/>
    <n v="5905032"/>
    <n v="0"/>
    <n v="5905032"/>
    <n v="0"/>
    <s v="PAGO ANTICIPO COMISION EDWIN MOSQUERA"/>
    <s v="2821"/>
    <s v="3521"/>
    <s v="3321"/>
    <s v="15821"/>
    <s v="127410121"/>
    <s v="321"/>
    <x v="0"/>
    <x v="1"/>
  </r>
  <r>
    <s v="3021"/>
    <s v="2021-06-02 00:00:00"/>
    <s v="2021-06-02 17:28:00"/>
    <s v="Gasto"/>
    <s v="Con Compromiso"/>
    <s v="0500"/>
    <x v="5"/>
    <x v="1"/>
    <s v="ADQUISICIÓN DE BIENES Y SERVICIOS - SERVICIO DE INFORMACIÓN CATASTRAL - ACTUALIZACIÓN  Y GESTIÓN CATASTRAL  NACIONAL"/>
    <s v="Nación"/>
    <x v="0"/>
    <s v="CSF"/>
    <n v="1107319"/>
    <n v="1107319"/>
    <n v="2214638"/>
    <n v="0"/>
    <s v="PAGO ATICIPO COMISION PARA DIRECTOR"/>
    <s v="3021"/>
    <s v="3721, 3821"/>
    <s v="3621, 4121"/>
    <s v="16021, 16521"/>
    <s v="130033021, 134697621"/>
    <s v="121"/>
    <x v="0"/>
    <x v="1"/>
  </r>
  <r>
    <s v="3621"/>
    <s v="2021-06-24 00:00:00"/>
    <s v="2021-06-24 14:41:00"/>
    <s v="Gasto"/>
    <s v="Generado"/>
    <s v="0200"/>
    <x v="5"/>
    <x v="19"/>
    <s v="ADQUISICIÓN DE BIENES Y SERVICIOS - SEDES MANTENIDAS - FORTALECIMIENTO DE LA INFRAESTRUCTURA FÍSICA DEL IGAC A NIVEL  NACIONAL"/>
    <s v="Nación"/>
    <x v="0"/>
    <s v="CSF"/>
    <n v="1000000"/>
    <n v="0"/>
    <n v="1000000"/>
    <n v="1000000"/>
    <s v="PAGO SANEAMIENTO AMBIENTAL DE SEDE T. CAQUETA"/>
    <s v="3621"/>
    <s v="-0"/>
    <s v="-0"/>
    <s v="-0"/>
    <s v="-0"/>
    <s v="-0"/>
    <x v="0"/>
    <x v="0"/>
  </r>
  <r>
    <s v="3721"/>
    <s v="2021-06-25 00:00:00"/>
    <s v="2021-06-25 11:33:00"/>
    <s v="Gasto"/>
    <s v="Anulado"/>
    <s v="0500"/>
    <x v="5"/>
    <x v="1"/>
    <s v="ADQUISICIÓN DE BIENES Y SERVICIOS - SERVICIO DE INFORMACIÓN CATASTRAL - ACTUALIZACIÓN  Y GESTIÓN CATASTRAL  NACIONAL"/>
    <s v="Nación"/>
    <x v="0"/>
    <s v="CSF"/>
    <n v="952167"/>
    <n v="-952167"/>
    <n v="0"/>
    <n v="0"/>
    <s v="PAGO ANTICIPO VIATICOS ANGELICA MOLINA"/>
    <s v="3721"/>
    <s v="-0"/>
    <s v="-0"/>
    <s v="-0"/>
    <s v="-0"/>
    <s v="-0"/>
    <x v="0"/>
    <x v="1"/>
  </r>
  <r>
    <s v="3821"/>
    <s v="2021-06-28 00:00:00"/>
    <s v="2021-06-28 18:42:00"/>
    <s v="Gasto"/>
    <s v="Anulado"/>
    <s v="0500"/>
    <x v="5"/>
    <x v="1"/>
    <s v="ADQUISICIÓN DE BIENES Y SERVICIOS - SERVICIO DE INFORMACIÓN CATASTRAL - ACTUALIZACIÓN  Y GESTIÓN CATASTRAL  NACIONAL"/>
    <s v="Nación"/>
    <x v="0"/>
    <s v="CSF"/>
    <n v="1230758"/>
    <n v="-1230758"/>
    <n v="0"/>
    <n v="0"/>
    <s v="PAGO ANTICIPO COMISION PARA FUNCIONARIA ANGELICA MOLINA"/>
    <s v="3821"/>
    <s v="-0"/>
    <s v="-0"/>
    <s v="-0"/>
    <s v="-0"/>
    <s v="-0"/>
    <x v="0"/>
    <x v="1"/>
  </r>
  <r>
    <s v="4321"/>
    <s v="2021-07-01 00:00:00"/>
    <s v="2021-07-01 14:54:00"/>
    <s v="Gasto"/>
    <s v="Con Compromiso"/>
    <s v="0500"/>
    <x v="5"/>
    <x v="1"/>
    <s v="ADQUISICIÓN DE BIENES Y SERVICIOS - SERVICIO DE INFORMACIÓN CATASTRAL - ACTUALIZACIÓN  Y GESTIÓN CATASTRAL  NACIONAL"/>
    <s v="Nación"/>
    <x v="0"/>
    <s v="CSF"/>
    <n v="1527546"/>
    <n v="0"/>
    <n v="1527546"/>
    <n v="0"/>
    <s v="PAGO ANTICIPO DE COMISION ANGELICA MOLINA"/>
    <s v="4421"/>
    <s v="4721"/>
    <s v="5921"/>
    <s v="19221"/>
    <s v="160046121"/>
    <s v="-0"/>
    <x v="0"/>
    <x v="1"/>
  </r>
  <r>
    <s v="4421"/>
    <s v="2021-07-07 00:00:00"/>
    <s v="2021-07-07 12:46:00"/>
    <s v="Gasto"/>
    <s v="Generado"/>
    <s v="0200"/>
    <x v="5"/>
    <x v="19"/>
    <s v="ADQUISICIÓN DE BIENES Y SERVICIOS - SEDES MANTENIDAS - FORTALECIMIENTO DE LA INFRAESTRUCTURA FÍSICA DEL IGAC A NIVEL  NACIONAL"/>
    <s v="Nación"/>
    <x v="0"/>
    <s v="CSF"/>
    <n v="6000000"/>
    <n v="0"/>
    <n v="6000000"/>
    <n v="6000000"/>
    <s v="CONTRATACION PRESTACION DE SERVICIOS"/>
    <s v="4521"/>
    <s v="-0"/>
    <s v="-0"/>
    <s v="-0"/>
    <s v="-0"/>
    <s v="-0"/>
    <x v="0"/>
    <x v="0"/>
  </r>
  <r>
    <s v="5221"/>
    <s v="2021-08-03 00:00:00"/>
    <s v="2021-08-03 16:06:00"/>
    <s v="Gasto"/>
    <s v="Con Compromiso"/>
    <s v="0500"/>
    <x v="5"/>
    <x v="1"/>
    <s v="ADQUISICIÓN DE BIENES Y SERVICIOS - SERVICIO DE INFORMACIÓN CATASTRAL - ACTUALIZACIÓN  Y GESTIÓN CATASTRAL  NACIONAL"/>
    <s v="Nación"/>
    <x v="0"/>
    <s v="CSF"/>
    <n v="407319"/>
    <n v="0"/>
    <n v="407319"/>
    <n v="0"/>
    <s v="VIATICOS REUNION DEL 10 DE AGOSTO DE 2021 DE LOS DIRECTORES TERRITORIALES"/>
    <s v="5521"/>
    <s v="5621"/>
    <s v="7621"/>
    <s v="21421"/>
    <s v="192728021"/>
    <s v="-0"/>
    <x v="0"/>
    <x v="1"/>
  </r>
  <r>
    <s v="5321"/>
    <s v="2021-08-24 00:00:00"/>
    <s v="2021-08-24 11:33:00"/>
    <s v="Gasto"/>
    <s v="Con Compromiso"/>
    <s v="0510"/>
    <x v="5"/>
    <x v="16"/>
    <s v="ADQUISICIÓN DE BIENES Y SERVICIOS - SERVICIO DE AVALÚOS - ACTUALIZACIÓN  Y GESTIÓN CATASTRAL  NACIONAL"/>
    <s v="Propios"/>
    <x v="1"/>
    <s v="CSF"/>
    <n v="20000000"/>
    <n v="0"/>
    <n v="20000000"/>
    <n v="0"/>
    <s v="PRESTACION DE SERVICIOS PROFESIONALES PARA REALIZAR AVALUOS COMERCIALES, DE LOS BIENES URBANOS Y RURALES, SOLICITADOS EN LA TERRITORIAL CAQUETA"/>
    <s v="5621"/>
    <s v="6021"/>
    <s v="-0"/>
    <s v="-0"/>
    <s v="-0"/>
    <s v="-0"/>
    <x v="0"/>
    <x v="6"/>
  </r>
  <r>
    <s v="5621"/>
    <s v="2021-08-27 00:00:00"/>
    <s v="2021-08-27 15:10:00"/>
    <s v="Gasto"/>
    <s v="Con Compromiso"/>
    <s v="0500"/>
    <x v="5"/>
    <x v="1"/>
    <s v="ADQUISICIÓN DE BIENES Y SERVICIOS - SERVICIO DE INFORMACIÓN CATASTRAL - ACTUALIZACIÓN  Y GESTIÓN CATASTRAL  NACIONAL"/>
    <s v="Propios"/>
    <x v="1"/>
    <s v="CSF"/>
    <n v="11305311"/>
    <n v="-619379"/>
    <n v="10685932"/>
    <n v="61843"/>
    <s v="Prestación de servicios como reconocedor predial integral para el área de conservación catastral de la dirección territorial Caquetá."/>
    <s v="5921"/>
    <s v="6221"/>
    <s v="-0"/>
    <s v="-0"/>
    <s v="-0"/>
    <s v="-0"/>
    <x v="0"/>
    <x v="1"/>
  </r>
  <r>
    <s v="321"/>
    <s v="2021-05-28 00:00:00"/>
    <s v="2021-05-28 10:28:00"/>
    <s v="Gasto"/>
    <s v="Con Compromiso"/>
    <s v="0200"/>
    <x v="6"/>
    <x v="0"/>
    <s v="ADQUISICIÓN DE BIENES Y SERVICIOS - SERVICIOS TECNOLÓGICOS - FORTALECIMIENTO DE LA GESTIÓN INSTITUCIONAL DEL IGAC A NIVEL   NACIONAL"/>
    <s v="Nación"/>
    <x v="0"/>
    <s v="CSF"/>
    <n v="27301770"/>
    <n v="0"/>
    <n v="27301770"/>
    <n v="1820118"/>
    <s v="Prestación de servicios profesionales para desarrollar actividades de soporte informático relacionados con la gestión de software, hardware e infraestructura tecnológica en formación, actualización de la formación y conservación_x000a_catastral en la direc"/>
    <s v="321"/>
    <s v="121"/>
    <s v="521"/>
    <s v="1521, 1621"/>
    <s v="208941621, 208942321"/>
    <s v="-0"/>
    <x v="0"/>
    <x v="0"/>
  </r>
  <r>
    <s v="421"/>
    <s v="2021-06-10 00:00:00"/>
    <s v="2021-06-10 09:18:00"/>
    <s v="Gasto"/>
    <s v="Generado"/>
    <s v="0500"/>
    <x v="6"/>
    <x v="1"/>
    <s v="ADQUISICIÓN DE BIENES Y SERVICIOS - SERVICIO DE INFORMACIÓN CATASTRAL - ACTUALIZACIÓN  Y GESTIÓN CATASTRAL  NACIONAL"/>
    <s v="Propios"/>
    <x v="1"/>
    <s v="CSF"/>
    <n v="750000"/>
    <n v="0"/>
    <n v="750000"/>
    <n v="750000"/>
    <s v="Mantenimiento preventivo, correctivo, suministro e instalación de repuestos de los vehículos de la dirección territorial Casanare"/>
    <s v="421"/>
    <s v="-0"/>
    <s v="-0"/>
    <s v="-0"/>
    <s v="-0"/>
    <s v="-0"/>
    <x v="0"/>
    <x v="1"/>
  </r>
  <r>
    <s v="821"/>
    <s v="2021-06-30 00:00:00"/>
    <s v="2021-06-30 13:50:00"/>
    <s v="Gasto"/>
    <s v="Generado"/>
    <s v="0500"/>
    <x v="6"/>
    <x v="1"/>
    <s v="ADQUISICIÓN DE BIENES Y SERVICIOS - SERVICIO DE INFORMACIÓN CATASTRAL - ACTUALIZACIÓN  Y GESTIÓN CATASTRAL  NACIONAL"/>
    <s v="Propios"/>
    <x v="1"/>
    <s v="CSF"/>
    <n v="39655000"/>
    <n v="0"/>
    <n v="39655000"/>
    <n v="39655000"/>
    <s v="Prestación de servicios personales para realizar las actividades de reconocimiento predial urbano y rural requeridos en el marco del proceso de conservación catastral a cargo de la Dirección Territorial Casanare"/>
    <s v="1321"/>
    <s v="-0"/>
    <s v="-0"/>
    <s v="-0"/>
    <s v="-0"/>
    <s v="-0"/>
    <x v="0"/>
    <x v="1"/>
  </r>
  <r>
    <s v="521"/>
    <s v="2021-02-04 00:00:00"/>
    <s v="2021-02-04 07:45:00"/>
    <s v="Gasto"/>
    <s v="Generado"/>
    <s v="0510"/>
    <x v="7"/>
    <x v="16"/>
    <s v="ADQUISICIÓN DE BIENES Y SERVICIOS - SERVICIO DE AVALÚOS - ACTUALIZACIÓN  Y GESTIÓN CATASTRAL  NACIONAL"/>
    <s v="Propios"/>
    <x v="1"/>
    <s v="CSF"/>
    <n v="1256640"/>
    <n v="0"/>
    <n v="1256640"/>
    <n v="1256640"/>
    <s v="Viáticos para el proceso de Avalúos en la Dirección Territorial Cauca"/>
    <s v="921"/>
    <s v="-0"/>
    <s v="-0"/>
    <s v="-0"/>
    <s v="-0"/>
    <s v="-0"/>
    <x v="0"/>
    <x v="6"/>
  </r>
  <r>
    <s v="621"/>
    <s v="2021-02-04 00:00:00"/>
    <s v="2021-02-04 07:46:00"/>
    <s v="Gasto"/>
    <s v="Con Compromiso"/>
    <s v="0510"/>
    <x v="7"/>
    <x v="16"/>
    <s v="ADQUISICIÓN DE BIENES Y SERVICIOS - SERVICIO DE AVALÚOS - ACTUALIZACIÓN  Y GESTIÓN CATASTRAL  NACIONAL"/>
    <s v="Propios"/>
    <x v="1"/>
    <s v="CSF"/>
    <n v="78451360"/>
    <n v="0"/>
    <n v="78451360"/>
    <n v="453666"/>
    <s v="Contratación de prestación de servicios para el proceso de Avalúos en la Dirección Territorial Cauca"/>
    <s v="821"/>
    <s v="4021, 9921, 10021"/>
    <s v="5321, 39121"/>
    <s v="16821, 25721, 36521, 49521, 50821, 61221"/>
    <s v="89820321, 118644121, 146173621, 176896421, 176898021, 215226921"/>
    <s v="-0"/>
    <x v="0"/>
    <x v="6"/>
  </r>
  <r>
    <s v="721"/>
    <s v="2021-02-04 00:00:00"/>
    <s v="2021-02-04 07:47:00"/>
    <s v="Gasto"/>
    <s v="Con Compromiso"/>
    <s v="0500"/>
    <x v="7"/>
    <x v="1"/>
    <s v="ADQUISICIÓN DE BIENES Y SERVICIOS - SERVICIO DE INFORMACIÓN CATASTRAL - ACTUALIZACIÓN  Y GESTIÓN CATASTRAL  NACIONAL"/>
    <s v="Nación"/>
    <x v="0"/>
    <s v="CSF"/>
    <n v="30325000"/>
    <n v="-3151424"/>
    <n v="27173576"/>
    <n v="1563"/>
    <s v="Contratación de prestación de servicios para el proceso de Política de Tierras en la Dirección Territorial Cauca"/>
    <s v="721"/>
    <s v="1921, 3221"/>
    <s v="1921, 2021"/>
    <s v="11321, 11421, 21021, 22921, 26021, 26121, 39621, 42221, 42321, 51521, 69921"/>
    <s v="63448421, 63450421, 94027221, 94750421, 120349221, 120351321, 148664121, 159520121, 159522421, 180043321, 218369221"/>
    <s v="-0"/>
    <x v="0"/>
    <x v="1"/>
  </r>
  <r>
    <s v="821"/>
    <s v="2021-02-04 00:00:00"/>
    <s v="2021-02-04 07:48:00"/>
    <s v="Gasto"/>
    <s v="Con Compromiso"/>
    <s v="0500"/>
    <x v="7"/>
    <x v="1"/>
    <s v="ADQUISICIÓN DE BIENES Y SERVICIOS - SERVICIO DE INFORMACIÓN CATASTRAL - ACTUALIZACIÓN  Y GESTIÓN CATASTRAL  NACIONAL"/>
    <s v="Nación"/>
    <x v="0"/>
    <s v="CSF"/>
    <n v="7722587"/>
    <n v="-6010601"/>
    <n v="1711986"/>
    <n v="981407"/>
    <s v="Viáticos proceso de Conservación Catastral en la Dirección Territorial Cauca"/>
    <s v="621"/>
    <s v="15821, 15921, 16621"/>
    <s v="27321, 27421, 44621"/>
    <s v="39221, 39321, 55921"/>
    <s v="148645321, 148648921, 191489621"/>
    <s v="-0"/>
    <x v="0"/>
    <x v="1"/>
  </r>
  <r>
    <s v="921"/>
    <s v="2021-02-04 00:00:00"/>
    <s v="2021-02-04 07:49:00"/>
    <s v="Gasto"/>
    <s v="Con Compromiso"/>
    <s v="0500"/>
    <x v="7"/>
    <x v="1"/>
    <s v="ADQUISICIÓN DE BIENES Y SERVICIOS - SERVICIO DE INFORMACIÓN CATASTRAL - ACTUALIZACIÓN  Y GESTIÓN CATASTRAL  NACIONAL"/>
    <s v="Nación"/>
    <x v="0"/>
    <s v="CSF"/>
    <n v="88752870"/>
    <n v="9162025"/>
    <n v="97914895"/>
    <n v="0"/>
    <s v="Contratación de prestación de servicios para procesos de Conservación Catastral en la Dirección Territorial Cauca"/>
    <s v="521"/>
    <s v="821, 921, 1021, 1121"/>
    <s v="721, 821, 921, 1321"/>
    <s v="8121, 8221, 8321, 8521, 11021, 11121, 11221, 11521, 16621, 20721, 20921, 23021, 25821, 25921, 26221, 28921, 39421, 39721, 40921, 41021, 43121, 51321, 51421, 51621, 51721, 69521, 69621, 69721, 69821"/>
    <s v="45829621, 45834621, 45849721, 52992021, 63438721, 63444421, 63447321, 63452121, 89817521, 94020721, 94024121, 95476221, 118798021, 120346321, 120353521, 121257821, 148656521, 148669021, 153432221, 153432821, 161193221, 179993521, 180031421, 180871721, 180876021, 218364721, 218365921, 218367121, 218373621"/>
    <s v="-0"/>
    <x v="0"/>
    <x v="1"/>
  </r>
  <r>
    <s v="1021"/>
    <s v="2021-02-16 00:00:00"/>
    <s v="2021-02-16 10:07:00"/>
    <s v="Gasto"/>
    <s v="Con Compromiso"/>
    <s v="0500"/>
    <x v="7"/>
    <x v="1"/>
    <s v="ADQUISICIÓN DE BIENES Y SERVICIOS - SERVICIO DE INFORMACIÓN CATASTRAL - ACTUALIZACIÓN  Y GESTIÓN CATASTRAL  NACIONAL"/>
    <s v="Propios"/>
    <x v="1"/>
    <s v="CSF"/>
    <n v="71452206"/>
    <n v="20528332"/>
    <n v="91980538"/>
    <n v="20528332"/>
    <s v="Prestación de servicios personales para realizar actividades de apoyo operativo del proceso de actualización catastral del municipio de Popayán"/>
    <s v="1521"/>
    <s v="2221, 3321, 3421, 3521, 3621, 5121"/>
    <s v="2221, 4021, 4121, 4221, 4421, 6521"/>
    <s v="11621, 14321, 14421, 14621, 14821, 16721, 16921, 17021, 17321, 17421, 18121, 25321, 25621, 28021, 29021, 29221, 29321, 35921, 36021, 36221, 36321, 36921, 39521, 51821, 51921, 52421, 54021, 54121, 54221, 65321, 65421, 65521, 68821, 69021, 70121"/>
    <s v="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
    <s v="-0"/>
    <x v="0"/>
    <x v="1"/>
  </r>
  <r>
    <s v="1121"/>
    <s v="2021-02-16 00:00:00"/>
    <s v="2021-02-16 10:08:00"/>
    <s v="Gasto"/>
    <s v="Con Compromiso"/>
    <s v="0500"/>
    <x v="7"/>
    <x v="1"/>
    <s v="ADQUISICIÓN DE BIENES Y SERVICIOS - SERVICIO DE INFORMACIÓN CATASTRAL - ACTUALIZACIÓN  Y GESTIÓN CATASTRAL  NACIONAL"/>
    <s v="Propios"/>
    <x v="1"/>
    <s v="CSF"/>
    <n v="41964300"/>
    <n v="1258930"/>
    <n v="43223230"/>
    <n v="9651790"/>
    <s v="Prestación de servicios de apoyo a la gestión desarrollada en los procesos actualización catastral adelantados por la Territorial cauca."/>
    <s v="1421"/>
    <s v="1321, 1421"/>
    <s v="2821, 2921"/>
    <s v="12021, 14121, 18821, 18921, 27121, 27221, 37221, 37321, 52521, 52621, 70021, 70221"/>
    <s v="64116721, 73061921, 93925621, 93929221, 120382621, 120385321, 146203021, 146204521, 180907321, 180908721, 218382321, 218390321"/>
    <s v="-0"/>
    <x v="0"/>
    <x v="1"/>
  </r>
  <r>
    <s v="1221"/>
    <s v="2021-02-16 00:00:00"/>
    <s v="2021-02-16 10:09:00"/>
    <s v="Gasto"/>
    <s v="Con Compromiso"/>
    <s v="0500"/>
    <x v="7"/>
    <x v="1"/>
    <s v="ADQUISICIÓN DE BIENES Y SERVICIOS - SERVICIO DE INFORMACIÓN CATASTRAL - ACTUALIZACIÓN  Y GESTIÓN CATASTRAL  NACIONAL"/>
    <s v="Propios"/>
    <x v="1"/>
    <s v="CSF"/>
    <n v="87079760"/>
    <n v="870797"/>
    <n v="87950557"/>
    <n v="18286749"/>
    <s v="Prestación de servicios profesionales como coordinador general del proceso de actualización catastral en el municipio de Popayán"/>
    <s v="1321"/>
    <s v="1221"/>
    <s v="1021"/>
    <s v="10921, 12121, 20821, 29421, 48321, 56021"/>
    <s v="63436221, 64228421, 94049421, 95026721, 129324521, 170393421, 193200321"/>
    <s v="-0"/>
    <x v="0"/>
    <x v="1"/>
  </r>
  <r>
    <s v="1321"/>
    <s v="2021-02-16 00:00:00"/>
    <s v="2021-02-16 10:10:00"/>
    <s v="Gasto"/>
    <s v="Con Compromiso"/>
    <s v="0500"/>
    <x v="7"/>
    <x v="1"/>
    <s v="ADQUISICIÓN DE BIENES Y SERVICIOS - SERVICIO DE INFORMACIÓN CATASTRAL - ACTUALIZACIÓN  Y GESTIÓN CATASTRAL  NACIONAL"/>
    <s v="Propios"/>
    <x v="1"/>
    <s v="CSF"/>
    <n v="23500000"/>
    <n v="-5265392"/>
    <n v="18234608"/>
    <n v="0"/>
    <s v="Suministro e Instalación de red eléctrica regulada y no regulada en la Sede de atención del Proceso de Actualización Catastral del municipio de Popayán."/>
    <s v="1221"/>
    <s v="8121"/>
    <s v="39421"/>
    <s v="55021"/>
    <s v="184069821"/>
    <s v="-0"/>
    <x v="0"/>
    <x v="1"/>
  </r>
  <r>
    <s v="1421"/>
    <s v="2021-02-16 00:00:00"/>
    <s v="2021-02-16 10:11:00"/>
    <s v="Gasto"/>
    <s v="Generado"/>
    <s v="0500"/>
    <x v="7"/>
    <x v="1"/>
    <s v="ADQUISICIÓN DE BIENES Y SERVICIOS - SERVICIO DE INFORMACIÓN CATASTRAL - ACTUALIZACIÓN  Y GESTIÓN CATASTRAL  NACIONAL"/>
    <s v="Propios"/>
    <x v="1"/>
    <s v="CSF"/>
    <n v="6500000"/>
    <n v="0"/>
    <n v="6500000"/>
    <n v="6500000"/>
    <s v="Contratación Mantenimiento Preventivo y Correctivo de los plotters de la Dirección Territorial Cauca para el proceso de Actualización del municipio de Popayán"/>
    <s v="1121"/>
    <s v="-0"/>
    <s v="-0"/>
    <s v="-0"/>
    <s v="-0"/>
    <s v="-0"/>
    <x v="0"/>
    <x v="1"/>
  </r>
  <r>
    <s v="1521"/>
    <s v="2021-02-16 00:00:00"/>
    <s v="2021-02-16 10:11:00"/>
    <s v="Gasto"/>
    <s v="Con Compromiso"/>
    <s v="0500"/>
    <x v="7"/>
    <x v="1"/>
    <s v="ADQUISICIÓN DE BIENES Y SERVICIOS - SERVICIO DE INFORMACIÓN CATASTRAL - ACTUALIZACIÓN  Y GESTIÓN CATASTRAL  NACIONAL"/>
    <s v="Propios"/>
    <x v="1"/>
    <s v="CSF"/>
    <n v="31500000"/>
    <n v="-3900000"/>
    <n v="27600000"/>
    <n v="0"/>
    <s v="Contratación Arrendamiento de sede para el proceso de actualización catastral del municipio de Popayán"/>
    <s v="1021"/>
    <s v="2021"/>
    <s v="3421"/>
    <s v="14021, 17121, 17221, 27821, 42121, 49421, 61121"/>
    <s v="67408521, 93825021, 93828021, 120437721, 159518621, 176884921, 215223821"/>
    <s v="-0"/>
    <x v="0"/>
    <x v="1"/>
  </r>
  <r>
    <s v="1621"/>
    <s v="2021-02-23 00:00:00"/>
    <s v="2021-02-23 14:10:00"/>
    <s v="Gasto"/>
    <s v="Con Compromiso"/>
    <s v="0500"/>
    <x v="7"/>
    <x v="1"/>
    <s v="ADQUISICIÓN DE BIENES Y SERVICIOS - SERVICIO DE INFORMACIÓN CATASTRAL - ACTUALIZACIÓN  Y GESTIÓN CATASTRAL  NACIONAL"/>
    <s v="Propios"/>
    <x v="1"/>
    <s v="CSF"/>
    <n v="328055000"/>
    <n v="2403334"/>
    <n v="330458334"/>
    <n v="92528334"/>
    <s v="prestación de servicios tecnicos de apoyo al seguimiento, planeación y gestión del reconocimiento predial en el proceso de actualización catastral del municipio de Popayán"/>
    <s v="1821"/>
    <s v="2921, 3021, 3121, 3721, 5221, 5321, 10221, 10321, 10421, 10521, 11821"/>
    <s v="4721, 4821, 4921, 7621, 8021, 8121, 17921, 19921, 21121, 22021, 28221"/>
    <s v="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
    <s v="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
    <s v="-0"/>
    <x v="0"/>
    <x v="1"/>
  </r>
  <r>
    <s v="1721"/>
    <s v="2021-02-23 00:00:00"/>
    <s v="2021-02-23 14:11:00"/>
    <s v="Gasto"/>
    <s v="Con Compromiso"/>
    <s v="0500"/>
    <x v="7"/>
    <x v="1"/>
    <s v="ADQUISICIÓN DE BIENES Y SERVICIOS - SERVICIO DE INFORMACIÓN CATASTRAL - ACTUALIZACIÓN  Y GESTIÓN CATASTRAL  NACIONAL"/>
    <s v="Propios"/>
    <x v="1"/>
    <s v="CSF"/>
    <n v="280505715"/>
    <n v="34729278"/>
    <n v="315234993"/>
    <n v="66787074"/>
    <s v="Prestación de servicios personales para realizar actividades de digitalización y generación de productos resultantes del proceso de actualización catastral del municipio de Popayán"/>
    <s v="1721"/>
    <s v="2321, 2421, 2521, 3821, 7721, 7921, 8021, 9021, 10121, 12121, 12221, 12321, 12421, 12621, 12721"/>
    <s v="3121, 3221, 3321, 6121, 6221, 6721, 13221, 16021, 16321, 16421, 16621, 16721, 17021"/>
    <s v="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
    <s v="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
    <s v="-0"/>
    <x v="0"/>
    <x v="1"/>
  </r>
  <r>
    <s v="1821"/>
    <s v="2021-02-23 00:00:00"/>
    <s v="2021-02-23 14:12:00"/>
    <s v="Gasto"/>
    <s v="Con Compromiso"/>
    <s v="0500"/>
    <x v="7"/>
    <x v="1"/>
    <s v="ADQUISICIÓN DE BIENES Y SERVICIOS - SERVICIO DE INFORMACIÓN CATASTRAL - ACTUALIZACIÓN  Y GESTIÓN CATASTRAL  NACIONAL"/>
    <s v="Propios"/>
    <x v="1"/>
    <s v="CSF"/>
    <n v="72804720"/>
    <n v="-14560944"/>
    <n v="58243776"/>
    <n v="0"/>
    <s v="Prestación de servicios profesionales para realizar las socializaciones requeridas en el proceso de actualización catastral del municipio de Popayán"/>
    <s v="1621"/>
    <s v="2721, 2821"/>
    <s v="4321, 4621"/>
    <s v="14521, 14921, 17921, 18021, 26621, 26821, 37121, 40021, 51021, 55321, 60921, 69321"/>
    <s v="74133821, 81040121, 93869421, 93872621, 120364821, 120375621, 146201321, 148684921, 179712721, 183840821, 212307021, 218362021"/>
    <s v="-0"/>
    <x v="0"/>
    <x v="1"/>
  </r>
  <r>
    <s v="2021"/>
    <s v="2021-02-24 00:00:00"/>
    <s v="2021-02-24 16:06:00"/>
    <s v="Gasto"/>
    <s v="Con Compromiso"/>
    <s v="0500"/>
    <x v="7"/>
    <x v="1"/>
    <s v="ADQUISICIÓN DE BIENES Y SERVICIOS - SERVICIO DE INFORMACIÓN CATASTRAL - ACTUALIZACIÓN  Y GESTIÓN CATASTRAL  NACIONAL"/>
    <s v="Propios"/>
    <x v="1"/>
    <s v="CSF"/>
    <n v="56101143"/>
    <n v="-52717265"/>
    <n v="3383878"/>
    <n v="0"/>
    <s v="Prestación de servicios profesionales para realizar la depuración y análisis de información registral en las bases catastrales para el  proceso de actualización catastral del municipio de Popayán (ICARE)"/>
    <s v="2021"/>
    <s v="3921"/>
    <s v="8221"/>
    <s v="19821, 23121"/>
    <s v="93973721, 105211421"/>
    <s v="-0"/>
    <x v="0"/>
    <x v="1"/>
  </r>
  <r>
    <s v="2121"/>
    <s v="2021-03-08 00:00:00"/>
    <s v="2021-03-08 11:31:00"/>
    <s v="Gasto"/>
    <s v="Con Compromiso"/>
    <s v="0500"/>
    <x v="7"/>
    <x v="1"/>
    <s v="ADQUISICIÓN DE BIENES Y SERVICIOS - SERVICIO DE INFORMACIÓN CATASTRAL - ACTUALIZACIÓN  Y GESTIÓN CATASTRAL  NACIONAL"/>
    <s v="Propios"/>
    <x v="1"/>
    <s v="CSF"/>
    <n v="57577930"/>
    <n v="0"/>
    <n v="57577930"/>
    <n v="0"/>
    <s v="Prestación de servicios profesionales  para realizar actividades de topografía urbano y rural para la atención de tramites en el proceso de actualización catastral del municipio de Popayán en la dirección territorial cauca"/>
    <s v="2621"/>
    <s v="8221, 8321"/>
    <s v="17421, 18021"/>
    <s v="29821, 29921, 45221, 45321, 60721, 60821"/>
    <s v="129338321, 129339621, 165079621, 165087121, 208665121, 208665421"/>
    <s v="-0"/>
    <x v="0"/>
    <x v="1"/>
  </r>
  <r>
    <s v="2221"/>
    <s v="2021-03-08 00:00:00"/>
    <s v="2021-03-08 11:34:00"/>
    <s v="Gasto"/>
    <s v="Con Compromiso"/>
    <s v="0500"/>
    <x v="7"/>
    <x v="1"/>
    <s v="ADQUISICIÓN DE BIENES Y SERVICIOS - SERVICIO DE INFORMACIÓN CATASTRAL - ACTUALIZACIÓN  Y GESTIÓN CATASTRAL  NACIONAL"/>
    <s v="Propios"/>
    <x v="1"/>
    <s v="CSF"/>
    <n v="546828100"/>
    <n v="239562787"/>
    <n v="786390887"/>
    <n v="153632657"/>
    <s v="Prestación de servicios personales para realizar actividades de reconocimiento predial en el proceso de actualización catastral del municipio de Popayán en la dirección territorial cauca"/>
    <s v="2521"/>
    <s v="5821, 5921, 6021, 6121, 6221, 6321, 6421, 6521, 6621, 6721, 6821, 6921, 7021, 7121, 7221, 7321, 7421, 7521, 7621, 9221, 9321, 9421, 9521, 9621, 10721, 10821, 10921, 11021, 11121, 11221, 11321, 11721, 11921, 12021"/>
    <s v="6621, 6821, 6921, 7021, 7121, 7421, 7721, 7921, 8321, 8621, 8721, 8821, 9021, 9821, 9921, 10121, 10221, 10421, 10521, 16921, 17121, 20021, 20321, 20721, 21221, 21421, 21521, 21621, 22421, 22521, 23021, 23221, 23321, 24321"/>
    <s v="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
    <s v="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
    <s v="-0"/>
    <x v="0"/>
    <x v="1"/>
  </r>
  <r>
    <s v="2321"/>
    <s v="2021-03-08 00:00:00"/>
    <s v="2021-03-08 11:35:00"/>
    <s v="Gasto"/>
    <s v="Con Compromiso"/>
    <s v="0500"/>
    <x v="7"/>
    <x v="1"/>
    <s v="ADQUISICIÓN DE BIENES Y SERVICIOS - SERVICIO DE INFORMACIÓN CATASTRAL - ACTUALIZACIÓN  Y GESTIÓN CATASTRAL  NACIONAL"/>
    <s v="Propios"/>
    <x v="1"/>
    <s v="CSF"/>
    <n v="328443984"/>
    <n v="74646360"/>
    <n v="403090344"/>
    <n v="164221992"/>
    <s v="Prestación de servicios profesionales para realizar la edición, depuración y consolidación de los productos cartográficos requeridos para el componente geográfico del proceso de actualización catastral del municipio de Popayán en la dirección territo"/>
    <s v="2421"/>
    <s v="5421, 5521, 5621, 5721, 8421, 9121, 10621, 12521"/>
    <s v="8421, 8521, 9721, 10321, 13921, 14121, 17821, 20621"/>
    <s v="20021, 20121, 21121, 21621, 26921, 27621, 27721, 29621, 29721, 30221, 31221, 33421, 39821, 39921, 44221, 44321, 44421, 44921, 45121, 53021, 53921, 56121, 56621, 58021, 58621, 59421, 59621, 65121, 68121, 68221"/>
    <s v="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
    <s v="-0"/>
    <x v="0"/>
    <x v="1"/>
  </r>
  <r>
    <s v="2621"/>
    <s v="2021-04-05 00:00:00"/>
    <s v="2021-04-05 21:36:00"/>
    <s v="Gasto"/>
    <s v="Con Compromiso"/>
    <s v="0500"/>
    <x v="7"/>
    <x v="1"/>
    <s v="ADQUISICIÓN DE BIENES Y SERVICIOS - SERVICIO DE INFORMACIÓN CATASTRAL - ACTUALIZACIÓN  Y GESTIÓN CATASTRAL  NACIONAL"/>
    <s v="Propios"/>
    <x v="1"/>
    <s v="CSF"/>
    <n v="2700000"/>
    <n v="0"/>
    <n v="2700000"/>
    <n v="0"/>
    <s v="viaticos proceso de actualizacion catastral terr cauca"/>
    <s v="3221"/>
    <s v="7821"/>
    <s v="4521"/>
    <s v="14721"/>
    <s v="74410521"/>
    <s v="121, 221, 321"/>
    <x v="0"/>
    <x v="1"/>
  </r>
  <r>
    <s v="2721"/>
    <s v="2021-04-08 00:00:00"/>
    <s v="2021-04-08 16:38:00"/>
    <s v="Gasto"/>
    <s v="Con Compromiso"/>
    <s v="0500"/>
    <x v="7"/>
    <x v="1"/>
    <s v="ADQUISICIÓN DE BIENES Y SERVICIOS - SERVICIO DE INFORMACIÓN CATASTRAL - ACTUALIZACIÓN  Y GESTIÓN CATASTRAL  NACIONAL"/>
    <s v="Propios"/>
    <x v="1"/>
    <s v="CSF"/>
    <n v="161218204"/>
    <n v="14394483"/>
    <n v="175612687"/>
    <n v="14394483"/>
    <s v="prestacion de servicio profesionales para realizar control de calidad de los productos geograficos, alfanumericos y documentales en el proceso de actualizacion catastral del mpio de popayan."/>
    <s v="3321"/>
    <s v="8621, 8721, 8821, 8921"/>
    <s v="14321, 14721, 15021, 15121"/>
    <s v="27021, 27321, 27421, 27521, 41121, 41221, 41321, 41421, 52321, 52921, 53221, 53321, 66821, 67021, 67121, 68921"/>
    <s v="120380021, 120395421, 120402921, 120430921, 153433921, 153434821, 153435821, 153437621, 180905421, 180911421, 181470521, 181473621, 217963721, 217973121, 217978221, 218352921"/>
    <s v="-0"/>
    <x v="0"/>
    <x v="1"/>
  </r>
  <r>
    <s v="3121"/>
    <s v="2021-04-29 00:00:00"/>
    <s v="2021-04-29 11:31:00"/>
    <s v="Gasto"/>
    <s v="Con Compromiso"/>
    <s v="0500"/>
    <x v="7"/>
    <x v="1"/>
    <s v="ADQUISICIÓN DE BIENES Y SERVICIOS - SERVICIO DE INFORMACIÓN CATASTRAL - ACTUALIZACIÓN  Y GESTIÓN CATASTRAL  NACIONAL"/>
    <s v="Propios"/>
    <x v="1"/>
    <s v="CSF"/>
    <n v="283250000"/>
    <n v="128689921"/>
    <n v="411939921"/>
    <n v="185339921"/>
    <s v="prestacion de servicio personales para realizar actividades de reconocimiento predial el los procesos de actualizacion catastral adelantados en el municipio de Popayan."/>
    <s v="3721"/>
    <s v="13021, 13121, 13221, 13321, 13421, 13521, 13621, 13721, 13821, 13921, 14021, 14121, 14221, 14321, 14421, 14721, 14821, 15221, 15421, 15621"/>
    <s v="30121, 31021, 31221, 31421, 31721, 31821, 33221, 33921, 34321, 34721, 34821, 34921, 35021, 35121, 35221, 35721, 35821, 36221, 36621"/>
    <s v="42621, 42821, 43021, 43221, 43421, 43521, 44721, 45421, 45521, 45621, 45721, 45821, 45921, 46021, 46421, 46521, 46821, 47221, 47421, 55621, 55721, 55821, 56521, 56821, 57021, 57421, 57521, 57821, 58221, 58521, 58821, 59021, 59521, 62421, 62521, 62621, 62721, 63121, 63221, 63321, 63421, 64921, 68621, 70421, 70821"/>
    <s v="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
    <s v="-0"/>
    <x v="0"/>
    <x v="1"/>
  </r>
  <r>
    <s v="3221"/>
    <s v="2021-05-18 00:00:00"/>
    <s v="2021-05-18 15:16:00"/>
    <s v="Gasto"/>
    <s v="Con Compromiso"/>
    <s v="0500"/>
    <x v="7"/>
    <x v="1"/>
    <s v="ADQUISICIÓN DE BIENES Y SERVICIOS - SERVICIO DE INFORMACIÓN CATASTRAL - ACTUALIZACIÓN  Y GESTIÓN CATASTRAL  NACIONAL"/>
    <s v="Propios"/>
    <x v="1"/>
    <s v="CSF"/>
    <n v="40072245"/>
    <n v="9439240"/>
    <n v="49511485"/>
    <n v="9439240"/>
    <s v="PRESTACION DE SERVICIO PROFWESIONALES PARA REALIZAR EL ANALISIS DEPURACION,  Y CONSECUCION DE INFORMACION PARA LA ACTUALIZACION DEL COMPONENTE JURIDICO DEL MUNICIPIO DECPOPAYAN"/>
    <s v="3921"/>
    <s v="12921, 14521, 14621"/>
    <s v="28621, 28721"/>
    <s v="40621, 40721, 53521, 54821, 68321, 68421"/>
    <s v="151032521, 151032621, 181509221, 182530221, 218336121, 218338021"/>
    <s v="-0"/>
    <x v="0"/>
    <x v="1"/>
  </r>
  <r>
    <s v="3321"/>
    <s v="2021-05-18 00:00:00"/>
    <s v="2021-05-18 15:21:00"/>
    <s v="Gasto"/>
    <s v="Con Compromiso"/>
    <s v="0500"/>
    <x v="7"/>
    <x v="1"/>
    <s v="ADQUISICIÓN DE BIENES Y SERVICIOS - SERVICIO DE INFORMACIÓN CATASTRAL - ACTUALIZACIÓN  Y GESTIÓN CATASTRAL  NACIONAL"/>
    <s v="Propios"/>
    <x v="1"/>
    <s v="CSF"/>
    <n v="36050000"/>
    <n v="12737666"/>
    <n v="48787666"/>
    <n v="12737666"/>
    <s v="prestacion de servicio tecnico de apoyo al seguimiento, planeacion, y gestion del reconocimiento predial  en el proceso de actualizacion catastral terr cauca."/>
    <s v="4021"/>
    <s v="15021, 15121"/>
    <s v="28421, 28521"/>
    <s v="40421, 40521, 53621, 55221, 68521, 69221"/>
    <s v="151032221, 151032421, 181480821, 183838921, 218342121, 218361121"/>
    <s v="-0"/>
    <x v="0"/>
    <x v="1"/>
  </r>
  <r>
    <s v="3721"/>
    <s v="2021-06-03 00:00:00"/>
    <s v="2021-06-03 15:45:00"/>
    <s v="Gasto"/>
    <s v="Con Compromiso"/>
    <s v="0500"/>
    <x v="7"/>
    <x v="1"/>
    <s v="ADQUISICIÓN DE BIENES Y SERVICIOS - SERVICIO DE INFORMACIÓN CATASTRAL - ACTUALIZACIÓN  Y GESTIÓN CATASTRAL  NACIONAL"/>
    <s v="Propios"/>
    <x v="1"/>
    <s v="CSF"/>
    <n v="2700000"/>
    <n v="0"/>
    <n v="2700000"/>
    <n v="524000"/>
    <s v="viaticos proceso de actualizacion catastral terr cauca"/>
    <s v="4421"/>
    <s v="15521"/>
    <s v="23421"/>
    <s v="34121"/>
    <s v="136905621"/>
    <s v="521"/>
    <x v="0"/>
    <x v="1"/>
  </r>
  <r>
    <s v="4121"/>
    <s v="2021-07-09 00:00:00"/>
    <s v="2021-07-09 09:03:00"/>
    <s v="Gasto"/>
    <s v="Con Compromiso"/>
    <s v="0500"/>
    <x v="7"/>
    <x v="1"/>
    <s v="ADQUISICIÓN DE BIENES Y SERVICIOS - SERVICIO DE INFORMACIÓN CATASTRAL - ACTUALIZACIÓN  Y GESTIÓN CATASTRAL  NACIONAL"/>
    <s v="Propios"/>
    <x v="1"/>
    <s v="CSF"/>
    <n v="5000000"/>
    <n v="0"/>
    <n v="5000000"/>
    <n v="2400000"/>
    <s v="viaticos actualizacion catastral terr cauca"/>
    <s v="4821"/>
    <s v="16421"/>
    <s v="38621"/>
    <s v="49121"/>
    <s v="176852721"/>
    <s v="-0"/>
    <x v="0"/>
    <x v="1"/>
  </r>
  <r>
    <s v="4221"/>
    <s v="2021-07-09 00:00:00"/>
    <s v="2021-07-09 09:07:00"/>
    <s v="Gasto"/>
    <s v="Generado"/>
    <s v="0500"/>
    <x v="7"/>
    <x v="1"/>
    <s v="ADQUISICIÓN DE BIENES Y SERVICIOS - SERVICIO DE INFORMACIÓN CATASTRAL - ACTUALIZACIÓN  Y GESTIÓN CATASTRAL  NACIONAL"/>
    <s v="Propios"/>
    <x v="1"/>
    <s v="CSF"/>
    <n v="6062087"/>
    <n v="0"/>
    <n v="6062087"/>
    <n v="6062087"/>
    <s v="mantenimiento preventivi y correctivo vehiculo ODS774 terr cauca"/>
    <s v="4921"/>
    <s v="-0"/>
    <s v="-0"/>
    <s v="-0"/>
    <s v="-0"/>
    <s v="-0"/>
    <x v="0"/>
    <x v="1"/>
  </r>
  <r>
    <s v="4621"/>
    <s v="2021-07-29 00:00:00"/>
    <s v="2021-07-29 16:22:00"/>
    <s v="Gasto"/>
    <s v="Con Compromiso"/>
    <s v="0500"/>
    <x v="7"/>
    <x v="1"/>
    <s v="ADQUISICIÓN DE BIENES Y SERVICIOS - SERVICIO DE INFORMACIÓN CATASTRAL - ACTUALIZACIÓN  Y GESTIÓN CATASTRAL  NACIONAL"/>
    <s v="Propios"/>
    <x v="1"/>
    <s v="CSF"/>
    <n v="349969984"/>
    <n v="0"/>
    <n v="349969984"/>
    <n v="0"/>
    <s v="PRESTACION DE SERVICIOS RECONOCIMIENTO PREDIAL ACTUALIZACION CATASTRAL DIRECCION TERRITORIAL CAUCA"/>
    <s v="5321"/>
    <s v="16721, 16821, 16921, 17021, 17121, 17221, 17321, 17421, 17521, 17621, 17721, 17821, 17921, 18021, 18121, 18221, 18321, 18421, 18521, 18621, 18721, 18821, 19221, 20021, 20121, 20221, 20321, 20421"/>
    <s v="59621, 59821"/>
    <s v="70521, 70721"/>
    <s v="220024121, 220037721"/>
    <s v="-0"/>
    <x v="0"/>
    <x v="1"/>
  </r>
  <r>
    <s v="4721"/>
    <s v="2021-07-29 00:00:00"/>
    <s v="2021-07-29 16:30:00"/>
    <s v="Gasto"/>
    <s v="Con Compromiso"/>
    <s v="0500"/>
    <x v="7"/>
    <x v="1"/>
    <s v="ADQUISICIÓN DE BIENES Y SERVICIOS - SERVICIO DE INFORMACIÓN CATASTRAL - ACTUALIZACIÓN  Y GESTIÓN CATASTRAL  NACIONAL"/>
    <s v="Propios"/>
    <x v="1"/>
    <s v="CSF"/>
    <n v="56650000"/>
    <n v="0"/>
    <n v="56650000"/>
    <n v="22660000"/>
    <s v="PRESTACION DE SERVICIOS RECONOCIMIENTO PREDIAL ACTUALIZACION CATASTRAL DIRECCION TERRITORIAL CAUCA"/>
    <s v="5421"/>
    <s v="19021, 19121, 20521"/>
    <s v="-0"/>
    <s v="-0"/>
    <s v="-0"/>
    <s v="-0"/>
    <x v="0"/>
    <x v="1"/>
  </r>
  <r>
    <s v="4821"/>
    <s v="2021-07-29 00:00:00"/>
    <s v="2021-07-29 16:36:00"/>
    <s v="Gasto"/>
    <s v="Con Compromiso"/>
    <s v="0500"/>
    <x v="7"/>
    <x v="1"/>
    <s v="ADQUISICIÓN DE BIENES Y SERVICIOS - SERVICIO DE INFORMACIÓN CATASTRAL - ACTUALIZACIÓN  Y GESTIÓN CATASTRAL  NACIONAL"/>
    <s v="Propios"/>
    <x v="1"/>
    <s v="CSF"/>
    <n v="13357415"/>
    <n v="0"/>
    <n v="13357415"/>
    <n v="0"/>
    <s v="PRESTACION DE SERVICIOS DIGITALIZACION DE ACTUALIZACION CATASTRAL DIRECCION TERRITORIAL CAUCA"/>
    <s v="5521"/>
    <s v="18921"/>
    <s v="59421"/>
    <s v="70321"/>
    <s v="220004421"/>
    <s v="-0"/>
    <x v="0"/>
    <x v="1"/>
  </r>
  <r>
    <s v="4921"/>
    <s v="2021-07-29 00:00:00"/>
    <s v="2021-07-29 16:44:00"/>
    <s v="Gasto"/>
    <s v="Con Compromiso"/>
    <s v="0500"/>
    <x v="7"/>
    <x v="1"/>
    <s v="ADQUISICIÓN DE BIENES Y SERVICIOS - SERVICIO DE INFORMACIÓN CATASTRAL - ACTUALIZACIÓN  Y GESTIÓN CATASTRAL  NACIONAL"/>
    <s v="Propios"/>
    <x v="1"/>
    <s v="CSF"/>
    <n v="72100000"/>
    <n v="0"/>
    <n v="72100000"/>
    <n v="12497336"/>
    <s v="PRESTACION DE SERVICIOS TECNICOS DE APOYO AL SEGUIMIENTO, PLANEACION Y GESTION DE ACTUALIZACION CATASTRAL"/>
    <s v="5621"/>
    <s v="19521, 19621, 19721, 19821, 20921"/>
    <s v="59721, 60021"/>
    <s v="70621, 70921"/>
    <s v="220032521, 220087321"/>
    <s v="-0"/>
    <x v="0"/>
    <x v="1"/>
  </r>
  <r>
    <s v="5021"/>
    <s v="2021-07-29 00:00:00"/>
    <s v="2021-07-29 16:50:00"/>
    <s v="Gasto"/>
    <s v="Con Compromiso"/>
    <s v="0500"/>
    <x v="7"/>
    <x v="1"/>
    <s v="ADQUISICIÓN DE BIENES Y SERVICIOS - SERVICIO DE INFORMACIÓN CATASTRAL - ACTUALIZACIÓN  Y GESTIÓN CATASTRAL  NACIONAL"/>
    <s v="Propios"/>
    <x v="1"/>
    <s v="CSF"/>
    <n v="17012430"/>
    <n v="0"/>
    <n v="17012430"/>
    <n v="2268325"/>
    <s v="PRESTACION DE SERVICIOS APOYO OPERATIVO ACTUALIZACION CATASTRAL"/>
    <s v="5721"/>
    <s v="19921, 20721"/>
    <s v="60121"/>
    <s v="71021"/>
    <s v="220091021"/>
    <s v="-0"/>
    <x v="0"/>
    <x v="1"/>
  </r>
  <r>
    <s v="521"/>
    <s v="2021-02-02 00:00:00"/>
    <s v="2021-02-02 07:56:00"/>
    <s v="Gasto"/>
    <s v="Con Compromiso"/>
    <s v="0500"/>
    <x v="8"/>
    <x v="1"/>
    <s v="ADQUISICIÓN DE BIENES Y SERVICIOS - SERVICIO DE INFORMACIÓN CATASTRAL - ACTUALIZACIÓN  Y GESTIÓN CATASTRAL  NACIONAL"/>
    <s v="Nación"/>
    <x v="0"/>
    <s v="CSF"/>
    <n v="221921918"/>
    <n v="0"/>
    <n v="221921918"/>
    <n v="745984"/>
    <s v="contratacion catastro terr cesar"/>
    <s v="521"/>
    <s v="1421, 1521, 1621, 1721, 1821, 1921, 2021, 2121, 2221, 2321, 2421, 2521, 2621, 3521, 3721, 3821, 4421, 4521, 4821, 5721"/>
    <s v="1121, 1221, 1421, 1621, 1821, 1921, 2021, 2121, 2221, 2621, 2721, 2821, 3121, 3221, 3721, 4821, 6021, 7221, 8121, 12221"/>
    <s v="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
    <s v="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
    <s v="121"/>
    <x v="0"/>
    <x v="1"/>
  </r>
  <r>
    <s v="621"/>
    <s v="2021-02-02 00:00:00"/>
    <s v="2021-02-02 07:59:00"/>
    <s v="Gasto"/>
    <s v="Con Compromiso"/>
    <s v="0510"/>
    <x v="8"/>
    <x v="16"/>
    <s v="ADQUISICIÓN DE BIENES Y SERVICIOS - SERVICIO DE AVALÚOS - ACTUALIZACIÓN  Y GESTIÓN CATASTRAL  NACIONAL"/>
    <s v="Propios"/>
    <x v="1"/>
    <s v="CSF"/>
    <n v="119708000"/>
    <n v="0"/>
    <n v="119708000"/>
    <n v="20"/>
    <s v="contratacion avaluos terr cesar"/>
    <s v="621"/>
    <s v="3021, 3121, 3221, 3321"/>
    <s v="3621, 11021, 12021"/>
    <s v="17121, 19021, 24721, 25921, 27921, 28521, 30921"/>
    <s v="95827521, 116049021, 148410821, 175146221, 176998321, 182480621, 216912921"/>
    <s v="-0"/>
    <x v="0"/>
    <x v="6"/>
  </r>
  <r>
    <s v="1921"/>
    <s v="2021-04-27 00:00:00"/>
    <s v="2021-04-27 07:14:00"/>
    <s v="Gasto"/>
    <s v="Con Compromiso"/>
    <s v="0500"/>
    <x v="8"/>
    <x v="1"/>
    <s v="ADQUISICIÓN DE BIENES Y SERVICIOS - SERVICIO DE INFORMACIÓN CATASTRAL - ACTUALIZACIÓN  Y GESTIÓN CATASTRAL  NACIONAL"/>
    <s v="Propios"/>
    <x v="1"/>
    <s v="CSF"/>
    <n v="6294645"/>
    <n v="0"/>
    <n v="6294645"/>
    <n v="0"/>
    <s v="prestacion de servicio para la realizacion de los procesos archivisticos en gestion y central, incluido en el ultimo plan de compra terr cesar"/>
    <s v="1821"/>
    <s v="5921"/>
    <s v="-0"/>
    <s v="-0"/>
    <s v="-0"/>
    <s v="-0"/>
    <x v="0"/>
    <x v="1"/>
  </r>
  <r>
    <s v="2821"/>
    <s v="2021-07-19 00:00:00"/>
    <s v="2021-07-19 16:08:00"/>
    <s v="Gasto"/>
    <s v="Con Compromiso"/>
    <s v="0500"/>
    <x v="8"/>
    <x v="1"/>
    <s v="ADQUISICIÓN DE BIENES Y SERVICIOS - SERVICIO DE INFORMACIÓN CATASTRAL - ACTUALIZACIÓN  Y GESTIÓN CATASTRAL  NACIONAL"/>
    <s v="Nación"/>
    <x v="0"/>
    <s v="CSF"/>
    <n v="4008949"/>
    <n v="0"/>
    <n v="4008949"/>
    <n v="0"/>
    <s v="comision eduardo ramirez y luis alirio martinez terr cesar"/>
    <s v="2721"/>
    <s v="5421, 5521"/>
    <s v="10521, 10621"/>
    <s v="26021, 26121"/>
    <s v="175151621, 175154221"/>
    <s v="-0"/>
    <x v="0"/>
    <x v="1"/>
  </r>
  <r>
    <s v="3221"/>
    <s v="2021-08-24 00:00:00"/>
    <s v="2021-08-24 11:30:00"/>
    <s v="Gasto"/>
    <s v="Con Compromiso"/>
    <s v="0500"/>
    <x v="8"/>
    <x v="1"/>
    <s v="ADQUISICIÓN DE BIENES Y SERVICIOS - SERVICIO DE INFORMACIÓN CATASTRAL - ACTUALIZACIÓN  Y GESTIÓN CATASTRAL  NACIONAL"/>
    <s v="Propios"/>
    <x v="1"/>
    <s v="CSF"/>
    <n v="104283756"/>
    <n v="0"/>
    <n v="104283756"/>
    <n v="101119691"/>
    <s v="PROCESO DE TITULACION SEGUN CONTRATO 845 MINVIVIENDA E IGAC TERR CESAR"/>
    <s v="3221"/>
    <s v="6321, 6421, 6521"/>
    <s v="-0"/>
    <s v="-0"/>
    <s v="-0"/>
    <s v="-0"/>
    <x v="0"/>
    <x v="1"/>
  </r>
  <r>
    <s v="221"/>
    <s v="2021-01-20 00:00:00"/>
    <s v="2021-01-20 16:28:00"/>
    <s v="Gasto"/>
    <s v="Con Compromiso"/>
    <s v="0500"/>
    <x v="9"/>
    <x v="1"/>
    <s v="ADQUISICIÓN DE BIENES Y SERVICIOS - SERVICIO DE INFORMACIÓN CATASTRAL - ACTUALIZACIÓN  Y GESTIÓN CATASTRAL  NACIONAL"/>
    <s v="Nación"/>
    <x v="0"/>
    <s v="CSF"/>
    <n v="139102654"/>
    <n v="0"/>
    <n v="139102654"/>
    <n v="0"/>
    <s v="CDP CONTRATACIÓN MANO DE OBRA EN CUMPLIMIENTO A LAS METAS ESTABLECIDAS PARA LA VIGENCIA 2021 DE LOS PROCESOS DE CONSERVACIÓN CATASTRAL DE LA TERRITORIAL CÓRDOBA."/>
    <s v="221"/>
    <s v="1221, 1321, 1421, 1521, 1621, 1721, 7221"/>
    <s v="1021, 1121, 1221, 1321, 1521, 1621, 12221"/>
    <s v="10221, 10321, 10421, 10521, 10721, 10821, 16121, 16221, 16321, 16421, 16521, 16621, 19121, 19221, 19421, 19521, 19721, 19821, 22721, 22821, 22921, 23121, 23221, 23421, 23521, 25921, 26021, 26221, 26321, 26521, 26621, 27021, 30221, 30421, 30521, 30621, 30721, 30921, 32721, 33021, 33121, 33321, 33421, 33621"/>
    <s v="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
    <s v="-0"/>
    <x v="0"/>
    <x v="1"/>
  </r>
  <r>
    <s v="321"/>
    <s v="2021-01-20 00:00:00"/>
    <s v="2021-01-20 19:36:00"/>
    <s v="Gasto"/>
    <s v="Con Compromiso"/>
    <s v="0500"/>
    <x v="9"/>
    <x v="1"/>
    <s v="ADQUISICIÓN DE BIENES Y SERVICIOS - SERVICIO DE INFORMACIÓN CATASTRAL - ACTUALIZACIÓN  Y GESTIÓN CATASTRAL  NACIONAL"/>
    <s v="Nación"/>
    <x v="0"/>
    <s v="CSF"/>
    <n v="47604302"/>
    <n v="0"/>
    <n v="47604302"/>
    <n v="302250"/>
    <s v="CDP CONTRATACIÓN DE MANO DE OBRA EN CUMPLIMIENTO A LAS METAS ESTABLECIDAS PARA LA VIGENCIA 2021 DE LOS PROCESOS DE RESTITUCIÓN DE TIERRAS."/>
    <s v="321"/>
    <s v="721, 821"/>
    <s v="921, 1421"/>
    <s v="10121, 10621, 15921, 16021, 19321, 19621, 23021, 23321, 26121, 26421, 30321, 30821, 33221, 33521"/>
    <s v="44331821, 44351421, 73693821, 73733521, 100226521, 100229821, 131978221, 132004421, 158909221, 158917321, 212062221, 212116521"/>
    <s v="-0"/>
    <x v="0"/>
    <x v="1"/>
  </r>
  <r>
    <s v="421"/>
    <s v="2021-01-20 00:00:00"/>
    <s v="2021-01-20 19:51:00"/>
    <s v="Gasto"/>
    <s v="Con Compromiso"/>
    <s v="0500"/>
    <x v="9"/>
    <x v="1"/>
    <s v="ADQUISICIÓN DE BIENES Y SERVICIOS - SERVICIO DE INFORMACIÓN CATASTRAL - ACTUALIZACIÓN  Y GESTIÓN CATASTRAL  NACIONAL"/>
    <s v="Nación"/>
    <x v="0"/>
    <s v="CSF"/>
    <n v="8718018"/>
    <n v="0"/>
    <n v="8718018"/>
    <n v="7833697"/>
    <s v="CDP VIÁTICOS Y GASTOS DE COMISIÓN EN CUMPLIMIENTO A LAS METAS ESTABLECIDAS PARA LA VIGENCIA 2021, DE LOS PROCESOS DE CONSERVACIÓN CATASTRAL."/>
    <s v="421"/>
    <s v="5521, 5621, 5721, 8321"/>
    <s v="6221, 6321, 6421, 11521"/>
    <s v="22321, 22421, 22521, 29721"/>
    <s v="130987121, 130991021, 130993721, 194195821"/>
    <s v="-0"/>
    <x v="0"/>
    <x v="1"/>
  </r>
  <r>
    <s v="521"/>
    <s v="2021-01-20 00:00:00"/>
    <s v="2021-01-20 20:24:00"/>
    <s v="Gasto"/>
    <s v="Con Compromiso"/>
    <s v="0510"/>
    <x v="9"/>
    <x v="16"/>
    <s v="ADQUISICIÓN DE BIENES Y SERVICIOS - SERVICIO DE AVALÚOS - ACTUALIZACIÓN  Y GESTIÓN CATASTRAL  NACIONAL"/>
    <s v="Propios"/>
    <x v="1"/>
    <s v="CSF"/>
    <n v="36402300"/>
    <n v="0"/>
    <n v="36402300"/>
    <n v="0"/>
    <s v="CDP CONTRATACIÓN DE MANO DE OBRA EN CUMPLIMIENTO A LAS METAS ESTABLECIDAS PARA LA VIGENCIA 2021, DE LOS PROCESOS DE AVALÚOS."/>
    <s v="521"/>
    <s v="921"/>
    <s v="1821"/>
    <s v="10921, 18821, 20421, 25521, 25621, 29621, 31221"/>
    <s v="48077921, 92314921, 116843121, 148896421, 151302821, 181696221, 219371821"/>
    <s v="-0"/>
    <x v="0"/>
    <x v="6"/>
  </r>
  <r>
    <s v="1021"/>
    <s v="2021-02-22 00:00:00"/>
    <s v="2021-02-22 19:18:00"/>
    <s v="Gasto"/>
    <s v="Con Compromiso"/>
    <s v="0510"/>
    <x v="9"/>
    <x v="16"/>
    <s v="ADQUISICIÓN DE BIENES Y SERVICIOS - SERVICIO DE AVALÚOS - ACTUALIZACIÓN  Y GESTIÓN CATASTRAL  NACIONAL"/>
    <s v="Propios"/>
    <x v="1"/>
    <s v="CSF"/>
    <n v="3597700"/>
    <n v="-597700"/>
    <n v="3000000"/>
    <n v="100500"/>
    <s v="CDP GASTOS DE MANUTENCIÓN CONTRATISTA CONTROL DE CALIDAD INFORMES DE AVALÚOS, TERRITORIAL CÓRDOBA."/>
    <s v="1021"/>
    <s v="2221, 3021, 4021, 4221, 4321, 4921, 5021, 5121, 5321, 6521, 7121, 8521, 9121"/>
    <s v="821, 2321, 3921, 4021, 4121, 5821, 5921, 6021, 9621, 10621"/>
    <s v="10021, 11421, 18721, 18921, 19021, 21921, 22021, 22121, 27121, 27421"/>
    <s v="44367221, 64865421, 91459321, 100238621, 112226521, 120983221, 120984121, 120985021, 169758621, 176140921"/>
    <s v="-0"/>
    <x v="0"/>
    <x v="6"/>
  </r>
  <r>
    <s v="2521"/>
    <s v="2021-06-29 00:00:00"/>
    <s v="2021-06-29 16:13:00"/>
    <s v="Gasto"/>
    <s v="Con Compromiso"/>
    <s v="0500"/>
    <x v="9"/>
    <x v="1"/>
    <s v="ADQUISICIÓN DE BIENES Y SERVICIOS - SERVICIO DE INFORMACIÓN CATASTRAL - ACTUALIZACIÓN  Y GESTIÓN CATASTRAL  NACIONAL"/>
    <s v="Propios"/>
    <x v="1"/>
    <s v="CSF"/>
    <n v="10207458"/>
    <n v="0"/>
    <n v="10207458"/>
    <n v="56708"/>
    <s v="CDP CONTRATACIÓN PRESTACIÓN DE SERVICIOS PERSONALES PARA APOYAR LABORES DE CONSERVACIÓN CATASTRAL A CARGO DE LA UNIDAD OPERATIVA DE SAN ANDRÉS ISLAS."/>
    <s v="2521"/>
    <s v="6821"/>
    <s v="12721"/>
    <s v="31021"/>
    <s v="212126921"/>
    <s v="-0"/>
    <x v="0"/>
    <x v="1"/>
  </r>
  <r>
    <s v="2721"/>
    <s v="2021-07-02 00:00:00"/>
    <s v="2021-07-02 12:14:00"/>
    <s v="Gasto"/>
    <s v="Con Compromiso"/>
    <s v="0500"/>
    <x v="9"/>
    <x v="1"/>
    <s v="ADQUISICIÓN DE BIENES Y SERVICIOS - SERVICIO DE INFORMACIÓN CATASTRAL - ACTUALIZACIÓN  Y GESTIÓN CATASTRAL  NACIONAL"/>
    <s v="Propios"/>
    <x v="1"/>
    <s v="CSF"/>
    <n v="8623456"/>
    <n v="0"/>
    <n v="8623456"/>
    <n v="1552223"/>
    <s v="CDP MANTENIMIENTO PREVENTIVO, CORRECTIVO Y SUMINISTRO E INSTALACIÓN DE REPUESTOS DEL VEHÍCULO DE PLACA OBI 107, A CARGO DE LA DIRECCIÓN TERRITORIAL CÓRDOBA."/>
    <s v="2821"/>
    <s v="8621"/>
    <s v="-0"/>
    <s v="-0"/>
    <s v="-0"/>
    <s v="-0"/>
    <x v="0"/>
    <x v="1"/>
  </r>
  <r>
    <s v="2921"/>
    <s v="2021-07-19 00:00:00"/>
    <s v="2021-07-19 13:24:00"/>
    <s v="Gasto"/>
    <s v="Con Compromiso"/>
    <s v="0200"/>
    <x v="9"/>
    <x v="19"/>
    <s v="ADQUISICIÓN DE BIENES Y SERVICIOS - SEDES MANTENIDAS - FORTALECIMIENTO DE LA INFRAESTRUCTURA FÍSICA DEL IGAC A NIVEL  NACIONAL"/>
    <s v="Nación"/>
    <x v="0"/>
    <s v="CSF"/>
    <n v="10073548"/>
    <n v="0"/>
    <n v="10073548"/>
    <n v="5171938"/>
    <s v="CDP MANTENIMIENTO PREVENTIVO Y CORRECTIVO DE LOS EQUIPOS DE AIRES ACONDICIONADOS EN LA DIRECCIÓN TERRITORIAL CÓRDOBA."/>
    <s v="3021"/>
    <s v="8021"/>
    <s v="-0"/>
    <s v="-0"/>
    <s v="-0"/>
    <s v="-0"/>
    <x v="0"/>
    <x v="0"/>
  </r>
  <r>
    <s v="3221"/>
    <s v="2021-08-19 00:00:00"/>
    <s v="2021-08-19 15:48:00"/>
    <s v="Gasto"/>
    <s v="Con Compromiso"/>
    <s v="0500"/>
    <x v="9"/>
    <x v="1"/>
    <s v="ADQUISICIÓN DE BIENES Y SERVICIOS - SERVICIO DE INFORMACIÓN CATASTRAL - ACTUALIZACIÓN  Y GESTIÓN CATASTRAL  NACIONAL"/>
    <s v="Propios"/>
    <x v="1"/>
    <s v="CSF"/>
    <n v="6249464"/>
    <n v="0"/>
    <n v="6249464"/>
    <n v="0"/>
    <s v="PRESTACIÓN DE SERVICIOS PERSONALES PARA REALIZAR ACTIVIDADES DE RECONOCIMIENTO PREDIAL URBANO Y RURAL PARA LA ATENCIÓN DE TRÁMITES EN LOS PROCESOS CATASTRALES EN EL MARCO DEL CONTRATO INTERADMINISTRATIVO 845 SUSCRITO CON EL MINISTERIO DE VIVIENDA, CI"/>
    <s v="3321"/>
    <s v="8721"/>
    <s v="-0"/>
    <s v="-0"/>
    <s v="-0"/>
    <s v="-0"/>
    <x v="0"/>
    <x v="1"/>
  </r>
  <r>
    <s v="3321"/>
    <s v="2021-08-19 00:00:00"/>
    <s v="2021-08-19 16:11:00"/>
    <s v="Gasto"/>
    <s v="Con Compromiso"/>
    <s v="0500"/>
    <x v="9"/>
    <x v="1"/>
    <s v="ADQUISICIÓN DE BIENES Y SERVICIOS - SERVICIO DE INFORMACIÓN CATASTRAL - ACTUALIZACIÓN  Y GESTIÓN CATASTRAL  NACIONAL"/>
    <s v="Propios"/>
    <x v="1"/>
    <s v="CSF"/>
    <n v="6804972"/>
    <n v="0"/>
    <n v="6804972"/>
    <n v="0"/>
    <s v="PRESTACIÓN DE SERVICIOS PERSONALES PARA REALIZAR ACTIVIDADES DE APOYO A LA GESTIÓN AUXILIAR EN LOS PROCESOS CATASTRALES EN EL MARCO DE LOS PROYECTOS QUE ADELANTA EL INSTITUTO EN LA TERRITORIAL CÓRDOBA"/>
    <s v="3421"/>
    <s v="8921"/>
    <s v="-0"/>
    <s v="-0"/>
    <s v="-0"/>
    <s v="-0"/>
    <x v="0"/>
    <x v="1"/>
  </r>
  <r>
    <s v="3421"/>
    <s v="2021-08-19 00:00:00"/>
    <s v="2021-08-19 16:39:00"/>
    <s v="Gasto"/>
    <s v="Con Compromiso"/>
    <s v="0500"/>
    <x v="9"/>
    <x v="1"/>
    <s v="ADQUISICIÓN DE BIENES Y SERVICIOS - SERVICIO DE INFORMACIÓN CATASTRAL - ACTUALIZACIÓN  Y GESTIÓN CATASTRAL  NACIONAL"/>
    <s v="Propios"/>
    <x v="1"/>
    <s v="CSF"/>
    <n v="3402486"/>
    <n v="0"/>
    <n v="3402486"/>
    <n v="0"/>
    <s v="PRESTACIÓN DE SERVICIOS PERSONALES PARA REALIZAR ACTIVIDADES DE APOYO A LA GESTIÓN AUXILIAR EN LOS PROCESOS CATASTRALES EN EL MARCO DEL CONTRATO INTERADMINISTRATIVO 845 SUSCRITO CON EL MINISTERIO DE VIVIENDA, CIUDAD Y TERRITORIO"/>
    <s v="3521"/>
    <s v="8821"/>
    <s v="-0"/>
    <s v="-0"/>
    <s v="-0"/>
    <s v="-0"/>
    <x v="0"/>
    <x v="1"/>
  </r>
  <r>
    <s v="621"/>
    <s v="2021-02-10 00:00:00"/>
    <s v="2021-02-10 11:34:00"/>
    <s v="Gasto"/>
    <s v="Con Compromiso"/>
    <s v="0500"/>
    <x v="10"/>
    <x v="1"/>
    <s v="ADQUISICIÓN DE BIENES Y SERVICIOS - SERVICIO DE INFORMACIÓN CATASTRAL - ACTUALIZACIÓN  Y GESTIÓN CATASTRAL  NACIONAL"/>
    <s v="Nación"/>
    <x v="0"/>
    <s v="CSF"/>
    <n v="7590634"/>
    <n v="0"/>
    <n v="7590634"/>
    <n v="2196635"/>
    <s v="VIATICOS PROCESO DE CONSERVACION CATASTRAL VIGENCIA 2021"/>
    <s v="621"/>
    <s v="1121, 1221, 2221, 2321, 4321, 4421, 4721, 4921, 5021, 5421, 5521, 6421, 6521, 6721, 6821, 7021, 7121, 7321, 7421, 7821, 7921"/>
    <s v="821, 921, 1521, 1621, 4321, 4421, 5221, 5721, 5821, 6221, 6321, 8321, 8421, 8621, 8721, 9921, 10021, 10221, 10321, 10721, 10821"/>
    <s v="3321, 3421, 6121, 6221, 12121, 12221, 14021, 14221, 14321, 14721, 14821, 17421, 17521, 18721, 18821, 19521, 19621, 19821, 19921, 21321, 21421"/>
    <s v="24127421, 24128821, 41864921, 41865621, 114433221, 114434121, 119221221, 134655121, 134655321, 142993321, 143004421, 173143521, 173144621, 176264921, 176266321, 189326621, 189329821, 197158821, 197161221, 212769921, 212771421"/>
    <s v="121"/>
    <x v="0"/>
    <x v="1"/>
  </r>
  <r>
    <s v="721"/>
    <s v="2021-02-16 00:00:00"/>
    <s v="2021-02-16 10:21:00"/>
    <s v="Gasto"/>
    <s v="Con Compromiso"/>
    <s v="0500"/>
    <x v="10"/>
    <x v="1"/>
    <s v="ADQUISICIÓN DE BIENES Y SERVICIOS - SERVICIO DE INFORMACIÓN CATASTRAL - ACTUALIZACIÓN  Y GESTIÓN CATASTRAL  NACIONAL"/>
    <s v="Nación"/>
    <x v="0"/>
    <s v="CSF"/>
    <n v="85797150"/>
    <n v="0"/>
    <n v="85797150"/>
    <n v="0"/>
    <s v="CONTRATACION SERVICIOS PERSONALES PROCESO CONSERVACION CATASTRAL"/>
    <s v="721"/>
    <s v="1721, 1821, 1921, 2021, 2121, 3821"/>
    <s v="2221, 2321, 2421, 2621, 2721, 7121"/>
    <s v="9121, 9221, 9421, 9521, 9621, 11021, 11121, 11221, 11521, 11621, 13421, 13521, 13621, 13821, 13921, 16121, 16221, 16321, 16521, 16621, 16721, 18921, 19021, 19121, 19221, 19421, 21521, 21621, 21821, 21921, 22021, 22121, 22221, 22321"/>
    <s v="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
    <s v="-0"/>
    <x v="0"/>
    <x v="1"/>
  </r>
  <r>
    <s v="821"/>
    <s v="2021-02-16 00:00:00"/>
    <s v="2021-02-16 10:23:00"/>
    <s v="Gasto"/>
    <s v="Con Compromiso"/>
    <s v="0500"/>
    <x v="10"/>
    <x v="1"/>
    <s v="ADQUISICIÓN DE BIENES Y SERVICIOS - SERVICIO DE INFORMACIÓN CATASTRAL - ACTUALIZACIÓN  Y GESTIÓN CATASTRAL  NACIONAL"/>
    <s v="Nación"/>
    <x v="0"/>
    <s v="CSF"/>
    <n v="30325000"/>
    <n v="-12021"/>
    <n v="30312979"/>
    <n v="0"/>
    <s v="CONTRATACION SERVICIOS PERSONALES PROCESO POLITICA DE TIERRAS"/>
    <s v="821"/>
    <s v="2621, 8121"/>
    <s v="2521"/>
    <s v="9321, 11321, 13721, 16421, 19321, 21721"/>
    <s v="71487521, 87494721, 117268921, 145684021, 179577621, 214558121"/>
    <s v="-0"/>
    <x v="0"/>
    <x v="1"/>
  </r>
  <r>
    <s v="1321"/>
    <s v="2021-05-14 00:00:00"/>
    <s v="2021-05-14 09:01:00"/>
    <s v="Gasto"/>
    <s v="Con Compromiso"/>
    <s v="0200"/>
    <x v="10"/>
    <x v="19"/>
    <s v="ADQUISICIÓN DE BIENES Y SERVICIOS - SEDES MANTENIDAS - FORTALECIMIENTO DE LA INFRAESTRUCTURA FÍSICA DEL IGAC A NIVEL  NACIONAL"/>
    <s v="Nación"/>
    <x v="0"/>
    <s v="CSF"/>
    <n v="40060745"/>
    <n v="-13166745"/>
    <n v="26894000"/>
    <n v="0"/>
    <s v="RECURSOS PARA MANTENIMIENTO DE INFRAESTRUCTURA Y COMPRA DE AIRES ACONDICONADOS"/>
    <s v="1321"/>
    <s v="5821"/>
    <s v="-0"/>
    <s v="-0"/>
    <s v="-0"/>
    <s v="-0"/>
    <x v="0"/>
    <x v="0"/>
  </r>
  <r>
    <s v="2221"/>
    <s v="2021-07-26 00:00:00"/>
    <s v="2021-07-26 12:37:00"/>
    <s v="Gasto"/>
    <s v="Con Compromiso"/>
    <s v="0500"/>
    <x v="10"/>
    <x v="1"/>
    <s v="ADQUISICIÓN DE BIENES Y SERVICIOS - SERVICIO DE INFORMACIÓN CATASTRAL - ACTUALIZACIÓN  Y GESTIÓN CATASTRAL  NACIONAL"/>
    <s v="Propios"/>
    <x v="1"/>
    <s v="CSF"/>
    <n v="145600664"/>
    <n v="0"/>
    <n v="145600664"/>
    <n v="61154406"/>
    <s v="RECURSOS PARA LA CONTRATACION DE PERSONAL PROCESO DE ENTREGA DE PRODUCTOS CATASTRALES"/>
    <s v="2321"/>
    <s v="8221, 8321, 8421, 8521, 8721, 8821, 8921, 9021, 9121"/>
    <s v="-0"/>
    <s v="-0"/>
    <s v="-0"/>
    <s v="-0"/>
    <x v="0"/>
    <x v="1"/>
  </r>
  <r>
    <s v="621"/>
    <s v="2021-02-04 00:00:00"/>
    <s v="2021-02-04 10:02:00"/>
    <s v="Gasto"/>
    <s v="Con Compromiso"/>
    <s v="0500"/>
    <x v="11"/>
    <x v="1"/>
    <s v="ADQUISICIÓN DE BIENES Y SERVICIOS - SERVICIO DE INFORMACIÓN CATASTRAL - ACTUALIZACIÓN  Y GESTIÓN CATASTRAL  NACIONAL"/>
    <s v="Nación"/>
    <x v="0"/>
    <s v="CSF"/>
    <n v="56245176"/>
    <n v="0"/>
    <n v="56245176"/>
    <n v="0"/>
    <s v="Prestación de servicios personales para realizar actividades de reconocimiento predial urbano y rural para la atención de trámites en el proceso de conservación catastral de la territorial Huila."/>
    <s v="721"/>
    <s v="2121, 2221"/>
    <s v="2821, 2921"/>
    <s v="15521, 15621, 17921, 18021, 19921, 20021, 21721, 21821, 25721, 25821, 27121, 27221"/>
    <s v="71527821, 71529721, 93414421, 93421221, 119473421, 119480821, 147319121, 147321421, 178294321, 178299321, 214998821, 215006721"/>
    <s v="-0"/>
    <x v="0"/>
    <x v="1"/>
  </r>
  <r>
    <s v="721"/>
    <s v="2021-02-04 00:00:00"/>
    <s v="2021-02-04 10:26:00"/>
    <s v="Gasto"/>
    <s v="Con Compromiso"/>
    <s v="0500"/>
    <x v="11"/>
    <x v="1"/>
    <s v="ADQUISICIÓN DE BIENES Y SERVICIOS - SERVICIO DE INFORMACIÓN CATASTRAL - ACTUALIZACIÓN  Y GESTIÓN CATASTRAL  NACIONAL"/>
    <s v="Nación"/>
    <x v="0"/>
    <s v="CSF"/>
    <n v="27219888"/>
    <n v="-7031805"/>
    <n v="20188083"/>
    <n v="0"/>
    <s v="Prestación de servicios personales para adelantar las actividades requeridas en el desarrollo de los trámites de conservación catastral en la dirección territorial Huila"/>
    <s v="821"/>
    <s v="2821, 2921"/>
    <s v="2521, 2621"/>
    <s v="15221, 15321, 17721, 18121, 20121, 20421, 21021, 21421, 23921, 24221, 26921"/>
    <s v="71427621, 71430021, 89772221, 101865821, 119482221, 121730921, 144572421, 144588521, 171146021, 176579621, 212766821"/>
    <s v="-0"/>
    <x v="0"/>
    <x v="1"/>
  </r>
  <r>
    <s v="821"/>
    <s v="2021-02-04 00:00:00"/>
    <s v="2021-02-04 10:36:00"/>
    <s v="Gasto"/>
    <s v="Con Compromiso"/>
    <s v="0500"/>
    <x v="11"/>
    <x v="1"/>
    <s v="ADQUISICIÓN DE BIENES Y SERVICIOS - SERVICIO DE INFORMACIÓN CATASTRAL - ACTUALIZACIÓN  Y GESTIÓN CATASTRAL  NACIONAL"/>
    <s v="Nación"/>
    <x v="0"/>
    <s v="CSF"/>
    <n v="13609944"/>
    <n v="0"/>
    <n v="13609944"/>
    <n v="0"/>
    <s v="Prestación de servicios personales para realizar actividades de apoyo operativo en los procesos catastrales adelantados en la Dirección Territorial Huila ."/>
    <s v="921"/>
    <s v="3921"/>
    <s v="5421"/>
    <s v="20221, 21121, 24321, 26821"/>
    <s v="119483621, 144576421, 176591221, 212760621"/>
    <s v="-0"/>
    <x v="0"/>
    <x v="1"/>
  </r>
  <r>
    <s v="921"/>
    <s v="2021-02-04 00:00:00"/>
    <s v="2021-02-04 10:44:00"/>
    <s v="Gasto"/>
    <s v="Con Compromiso"/>
    <s v="0500"/>
    <x v="11"/>
    <x v="1"/>
    <s v="ADQUISICIÓN DE BIENES Y SERVICIOS - SERVICIO DE INFORMACIÓN CATASTRAL - ACTUALIZACIÓN  Y GESTIÓN CATASTRAL  NACIONAL"/>
    <s v="Nación"/>
    <x v="0"/>
    <s v="CSF"/>
    <n v="18883935"/>
    <n v="0"/>
    <n v="18883935"/>
    <n v="0"/>
    <s v="Prestación de servicios de apoyo a la gestión en ventanilla para atención al público en los procesos catastrales de la dirección territorial Huila."/>
    <s v="1021"/>
    <s v="2021"/>
    <s v="2721"/>
    <s v="15421, 16421, 18621, 21221, 25921, 27321"/>
    <s v="71431221, 89774621, 119461521, 144579121, 180313821, 215025221"/>
    <s v="-0"/>
    <x v="0"/>
    <x v="1"/>
  </r>
  <r>
    <s v="1021"/>
    <s v="2021-02-04 00:00:00"/>
    <s v="2021-02-04 10:52:00"/>
    <s v="Gasto"/>
    <s v="Con Compromiso"/>
    <s v="0500"/>
    <x v="11"/>
    <x v="1"/>
    <s v="ADQUISICIÓN DE BIENES Y SERVICIOS - SERVICIO DE INFORMACIÓN CATASTRAL - ACTUALIZACIÓN  Y GESTIÓN CATASTRAL  NACIONAL"/>
    <s v="Nación"/>
    <x v="0"/>
    <s v="CSF"/>
    <n v="10491075"/>
    <n v="0"/>
    <n v="10491075"/>
    <n v="0"/>
    <s v="Prestación de servicios de procesos de apoyo a la gestión desarrollada en procesos catastrales."/>
    <s v="1121"/>
    <s v="2321"/>
    <s v="3021"/>
    <s v="15721, 17821, 20621, 21321, 24421, 26721"/>
    <s v="71530521, 89811721, 136129821, 144584021, 176597821, 207545021"/>
    <s v="-0"/>
    <x v="0"/>
    <x v="1"/>
  </r>
  <r>
    <s v="1121"/>
    <s v="2021-02-10 00:00:00"/>
    <s v="2021-02-10 15:29:00"/>
    <s v="Gasto"/>
    <s v="Con Compromiso"/>
    <s v="0500"/>
    <x v="11"/>
    <x v="1"/>
    <s v="ADQUISICIÓN DE BIENES Y SERVICIOS - SERVICIO DE INFORMACIÓN CATASTRAL - ACTUALIZACIÓN  Y GESTIÓN CATASTRAL  NACIONAL"/>
    <s v="Nación"/>
    <x v="0"/>
    <s v="CSF"/>
    <n v="7809486"/>
    <n v="-4294645"/>
    <n v="3514841"/>
    <n v="1745954"/>
    <s v="VIATICOS Y GASTOS DE COMISION EN EL PROCESO DE CONSERVACION,DE LA T HUILA"/>
    <s v="1221"/>
    <s v="5621, 5721, 6021, 6321, 6421"/>
    <s v="7321, 7421, 7821, 9221, 9321"/>
    <s v="23421, 23521, 23821, 26021, 26121"/>
    <s v="167214821, 167216121, 169979921, 191212521, 192712621"/>
    <s v="-0"/>
    <x v="0"/>
    <x v="1"/>
  </r>
  <r>
    <s v="1221"/>
    <s v="2021-02-10 00:00:00"/>
    <s v="2021-02-10 15:36:00"/>
    <s v="Gasto"/>
    <s v="Con Compromiso"/>
    <s v="0500"/>
    <x v="11"/>
    <x v="1"/>
    <s v="ADQUISICIÓN DE BIENES Y SERVICIOS - SERVICIO DE INFORMACIÓN CATASTRAL - ACTUALIZACIÓN  Y GESTIÓN CATASTRAL  NACIONAL"/>
    <s v="Nación"/>
    <x v="0"/>
    <s v="CSF"/>
    <n v="5402487"/>
    <n v="-2000000"/>
    <n v="3402487"/>
    <n v="2289532"/>
    <s v="VIATICOS Y GASTOS DE COMISION EN EL PROCESO DE POLITICA DE TIERRA DE LA T. HUILA"/>
    <s v="1321"/>
    <s v="1521, 2521, 5421"/>
    <s v="1621, 2121, 7121"/>
    <s v="6221, 10721, 23221"/>
    <s v="27871721, 50657821, 164361221"/>
    <s v="421"/>
    <x v="0"/>
    <x v="1"/>
  </r>
  <r>
    <s v="1921"/>
    <s v="2021-04-14 00:00:00"/>
    <s v="2021-04-14 11:05:00"/>
    <s v="Gasto"/>
    <s v="Con Compromiso"/>
    <s v="0500"/>
    <x v="11"/>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121"/>
    <s v="4121"/>
    <s v="5021"/>
    <s v="20321, 21521, 24121, 26521"/>
    <s v="121722721, 145878521, 176576721, 207410621"/>
    <s v="-0"/>
    <x v="0"/>
    <x v="1"/>
  </r>
  <r>
    <s v="2321"/>
    <s v="2021-05-05 00:00:00"/>
    <s v="2021-05-05 13:47:00"/>
    <s v="Gasto"/>
    <s v="Generado"/>
    <s v="0500"/>
    <x v="11"/>
    <x v="1"/>
    <s v="ADQUISICIÓN DE BIENES Y SERVICIOS - SERVICIO DE INFORMACIÓN CATASTRAL - ACTUALIZACIÓN  Y GESTIÓN CATASTRAL  NACIONAL"/>
    <s v="Nación"/>
    <x v="0"/>
    <s v="CSF"/>
    <n v="6294645"/>
    <n v="0"/>
    <n v="6294645"/>
    <n v="6294645"/>
    <s v="Prestación de servicios personales para apoyo en los procesos del área de conservación en el IGAC Huila."/>
    <s v="2521"/>
    <s v="-0"/>
    <s v="-0"/>
    <s v="-0"/>
    <s v="-0"/>
    <s v="-0"/>
    <x v="0"/>
    <x v="1"/>
  </r>
  <r>
    <s v="3221"/>
    <s v="2021-08-20 00:00:00"/>
    <s v="2021-08-20 11:50:00"/>
    <s v="Gasto"/>
    <s v="Con Compromiso"/>
    <s v="0500"/>
    <x v="11"/>
    <x v="1"/>
    <s v="ADQUISICIÓN DE BIENES Y SERVICIOS - SERVICIO DE INFORMACIÓN CATASTRAL - ACTUALIZACIÓN  Y GESTIÓN CATASTRAL  NACIONAL"/>
    <s v="Propios"/>
    <x v="1"/>
    <s v="CSF"/>
    <n v="5651034"/>
    <n v="0"/>
    <n v="5651034"/>
    <n v="0"/>
    <s v="Pago estampilla pro deporte al municipio de Pitalito con cargo al convenio firmado con dicho municipio. Vigencia 2021."/>
    <s v="3521"/>
    <s v="6821"/>
    <s v="10121"/>
    <s v="28621"/>
    <s v="219224421"/>
    <s v="-0"/>
    <x v="0"/>
    <x v="1"/>
  </r>
  <r>
    <s v="3521"/>
    <s v="2021-08-31 00:00:00"/>
    <s v="2021-08-31 14:38:00"/>
    <s v="Gasto"/>
    <s v="Generado"/>
    <s v="0500"/>
    <x v="11"/>
    <x v="1"/>
    <s v="ADQUISICIÓN DE BIENES Y SERVICIOS - SERVICIO DE INFORMACIÓN CATASTRAL - ACTUALIZACIÓN  Y GESTIÓN CATASTRAL  NACIONAL"/>
    <s v="Nación"/>
    <x v="0"/>
    <s v="CSF"/>
    <n v="6804972"/>
    <n v="0"/>
    <n v="6804972"/>
    <n v="6804972"/>
    <s v="Prestación de servicios personales para adelantar actividades requeridas en el desarrollo de los trámites de conservación catastral en la dirección Territorial Huila."/>
    <s v="3821"/>
    <s v="-0"/>
    <s v="-0"/>
    <s v="-0"/>
    <s v="-0"/>
    <s v="-0"/>
    <x v="0"/>
    <x v="1"/>
  </r>
  <r>
    <s v="721"/>
    <s v="2021-01-15 00:00:00"/>
    <s v="2021-01-15 16:39:00"/>
    <s v="Gasto"/>
    <s v="Con Compromiso"/>
    <s v="0200"/>
    <x v="12"/>
    <x v="18"/>
    <s v="ADQUISICIÓN DE BIENES Y SERVICIOS - SEDES ADECUADAS - FORTALECIMIENTO DE LA INFRAESTRUCTURA FÍSICA DEL IGAC A NIVEL  NACIONAL"/>
    <s v="Nación"/>
    <x v="0"/>
    <s v="CSF"/>
    <n v="1849000"/>
    <n v="-150751"/>
    <n v="1698249"/>
    <n v="0"/>
    <s v="ADECUACION, PINTURA Y MANTENIMIENTO DE  LA U.O.C DE EL BANCO MAGDALENA"/>
    <s v="721"/>
    <s v="1921"/>
    <s v="3521"/>
    <s v="11621"/>
    <s v="62862321"/>
    <s v="-0"/>
    <x v="0"/>
    <x v="0"/>
  </r>
  <r>
    <s v="1221"/>
    <s v="2021-01-25 00:00:00"/>
    <s v="2021-01-25 16:09:00"/>
    <s v="Gasto"/>
    <s v="Con Compromiso"/>
    <s v="0500"/>
    <x v="12"/>
    <x v="1"/>
    <s v="ADQUISICIÓN DE BIENES Y SERVICIOS - SERVICIO DE INFORMACIÓN CATASTRAL - ACTUALIZACIÓN  Y GESTIÓN CATASTRAL  NACIONAL"/>
    <s v="Nación"/>
    <x v="0"/>
    <s v="CSF"/>
    <n v="12800000"/>
    <n v="-2081197"/>
    <n v="10718803"/>
    <n v="517497"/>
    <s v="VIATICOS DE CONSERVACION"/>
    <s v="1221"/>
    <s v="1021, 1121, 1221, 1321, 1521, 1621, 1721, 3121, 4621, 6321, 6421"/>
    <s v="521, 621, 721, 821, 921, 1021, 1121, 4521, 10421, 12821, 12921"/>
    <s v="4021, 4121, 4221, 4321, 4521, 4621, 4721, 13721, 23521, 26821, 26921"/>
    <s v="11491221, 11493421, 11500821, 11512421, 15055421, 15079821, 15103621, 77407121, 192559121, 227256821, 227265021"/>
    <s v="121, 221"/>
    <x v="0"/>
    <x v="1"/>
  </r>
  <r>
    <s v="1321"/>
    <s v="2021-02-04 00:00:00"/>
    <s v="2021-02-04 11:27:00"/>
    <s v="Gasto"/>
    <s v="Con Compromiso"/>
    <s v="0500"/>
    <x v="12"/>
    <x v="1"/>
    <s v="ADQUISICIÓN DE BIENES Y SERVICIOS - SERVICIO DE INFORMACIÓN CATASTRAL - ACTUALIZACIÓN  Y GESTIÓN CATASTRAL  NACIONAL"/>
    <s v="Nación"/>
    <x v="0"/>
    <s v="CSF"/>
    <n v="31247320"/>
    <n v="0"/>
    <n v="31247320"/>
    <n v="0"/>
    <s v="RECONOCEDOR DE CONSERVACION"/>
    <s v="1321"/>
    <s v="2621"/>
    <s v="3921"/>
    <s v="13121, 13421, 16021, 18321, 20521, 23221, 25821"/>
    <s v="68607321, 68607821, 94099621, 124153321, 150769821, 182164621, 217553721"/>
    <s v="-0"/>
    <x v="0"/>
    <x v="1"/>
  </r>
  <r>
    <s v="1421"/>
    <s v="2021-02-04 00:00:00"/>
    <s v="2021-02-04 12:22:00"/>
    <s v="Gasto"/>
    <s v="Con Compromiso"/>
    <s v="0500"/>
    <x v="12"/>
    <x v="1"/>
    <s v="ADQUISICIÓN DE BIENES Y SERVICIOS - SERVICIO DE INFORMACIÓN CATASTRAL - ACTUALIZACIÓN  Y GESTIÓN CATASTRAL  NACIONAL"/>
    <s v="Nación"/>
    <x v="0"/>
    <s v="CSF"/>
    <n v="8506215"/>
    <n v="0"/>
    <n v="8506215"/>
    <n v="0"/>
    <s v="AUXILIAR DE APOYO EN CONSERVACION"/>
    <s v="1421"/>
    <s v="2421"/>
    <s v="2721"/>
    <s v="9021, 13221, 15721, 16421, 20021, 23121"/>
    <s v="46294921, 68607521, 93152921, 117906221, 146718921, 182151421"/>
    <s v="-0"/>
    <x v="0"/>
    <x v="1"/>
  </r>
  <r>
    <s v="1521"/>
    <s v="2021-02-04 00:00:00"/>
    <s v="2021-02-04 12:28:00"/>
    <s v="Gasto"/>
    <s v="Con Compromiso"/>
    <s v="0500"/>
    <x v="12"/>
    <x v="1"/>
    <s v="ADQUISICIÓN DE BIENES Y SERVICIOS - SERVICIO DE INFORMACIÓN CATASTRAL - ACTUALIZACIÓN  Y GESTIÓN CATASTRAL  NACIONAL"/>
    <s v="Nación"/>
    <x v="0"/>
    <s v="CSF"/>
    <n v="13357415"/>
    <n v="0"/>
    <n v="13357415"/>
    <n v="0"/>
    <s v="TECNICO DE APOYO EN CONSERVACION"/>
    <s v="1521"/>
    <s v="2021"/>
    <s v="2821"/>
    <s v="9121, 13321, 15321, 16621, 20121, 23021"/>
    <s v="46299921, 68607621, 92604521, 117932521, 146724721, 182106921"/>
    <s v="-0"/>
    <x v="0"/>
    <x v="1"/>
  </r>
  <r>
    <s v="1621"/>
    <s v="2021-02-04 00:00:00"/>
    <s v="2021-02-04 14:56:00"/>
    <s v="Gasto"/>
    <s v="Con Compromiso"/>
    <s v="0500"/>
    <x v="12"/>
    <x v="1"/>
    <s v="ADQUISICIÓN DE BIENES Y SERVICIOS - SERVICIO DE INFORMACIÓN CATASTRAL - ACTUALIZACIÓN  Y GESTIÓN CATASTRAL  NACIONAL"/>
    <s v="Nación"/>
    <x v="0"/>
    <s v="CSF"/>
    <n v="29972641"/>
    <n v="0"/>
    <n v="29972641"/>
    <n v="0"/>
    <s v="RECONOCEDOR DE RESTITUCION DE TIERRA Y GASTO DE MANUTENCION"/>
    <s v="1621"/>
    <s v="2121"/>
    <s v="3021"/>
    <s v="9321, 12921, 15821, 16521, 20221, 22921, 24221"/>
    <s v="50314421, 68607121, 93170421, 117921121, 146729721, 182098621, 213840221"/>
    <s v="-0"/>
    <x v="0"/>
    <x v="1"/>
  </r>
  <r>
    <s v="1721"/>
    <s v="2021-02-04 00:00:00"/>
    <s v="2021-02-04 15:00:00"/>
    <s v="Gasto"/>
    <s v="Con Compromiso"/>
    <s v="0500"/>
    <x v="12"/>
    <x v="1"/>
    <s v="ADQUISICIÓN DE BIENES Y SERVICIOS - SERVICIO DE INFORMACIÓN CATASTRAL - ACTUALIZACIÓN  Y GESTIÓN CATASTRAL  NACIONAL"/>
    <s v="Nación"/>
    <x v="0"/>
    <s v="CSF"/>
    <n v="36402360"/>
    <n v="0"/>
    <n v="36402360"/>
    <n v="0"/>
    <s v="ABOGADA DE RESTITUCION DE TIERRA"/>
    <s v="1721"/>
    <s v="1821"/>
    <s v="2921"/>
    <s v="9221, 13021, 15521, 16321, 20821, 23421, 24621"/>
    <s v="47181021, 68607221, 92606321, 116872021, 153134921, 182211321, 215388621"/>
    <s v="-0"/>
    <x v="0"/>
    <x v="1"/>
  </r>
  <r>
    <s v="1821"/>
    <s v="2021-02-04 00:00:00"/>
    <s v="2021-02-04 15:08:00"/>
    <s v="Gasto"/>
    <s v="Con Compromiso"/>
    <s v="0510"/>
    <x v="12"/>
    <x v="16"/>
    <s v="ADQUISICIÓN DE BIENES Y SERVICIOS - SERVICIO DE AVALÚOS - ACTUALIZACIÓN  Y GESTIÓN CATASTRAL  NACIONAL"/>
    <s v="Propios"/>
    <x v="1"/>
    <s v="CSF"/>
    <n v="31247320"/>
    <n v="0"/>
    <n v="31247320"/>
    <n v="0"/>
    <s v="CONTROL DE CALIDAD AVALUOS"/>
    <s v="1821"/>
    <s v="2721"/>
    <s v="4621"/>
    <s v="13821, 15621, 18021, 20621, 23321, 24521"/>
    <s v="84087221, 93111421, 120456021, 150772021, 182182321, 213862321"/>
    <s v="-0"/>
    <x v="0"/>
    <x v="6"/>
  </r>
  <r>
    <s v="1921"/>
    <s v="2021-02-04 00:00:00"/>
    <s v="2021-02-04 15:13:00"/>
    <s v="Gasto"/>
    <s v="Generado"/>
    <s v="0510"/>
    <x v="12"/>
    <x v="16"/>
    <s v="ADQUISICIÓN DE BIENES Y SERVICIOS - SERVICIO DE AVALÚOS - ACTUALIZACIÓN  Y GESTIÓN CATASTRAL  NACIONAL"/>
    <s v="Propios"/>
    <x v="1"/>
    <s v="CSF"/>
    <n v="40000000"/>
    <n v="-23879869"/>
    <n v="16120131"/>
    <n v="16120131"/>
    <s v="PERITOS EXTERNOS"/>
    <s v="1921"/>
    <s v="-0"/>
    <s v="-0"/>
    <s v="-0"/>
    <s v="-0"/>
    <s v="-0"/>
    <x v="0"/>
    <x v="6"/>
  </r>
  <r>
    <s v="2021"/>
    <s v="2021-02-04 00:00:00"/>
    <s v="2021-02-04 15:17:00"/>
    <s v="Gasto"/>
    <s v="Con Compromiso"/>
    <s v="0510"/>
    <x v="12"/>
    <x v="16"/>
    <s v="ADQUISICIÓN DE BIENES Y SERVICIOS - SERVICIO DE AVALÚOS - ACTUALIZACIÓN  Y GESTIÓN CATASTRAL  NACIONAL"/>
    <s v="Propios"/>
    <x v="1"/>
    <s v="CSF"/>
    <n v="8460680"/>
    <n v="0"/>
    <n v="8460680"/>
    <n v="1596281"/>
    <s v="VIATICOS PARA AVALUOS"/>
    <s v="2021"/>
    <s v="3221, 3721"/>
    <s v="4821, 7121"/>
    <s v="14021, 18121"/>
    <s v="87104921, 120761621"/>
    <s v="-0"/>
    <x v="0"/>
    <x v="6"/>
  </r>
  <r>
    <s v="2721"/>
    <s v="2021-04-21 00:00:00"/>
    <s v="2021-04-21 16:46:00"/>
    <s v="Gasto"/>
    <s v="Con Compromiso"/>
    <s v="0500"/>
    <x v="12"/>
    <x v="1"/>
    <s v="ADQUISICIÓN DE BIENES Y SERVICIOS - SERVICIO DE INFORMACIÓN CATASTRAL - ACTUALIZACIÓN  Y GESTIÓN CATASTRAL  NACIONAL"/>
    <s v="Propios"/>
    <x v="1"/>
    <s v="CSF"/>
    <n v="5675000"/>
    <n v="-5000"/>
    <n v="5670000"/>
    <n v="0"/>
    <s v="MANTENIMIENTO DE VEHICULO"/>
    <s v="2721"/>
    <s v="4821"/>
    <s v="12321"/>
    <s v="26321, 26721"/>
    <s v="220115821, 220646521"/>
    <s v="-0"/>
    <x v="0"/>
    <x v="1"/>
  </r>
  <r>
    <s v="3321"/>
    <s v="2021-06-29 00:00:00"/>
    <s v="2021-06-29 15:24:00"/>
    <s v="Gasto"/>
    <s v="Con Compromiso"/>
    <s v="0510"/>
    <x v="12"/>
    <x v="16"/>
    <s v="ADQUISICIÓN DE BIENES Y SERVICIOS - SERVICIO DE AVALÚOS - ACTUALIZACIÓN  Y GESTIÓN CATASTRAL  NACIONAL"/>
    <s v="Propios"/>
    <x v="1"/>
    <s v="CSF"/>
    <n v="9186712"/>
    <n v="-680497"/>
    <n v="8506215"/>
    <n v="0"/>
    <s v="AUXILIAR DE APOYO AVALUOS"/>
    <s v="3321"/>
    <s v="4521"/>
    <s v="11421"/>
    <s v="24421"/>
    <s v="213855321"/>
    <s v="-0"/>
    <x v="0"/>
    <x v="6"/>
  </r>
  <r>
    <s v="3421"/>
    <s v="2021-06-29 00:00:00"/>
    <s v="2021-06-29 16:01:00"/>
    <s v="Gasto"/>
    <s v="Con Compromiso"/>
    <s v="0510"/>
    <x v="12"/>
    <x v="16"/>
    <s v="ADQUISICIÓN DE BIENES Y SERVICIOS - SERVICIO DE AVALÚOS - ACTUALIZACIÓN  Y GESTIÓN CATASTRAL  NACIONAL"/>
    <s v="Propios"/>
    <x v="1"/>
    <s v="CSF"/>
    <n v="14693157"/>
    <n v="-1335742"/>
    <n v="13357415"/>
    <n v="0"/>
    <s v="TECNICO DE APOYO AVALUOS"/>
    <s v="3421"/>
    <s v="4421"/>
    <s v="11321"/>
    <s v="24321"/>
    <s v="213849521"/>
    <s v="-0"/>
    <x v="0"/>
    <x v="6"/>
  </r>
  <r>
    <s v="3821"/>
    <s v="2021-07-29 00:00:00"/>
    <s v="2021-07-29 16:41:00"/>
    <s v="Gasto"/>
    <s v="Con Compromiso"/>
    <s v="0500"/>
    <x v="12"/>
    <x v="1"/>
    <s v="ADQUISICIÓN DE BIENES Y SERVICIOS - SERVICIO DE INFORMACIÓN CATASTRAL - ACTUALIZACIÓN  Y GESTIÓN CATASTRAL  NACIONAL"/>
    <s v="Propios"/>
    <x v="1"/>
    <s v="CSF"/>
    <n v="74993568"/>
    <n v="0"/>
    <n v="74993568"/>
    <n v="0"/>
    <s v="RECONOCEDORES TITULACION"/>
    <s v="3821"/>
    <s v="5321, 5421, 5521, 5621, 5721, 5821"/>
    <s v="-0"/>
    <s v="-0"/>
    <s v="-0"/>
    <s v="-0"/>
    <x v="0"/>
    <x v="1"/>
  </r>
  <r>
    <s v="3921"/>
    <s v="2021-07-29 00:00:00"/>
    <s v="2021-07-29 16:47:00"/>
    <s v="Gasto"/>
    <s v="Con Compromiso"/>
    <s v="0500"/>
    <x v="12"/>
    <x v="1"/>
    <s v="ADQUISICIÓN DE BIENES Y SERVICIOS - SERVICIO DE INFORMACIÓN CATASTRAL - ACTUALIZACIÓN  Y GESTIÓN CATASTRAL  NACIONAL"/>
    <s v="Propios"/>
    <x v="1"/>
    <s v="CSF"/>
    <n v="10685932"/>
    <n v="0"/>
    <n v="10685932"/>
    <n v="0"/>
    <s v="DIGITALIZADOR TITULACION"/>
    <s v="3921"/>
    <s v="5921"/>
    <s v="-0"/>
    <s v="-0"/>
    <s v="-0"/>
    <s v="-0"/>
    <x v="0"/>
    <x v="1"/>
  </r>
  <r>
    <s v="4021"/>
    <s v="2021-07-29 00:00:00"/>
    <s v="2021-07-29 16:53:00"/>
    <s v="Gasto"/>
    <s v="Con Compromiso"/>
    <s v="0500"/>
    <x v="12"/>
    <x v="1"/>
    <s v="ADQUISICIÓN DE BIENES Y SERVICIOS - SERVICIO DE INFORMACIÓN CATASTRAL - ACTUALIZACIÓN  Y GESTIÓN CATASTRAL  NACIONAL"/>
    <s v="Propios"/>
    <x v="1"/>
    <s v="CSF"/>
    <n v="25518645"/>
    <n v="0"/>
    <n v="25518645"/>
    <n v="5103729"/>
    <s v="AUXILIARES TITULACION"/>
    <s v="4021"/>
    <s v="6021, 6121, 6221"/>
    <s v="-0"/>
    <s v="-0"/>
    <s v="-0"/>
    <s v="-0"/>
    <x v="0"/>
    <x v="1"/>
  </r>
  <r>
    <s v="4121"/>
    <s v="2021-07-29 00:00:00"/>
    <s v="2021-07-29 16:59:00"/>
    <s v="Gasto"/>
    <s v="Generado"/>
    <s v="0500"/>
    <x v="12"/>
    <x v="1"/>
    <s v="ADQUISICIÓN DE BIENES Y SERVICIOS - SERVICIO DE INFORMACIÓN CATASTRAL - ACTUALIZACIÓN  Y GESTIÓN CATASTRAL  NACIONAL"/>
    <s v="Propios"/>
    <x v="1"/>
    <s v="CSF"/>
    <n v="14874620"/>
    <n v="0"/>
    <n v="14874620"/>
    <n v="14874620"/>
    <s v="VIATICOS Y GASTO DE COMISION TITULACION"/>
    <s v="4121"/>
    <s v="-0"/>
    <s v="-0"/>
    <s v="-0"/>
    <s v="-0"/>
    <s v="-0"/>
    <x v="0"/>
    <x v="1"/>
  </r>
  <r>
    <s v="4321"/>
    <s v="2021-08-17 00:00:00"/>
    <s v="2021-08-17 14:47:00"/>
    <s v="Gasto"/>
    <s v="Con Compromiso"/>
    <s v="0500"/>
    <x v="12"/>
    <x v="1"/>
    <s v="ADQUISICIÓN DE BIENES Y SERVICIOS - SERVICIO DE INFORMACIÓN CATASTRAL - ACTUALIZACIÓN  Y GESTIÓN CATASTRAL  NACIONAL"/>
    <s v="Nación"/>
    <x v="0"/>
    <s v="CSF"/>
    <n v="3118888"/>
    <n v="0"/>
    <n v="3118888"/>
    <n v="0"/>
    <s v="APOYO EN LA ACTUALIZACION CATASTRAL DEL GUAMO BOLIVAR DEL 22 DE AGOSTO AL 3 DE SEPTIEMBRE 2021"/>
    <s v="4321"/>
    <s v="4921"/>
    <s v="10921"/>
    <s v="23821"/>
    <s v="207344621"/>
    <s v="-0"/>
    <x v="0"/>
    <x v="1"/>
  </r>
  <r>
    <s v="4721"/>
    <s v="2021-08-27 00:00:00"/>
    <s v="2021-08-27 14:33:00"/>
    <s v="Gasto"/>
    <s v="Generado"/>
    <s v="0500"/>
    <x v="12"/>
    <x v="1"/>
    <s v="ADQUISICIÓN DE BIENES Y SERVICIOS - SERVICIO DE INFORMACIÓN CATASTRAL - ACTUALIZACIÓN  Y GESTIÓN CATASTRAL  NACIONAL"/>
    <s v="Propios"/>
    <x v="1"/>
    <s v="CSF"/>
    <n v="3800000"/>
    <n v="0"/>
    <n v="3800000"/>
    <n v="3800000"/>
    <s v="ADQUISICION DE IMPRESORA"/>
    <s v="4721"/>
    <s v="-0"/>
    <s v="-0"/>
    <s v="-0"/>
    <s v="-0"/>
    <s v="-0"/>
    <x v="0"/>
    <x v="1"/>
  </r>
  <r>
    <s v="4821"/>
    <s v="2021-08-27 00:00:00"/>
    <s v="2021-08-27 14:41:00"/>
    <s v="Gasto"/>
    <s v="Generado"/>
    <s v="0500"/>
    <x v="12"/>
    <x v="1"/>
    <s v="ADQUISICIÓN DE BIENES Y SERVICIOS - SERVICIO DE INFORMACIÓN CATASTRAL - ACTUALIZACIÓN  Y GESTIÓN CATASTRAL  NACIONAL"/>
    <s v="Propios"/>
    <x v="1"/>
    <s v="CSF"/>
    <n v="1500000"/>
    <n v="0"/>
    <n v="1500000"/>
    <n v="1500000"/>
    <s v="ADQUISICION DE IMPLEMENTOS DE BIOSEGURIDAD"/>
    <s v="4821"/>
    <s v="-0"/>
    <s v="-0"/>
    <s v="-0"/>
    <s v="-0"/>
    <s v="-0"/>
    <x v="0"/>
    <x v="1"/>
  </r>
  <r>
    <s v="621"/>
    <s v="2021-01-12 00:00:00"/>
    <s v="2021-01-12 11:19:00"/>
    <s v="Gasto"/>
    <s v="Con Compromiso"/>
    <s v="0300"/>
    <x v="13"/>
    <x v="12"/>
    <s v="ADQUISICIÓN DE BIENES Y SERVICIOS - SERVICIO DE INFORMACIÓN CARTOGRÁFICA ACTUALIZADO - LEVANTAMIENTO , GENERACIÓN Y ACTUALIZACIÓN DE LA RED GEODÉSICA Y LA CARTOGRAFÍA BÁSICA A NIVEL   NACIONAL"/>
    <s v="Nación"/>
    <x v="0"/>
    <s v="CSF"/>
    <n v="4080150"/>
    <n v="-534766"/>
    <n v="3545384"/>
    <n v="0"/>
    <s v="TRASLADO FUNCIONARIOS SUBDIRECCION DE GEOGRAFIA PARA REALIZAR FOTOCONTROL Y PUNTOS DE VERIFICACION PARA ELABORACION DE CARTOGRAFIA VECTORIAL RURAL EN EL DEPARTAMENTO DE CAUCA Y NARIÑO"/>
    <s v="621"/>
    <s v="621"/>
    <s v="721"/>
    <s v="721"/>
    <s v="1509221"/>
    <s v="121"/>
    <x v="0"/>
    <x v="3"/>
  </r>
  <r>
    <s v="921"/>
    <s v="2021-02-04 00:00:00"/>
    <s v="2021-02-04 14:15:00"/>
    <s v="Gasto"/>
    <s v="Con Compromiso"/>
    <s v="0500"/>
    <x v="13"/>
    <x v="1"/>
    <s v="ADQUISICIÓN DE BIENES Y SERVICIOS - SERVICIO DE INFORMACIÓN CATASTRAL - ACTUALIZACIÓN  Y GESTIÓN CATASTRAL  NACIONAL"/>
    <s v="Nación"/>
    <x v="0"/>
    <s v="CSF"/>
    <n v="2551865"/>
    <n v="0"/>
    <n v="2551865"/>
    <n v="0"/>
    <s v="Prestación de servicios personales para ejecutar actividades de soporte en los procesos catastrales de la dirección territorial meta"/>
    <s v="921"/>
    <s v="2821"/>
    <s v="72321"/>
    <s v="80221"/>
    <s v="137409321"/>
    <s v="-0"/>
    <x v="0"/>
    <x v="1"/>
  </r>
  <r>
    <s v="1021"/>
    <s v="2021-02-04 00:00:00"/>
    <s v="2021-02-04 16:47:00"/>
    <s v="Gasto"/>
    <s v="Con Compromiso"/>
    <s v="0500"/>
    <x v="13"/>
    <x v="1"/>
    <s v="ADQUISICIÓN DE BIENES Y SERVICIOS - SERVICIO DE INFORMACIÓN CATASTRAL - ACTUALIZACIÓN  Y GESTIÓN CATASTRAL  NACIONAL"/>
    <s v="Nación"/>
    <x v="0"/>
    <s v="CSF"/>
    <n v="97254395"/>
    <n v="0"/>
    <n v="97254395"/>
    <n v="0"/>
    <s v="Prestación de servicios personales para ejecutar actividades de apoyo operativo en los procesos catastrales en la dirección territorial meta"/>
    <s v="1021"/>
    <s v="2121, 2221, 2321, 2721, 5421, 7821, 11221"/>
    <s v="26321, 26621, 29021, 29521, 30121, 30821, 30921"/>
    <s v="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
    <s v="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
    <s v="-0"/>
    <x v="0"/>
    <x v="1"/>
  </r>
  <r>
    <s v="1121"/>
    <s v="2021-02-04 00:00:00"/>
    <s v="2021-02-04 16:54:00"/>
    <s v="Gasto"/>
    <s v="Con Compromiso"/>
    <s v="0500"/>
    <x v="13"/>
    <x v="1"/>
    <s v="ADQUISICIÓN DE BIENES Y SERVICIOS - SERVICIO DE INFORMACIÓN CATASTRAL - ACTUALIZACIÓN  Y GESTIÓN CATASTRAL  NACIONAL"/>
    <s v="Nación"/>
    <x v="0"/>
    <s v="CSF"/>
    <n v="99991424"/>
    <n v="0"/>
    <n v="99991424"/>
    <n v="0"/>
    <s v="Prestación de servicios personales para gestionar actividades de reconocimiento predial urbano y rural de los trámites de los procesos catastrales de la dirección territorial meta"/>
    <s v="1121"/>
    <s v="3121, 3221, 10721, 10821"/>
    <s v="30221, 30321, 30521, 31021"/>
    <s v="40121, 40221, 40321, 40521, 44721, 45121, 50921, 51221, 51321, 51621, 65621, 65821, 65921, 67721, 82421, 82721, 82921, 83321, 99821, 101421, 101521, 101821, 117221, 117321, 117421, 117621"/>
    <s v="64294521, 64297421, 64300321, 65675021, 71382821, 71396921, 86707321, 86711121, 86712121, 86720921, 116077121, 116081921, 116085821, 116253621, 143447621, 143461121, 143473821, 143535921, 175963421, 177948821, 177956421, 180768621, 212067421, 212071521, 212082221, 212084421"/>
    <s v="-0"/>
    <x v="0"/>
    <x v="1"/>
  </r>
  <r>
    <s v="1221"/>
    <s v="2021-02-05 00:00:00"/>
    <s v="2021-02-05 09:59:00"/>
    <s v="Gasto"/>
    <s v="Con Compromiso"/>
    <s v="0500"/>
    <x v="13"/>
    <x v="1"/>
    <s v="ADQUISICIÓN DE BIENES Y SERVICIOS - SERVICIO DE INFORMACIÓN CATASTRAL - ACTUALIZACIÓN  Y GESTIÓN CATASTRAL  NACIONAL"/>
    <s v="Nación"/>
    <x v="0"/>
    <s v="CSF"/>
    <n v="21376994"/>
    <n v="0"/>
    <n v="21376994"/>
    <n v="9550823"/>
    <s v="ADQUISICIÓN DE BIENES Y SERVICIOS - SERVICIO DE INFORMACIÓN CATASTRAL - ACTUALIZACIÓN Y GESTIÓN CATASTRAL NACIONAL - VIATICOS Y GASTOS FUNCIONARIOS AREA DE CONSERVACIÓN"/>
    <s v="1221"/>
    <s v="8221, 8321, 13921, 18521, 19321, 19421, 19521, 20221, 20321, 20421, 21521, 21621, 22721, 23921, 24021, 24321, 24421, 24521, 24621, 24721, 26121, 28421, 29421, 29721, 30121, 33021, 33121, 33221, 33821, 33921, 34021, 34221"/>
    <s v="25821, 25921, 27421, 32721, 40521, 40621, 40721, 42321, 42421, 42521, 46521, 46621, 56221, 58121, 58221, 67521, 67621, 67721, 67821, 67921, 70521, 73421, 78321, 85021, 86421, 92221, 92321, 92421, 103121, 103221, 103321, 107121"/>
    <s v="31521, 31621, 33121, 44621, 48321, 48421, 48521, 49421, 49521, 49621, 53321, 53421, 64321, 65321, 65421, 76221, 76321, 76421, 76521, 76621, 79021, 81021, 85221, 92921, 94321, 97721, 97821, 97921, 110821, 110921, 111021, 114021"/>
    <s v="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
    <s v="1021, 1521, 1721, 1821, 2621, 2721"/>
    <x v="0"/>
    <x v="1"/>
  </r>
  <r>
    <s v="1321"/>
    <s v="2021-02-05 00:00:00"/>
    <s v="2021-02-05 11:42:00"/>
    <s v="Gasto"/>
    <s v="Con Compromiso"/>
    <s v="0500"/>
    <x v="13"/>
    <x v="1"/>
    <s v="ADQUISICIÓN DE BIENES Y SERVICIOS - SERVICIO DE INFORMACIÓN CATASTRAL - ACTUALIZACIÓN  Y GESTIÓN CATASTRAL  NACIONAL"/>
    <s v="Nación"/>
    <x v="0"/>
    <s v="CSF"/>
    <n v="27665794"/>
    <n v="0"/>
    <n v="27665794"/>
    <n v="0"/>
    <s v="Prestación de servicios profesionales para apoyar en los requerimientos de los trámites administrativos, judiciales y el postfallo del proceso de restitución de tierras en el marco de la ley 1448 de 2011 y la política integral a víctimas en la direcc"/>
    <s v="1321"/>
    <s v="3621"/>
    <s v="26421"/>
    <s v="34021, 39721, 51421, 67621, 81121, 98521, 118021"/>
    <s v="55075021, 64264821, 86713221, 116241321, 143325621, 175968021, 212054821"/>
    <s v="-0"/>
    <x v="0"/>
    <x v="1"/>
  </r>
  <r>
    <s v="1421"/>
    <s v="2021-02-05 00:00:00"/>
    <s v="2021-02-05 11:46:00"/>
    <s v="Gasto"/>
    <s v="Con Compromiso"/>
    <s v="0500"/>
    <x v="13"/>
    <x v="1"/>
    <s v="ADQUISICIÓN DE BIENES Y SERVICIOS - SERVICIO DE INFORMACIÓN CATASTRAL - ACTUALIZACIÓN  Y GESTIÓN CATASTRAL  NACIONAL"/>
    <s v="Nación"/>
    <x v="0"/>
    <s v="CSF"/>
    <n v="22660000"/>
    <n v="0"/>
    <n v="22660000"/>
    <n v="0"/>
    <s v="Prestación de servicios personales para gestionar actividades de reconocimiento predial urbano y rural, en atención a los requerimientos administrativos y judiciales del proceso de restitución de tierras en la dirección territorial meta"/>
    <s v="1421"/>
    <s v="9221"/>
    <s v="29921"/>
    <s v="39821, 52721, 67521, 83021, 100021, 116721"/>
    <s v="64279621, 86808721, 116232621, 143527321, 175955921, 212109421"/>
    <s v="-0"/>
    <x v="0"/>
    <x v="1"/>
  </r>
  <r>
    <s v="1521"/>
    <s v="2021-02-05 00:00:00"/>
    <s v="2021-02-05 11:52:00"/>
    <s v="Gasto"/>
    <s v="Con Compromiso"/>
    <s v="0500"/>
    <x v="13"/>
    <x v="1"/>
    <s v="ADQUISICIÓN DE BIENES Y SERVICIOS - SERVICIO DE INFORMACIÓN CATASTRAL - ACTUALIZACIÓN  Y GESTIÓN CATASTRAL  NACIONAL"/>
    <s v="Nación"/>
    <x v="0"/>
    <s v="CSF"/>
    <n v="13609944"/>
    <n v="0"/>
    <n v="13609944"/>
    <n v="0"/>
    <s v="Prestación de servicios de apoyo al seguimiento de las solicitudes ejecutadas en el marco de la política integral de reparación a víctimas en la dirección territorial meta"/>
    <s v="1521"/>
    <s v="10621"/>
    <s v="30021"/>
    <s v="39921, 50821, 65721, 81221, 96721, 113721, 117721"/>
    <s v="64281921, 86706421, 116079321, 143327721, 171100721, 189508921, 212065721"/>
    <s v="-0"/>
    <x v="0"/>
    <x v="1"/>
  </r>
  <r>
    <s v="1621"/>
    <s v="2021-02-05 00:00:00"/>
    <s v="2021-02-05 11:58:00"/>
    <s v="Gasto"/>
    <s v="Con Compromiso"/>
    <s v="0500"/>
    <x v="13"/>
    <x v="1"/>
    <s v="ADQUISICIÓN DE BIENES Y SERVICIOS - SERVICIO DE INFORMACIÓN CATASTRAL - ACTUALIZACIÓN  Y GESTIÓN CATASTRAL  NACIONAL"/>
    <s v="Nación"/>
    <x v="0"/>
    <s v="CSF"/>
    <n v="2439263"/>
    <n v="-1993883"/>
    <n v="445380"/>
    <n v="0"/>
    <s v="ADQUISICIÓN DE BIENES Y SERVICIOS - SERVICIO DE INFORMACIÓN CATASTRAL - ACTUALIZACIÓN Y GESTIÓN CATASTRAL NACIONAL - VIATICOS Y GASTOS AREA DE TIERRAS"/>
    <s v="1621"/>
    <s v="8521"/>
    <s v="26121"/>
    <s v="31821"/>
    <s v="42384021"/>
    <s v="-0"/>
    <x v="0"/>
    <x v="1"/>
  </r>
  <r>
    <s v="1721"/>
    <s v="2021-02-08 00:00:00"/>
    <s v="2021-02-08 16:56:00"/>
    <s v="Gasto"/>
    <s v="Con Compromiso"/>
    <s v="0510"/>
    <x v="13"/>
    <x v="16"/>
    <s v="ADQUISICIÓN DE BIENES Y SERVICIOS - SERVICIO DE AVALÚOS - ACTUALIZACIÓN  Y GESTIÓN CATASTRAL  NACIONAL"/>
    <s v="Propios"/>
    <x v="1"/>
    <s v="CSF"/>
    <n v="16381062"/>
    <n v="0"/>
    <n v="16381062"/>
    <n v="0"/>
    <s v="Prestación de servicios profesionales para efectuar control de calidad a los informes de avalúos comerciales, así como ejecutar avalúos a bienes inmuebles urbanos y rurales en todo el país"/>
    <s v="1721"/>
    <s v="14821"/>
    <s v="31621"/>
    <s v="41021, 52621, 67221, 84821, 98321, 112221"/>
    <s v="65688521, 86812521, 116225521, 144915021, 175987221, 189564721"/>
    <s v="-0"/>
    <x v="0"/>
    <x v="6"/>
  </r>
  <r>
    <s v="1821"/>
    <s v="2021-02-08 00:00:00"/>
    <s v="2021-02-08 17:03:00"/>
    <s v="Gasto"/>
    <s v="Con Compromiso"/>
    <s v="0510"/>
    <x v="13"/>
    <x v="16"/>
    <s v="ADQUISICIÓN DE BIENES Y SERVICIOS - SERVICIO DE AVALÚOS - ACTUALIZACIÓN  Y GESTIÓN CATASTRAL  NACIONAL"/>
    <s v="Propios"/>
    <x v="1"/>
    <s v="CSF"/>
    <n v="7118938"/>
    <n v="-4000000"/>
    <n v="3118938"/>
    <n v="1923381"/>
    <s v="VIATICOS Y GASTOS AVALUOS - INMUEBLES URBANOS Y RURALES"/>
    <s v="1821"/>
    <s v="3321, 3421, 8421, 17721"/>
    <s v="16421, 16521, 26021, 32621"/>
    <s v="18321, 18421, 31721, 42021"/>
    <s v="26774021, 26775221, 42381121, 65727021"/>
    <s v="221"/>
    <x v="0"/>
    <x v="6"/>
  </r>
  <r>
    <s v="1921"/>
    <s v="2021-02-09 00:00:00"/>
    <s v="2021-02-09 16:27:00"/>
    <s v="Gasto"/>
    <s v="Con Compromiso"/>
    <s v="0500"/>
    <x v="13"/>
    <x v="1"/>
    <s v="ADQUISICIÓN DE BIENES Y SERVICIOS - SERVICIO DE INFORMACIÓN CATASTRAL - ACTUALIZACIÓN  Y GESTIÓN CATASTRAL  NACIONAL"/>
    <s v="Propios"/>
    <x v="1"/>
    <s v="CSF"/>
    <n v="52455375"/>
    <n v="15736611"/>
    <n v="68191986"/>
    <n v="0"/>
    <s v="Prestación de servicios de apoyo a la gestión desarrollada del proceso de actualización catastral del municipio de Villavicencio- Meta"/>
    <s v="1921"/>
    <s v="2421, 3521, 3721, 9421, 9521"/>
    <s v="26521, 26721, 28221, 31421, 31721"/>
    <s v="32121, 32321, 33621, 40721, 40821, 40921, 41121, 43521, 51021, 51521, 52221, 52521, 54321, 66621, 66721, 66821, 66921, 67021, 80121, 81521, 81621, 81721, 81921, 98021, 99521, 99621, 104921, 105021, 117021, 117821, 117921, 118821"/>
    <s v="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
    <s v="-0"/>
    <x v="0"/>
    <x v="1"/>
  </r>
  <r>
    <s v="2021"/>
    <s v="2021-02-10 00:00:00"/>
    <s v="2021-02-10 16:19:00"/>
    <s v="Gasto"/>
    <s v="Con Compromiso"/>
    <s v="0500"/>
    <x v="13"/>
    <x v="1"/>
    <s v="ADQUISICIÓN DE BIENES Y SERVICIOS - SERVICIO DE INFORMACIÓN CATASTRAL - ACTUALIZACIÓN  Y GESTIÓN CATASTRAL  NACIONAL"/>
    <s v="Propios"/>
    <x v="1"/>
    <s v="CSF"/>
    <n v="187483920"/>
    <n v="43746250"/>
    <n v="231230170"/>
    <n v="0"/>
    <s v="Prestación de servicios personales para realizar actividades de reconocimiento predial en el proceso de actualización catastral del municipio de Villavicencio- Meta - RECONOCEDORES (15)"/>
    <s v="2021"/>
    <s v="16221, 16321, 17021, 17121, 17221, 17321, 17421, 17521, 17821, 18821, 18921, 19021, 19121, 19221, 20921, 22321"/>
    <s v="37221, 40421, 41121, 49721, 49921, 50121, 51021, 52121, 52321, 52821, 53121, 53321, 53921, 54821, 55021, 68721"/>
    <s v="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
    <s v="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
    <s v="-0"/>
    <x v="0"/>
    <x v="1"/>
  </r>
  <r>
    <s v="2121"/>
    <s v="2021-02-10 00:00:00"/>
    <s v="2021-02-10 16:27:00"/>
    <s v="Gasto"/>
    <s v="Con Compromiso"/>
    <s v="0500"/>
    <x v="13"/>
    <x v="1"/>
    <s v="ADQUISICIÓN DE BIENES Y SERVICIOS - SERVICIO DE INFORMACIÓN CATASTRAL - ACTUALIZACIÓN  Y GESTIÓN CATASTRAL  NACIONAL"/>
    <s v="Propios"/>
    <x v="1"/>
    <s v="CSF"/>
    <n v="412464624"/>
    <n v="125718386"/>
    <n v="538183010"/>
    <n v="0"/>
    <s v="Prestación de servicios personales para ejecutar actividades de reconocimiento predial en el proceso de actualización catastral del municipio de Villavicencio- Meta Reconocedores (33)"/>
    <s v="2121"/>
    <s v="8621, 8721, 8921, 9021, 9121, 9621, 9721, 9821, 9921, 10021, 10121, 10221, 10321, 10421, 10521, 10921, 11021, 11121, 11521, 11621, 11721, 11821, 11921, 14321, 14521, 14621, 14721, 15221, 15321, 15421, 15521, 15621, 15721"/>
    <s v="33621, 33721, 33821, 33921, 34221, 34421, 36921, 37021, 37121, 37321, 37421, 37521, 37621, 37721, 37821, 38021, 38421, 39221, 39321, 39421, 39621, 39721, 39821, 39921, 40221, 40321, 40821, 40921, 41021, 41221, 43221, 55421"/>
    <s v="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
    <s v="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
    <s v="-0"/>
    <x v="0"/>
    <x v="1"/>
  </r>
  <r>
    <s v="2221"/>
    <s v="2021-02-10 00:00:00"/>
    <s v="2021-02-10 16:33:00"/>
    <s v="Gasto"/>
    <s v="Con Compromiso"/>
    <s v="0500"/>
    <x v="13"/>
    <x v="1"/>
    <s v="ADQUISICIÓN DE BIENES Y SERVICIOS - SERVICIO DE INFORMACIÓN CATASTRAL - ACTUALIZACIÓN  Y GESTIÓN CATASTRAL  NACIONAL"/>
    <s v="Propios"/>
    <x v="1"/>
    <s v="CSF"/>
    <n v="115360000"/>
    <n v="28840000"/>
    <n v="144200000"/>
    <n v="0"/>
    <s v="Prestación de servicios técnicos de apoyo al seguimiento, planeación y gestión del reconocimiento predial  en el proceso de actualización catastral en el municipio de Villavicencio- Meta - Coordinadores (3)"/>
    <s v="2221"/>
    <s v="4321, 4421, 4521, 4621, 4721, 4921, 8021, 8121"/>
    <s v="31821, 33021, 33121, 33221, 33321, 35321, 37921, 40021"/>
    <s v="41221, 42121, 42221, 42321, 42421, 44021, 46321, 47721, 53621, 53821, 55821, 58121, 58221, 58421, 58521, 63421, 68821, 69221, 69721, 69821, 73321, 75021, 78721, 81821, 82121, 88021, 88121, 88621, 88721, 90521, 94621, 95921, 103521, 103621, 103721, 103821, 103921, 104021, 110421, 110521, 113821, 127621, 128021, 128521"/>
    <s v="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
    <s v="-0"/>
    <x v="0"/>
    <x v="1"/>
  </r>
  <r>
    <s v="2321"/>
    <s v="2021-02-10 00:00:00"/>
    <s v="2021-02-10 16:40:00"/>
    <s v="Gasto"/>
    <s v="Con Compromiso"/>
    <s v="0500"/>
    <x v="13"/>
    <x v="1"/>
    <s v="ADQUISICIÓN DE BIENES Y SERVICIOS - SERVICIO DE INFORMACIÓN CATASTRAL - ACTUALIZACIÓN  Y GESTIÓN CATASTRAL  NACIONAL"/>
    <s v="Propios"/>
    <x v="1"/>
    <s v="CSF"/>
    <n v="37400762"/>
    <n v="0"/>
    <n v="37400762"/>
    <n v="0"/>
    <s v="Prestación de servicios profesionales  para realizar  la depuración y análisis  de información registral en las bases catastrales, para los procesos de actualización catastral del municipio de Villavicencio- Meta- Profesional Icare (2)"/>
    <s v="2321"/>
    <s v="5521, 6421"/>
    <s v="31221, 32021"/>
    <s v="40621, 41421, 53921, 58621, 73221, 78921, 84321, 86321, 104121, 104221, 119221"/>
    <s v="65676921, 65712521, 89849721, 93386621, 120556121, 129218421, 144889921, 147745921, 180876321, 180881721, 212788821"/>
    <s v="-0"/>
    <x v="0"/>
    <x v="1"/>
  </r>
  <r>
    <s v="2421"/>
    <s v="2021-02-11 00:00:00"/>
    <s v="2021-02-11 12:17:00"/>
    <s v="Gasto"/>
    <s v="Con Compromiso"/>
    <s v="0500"/>
    <x v="13"/>
    <x v="1"/>
    <s v="ADQUISICIÓN DE BIENES Y SERVICIOS - SERVICIO DE INFORMACIÓN CATASTRAL - ACTUALIZACIÓN  Y GESTIÓN CATASTRAL  NACIONAL"/>
    <s v="Propios"/>
    <x v="1"/>
    <s v="CSF"/>
    <n v="53429660"/>
    <n v="21371864"/>
    <n v="74801524"/>
    <n v="0"/>
    <s v="Prestación de servicios personales para realizar actividades de digitalización y generación de productos resultantes del proceso de actualización catastral  del municipio de Villavicencio- Meta  Digitalizadores (5)"/>
    <s v="2421"/>
    <s v="13121, 13221, 13321, 14921, 15021"/>
    <s v="35421, 35721, 35821, 38121, 38321"/>
    <s v="44321, 44421, 44521, 46521, 46721, 54221, 54521, 54621, 54721, 55121, 67821, 68121, 68221, 68321, 73921, 84921, 85921, 86021, 88521, 93921, 101921, 102021, 102121, 102221, 103021, 103121, 108421, 108521, 118421, 121921, 122021, 122121, 122221, 122821, 122921, 128321, 128421"/>
    <s v="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
    <s v="-0"/>
    <x v="0"/>
    <x v="1"/>
  </r>
  <r>
    <s v="2521"/>
    <s v="2021-02-11 00:00:00"/>
    <s v="2021-02-11 12:32:00"/>
    <s v="Gasto"/>
    <s v="Con Compromiso"/>
    <s v="0500"/>
    <x v="13"/>
    <x v="1"/>
    <s v="ADQUISICIÓN DE BIENES Y SERVICIOS - SERVICIO DE INFORMACIÓN CATASTRAL - ACTUALIZACIÓN  Y GESTIÓN CATASTRAL  NACIONAL"/>
    <s v="Propios"/>
    <x v="1"/>
    <s v="CSF"/>
    <n v="53429660"/>
    <n v="23420001"/>
    <n v="76849661"/>
    <n v="0"/>
    <s v="Prestación de servicios personales para ejecutar acciones de digitalización y generación de productos resultantes del proceso de actualización catastral  del municipio de Villavicencio- Meta -Digitalizadores (5)"/>
    <s v="2521"/>
    <s v="16421, 16521, 16921, 18421, 20021"/>
    <s v="35621, 38221, 39521, 48221, 51621"/>
    <s v="44221, 46621, 47221, 54421, 54821, 55021, 59421, 59521, 67921, 68021, 68421, 68521, 73521, 84621, 85821, 90621, 92621, 93821, 102321, 102421, 102821, 102921, 108621, 108721, 113221, 113321, 114921, 121521, 121621, 122521, 122621, 123021, 123121, 126021, 126121"/>
    <s v="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
    <s v="-0"/>
    <x v="0"/>
    <x v="1"/>
  </r>
  <r>
    <s v="2621"/>
    <s v="2021-02-11 00:00:00"/>
    <s v="2021-02-11 12:43:00"/>
    <s v="Gasto"/>
    <s v="Con Compromiso"/>
    <s v="0500"/>
    <x v="13"/>
    <x v="1"/>
    <s v="ADQUISICIÓN DE BIENES Y SERVICIOS - SERVICIO DE INFORMACIÓN CATASTRAL - ACTUALIZACIÓN  Y GESTIÓN CATASTRAL  NACIONAL"/>
    <s v="Propios"/>
    <x v="1"/>
    <s v="CSF"/>
    <n v="74854692"/>
    <n v="25291819"/>
    <n v="100146511"/>
    <n v="0"/>
    <s v="Prestación de servicios personales para realizar actividades de apoyo operativo  del proceso de actualización catastral  del municipio de Villavicencio- Meta - Auxiliares apoyo (11)"/>
    <s v="2621"/>
    <s v="11321, 11421, 12021, 12121, 12221, 12421, 12521, 12621, 13421, 18621, 18721"/>
    <s v="32321, 33421, 33521, 34021, 34121, 34621, 34721, 40121, 41721, 48621, 51221"/>
    <s v="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
    <s v="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
    <s v="-0"/>
    <x v="0"/>
    <x v="1"/>
  </r>
  <r>
    <s v="2721"/>
    <s v="2021-02-11 00:00:00"/>
    <s v="2021-02-11 12:50:00"/>
    <s v="Gasto"/>
    <s v="Con Compromiso"/>
    <s v="0500"/>
    <x v="13"/>
    <x v="1"/>
    <s v="ADQUISICIÓN DE BIENES Y SERVICIOS - SERVICIO DE INFORMACIÓN CATASTRAL - ACTUALIZACIÓN  Y GESTIÓN CATASTRAL  NACIONAL"/>
    <s v="Propios"/>
    <x v="1"/>
    <s v="CSF"/>
    <n v="17273379"/>
    <n v="0"/>
    <n v="17273379"/>
    <n v="0"/>
    <s v="Prestación de servicios profesionales para realizar las actividades de  topografía dentro del marco del proceso de actualización catastral de Villavicencio- Meta - TOPOGRAFO (1)"/>
    <s v="2721"/>
    <s v="23421"/>
    <s v="75321"/>
    <s v="82821, 95321, 98721, 125721"/>
    <s v="143477821, 165553721, 175978221, 219462021"/>
    <s v="-0"/>
    <x v="0"/>
    <x v="1"/>
  </r>
  <r>
    <s v="2821"/>
    <s v="2021-02-11 00:00:00"/>
    <s v="2021-02-11 12:55:00"/>
    <s v="Gasto"/>
    <s v="Con Compromiso"/>
    <s v="0500"/>
    <x v="13"/>
    <x v="1"/>
    <s v="ADQUISICIÓN DE BIENES Y SERVICIOS - SERVICIO DE INFORMACIÓN CATASTRAL - ACTUALIZACIÓN  Y GESTIÓN CATASTRAL  NACIONAL"/>
    <s v="Propios"/>
    <x v="1"/>
    <s v="CSF"/>
    <n v="16785720"/>
    <n v="0"/>
    <n v="16785720"/>
    <n v="0"/>
    <s v="Prestación de servicios de apoyo a la gestión para atención al público en el proceso de actualización catastral de Villavicencio- Meta - Atencion Publico (1)"/>
    <s v="2821"/>
    <s v="5121"/>
    <s v="35221"/>
    <s v="43921, 61521, 67121, 83121, 110621, 118521"/>
    <s v="67815421, 95923621, 116222021, 143530721, 182349721, 211996321"/>
    <s v="-0"/>
    <x v="0"/>
    <x v="1"/>
  </r>
  <r>
    <s v="2921"/>
    <s v="2021-02-11 00:00:00"/>
    <s v="2021-02-11 13:02:00"/>
    <s v="Gasto"/>
    <s v="Generado"/>
    <s v="0500"/>
    <x v="13"/>
    <x v="1"/>
    <s v="ADQUISICIÓN DE BIENES Y SERVICIOS - SERVICIO DE INFORMACIÓN CATASTRAL - ACTUALIZACIÓN  Y GESTIÓN CATASTRAL  NACIONAL"/>
    <s v="Propios"/>
    <x v="1"/>
    <s v="CSF"/>
    <n v="104495712"/>
    <n v="-104495712"/>
    <n v="0"/>
    <n v="0"/>
    <s v="Prestación de servicios profesionales para desarrollar e implementar los análisis económicos y financieros para establecer las mejores prácticas y fuente de información en el desarrollo de metodologías masivas de valoración de predios a partir de fue"/>
    <s v="2921"/>
    <s v="-0"/>
    <s v="-0"/>
    <s v="-0"/>
    <s v="-0"/>
    <s v="-0"/>
    <x v="0"/>
    <x v="1"/>
  </r>
  <r>
    <s v="3021"/>
    <s v="2021-02-11 00:00:00"/>
    <s v="2021-02-11 13:07:00"/>
    <s v="Gasto"/>
    <s v="Con Compromiso"/>
    <s v="0500"/>
    <x v="13"/>
    <x v="1"/>
    <s v="ADQUISICIÓN DE BIENES Y SERVICIOS - SERVICIO DE INFORMACIÓN CATASTRAL - ACTUALIZACIÓN  Y GESTIÓN CATASTRAL  NACIONAL"/>
    <s v="Propios"/>
    <x v="1"/>
    <s v="CSF"/>
    <n v="31247320"/>
    <n v="8020145"/>
    <n v="39267465"/>
    <n v="0"/>
    <s v="Prestación de servicios profesionales para realizar las socializaciones requeridas en el proceso de actualización catastral de Villavicencio- Meta - Sociologo (3)"/>
    <s v="3021"/>
    <s v="7621, 14421"/>
    <s v="32421, 35121"/>
    <s v="41821, 43821, 52021, 52121, 70221, 74021, 77621, 82021, 84721, 100421, 102521, 119521, 119621, 119721, 119821"/>
    <s v="65719621, 67795321, 86723721, 86724621, 120152421, 122208821, 129153421, 143409821, 144910321, 175951221, 180791721, 212775921, 212778521, 212780421, 212781321"/>
    <s v="-0"/>
    <x v="0"/>
    <x v="1"/>
  </r>
  <r>
    <s v="3121"/>
    <s v="2021-02-11 00:00:00"/>
    <s v="2021-02-11 13:14:00"/>
    <s v="Gasto"/>
    <s v="Con Compromiso"/>
    <s v="0500"/>
    <x v="13"/>
    <x v="1"/>
    <s v="ADQUISICIÓN DE BIENES Y SERVICIOS - SERVICIO DE INFORMACIÓN CATASTRAL - ACTUALIZACIÓN  Y GESTIÓN CATASTRAL  NACIONAL"/>
    <s v="Propios"/>
    <x v="1"/>
    <s v="CSF"/>
    <n v="74646360"/>
    <n v="27536213"/>
    <n v="102182573"/>
    <n v="0"/>
    <s v="Prestación de servicios para realizar la edición, depuración y consolidación de los productos cartográficos requeridos para el componente geográfico de los procesos de actualización o formación catastral EDITORES (3)"/>
    <s v="3121"/>
    <s v="6321, 7921, 18321"/>
    <s v="32121, 32221, 46221"/>
    <s v="41521, 41621, 53021, 55921, 58721, 67321, 69421, 70121, 84421, 84521, 85321, 99221, 103321, 103421, 119121, 119321, 119421, 120921, 121021"/>
    <s v="65715121, 65717321, 90444821, 90485221, 93416221, 116228721, 118367821, 118427621, 144891821, 144895921, 147713821, 175964521, 180834821, 180838121, 212750321, 212754421, 212783521, 212784721, 212790421"/>
    <s v="-0"/>
    <x v="0"/>
    <x v="1"/>
  </r>
  <r>
    <s v="3221"/>
    <s v="2021-02-11 00:00:00"/>
    <s v="2021-02-11 13:19:00"/>
    <s v="Gasto"/>
    <s v="Con Compromiso"/>
    <s v="0500"/>
    <x v="13"/>
    <x v="1"/>
    <s v="ADQUISICIÓN DE BIENES Y SERVICIOS - SERVICIO DE INFORMACIÓN CATASTRAL - ACTUALIZACIÓN  Y GESTIÓN CATASTRAL  NACIONAL"/>
    <s v="Propios"/>
    <x v="1"/>
    <s v="CSF"/>
    <n v="57577930"/>
    <n v="23127775"/>
    <n v="80705705"/>
    <n v="9309072"/>
    <s v="Prestación de servicios para realizar el control calidad de los productos geográficos, alfanuméricos y documentales generados en los procesos de actualización o formación catastral - Control de Calidad (2)"/>
    <s v="3221"/>
    <s v="7721, 15121"/>
    <s v="31921, 35521"/>
    <s v="41321, 44121, 54021, 56021, 69921, 70021, 86121, 86221, 104721, 107921, 123321, 123421, 128121, 128221"/>
    <s v="65709921, 67832721, 90024221, 90499921, 118422621, 118426621, 147739721, 147743021, 180906321, 181023021, 213599621, 213607721, 219367721, 219370521"/>
    <s v="-0"/>
    <x v="0"/>
    <x v="1"/>
  </r>
  <r>
    <s v="3321"/>
    <s v="2021-02-11 00:00:00"/>
    <s v="2021-02-11 13:44:00"/>
    <s v="Gasto"/>
    <s v="Con Compromiso"/>
    <s v="0500"/>
    <x v="13"/>
    <x v="1"/>
    <s v="ADQUISICIÓN DE BIENES Y SERVICIOS - SERVICIO DE INFORMACIÓN CATASTRAL - ACTUALIZACIÓN  Y GESTIÓN CATASTRAL  NACIONAL"/>
    <s v="Propios"/>
    <x v="1"/>
    <s v="CSF"/>
    <n v="13357415"/>
    <n v="6678707"/>
    <n v="20036122"/>
    <n v="0"/>
    <s v="Prestación de servicios técnicos para desarrollar actividades de soporte informático relacionados con la gestión de software, hardware e infraestructura tecnológica en procesos de actualización catastral de Villavicencio- Meta - Soporte Informatica ("/>
    <s v="3321"/>
    <s v="6221"/>
    <s v="31121"/>
    <s v="40421, 51121, 66421, 81421, 99921, 121721, 121821"/>
    <s v="64307221, 86710221, 116125121, 143336321, 175954621, 213329021, 213334021"/>
    <s v="-0"/>
    <x v="0"/>
    <x v="1"/>
  </r>
  <r>
    <s v="3421"/>
    <s v="2021-02-11 00:00:00"/>
    <s v="2021-02-11 13:58:00"/>
    <s v="Gasto"/>
    <s v="Con Compromiso"/>
    <s v="0500"/>
    <x v="13"/>
    <x v="1"/>
    <s v="ADQUISICIÓN DE BIENES Y SERVICIOS - SERVICIO DE INFORMACIÓN CATASTRAL - ACTUALIZACIÓN  Y GESTIÓN CATASTRAL  NACIONAL"/>
    <s v="Propios"/>
    <x v="1"/>
    <s v="CSF"/>
    <n v="69663808"/>
    <n v="0"/>
    <n v="69663808"/>
    <n v="0"/>
    <s v="Prestación de servicios profesionales para el seguimiento y control de las actividades de la etapa operativa del proyecto de gestión catastral Villavicencio que adelanta la territorial meta - Coordinador de Proyecto Villavicencio - (1)"/>
    <s v="3421"/>
    <s v="4821"/>
    <s v="29421"/>
    <s v="34821, 43321, 59321, 76021, 90121, 107821, 128621"/>
    <s v="56898121, 66174321, 93454921, 122415721, 150585021, 181017421, 219319321"/>
    <s v="-0"/>
    <x v="0"/>
    <x v="1"/>
  </r>
  <r>
    <s v="3521"/>
    <s v="2021-02-11 00:00:00"/>
    <s v="2021-02-11 14:04:00"/>
    <s v="Gasto"/>
    <s v="Con Compromiso"/>
    <s v="0500"/>
    <x v="13"/>
    <x v="1"/>
    <s v="ADQUISICIÓN DE BIENES Y SERVICIOS - SERVICIO DE INFORMACIÓN CATASTRAL - ACTUALIZACIÓN  Y GESTIÓN CATASTRAL  NACIONAL"/>
    <s v="Propios"/>
    <x v="1"/>
    <s v="CSF"/>
    <n v="37000000"/>
    <n v="-14096000"/>
    <n v="22904000"/>
    <n v="0"/>
    <s v="Adquisición de equipos de cómputo y periféricos para la territorial meta"/>
    <s v="3521"/>
    <s v="23721"/>
    <s v="86321"/>
    <s v="93121"/>
    <s v="159066421"/>
    <s v="-0"/>
    <x v="0"/>
    <x v="1"/>
  </r>
  <r>
    <s v="3621"/>
    <s v="2021-02-15 00:00:00"/>
    <s v="2021-02-15 09:12:00"/>
    <s v="Gasto"/>
    <s v="Con Compromiso"/>
    <s v="0500"/>
    <x v="13"/>
    <x v="1"/>
    <s v="ADQUISICIÓN DE BIENES Y SERVICIOS - SERVICIO DE INFORMACIÓN CATASTRAL - ACTUALIZACIÓN  Y GESTIÓN CATASTRAL  NACIONAL"/>
    <s v="Propios"/>
    <x v="1"/>
    <s v="CSF"/>
    <n v="45705001"/>
    <n v="0"/>
    <n v="45705001"/>
    <n v="2032132.06"/>
    <s v="VIATICOS Y GASTOS FUNCIONARIO"/>
    <s v="3621"/>
    <s v="8821, 21321, 29521"/>
    <s v="25721, 43921, 78421"/>
    <s v="31421, 50721, 85121"/>
    <s v="42580121, 84882621, 160675021"/>
    <s v="1921, 2021, 2121, 2421, 2821, 2921"/>
    <x v="0"/>
    <x v="1"/>
  </r>
  <r>
    <s v="3721"/>
    <s v="2021-02-16 00:00:00"/>
    <s v="2021-02-16 12:15:00"/>
    <s v="Gasto"/>
    <s v="Con Compromiso"/>
    <s v="0500"/>
    <x v="13"/>
    <x v="1"/>
    <s v="ADQUISICIÓN DE BIENES Y SERVICIOS - SERVICIO DE INFORMACIÓN CATASTRAL - ACTUALIZACIÓN  Y GESTIÓN CATASTRAL  NACIONAL"/>
    <s v="Propios"/>
    <x v="1"/>
    <s v="CSF"/>
    <n v="115245455"/>
    <n v="0"/>
    <n v="115245455"/>
    <n v="45899874"/>
    <s v="VIATICOS Y GASTOS COMISION FUNCIONARIOS CUMARIBO"/>
    <s v="3721"/>
    <s v="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
    <s v="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
    <s v="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
    <s v="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
    <s v="321, 421, 521, 621, 721, 821, 1621, 2221, 2321, 2521"/>
    <x v="0"/>
    <x v="1"/>
  </r>
  <r>
    <s v="3821"/>
    <s v="2021-02-16 00:00:00"/>
    <s v="2021-02-16 15:19:00"/>
    <s v="Gasto"/>
    <s v="Con Compromiso"/>
    <s v="0500"/>
    <x v="13"/>
    <x v="1"/>
    <s v="ADQUISICIÓN DE BIENES Y SERVICIOS - SERVICIO DE INFORMACIÓN CATASTRAL - ACTUALIZACIÓN  Y GESTIÓN CATASTRAL  NACIONAL"/>
    <s v="Propios"/>
    <x v="1"/>
    <s v="CSF"/>
    <n v="37000000"/>
    <n v="0"/>
    <n v="37000000"/>
    <n v="0"/>
    <s v="Prestación de servicios de apoyo logistico para adelantar el proceso de consulta previa resguardo SIKUANI y WIWI del municipio Cumaribo Vichada"/>
    <s v="3821"/>
    <s v="22621"/>
    <s v="89721"/>
    <s v="96821, 121421"/>
    <s v="175966121, 213345421"/>
    <s v="-0"/>
    <x v="0"/>
    <x v="1"/>
  </r>
  <r>
    <s v="4421"/>
    <s v="2021-03-02 00:00:00"/>
    <s v="2021-03-02 13:49:00"/>
    <s v="Gasto"/>
    <s v="Con Compromiso"/>
    <s v="0500"/>
    <x v="13"/>
    <x v="1"/>
    <s v="ADQUISICIÓN DE BIENES Y SERVICIOS - SERVICIO DE INFORMACIÓN CATASTRAL - ACTUALIZACIÓN  Y GESTIÓN CATASTRAL  NACIONAL"/>
    <s v="Nación"/>
    <x v="0"/>
    <s v="CSF"/>
    <n v="1993883"/>
    <n v="0"/>
    <n v="1993883"/>
    <n v="486594"/>
    <s v="GASTO MANUTENCION CONTRATATISTAS AREA DE TIERRAS - ADQUISICIÓN DE BIENES Y SERVICIOS - SERVICIO DE INFORMACIÓN CATASTRAL - ACTUALIZACIÓN Y GESTIÓN CATASTRAL NACIONAL -  GASTOS MANUTENCION AREA DE TIERRAS"/>
    <s v="4421"/>
    <s v="9321, 12921, 13021, 17621"/>
    <s v="26221, 27121, 27221, 29621"/>
    <s v="31921, 32621, 34121, 34921"/>
    <s v="43867721, 50741121, 55076221, 59304921"/>
    <s v="-0"/>
    <x v="0"/>
    <x v="1"/>
  </r>
  <r>
    <s v="4721"/>
    <s v="2021-03-23 00:00:00"/>
    <s v="2021-03-23 10:18:00"/>
    <s v="Gasto"/>
    <s v="Con Compromiso"/>
    <s v="0510"/>
    <x v="13"/>
    <x v="16"/>
    <s v="ADQUISICIÓN DE BIENES Y SERVICIOS - SERVICIO DE AVALÚOS - ACTUALIZACIÓN  Y GESTIÓN CATASTRAL  NACIONAL"/>
    <s v="Propios"/>
    <x v="1"/>
    <s v="CSF"/>
    <n v="4000000"/>
    <n v="0"/>
    <n v="4000000"/>
    <n v="3365765"/>
    <s v="GASTOS MANUTENCION CONTRATISTA - PERITO AVALUADOR"/>
    <s v="4721"/>
    <s v="18221, 22221, 27421, 29821"/>
    <s v="32521, 55921, 71421, 85421"/>
    <s v="41921, 63821, 79821, 93321"/>
    <s v="65724921, 100813221, 134100221, 159053321"/>
    <s v="-0"/>
    <x v="0"/>
    <x v="6"/>
  </r>
  <r>
    <s v="5221"/>
    <s v="2021-05-07 00:00:00"/>
    <s v="2021-05-07 11:33:00"/>
    <s v="Gasto"/>
    <s v="Con Compromiso"/>
    <s v="0500"/>
    <x v="13"/>
    <x v="1"/>
    <s v="ADQUISICIÓN DE BIENES Y SERVICIOS - SERVICIO DE INFORMACIÓN CATASTRAL - ACTUALIZACIÓN  Y GESTIÓN CATASTRAL  NACIONAL"/>
    <s v="Propios"/>
    <x v="1"/>
    <s v="CSF"/>
    <n v="28000000"/>
    <n v="0"/>
    <n v="28000000"/>
    <n v="0"/>
    <s v="VIATICOS Y GASTOS MUNICIPIO DE CUMARIBO (CIERRE CONSULTA PREVIA)"/>
    <s v="5221"/>
    <s v="28521, 37021"/>
    <s v="76021, 118321"/>
    <s v="83521, 123921"/>
    <s v="143729221, 215229121"/>
    <s v="-0"/>
    <x v="0"/>
    <x v="1"/>
  </r>
  <r>
    <s v="5321"/>
    <s v="2021-05-13 00:00:00"/>
    <s v="2021-05-13 10:33:00"/>
    <s v="Gasto"/>
    <s v="Con Compromiso"/>
    <s v="0500"/>
    <x v="13"/>
    <x v="1"/>
    <s v="ADQUISICIÓN DE BIENES Y SERVICIOS - SERVICIO DE INFORMACIÓN CATASTRAL - ACTUALIZACIÓN  Y GESTIÓN CATASTRAL  NACIONAL"/>
    <s v="Propios"/>
    <x v="1"/>
    <s v="CSF"/>
    <n v="14000000"/>
    <n v="0"/>
    <n v="14000000"/>
    <n v="0"/>
    <s v="MANTENIMIENTO PREVENTIVO, CORRECTIVO Y SUMINISTRO E INSTALACION DE REPUESTOS DE LOS VEHICULOS DE LA TERRITORIAL META"/>
    <s v="5321"/>
    <s v="26521"/>
    <s v="-0"/>
    <s v="-0"/>
    <s v="-0"/>
    <s v="-0"/>
    <x v="0"/>
    <x v="1"/>
  </r>
  <r>
    <s v="5621"/>
    <s v="2021-05-20 00:00:00"/>
    <s v="2021-05-20 16:36:00"/>
    <s v="Gasto"/>
    <s v="Con Compromiso"/>
    <s v="0500"/>
    <x v="13"/>
    <x v="1"/>
    <s v="ADQUISICIÓN DE BIENES Y SERVICIOS - SERVICIO DE INFORMACIÓN CATASTRAL - ACTUALIZACIÓN  Y GESTIÓN CATASTRAL  NACIONAL"/>
    <s v="Propios"/>
    <x v="1"/>
    <s v="CSF"/>
    <n v="112490352"/>
    <n v="-53120444"/>
    <n v="59369908"/>
    <n v="0"/>
    <s v="Prestación de servicios personales para desarrollar actividades de reconocimiento predial en el proceso de actualización catastral del municipio de Villavicencio- Meta"/>
    <s v="5621"/>
    <s v="25721, 25821, 25921, 26021, 26321, 26421, 26621, 27521, 31021"/>
    <s v="83021, 83121, 83221, 83321, 83421, 84121, 84321, 84821, 103521"/>
    <s v="90921, 91021, 91121, 91221, 91321, 92021, 92221, 92821, 106421, 106921, 107221, 111221, 111721, 112721, 112821, 113421, 126321, 126421"/>
    <s v="152755921, 152758721, 152764421, 152769521, 152776721, 152920721, 152938921, 153050121, 180938621, 180977021, 180991121, 182540721, 182590621, 189516421, 189543221, 189545521, 219428821, 219429921"/>
    <s v="-0"/>
    <x v="0"/>
    <x v="1"/>
  </r>
  <r>
    <s v="5721"/>
    <s v="2021-05-20 00:00:00"/>
    <s v="2021-05-20 16:42:00"/>
    <s v="Gasto"/>
    <s v="Con Compromiso"/>
    <s v="0500"/>
    <x v="13"/>
    <x v="1"/>
    <s v="ADQUISICIÓN DE BIENES Y SERVICIOS - SERVICIO DE INFORMACIÓN CATASTRAL - ACTUALIZACIÓN  Y GESTIÓN CATASTRAL  NACIONAL"/>
    <s v="Propios"/>
    <x v="1"/>
    <s v="CSF"/>
    <n v="21630000"/>
    <n v="0"/>
    <n v="21630000"/>
    <n v="0"/>
    <s v="&quot;Prestación de servicios técnicos como lider de reconocimiento predial en el proceso de actualización catastral en el municipio de villavicencio- meta_x000a__x000a_&quot;"/>
    <s v="5721"/>
    <s v="26221, 29221"/>
    <s v="80121, 114821"/>
    <s v="88421, 104821, 121321, 123221"/>
    <s v="150528621, 180907921, 212735421, 213610021"/>
    <s v="-0"/>
    <x v="0"/>
    <x v="1"/>
  </r>
  <r>
    <s v="5821"/>
    <s v="2021-05-20 00:00:00"/>
    <s v="2021-05-20 16:46:00"/>
    <s v="Gasto"/>
    <s v="Con Compromiso"/>
    <s v="0500"/>
    <x v="13"/>
    <x v="1"/>
    <s v="ADQUISICIÓN DE BIENES Y SERVICIOS - SERVICIO DE INFORMACIÓN CATASTRAL - ACTUALIZACIÓN  Y GESTIÓN CATASTRAL  NACIONAL"/>
    <s v="Propios"/>
    <x v="1"/>
    <s v="CSF"/>
    <n v="14929272"/>
    <n v="4976424"/>
    <n v="19905696"/>
    <n v="0"/>
    <s v="&quot;Prestación de servicios para realizar la edición, depuración y consolidación de los productos_x000a_cartográficos para el componente geográfico del proceso de actualización catastral del municipio de Villavicencio- Meta_x000a_&quot;"/>
    <s v="5821"/>
    <s v="24121"/>
    <s v="86521"/>
    <s v="94421, 112121"/>
    <s v="163405321, 189566721"/>
    <s v="-0"/>
    <x v="0"/>
    <x v="1"/>
  </r>
  <r>
    <s v="5921"/>
    <s v="2021-05-20 00:00:00"/>
    <s v="2021-05-20 16:50:00"/>
    <s v="Gasto"/>
    <s v="Con Compromiso"/>
    <s v="0500"/>
    <x v="13"/>
    <x v="1"/>
    <s v="ADQUISICIÓN DE BIENES Y SERVICIOS - SERVICIO DE INFORMACIÓN CATASTRAL - ACTUALIZACIÓN  Y GESTIÓN CATASTRAL  NACIONAL"/>
    <s v="Propios"/>
    <x v="1"/>
    <s v="CSF"/>
    <n v="21371864"/>
    <n v="0"/>
    <n v="21371864"/>
    <n v="0"/>
    <s v="Prestación de servicios de soporte a la gestión desarrollada en el proceso de actualización catastral del municipio de villavicencio- meta"/>
    <s v="5921"/>
    <s v="27621, 28321"/>
    <s v="75121, 75921"/>
    <s v="82621, 83421, 100521, 111121, 118121, 118721"/>
    <s v="143457521, 143533921, 175946221, 182536421, 211975321, 212032321"/>
    <s v="-0"/>
    <x v="0"/>
    <x v="1"/>
  </r>
  <r>
    <s v="6321"/>
    <s v="2021-06-28 00:00:00"/>
    <s v="2021-06-28 15:29:00"/>
    <s v="Gasto"/>
    <s v="Con Compromiso"/>
    <s v="0500"/>
    <x v="13"/>
    <x v="1"/>
    <s v="ADQUISICIÓN DE BIENES Y SERVICIOS - SERVICIO DE INFORMACIÓN CATASTRAL - ACTUALIZACIÓN  Y GESTIÓN CATASTRAL  NACIONAL"/>
    <s v="Propios"/>
    <x v="1"/>
    <s v="CSF"/>
    <n v="16995000"/>
    <n v="0"/>
    <n v="16995000"/>
    <n v="0"/>
    <s v="PRESTACION DE SERVICIOS PERSONALES PARA EFECTUAR LABORES DE RECONOCIMIENTO PREDIAL EN EL PROCESO DE ACTUALIZACION CATASTRAL DEL MUNICIPIO DE VILLAVICENCIO-META"/>
    <s v="6321"/>
    <s v="30221, 30721, 32121"/>
    <s v="100821, 103621, 108021"/>
    <s v="111321, 112021, 115121, 127121"/>
    <s v="182543821, 189569021, 200117321, 219418621"/>
    <s v="-0"/>
    <x v="0"/>
    <x v="1"/>
  </r>
  <r>
    <s v="6421"/>
    <s v="2021-06-28 00:00:00"/>
    <s v="2021-06-28 15:33:00"/>
    <s v="Gasto"/>
    <s v="Con Compromiso"/>
    <s v="0500"/>
    <x v="13"/>
    <x v="1"/>
    <s v="ADQUISICIÓN DE BIENES Y SERVICIOS - SERVICIO DE INFORMACIÓN CATASTRAL - ACTUALIZACIÓN  Y GESTIÓN CATASTRAL  NACIONAL"/>
    <s v="Propios"/>
    <x v="1"/>
    <s v="CSF"/>
    <n v="5103729"/>
    <n v="0"/>
    <n v="5103729"/>
    <n v="0"/>
    <s v="PRESTACION DE SERVICIOS PERSONALES PARA EFECTUAR LABORES DE APOYO OPERATIVO DEL  PROCESO DE ACTUALIZACION CATASTRAL DEL MUNICIPIO DE VILLAVICENCIO-META"/>
    <s v="6421"/>
    <s v="31821"/>
    <s v="94921"/>
    <s v="101321, 127521"/>
    <s v="177950721, 219386921"/>
    <s v="-0"/>
    <x v="0"/>
    <x v="1"/>
  </r>
  <r>
    <s v="6521"/>
    <s v="2021-06-28 00:00:00"/>
    <s v="2021-06-28 15:38:00"/>
    <s v="Gasto"/>
    <s v="Con Compromiso"/>
    <s v="0500"/>
    <x v="13"/>
    <x v="1"/>
    <s v="ADQUISICIÓN DE BIENES Y SERVICIOS - SERVICIO DE INFORMACIÓN CATASTRAL - ACTUALIZACIÓN  Y GESTIÓN CATASTRAL  NACIONAL"/>
    <s v="Propios"/>
    <x v="1"/>
    <s v="CSF"/>
    <n v="8014449"/>
    <n v="0"/>
    <n v="8014449"/>
    <n v="0"/>
    <s v="PRESTACION DE SERVICIOS PROFESIONALES  PARA EJECUTAR LA DEPURACION Y ESTUDIO DE LA INFORMACION REGISTRAL EN LAS BASES CATASTRALES, PARA LOS   PROCESO DE ACTUALIZACION CATASTRAL DEL MUNICIPIO DE VILLAVICENCIO-META"/>
    <s v="6521"/>
    <s v="33321"/>
    <s v="110921"/>
    <s v="116821"/>
    <s v="212091921"/>
    <s v="-0"/>
    <x v="0"/>
    <x v="1"/>
  </r>
  <r>
    <s v="6621"/>
    <s v="2021-06-28 00:00:00"/>
    <s v="2021-06-28 15:43:00"/>
    <s v="Gasto"/>
    <s v="Generado"/>
    <s v="0500"/>
    <x v="13"/>
    <x v="1"/>
    <s v="ADQUISICIÓN DE BIENES Y SERVICIOS - SERVICIO DE INFORMACIÓN CATASTRAL - ACTUALIZACIÓN  Y GESTIÓN CATASTRAL  NACIONAL"/>
    <s v="Propios"/>
    <x v="1"/>
    <s v="CSF"/>
    <n v="8392860"/>
    <n v="-8392860"/>
    <n v="0"/>
    <n v="0"/>
    <s v="PRESTACION DE SERVICIOS PERSONALES COMO TECNICO OPERATIVO EN EL PROCESO DE DE ACTUALIZACION CATASTRAL DEL MUNICIPIO DE VILLAVICENCIO-META"/>
    <s v="6621"/>
    <s v="-0"/>
    <s v="-0"/>
    <s v="-0"/>
    <s v="-0"/>
    <s v="-0"/>
    <x v="0"/>
    <x v="1"/>
  </r>
  <r>
    <s v="6721"/>
    <s v="2021-06-28 00:00:00"/>
    <s v="2021-06-28 15:49:00"/>
    <s v="Gasto"/>
    <s v="Con Compromiso"/>
    <s v="0500"/>
    <x v="13"/>
    <x v="1"/>
    <s v="ADQUISICIÓN DE BIENES Y SERVICIOS - SERVICIO DE INFORMACIÓN CATASTRAL - ACTUALIZACIÓN  Y GESTIÓN CATASTRAL  NACIONAL"/>
    <s v="Propios"/>
    <x v="1"/>
    <s v="CSF"/>
    <n v="5103729"/>
    <n v="0"/>
    <n v="5103729"/>
    <n v="0"/>
    <s v="PRESTACION DE SERVICIOS DE APOYO PARA EFECTUAR ACTIVIDADES EN EL PROCESO DE ACTUALIZACION  CATASTRAL DEL MUNICIPIO DE VILLAVICENCIO-META"/>
    <s v="6721"/>
    <s v="32021"/>
    <s v="104221"/>
    <s v="111921, 118621"/>
    <s v="182596721, 211979221"/>
    <s v="-0"/>
    <x v="0"/>
    <x v="1"/>
  </r>
  <r>
    <s v="6821"/>
    <s v="2021-06-28 00:00:00"/>
    <s v="2021-06-28 15:53:00"/>
    <s v="Gasto"/>
    <s v="Con Compromiso"/>
    <s v="0500"/>
    <x v="13"/>
    <x v="1"/>
    <s v="ADQUISICIÓN DE BIENES Y SERVICIOS - SERVICIO DE INFORMACIÓN CATASTRAL - ACTUALIZACIÓN  Y GESTIÓN CATASTRAL  NACIONAL"/>
    <s v="Propios"/>
    <x v="1"/>
    <s v="CSF"/>
    <n v="21630000"/>
    <n v="0"/>
    <n v="21630000"/>
    <n v="3605000"/>
    <s v="PRESTACION DE SERVICIOS PERSONALES COMO TECNICO EN LIDER DE RECONOCIMIENTO PREDIAL PARA EL PROCESO DE DE ACTUALIZACION CATASTRAL DEL MUNICIPIO DE VILLAVICENCIO-META"/>
    <s v="6821"/>
    <s v="33521, 34121, 37421"/>
    <s v="114721"/>
    <s v="121221"/>
    <s v="212736421"/>
    <s v="-0"/>
    <x v="0"/>
    <x v="1"/>
  </r>
  <r>
    <s v="7121"/>
    <s v="2021-06-30 00:00:00"/>
    <s v="2021-06-30 16:46:00"/>
    <s v="Gasto"/>
    <s v="Con Compromiso"/>
    <s v="0500"/>
    <x v="13"/>
    <x v="1"/>
    <s v="ADQUISICIÓN DE BIENES Y SERVICIOS - SERVICIO DE INFORMACIÓN CATASTRAL - ACTUALIZACIÓN  Y GESTIÓN CATASTRAL  NACIONAL"/>
    <s v="Propios"/>
    <x v="1"/>
    <s v="CSF"/>
    <n v="10685932"/>
    <n v="0"/>
    <n v="10685932"/>
    <n v="0"/>
    <s v="PRESTACION DE SERVICIOS PERSONALES DE APOYO PARA REALIZAR ACTIVIDADES DENTRO DEL PROCESO DE ACTUALIZACION CATASTRAL DEL MUNICIPIO DE VILLAVICENCIO"/>
    <s v="7121"/>
    <s v="31921"/>
    <s v="91121"/>
    <s v="98121, 116921"/>
    <s v="175968821, 212089921"/>
    <s v="-0"/>
    <x v="0"/>
    <x v="1"/>
  </r>
  <r>
    <s v="7421"/>
    <s v="2021-07-30 00:00:00"/>
    <s v="2021-07-30 09:17:00"/>
    <s v="Gasto"/>
    <s v="Generado"/>
    <s v="0500"/>
    <x v="13"/>
    <x v="1"/>
    <s v="ADQUISICIÓN DE BIENES Y SERVICIOS - SERVICIO DE INFORMACIÓN CATASTRAL - ACTUALIZACIÓN  Y GESTIÓN CATASTRAL  NACIONAL"/>
    <s v="Propios"/>
    <x v="1"/>
    <s v="CSF"/>
    <n v="14096000"/>
    <n v="-14096000"/>
    <n v="0"/>
    <n v="0"/>
    <s v="ADQUISICION DE TINTAS, TONER Y CABEZALES PARA LOS PLOTTER DE LA TERRITORIAL META"/>
    <s v="7721"/>
    <s v="-0"/>
    <s v="-0"/>
    <s v="-0"/>
    <s v="-0"/>
    <s v="-0"/>
    <x v="0"/>
    <x v="1"/>
  </r>
  <r>
    <s v="7521"/>
    <s v="2021-08-18 00:00:00"/>
    <s v="2021-08-18 08:54:00"/>
    <s v="Gasto"/>
    <s v="Con Compromiso"/>
    <s v="0500"/>
    <x v="13"/>
    <x v="1"/>
    <s v="ADQUISICIÓN DE BIENES Y SERVICIOS - SERVICIO DE INFORMACIÓN CATASTRAL - ACTUALIZACIÓN  Y GESTIÓN CATASTRAL  NACIONAL"/>
    <s v="Propios"/>
    <x v="1"/>
    <s v="CSF"/>
    <n v="28122588"/>
    <n v="0"/>
    <n v="28122588"/>
    <n v="18748392"/>
    <s v="Prestación de servicios profesionales para ejecutar actividades de socialización requeridas en el proceso de actualización catastral de Villavicencio- Meta."/>
    <s v="7821"/>
    <s v="35921"/>
    <s v="-0"/>
    <s v="-0"/>
    <s v="-0"/>
    <s v="-0"/>
    <x v="0"/>
    <x v="1"/>
  </r>
  <r>
    <s v="7621"/>
    <s v="2021-08-18 00:00:00"/>
    <s v="2021-08-18 08:55:00"/>
    <s v="Gasto"/>
    <s v="Con Compromiso"/>
    <s v="0500"/>
    <x v="13"/>
    <x v="1"/>
    <s v="ADQUISICIÓN DE BIENES Y SERVICIOS - SERVICIO DE INFORMACIÓN CATASTRAL - ACTUALIZACIÓN  Y GESTIÓN CATASTRAL  NACIONAL"/>
    <s v="Propios"/>
    <x v="1"/>
    <s v="CSF"/>
    <n v="21371864"/>
    <n v="0"/>
    <n v="21371864"/>
    <n v="0"/>
    <s v="Prestación de servicios profesionales para elaborar el estudio y la depuración de la información registral en las bases catastrales, para los procesos de actualización catastral del municipio de Villavicencio- Meta."/>
    <s v="7921"/>
    <s v="36021, 36121, 36321, 36421"/>
    <s v="-0"/>
    <s v="-0"/>
    <s v="-0"/>
    <s v="-0"/>
    <x v="0"/>
    <x v="1"/>
  </r>
  <r>
    <s v="7721"/>
    <s v="2021-08-18 00:00:00"/>
    <s v="2021-08-18 08:56:00"/>
    <s v="Gasto"/>
    <s v="Con Compromiso"/>
    <s v="0500"/>
    <x v="13"/>
    <x v="1"/>
    <s v="ADQUISICIÓN DE BIENES Y SERVICIOS - SERVICIO DE INFORMACIÓN CATASTRAL - ACTUALIZACIÓN  Y GESTIÓN CATASTRAL  NACIONAL"/>
    <s v="Propios"/>
    <x v="1"/>
    <s v="CSF"/>
    <n v="27219888"/>
    <n v="0"/>
    <n v="27219888"/>
    <n v="0"/>
    <s v="Prestación de servicios personales para cumplir actividades de apoyo dentro del proceso de actualización catastral del municipio de Villavicencio- Meta."/>
    <s v="8021"/>
    <s v="35721, 35821, 36221, 36521, 36621, 36721, 36921, 37321"/>
    <s v="-0"/>
    <s v="-0"/>
    <s v="-0"/>
    <s v="-0"/>
    <x v="0"/>
    <x v="1"/>
  </r>
  <r>
    <s v="7821"/>
    <s v="2021-08-18 00:00:00"/>
    <s v="2021-08-18 08:57:00"/>
    <s v="Gasto"/>
    <s v="Generado"/>
    <s v="0500"/>
    <x v="13"/>
    <x v="1"/>
    <s v="ADQUISICIÓN DE BIENES Y SERVICIOS - SERVICIO DE INFORMACIÓN CATASTRAL - ACTUALIZACIÓN  Y GESTIÓN CATASTRAL  NACIONAL"/>
    <s v="Propios"/>
    <x v="1"/>
    <s v="CSF"/>
    <n v="6249464"/>
    <n v="0"/>
    <n v="6249464"/>
    <n v="6249464"/>
    <s v="Prestación de servicios personales para efectuar actividades de reconocimiento predial en el proceso de actualización catastral del municipio de Villavicencio- Meta."/>
    <s v="8121"/>
    <s v="-0"/>
    <s v="-0"/>
    <s v="-0"/>
    <s v="-0"/>
    <s v="-0"/>
    <x v="0"/>
    <x v="1"/>
  </r>
  <r>
    <s v="7921"/>
    <s v="2021-08-20 00:00:00"/>
    <s v="2021-08-20 12:23:00"/>
    <s v="Gasto"/>
    <s v="Con Compromiso"/>
    <s v="0500"/>
    <x v="13"/>
    <x v="1"/>
    <s v="ADQUISICIÓN DE BIENES Y SERVICIOS - SERVICIO DE INFORMACIÓN CATASTRAL - ACTUALIZACIÓN  Y GESTIÓN CATASTRAL  NACIONAL"/>
    <s v="Nación"/>
    <x v="0"/>
    <s v="CSF"/>
    <n v="21371864"/>
    <n v="0"/>
    <n v="21371864"/>
    <n v="10774981"/>
    <s v="Prestación de servicios personales para realizar actividades de digitalización  y generación de productos resultantes del proceso de conservación catastral de la territorial Meta."/>
    <s v="8221"/>
    <s v="37521"/>
    <s v="-0"/>
    <s v="-0"/>
    <s v="-0"/>
    <s v="-0"/>
    <x v="0"/>
    <x v="1"/>
  </r>
  <r>
    <s v="921"/>
    <s v="2021-01-27 00:00:00"/>
    <s v="2021-01-27 20:23:00"/>
    <s v="Gasto"/>
    <s v="Anulado"/>
    <s v="0500"/>
    <x v="14"/>
    <x v="1"/>
    <s v="ADQUISICIÓN DE BIENES Y SERVICIOS - SERVICIO DE INFORMACIÓN CATASTRAL - ACTUALIZACIÓN  Y GESTIÓN CATASTRAL  NACIONAL"/>
    <s v="Propios"/>
    <x v="1"/>
    <s v="CSF"/>
    <n v="169682405"/>
    <n v="-169682405"/>
    <n v="0"/>
    <n v="0"/>
    <s v="CUMPLIMIENTO DEL CONTRATO FRIRMADO  ENTRE EL IG- ADC ._x000a_TIEN COMO OBJETO PRESTAR SERVICIO PUBLICO CATASTRAL EN LAS OPERACION TECNICA Y ADMINISTRATIVA PARA LA CONSERVACION CATASTRAL DE LAS ZONAS URBANAS DE LOS MUNICIPIOS DE PASTO, IPIALES Y TUMACO DEL"/>
    <s v="921"/>
    <s v="-0"/>
    <s v="-0"/>
    <s v="-0"/>
    <s v="-0"/>
    <s v="-0"/>
    <x v="0"/>
    <x v="1"/>
  </r>
  <r>
    <s v="1021"/>
    <s v="2021-02-05 00:00:00"/>
    <s v="2021-02-05 14:19:00"/>
    <s v="Gasto"/>
    <s v="Con Compromiso"/>
    <s v="0500"/>
    <x v="14"/>
    <x v="1"/>
    <s v="ADQUISICIÓN DE BIENES Y SERVICIOS - SERVICIO DE INFORMACIÓN CATASTRAL - ACTUALIZACIÓN  Y GESTIÓN CATASTRAL  NACIONAL"/>
    <s v="Propios"/>
    <x v="1"/>
    <s v="CSF"/>
    <n v="106180200"/>
    <n v="-7042700"/>
    <n v="99137500"/>
    <n v="0"/>
    <s v="Prestación de servicios personales para realizar actividades de reconocimiento predial dentro del proceso gestión catastral - conservación- en el marco de los proyectos que adelanta el Instituto en la Territorial Nariño."/>
    <s v="1421"/>
    <s v="3721, 3821, 3921, 4021, 4121, 4221, 4321, 5321"/>
    <s v="3221, 3921, 6821, 7421, 7621, 7721, 7921, 9921"/>
    <s v="21421, 21521, 22021, 22221, 22321, 22521, 25821, 26821, 27221, 28021, 28121, 28221, 28321, 30921, 31821, 32021, 33721, 33821, 33921, 34321, 36221, 37321, 37421, 38221, 38421, 39121, 41621, 41821, 43221, 45921"/>
    <s v="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
    <s v="-0"/>
    <x v="0"/>
    <x v="1"/>
  </r>
  <r>
    <s v="1121"/>
    <s v="2021-02-05 00:00:00"/>
    <s v="2021-02-05 14:43:00"/>
    <s v="Gasto"/>
    <s v="Con Compromiso"/>
    <s v="0500"/>
    <x v="14"/>
    <x v="1"/>
    <s v="ADQUISICIÓN DE BIENES Y SERVICIOS - SERVICIO DE INFORMACIÓN CATASTRAL - ACTUALIZACIÓN  Y GESTIÓN CATASTRAL  NACIONAL"/>
    <s v="Propios"/>
    <x v="1"/>
    <s v="CSF"/>
    <n v="12968365"/>
    <n v="0"/>
    <n v="12968365"/>
    <n v="0"/>
    <s v="Prestación de servicios personales para realizar actividades de digitalización y generación de productos de la información catastral dentro del proceso gestión catastral -conservación- en el marco de los proyectos que adelanta el Instituto en la Terr"/>
    <s v="1521"/>
    <s v="3621"/>
    <s v="4421"/>
    <s v="14821, 20921, 27321, 31221, 36921, 42621"/>
    <s v="50193821, 76466221, 105998621, 133169921, 162614221, 189716821"/>
    <s v="-0"/>
    <x v="0"/>
    <x v="1"/>
  </r>
  <r>
    <s v="1221"/>
    <s v="2021-02-05 00:00:00"/>
    <s v="2021-02-05 14:58:00"/>
    <s v="Gasto"/>
    <s v="Con Compromiso"/>
    <s v="0500"/>
    <x v="14"/>
    <x v="1"/>
    <s v="ADQUISICIÓN DE BIENES Y SERVICIOS - SERVICIO DE INFORMACIÓN CATASTRAL - ACTUALIZACIÓN  Y GESTIÓN CATASTRAL  NACIONAL"/>
    <s v="Propios"/>
    <x v="1"/>
    <s v="CSF"/>
    <n v="26427072"/>
    <n v="0"/>
    <n v="26427072"/>
    <n v="0"/>
    <s v="Prestación de servicios personales para realizar actividades de apoyo operativo dentro del proceso gestión _x000a_catastral -conservación- en el marco de los proyectos que adelanta el Instituto en la Territorial Nariño."/>
    <s v="1621"/>
    <s v="4521, 4621, 4721, 4821"/>
    <s v="7121, 7521, 8021, 9821"/>
    <s v="21721, 22121, 22621, 25721, 26421, 26621, 27721, 30821, 32321, 32621, 34121, 34221, 37921, 38621, 41221, 42121"/>
    <s v="79146721, 81802721, 81803221, 103848721, 104410021, 104417121, 110515721, 122019121, 133197521, 133201421, 144742921, 144758721, 165344421, 166371921, 177996821, 187305621"/>
    <s v="-0"/>
    <x v="0"/>
    <x v="1"/>
  </r>
  <r>
    <s v="1321"/>
    <s v="2021-02-05 00:00:00"/>
    <s v="2021-02-05 15:15:00"/>
    <s v="Gasto"/>
    <s v="Con Compromiso"/>
    <s v="0500"/>
    <x v="14"/>
    <x v="1"/>
    <s v="ADQUISICIÓN DE BIENES Y SERVICIOS - SERVICIO DE INFORMACIÓN CATASTRAL - ACTUALIZACIÓN  Y GESTIÓN CATASTRAL  NACIONAL"/>
    <s v="Propios"/>
    <x v="1"/>
    <s v="CSF"/>
    <n v="17500000"/>
    <n v="0"/>
    <n v="17500000"/>
    <n v="0"/>
    <s v="Prestación de servicios personales para realizar las actividades de asignación, control y verificación dentro del _x000a_proceso gestión catastral - conservación- en el marco de los proyectos que adelanta el Instituto en la_x000a_ Territorial Nariño"/>
    <s v="1721"/>
    <s v="4421"/>
    <s v="7021"/>
    <s v="21621, 26721, 32421, 38121, 42821"/>
    <s v="79146421, 104417521, 133198721, 165345621, 190567321"/>
    <s v="-0"/>
    <x v="0"/>
    <x v="1"/>
  </r>
  <r>
    <s v="1421"/>
    <s v="2021-02-05 00:00:00"/>
    <s v="2021-02-05 15:30:00"/>
    <s v="Gasto"/>
    <s v="Con Compromiso"/>
    <s v="0500"/>
    <x v="14"/>
    <x v="1"/>
    <s v="ADQUISICIÓN DE BIENES Y SERVICIOS - SERVICIO DE INFORMACIÓN CATASTRAL - ACTUALIZACIÓN  Y GESTIÓN CATASTRAL  NACIONAL"/>
    <s v="Propios"/>
    <x v="1"/>
    <s v="CSF"/>
    <n v="6606768"/>
    <n v="0"/>
    <n v="6606768"/>
    <n v="0"/>
    <s v="Prestación de servicios personales para realizar actividades de apoyo operativo -tramite de mutaciones_x000a_dentro del proceso gestión catastral -conservación- en el marco de los proyectos que adelanta el Instituto_x000a_en la Territorial Nariño."/>
    <s v="1821"/>
    <s v="2121"/>
    <s v="4821"/>
    <s v="14421, 20721, 26121, 31421, 36721"/>
    <s v="50173521, 76465621, 104403421, 133176221, 152592921"/>
    <s v="-0"/>
    <x v="0"/>
    <x v="1"/>
  </r>
  <r>
    <s v="1521"/>
    <s v="2021-02-05 00:00:00"/>
    <s v="2021-02-05 16:49:00"/>
    <s v="Gasto"/>
    <s v="Con Compromiso"/>
    <s v="0500"/>
    <x v="14"/>
    <x v="1"/>
    <s v="ADQUISICIÓN DE BIENES Y SERVICIOS - SERVICIO DE INFORMACIÓN CATASTRAL - ACTUALIZACIÓN  Y GESTIÓN CATASTRAL  NACIONAL"/>
    <s v="Nación"/>
    <x v="0"/>
    <s v="CSF"/>
    <n v="34372074"/>
    <n v="-3228892"/>
    <n v="31143182"/>
    <n v="0"/>
    <s v="Prestación de servicios profesionales para apoyar a la Dirección Territorial Nariño en los requerimientos del _x000a_trámite administrativo, judicial y el postfallo del proceso de restitución de tierras en el marco de la ley 1448 _x000a_de 2011 y la política int"/>
    <s v="1921"/>
    <s v="4921"/>
    <s v="8221"/>
    <s v="22821, 27821, 33521, 38821, 43521"/>
    <s v="82796321, 110518921, 140972721, 169300321, 198654321"/>
    <s v="-0"/>
    <x v="0"/>
    <x v="1"/>
  </r>
  <r>
    <s v="1621"/>
    <s v="2021-02-05 00:00:00"/>
    <s v="2021-02-05 17:03:00"/>
    <s v="Gasto"/>
    <s v="Con Compromiso"/>
    <s v="0500"/>
    <x v="14"/>
    <x v="1"/>
    <s v="ADQUISICIÓN DE BIENES Y SERVICIOS - SERVICIO DE INFORMACIÓN CATASTRAL - ACTUALIZACIÓN  Y GESTIÓN CATASTRAL  NACIONAL"/>
    <s v="Nación"/>
    <x v="0"/>
    <s v="CSF"/>
    <n v="62315000"/>
    <n v="-5853834"/>
    <n v="56461166"/>
    <n v="0"/>
    <s v="Prestación de servicios personales para adelantar actividades de reconocimiento predial urbano y rural, en _x000a_atención a los requerimientos administrativos y judiciales del proceso de restitución de tierras en la dirección _x000a_territorial Nariño."/>
    <s v="2021"/>
    <s v="5021, 5121"/>
    <s v="7821, 8121"/>
    <s v="22421, 22721, 27021, 27121, 32221, 32521, 32821, 37821, 38521, 42521, 42721"/>
    <s v="81805021, 82795421, 104419521, 104423821, 133200221, 135155721, 165343721, 165717721, 189677121, 190563821"/>
    <s v="-0"/>
    <x v="0"/>
    <x v="1"/>
  </r>
  <r>
    <s v="1721"/>
    <s v="2021-02-05 00:00:00"/>
    <s v="2021-02-05 17:09:00"/>
    <s v="Gasto"/>
    <s v="Con Compromiso"/>
    <s v="0500"/>
    <x v="14"/>
    <x v="1"/>
    <s v="ADQUISICIÓN DE BIENES Y SERVICIOS - SERVICIO DE INFORMACIÓN CATASTRAL - ACTUALIZACIÓN  Y GESTIÓN CATASTRAL  NACIONAL"/>
    <s v="Nación"/>
    <x v="0"/>
    <s v="CSF"/>
    <n v="21317864"/>
    <n v="0"/>
    <n v="21317864"/>
    <n v="0"/>
    <s v="Prestación de servicios personales para realizar actividades de digitalización y generación de productos de la_x000a_ información catastral dentro del proceso gestión catastral -conservación- en la Territorial Nariño."/>
    <s v="2121"/>
    <s v="2321"/>
    <s v="4321"/>
    <s v="14021, 21021, 26021, 31321, 36821, 43121"/>
    <s v="47794221, 76466721, 104403121, 133173721, 162590721, 192549321"/>
    <s v="-0"/>
    <x v="0"/>
    <x v="1"/>
  </r>
  <r>
    <s v="1821"/>
    <s v="2021-02-05 00:00:00"/>
    <s v="2021-02-05 17:13:00"/>
    <s v="Gasto"/>
    <s v="Con Compromiso"/>
    <s v="0500"/>
    <x v="14"/>
    <x v="1"/>
    <s v="ADQUISICIÓN DE BIENES Y SERVICIOS - SERVICIO DE INFORMACIÓN CATASTRAL - ACTUALIZACIÓN  Y GESTIÓN CATASTRAL  NACIONAL"/>
    <s v="Nación"/>
    <x v="0"/>
    <s v="CSF"/>
    <n v="84975000"/>
    <n v="0"/>
    <n v="84975000"/>
    <n v="0"/>
    <s v="Prestación de servicios personales para realizar actividades de reconocimiento predial urbano y rural para la _x000a_atención de trámites de los Departamentos de Nariño y Putumayo dentro del proceso de gestión catastral-_x000a_ conservación -en la Territorial Na"/>
    <s v="2221"/>
    <s v="2421, 2521, 2621"/>
    <s v="5121, 5421, 5521"/>
    <s v="14721, 15121, 15221, 21821, 21921, 25921, 28921, 29021, 32121, 33621, 38021, 38921, 42021, 43721, 44321"/>
    <s v="50162521, 55426121, 55427321, 81802121, 81821921, 103859421, 116013421, 116015921, 133195521, 140985521, 165345121, 171888821, 187305521, 200122421, 207432321"/>
    <s v="-0"/>
    <x v="0"/>
    <x v="1"/>
  </r>
  <r>
    <s v="1921"/>
    <s v="2021-02-05 00:00:00"/>
    <s v="2021-02-05 17:20:00"/>
    <s v="Gasto"/>
    <s v="Con Compromiso"/>
    <s v="0500"/>
    <x v="14"/>
    <x v="1"/>
    <s v="ADQUISICIÓN DE BIENES Y SERVICIOS - SERVICIO DE INFORMACIÓN CATASTRAL - ACTUALIZACIÓN  Y GESTIÓN CATASTRAL  NACIONAL"/>
    <s v="Nación"/>
    <x v="0"/>
    <s v="CSF"/>
    <n v="68049720"/>
    <n v="0"/>
    <n v="68049720"/>
    <n v="0"/>
    <s v="Prestación de servicios personales para realizar actividades de apoyo operativo en el proceso de gestión _x000a_catastral-conservación- en la Dirección Territorial Nariño"/>
    <s v="2321"/>
    <s v="1721, 1821, 1921, 2021"/>
    <s v="4621, 4721, 4921, 5021"/>
    <s v="14221, 14321, 14521, 14621, 20821, 21121, 21221, 21321, 26221, 26321, 26521, 26921, 31521, 31621, 31721, 31921, 37021, 37121, 37221, 37521, 42321, 42421, 42921, 43421, 46221, 46321, 46421, 46521"/>
    <s v="50117921, 50122421, 50149021, 50151021, 76465921, 76467421, 76467921, 76468221, 104404121, 104404521, 104415421, 104419021, 133177621, 133182821, 133185121, 133191621, 162626921, 162661221, 162666321, 162686121, 189652521, 189667721, 190569721, 198653421, 227343821, 227362821, 227369221, 227378321"/>
    <s v="-0"/>
    <x v="0"/>
    <x v="1"/>
  </r>
  <r>
    <s v="2021"/>
    <s v="2021-02-05 00:00:00"/>
    <s v="2021-02-05 17:29:00"/>
    <s v="Gasto"/>
    <s v="Con Compromiso"/>
    <s v="0500"/>
    <x v="14"/>
    <x v="1"/>
    <s v="ADQUISICIÓN DE BIENES Y SERVICIOS - SERVICIO DE INFORMACIÓN CATASTRAL - ACTUALIZACIÓN  Y GESTIÓN CATASTRAL  NACIONAL"/>
    <s v="Propios"/>
    <x v="1"/>
    <s v="CSF"/>
    <n v="0"/>
    <n v="7042700"/>
    <n v="7042700"/>
    <n v="1736675"/>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021"/>
    <s v="2021-02-05 00:00:00"/>
    <s v="2021-02-05 17:29:00"/>
    <s v="Gasto"/>
    <s v="Con Compromiso"/>
    <s v="0500"/>
    <x v="14"/>
    <x v="1"/>
    <s v="ADQUISICIÓN DE BIENES Y SERVICIOS - SERVICIO DE INFORMACIÓN CATASTRAL - ACTUALIZACIÓN  Y GESTIÓN CATASTRAL  NACIONAL"/>
    <s v="Nación"/>
    <x v="0"/>
    <s v="CSF"/>
    <n v="16573520"/>
    <n v="7082726"/>
    <n v="23656246"/>
    <n v="240254"/>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121"/>
    <s v="2021-02-05 00:00:00"/>
    <s v="2021-02-05 17:35:00"/>
    <s v="Gasto"/>
    <s v="Con Compromiso"/>
    <s v="0510"/>
    <x v="14"/>
    <x v="16"/>
    <s v="ADQUISICIÓN DE BIENES Y SERVICIOS - SERVICIO DE AVALÚOS - ACTUALIZACIÓN  Y GESTIÓN CATASTRAL  NACIONAL"/>
    <s v="Propios"/>
    <x v="1"/>
    <s v="CSF"/>
    <n v="38222478"/>
    <n v="-3761577"/>
    <n v="34460901"/>
    <n v="0"/>
    <s v="Prestación de servicios profesionales para realizar el control de calidad a los informes de avalúos comerciales, _x000a_así como realizar avalúos a bienes inmuebles urbanos y rurales en todo el país."/>
    <s v="2521"/>
    <s v="6021"/>
    <s v="9521"/>
    <s v="25421, 28421, 36621, 41521, 44421"/>
    <s v="92703821, 112287721, 152579321, 180924521, 214541321"/>
    <s v="-0"/>
    <x v="0"/>
    <x v="6"/>
  </r>
  <r>
    <s v="2221"/>
    <s v="2021-02-05 00:00:00"/>
    <s v="2021-02-05 17:39:00"/>
    <s v="Gasto"/>
    <s v="Con Compromiso"/>
    <s v="0510"/>
    <x v="14"/>
    <x v="16"/>
    <s v="ADQUISICIÓN DE BIENES Y SERVICIOS - SERVICIO DE AVALÚOS - ACTUALIZACIÓN  Y GESTIÓN CATASTRAL  NACIONAL"/>
    <s v="Propios"/>
    <x v="1"/>
    <s v="CSF"/>
    <n v="60000000"/>
    <n v="-15000000"/>
    <n v="45000000"/>
    <n v="0"/>
    <s v="Prestación de servicios profesionales para realizar avalúos comerciales, a nivel nacional_x000a_ de los bienes urbanos y rurales."/>
    <s v="2621"/>
    <s v="6721, 6821, 6921"/>
    <s v="-0"/>
    <s v="-0"/>
    <s v="-0"/>
    <s v="-0"/>
    <x v="0"/>
    <x v="6"/>
  </r>
  <r>
    <s v="2321"/>
    <s v="2021-02-05 00:00:00"/>
    <s v="2021-02-05 17:43:00"/>
    <s v="Gasto"/>
    <s v="Con Compromiso"/>
    <s v="0510"/>
    <x v="14"/>
    <x v="16"/>
    <s v="ADQUISICIÓN DE BIENES Y SERVICIOS - SERVICIO DE AVALÚOS - ACTUALIZACIÓN  Y GESTIÓN CATASTRAL  NACIONAL"/>
    <s v="Propios"/>
    <x v="1"/>
    <s v="CSF"/>
    <n v="1485522"/>
    <n v="3761577"/>
    <n v="5247099"/>
    <n v="4184871"/>
    <s v="Viaticos y gastos de comision Profesional Mercado inmobiliario"/>
    <s v="2721"/>
    <s v="8821, 8921"/>
    <s v="12921, 13021"/>
    <s v="28521, 28621"/>
    <s v="112282421, 112288621"/>
    <s v="421"/>
    <x v="0"/>
    <x v="6"/>
  </r>
  <r>
    <s v="3221"/>
    <s v="2021-04-22 00:00:00"/>
    <s v="2021-04-22 21:05:00"/>
    <s v="Gasto"/>
    <s v="Con Compromiso"/>
    <s v="0500"/>
    <x v="14"/>
    <x v="1"/>
    <s v="ADQUISICIÓN DE BIENES Y SERVICIOS - SERVICIO DE INFORMACIÓN CATASTRAL - ACTUALIZACIÓN  Y GESTIÓN CATASTRAL  NACIONAL"/>
    <s v="Nación"/>
    <x v="0"/>
    <s v="CSF"/>
    <n v="14460565"/>
    <n v="0"/>
    <n v="14460565"/>
    <n v="0"/>
    <s v="Prestación de servicios personales  para el seguimiento a las solicitudes realizadas en el marco de la política integral de reparación a víctimas la Territorial Nariño-Atender las solicitudes en materia de Política de Restitución de Tierras y Ley de"/>
    <s v="3721"/>
    <s v="8321"/>
    <s v="12221"/>
    <s v="27921, 32921, 38321, 43821"/>
    <s v="112272721, 135157121, 165347821, 204411921"/>
    <s v="-0"/>
    <x v="0"/>
    <x v="1"/>
  </r>
  <r>
    <s v="3521"/>
    <s v="2021-05-15 00:00:00"/>
    <s v="2021-05-15 21:54:00"/>
    <s v="Gasto"/>
    <s v="Generado"/>
    <s v="0500"/>
    <x v="14"/>
    <x v="1"/>
    <s v="ADQUISICIÓN DE BIENES Y SERVICIOS - SERVICIO DE INFORMACIÓN CATASTRAL - ACTUALIZACIÓN  Y GESTIÓN CATASTRAL  NACIONAL"/>
    <s v="Nación"/>
    <x v="0"/>
    <s v="CSF"/>
    <n v="2000000"/>
    <n v="0"/>
    <n v="2000000"/>
    <n v="2000000"/>
    <s v="Viaticos de comision para el personal de tierras   para apoyar a la Dirección Territorial Nariño en_x000a_ los requerimientos del trámite _x000a_administrativo, judicial y el postfallo del proceso de restitución de tierras en el marco de la ley 1448 de 2011"/>
    <s v="4021"/>
    <s v="-0"/>
    <s v="-0"/>
    <s v="-0"/>
    <s v="-0"/>
    <s v="-0"/>
    <x v="0"/>
    <x v="1"/>
  </r>
  <r>
    <s v="3921"/>
    <s v="2021-06-08 00:00:00"/>
    <s v="2021-06-08 18:23:00"/>
    <s v="Gasto"/>
    <s v="Con Compromiso"/>
    <s v="0500"/>
    <x v="14"/>
    <x v="1"/>
    <s v="ADQUISICIÓN DE BIENES Y SERVICIOS - SERVICIO DE INFORMACIÓN CATASTRAL - ACTUALIZACIÓN  Y GESTIÓN CATASTRAL  NACIONAL"/>
    <s v="Propios"/>
    <x v="1"/>
    <s v="CSF"/>
    <n v="6505000"/>
    <n v="0"/>
    <n v="6505000"/>
    <n v="0"/>
    <s v="Mantenimiento preventivo, correctivo, suministro e instalación de repuestos del vehículo de la dirección territorial Nariño"/>
    <s v="4421"/>
    <s v="12321"/>
    <s v="-0"/>
    <s v="-0"/>
    <s v="-0"/>
    <s v="-0"/>
    <x v="0"/>
    <x v="1"/>
  </r>
  <r>
    <s v="4321"/>
    <s v="2021-07-14 00:00:00"/>
    <s v="2021-07-14 08:40:00"/>
    <s v="Gasto"/>
    <s v="Generado"/>
    <s v="0200"/>
    <x v="14"/>
    <x v="19"/>
    <s v="ADQUISICIÓN DE BIENES Y SERVICIOS - SEDES MANTENIDAS - FORTALECIMIENTO DE LA INFRAESTRUCTURA FÍSICA DEL IGAC A NIVEL  NACIONAL"/>
    <s v="Nación"/>
    <x v="0"/>
    <s v="CSF"/>
    <n v="350000"/>
    <n v="0"/>
    <n v="350000"/>
    <n v="350000"/>
    <s v="FORTALECIMIENTO INFRAESTRUCTURA_x000a_VERIFICACION SERVIVIO DE EXTERMINACION O FUMIGACION"/>
    <s v="5021"/>
    <s v="-0"/>
    <s v="-0"/>
    <s v="-0"/>
    <s v="-0"/>
    <s v="-0"/>
    <x v="0"/>
    <x v="0"/>
  </r>
  <r>
    <s v="1121"/>
    <s v="2021-02-10 00:00:00"/>
    <s v="2021-02-10 13:41:00"/>
    <s v="Gasto"/>
    <s v="Con Compromiso"/>
    <s v="0500"/>
    <x v="15"/>
    <x v="1"/>
    <s v="ADQUISICIÓN DE BIENES Y SERVICIOS - SERVICIO DE INFORMACIÓN CATASTRAL - ACTUALIZACIÓN  Y GESTIÓN CATASTRAL  NACIONAL"/>
    <s v="Nación"/>
    <x v="0"/>
    <s v="CSF"/>
    <n v="62494640"/>
    <n v="-1666524"/>
    <n v="60828116"/>
    <n v="0"/>
    <s v="PRESTACIÓN DE SERVICIOS PERSONALES PARA REALIZAR ACTIVIDADES DE RECONOCIMIENTO PREDIAL URBANO Y RURAL PARA LA ATENCIÓN DE TRÁMITES EN LOS PROCESOS CATASTRALES DE LA TERRITORIAL NORTE DE SANTANDER."/>
    <s v="1121"/>
    <s v="2221, 2321"/>
    <s v="3721, 3821"/>
    <s v="15921, 16021, 17321, 17421, 22621, 22921, 26321, 26421, 30421, 30521, 34321, 34421"/>
    <s v="73695321, 73703821, 87832721, 87835021, 121173921, 121574521, 145183921, 145185021, 177787521, 177789621, 212697821, 212699121"/>
    <s v="-0"/>
    <x v="0"/>
    <x v="1"/>
  </r>
  <r>
    <s v="1221"/>
    <s v="2021-02-10 00:00:00"/>
    <s v="2021-02-10 13:44:00"/>
    <s v="Gasto"/>
    <s v="Con Compromiso"/>
    <s v="0500"/>
    <x v="15"/>
    <x v="1"/>
    <s v="ADQUISICIÓN DE BIENES Y SERVICIOS - SERVICIO DE INFORMACIÓN CATASTRAL - ACTUALIZACIÓN  Y GESTIÓN CATASTRAL  NACIONAL"/>
    <s v="Nación"/>
    <x v="0"/>
    <s v="CSF"/>
    <n v="31247320"/>
    <n v="-6491578"/>
    <n v="24755742"/>
    <n v="0"/>
    <s v="PRESTACIÓN DE SERVICIOS PROFESIONALES PARA GESTIONAR DESDE EL COMPONENTE JURÍDICO LAS ACTIVIDADES DE LOS PROCESOS CATASTRALES EN LA TERRITORIAL NORTE DE SANTANDER."/>
    <s v="1221"/>
    <s v="3621"/>
    <s v="5621"/>
    <s v="17521, 22321, 26121, 31521, 37521"/>
    <s v="87867121, 121162721, 145176921, 178017821, 213712421"/>
    <s v="-0"/>
    <x v="0"/>
    <x v="1"/>
  </r>
  <r>
    <s v="1321"/>
    <s v="2021-02-10 00:00:00"/>
    <s v="2021-02-10 13:49:00"/>
    <s v="Gasto"/>
    <s v="Con Compromiso"/>
    <s v="0500"/>
    <x v="15"/>
    <x v="1"/>
    <s v="ADQUISICIÓN DE BIENES Y SERVICIOS - SERVICIO DE INFORMACIÓN CATASTRAL - ACTUALIZACIÓN  Y GESTIÓN CATASTRAL  NACIONAL"/>
    <s v="Nación"/>
    <x v="0"/>
    <s v="CSF"/>
    <n v="34024860"/>
    <n v="-907330"/>
    <n v="33117530"/>
    <n v="0"/>
    <s v="PRESTACIÓN DE SERVICIOS PERSONALES PARA REALIZAR ACTIVIDADES DE APOYO OPERATIVO EN LOS PROCESOS CATASTRALES DE CONSERVACIÓN EN LA TERRITORIAL NORTE DE SANTANDER."/>
    <s v="1321"/>
    <s v="2021, 2121"/>
    <s v="4021, 4121"/>
    <s v="16221, 16321, 17121, 17221, 22121, 22221, 23821, 25521, 30221, 30321, 34121, 34221"/>
    <s v="73745221, 73754721, 87819121, 87828521, 121157921, 121160821, 145121821, 145139221, 177769721, 177781121, 212693921, 212695621"/>
    <s v="-0"/>
    <x v="0"/>
    <x v="1"/>
  </r>
  <r>
    <s v="1421"/>
    <s v="2021-02-10 00:00:00"/>
    <s v="2021-02-10 13:53:00"/>
    <s v="Gasto"/>
    <s v="Con Compromiso"/>
    <s v="0500"/>
    <x v="15"/>
    <x v="1"/>
    <s v="ADQUISICIÓN DE BIENES Y SERVICIOS - SERVICIO DE INFORMACIÓN CATASTRAL - ACTUALIZACIÓN  Y GESTIÓN CATASTRAL  NACIONAL"/>
    <s v="Nación"/>
    <x v="0"/>
    <s v="CSF"/>
    <n v="26714830"/>
    <n v="-712395"/>
    <n v="26002435"/>
    <n v="0"/>
    <s v="PRESTACIÓN DE SERVICIOS PERSONALES PARA REALIZAR ACTIVIDADES DE DIGITALIZACIÓN Y GENERACIÓN DE PRODUCTOS DE LA INFORMACIÓN CATASTRAL EN LA TERRITORIAL NORTE DE SANTANDER."/>
    <s v="1421"/>
    <s v="2621"/>
    <s v="3921"/>
    <s v="16121, 17621, 22421, 26221, 31421, 34721"/>
    <s v="73733321, 87847621, 121168821, 145180721, 178015321, 212707421"/>
    <s v="-0"/>
    <x v="0"/>
    <x v="1"/>
  </r>
  <r>
    <s v="1521"/>
    <s v="2021-02-10 00:00:00"/>
    <s v="2021-02-10 13:57:00"/>
    <s v="Gasto"/>
    <s v="Con Compromiso"/>
    <s v="0500"/>
    <x v="15"/>
    <x v="1"/>
    <s v="ADQUISICIÓN DE BIENES Y SERVICIOS - SERVICIO DE INFORMACIÓN CATASTRAL - ACTUALIZACIÓN  Y GESTIÓN CATASTRAL  NACIONAL"/>
    <s v="Nación"/>
    <x v="0"/>
    <s v="CSF"/>
    <n v="26714830"/>
    <n v="-712395.47"/>
    <n v="26002434.530000001"/>
    <n v="0"/>
    <s v="PRESTACIÓN DE PROFESIONALES PARA REALIZAR ACTIVIDADES DE APOYO Y SOPORTE A LA GESTIÓN DE SISTEMAS Y TELECOMUNICACIONES DE LA TERRITORIAL NORTE DE SANTANDER"/>
    <s v="1521"/>
    <s v="2421"/>
    <s v="4221"/>
    <s v="17021, 17921, 22521, 23921, 31221, 37421"/>
    <s v="84594621, 88303821, 121171421, 145129521, 177973621, 213708421"/>
    <s v="-0"/>
    <x v="0"/>
    <x v="1"/>
  </r>
  <r>
    <s v="1621"/>
    <s v="2021-02-10 00:00:00"/>
    <s v="2021-02-10 14:01:00"/>
    <s v="Gasto"/>
    <s v="Con Compromiso"/>
    <s v="0500"/>
    <x v="15"/>
    <x v="1"/>
    <s v="ADQUISICIÓN DE BIENES Y SERVICIOS - SERVICIO DE INFORMACIÓN CATASTRAL - ACTUALIZACIÓN  Y GESTIÓN CATASTRAL  NACIONAL"/>
    <s v="Nación"/>
    <x v="0"/>
    <s v="CSF"/>
    <n v="17863052"/>
    <n v="-1304287"/>
    <n v="16558765"/>
    <n v="0"/>
    <s v="PRESTACIÓN DE SERVICIOS PERSONALES PARA REALIZAR ACTIVIDADES DE APOYO OPERATIVO A LA GESTIÓN DE LOS REQUERIMIENTOS ENMARCADOS DENTRO DE LA POLITICA DE ATENCIÓN Y REPARACIÓN  INTEGRAL A LAS VÍCTIMAS, RESTITUCIÓN DE TIERRAS Y LOS PROCESOS DE REGULACIÓN"/>
    <s v="1621"/>
    <s v="2521"/>
    <s v="4321"/>
    <s v="16821, 17721, 22021, 25421, 30821, 34521"/>
    <s v="79730921, 87878921, 121154821, 145132521, 177802821, 212701021"/>
    <s v="-0"/>
    <x v="0"/>
    <x v="1"/>
  </r>
  <r>
    <s v="1721"/>
    <s v="2021-02-16 00:00:00"/>
    <s v="2021-02-16 20:40:00"/>
    <s v="Gasto"/>
    <s v="Con Compromiso"/>
    <s v="0500"/>
    <x v="15"/>
    <x v="1"/>
    <s v="ADQUISICIÓN DE BIENES Y SERVICIOS - SERVICIO DE INFORMACIÓN CATASTRAL - ACTUALIZACIÓN  Y GESTIÓN CATASTRAL  NACIONAL"/>
    <s v="Propios"/>
    <x v="1"/>
    <s v="CSF"/>
    <n v="0"/>
    <n v="6034364"/>
    <n v="6034364"/>
    <n v="3945881"/>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721"/>
    <s v="2021-02-16 00:00:00"/>
    <s v="2021-02-16 20:40:00"/>
    <s v="Gasto"/>
    <s v="Con Compromiso"/>
    <s v="0500"/>
    <x v="15"/>
    <x v="1"/>
    <s v="ADQUISICIÓN DE BIENES Y SERVICIOS - SERVICIO DE INFORMACIÓN CATASTRAL - ACTUALIZACIÓN  Y GESTIÓN CATASTRAL  NACIONAL"/>
    <s v="Nación"/>
    <x v="0"/>
    <s v="CSF"/>
    <n v="1382425"/>
    <n v="11974162.470000001"/>
    <n v="13356587.470000001"/>
    <n v="7444877.4699999997"/>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821"/>
    <s v="2021-02-16 00:00:00"/>
    <s v="2021-02-16 20:45:00"/>
    <s v="Gasto"/>
    <s v="Con Compromiso"/>
    <s v="0500"/>
    <x v="15"/>
    <x v="1"/>
    <s v="ADQUISICIÓN DE BIENES Y SERVICIOS - SERVICIO DE INFORMACIÓN CATASTRAL - ACTUALIZACIÓN  Y GESTIÓN CATASTRAL  NACIONAL"/>
    <s v="Nación"/>
    <x v="0"/>
    <s v="CSF"/>
    <n v="1149379"/>
    <n v="1304287"/>
    <n v="2453666"/>
    <n v="1158666"/>
    <s v="VIÁTICOS PROCESO POLÍTICA DE TIERRAS Y LEY DE VÍCTIMAS."/>
    <s v="1821"/>
    <s v="1621, 1721, 2721, 2821, 4021, 11821"/>
    <s v="1221, 1421, 1921, 2021, 3221, 22221"/>
    <s v="9821, 9921, 10421, 10521, 15621, 38621"/>
    <s v="34325521, 41867321, 47269421, 47276321, 62621121, 226043621"/>
    <s v="121, 221, 421"/>
    <x v="0"/>
    <x v="1"/>
  </r>
  <r>
    <s v="2121"/>
    <s v="2021-03-08 00:00:00"/>
    <s v="2021-03-08 15:06:00"/>
    <s v="Gasto"/>
    <s v="Con Compromiso"/>
    <s v="0510"/>
    <x v="15"/>
    <x v="16"/>
    <s v="ADQUISICIÓN DE BIENES Y SERVICIOS - SERVICIO DE AVALÚOS - ACTUALIZACIÓN  Y GESTIÓN CATASTRAL  NACIONAL"/>
    <s v="Propios"/>
    <x v="1"/>
    <s v="CSF"/>
    <n v="5298820"/>
    <n v="0"/>
    <n v="5298820"/>
    <n v="619185"/>
    <s v="VIÁTICOS PROCESO DE AVALÚOS."/>
    <s v="2121"/>
    <s v="3121, 3221, 4321, 4421, 4521, 6521, 8121, 8221"/>
    <s v="2421, 2521, 4521, 4621, 4721, 8721, 12221, 12321"/>
    <s v="10821, 10921, 16521, 16621, 16721, 23221, 27721, 27821"/>
    <s v="54004921, 54007321, 76898321, 76900121, 76901721, 136601221, 166865921, 166866521"/>
    <s v="321, 521, 621, 721, 821"/>
    <x v="0"/>
    <x v="6"/>
  </r>
  <r>
    <s v="2621"/>
    <s v="2021-04-21 00:00:00"/>
    <s v="2021-04-21 13:07:00"/>
    <s v="Gasto"/>
    <s v="Con Compromiso"/>
    <s v="0500"/>
    <x v="15"/>
    <x v="1"/>
    <s v="ADQUISICIÓN DE BIENES Y SERVICIOS - SERVICIO DE INFORMACIÓN CATASTRAL - ACTUALIZACIÓN  Y GESTIÓN CATASTRAL  NACIONAL"/>
    <s v="Propios"/>
    <x v="1"/>
    <s v="CSF"/>
    <n v="31473225"/>
    <n v="0"/>
    <n v="31473225"/>
    <n v="0"/>
    <s v="PRESTACIÓN DE SERVICIOS PERSONALES PARA LA REALIZACIÓN DE LOS PROCESOS ARCHIVÍSTICOS EN ARCHIVOS DE GESTIÓN Y ARCHIVO CENTRAL DE LA DIRECCIÓN TERRITORIAL NORTE DE SANTANDER, DE ACUERDO A LAS DIRECTRICES DE LA ENTIDAD Y LAS NORMAS DEL ARCHIVO GENERAL"/>
    <s v="2621"/>
    <s v="5521, 5621, 5721, 5821, 5921"/>
    <s v="7221, 7321, 7421, 8321, 8421"/>
    <s v="21721, 21821, 21921, 22721, 22821, 25621, 25721, 25821, 25921, 26021, 30621, 30721, 30921, 31021, 31121, 34621, 34821, 34921, 35721, 38321"/>
    <s v="121141821, 121144121, 121150421, 121517621, 121521421, 145146021, 145165121, 145168921, 145172121, 145174421, 177792321, 177799621, 177822621, 177826921, 177829421, 212708721, 212710321, 212735321, 212871521, 219321621"/>
    <s v="-0"/>
    <x v="0"/>
    <x v="1"/>
  </r>
  <r>
    <s v="3421"/>
    <s v="2021-06-30 00:00:00"/>
    <s v="2021-06-30 08:56:00"/>
    <s v="Gasto"/>
    <s v="Con Compromiso"/>
    <s v="0500"/>
    <x v="15"/>
    <x v="1"/>
    <s v="ADQUISICIÓN DE BIENES Y SERVICIOS - SERVICIO DE INFORMACIÓN CATASTRAL - ACTUALIZACIÓN  Y GESTIÓN CATASTRAL  NACIONAL"/>
    <s v="Propios"/>
    <x v="1"/>
    <s v="CSF"/>
    <n v="40829832"/>
    <n v="0"/>
    <n v="40829832"/>
    <n v="0"/>
    <s v="PRESTACIÓN DE SERVICIOS PERSONALES PARA REALIZAR ACTIVIDADES DE APOYO OPERATIVO EN EL MARCO DEL PROYECTO DE CONSERVACIÓN CATASTRAL DEL MUNICIPIO DE CHINÁCOTA"/>
    <s v="3621"/>
    <s v="8621, 8721, 8821, 8921, 9021, 9121"/>
    <s v="14521, 14621, 14721, 14821, 14921, 15621"/>
    <s v="31621, 31821, 31921, 32021, 32121, 32421, 35121, 35221, 35321, 35421, 35521, 35621"/>
    <s v="178168321, 178174521, 178180221, 178184421, 178200421, 178258921, 212715421, 212717921, 212719821, 212720621, 212725221, 212733721"/>
    <s v="-0"/>
    <x v="0"/>
    <x v="1"/>
  </r>
  <r>
    <s v="3521"/>
    <s v="2021-06-30 00:00:00"/>
    <s v="2021-06-30 08:57:00"/>
    <s v="Gasto"/>
    <s v="Con Compromiso"/>
    <s v="0500"/>
    <x v="15"/>
    <x v="1"/>
    <s v="ADQUISICIÓN DE BIENES Y SERVICIOS - SERVICIO DE INFORMACIÓN CATASTRAL - ACTUALIZACIÓN  Y GESTIÓN CATASTRAL  NACIONAL"/>
    <s v="Propios"/>
    <x v="1"/>
    <s v="CSF"/>
    <n v="74993568"/>
    <n v="0"/>
    <n v="74993568"/>
    <n v="0"/>
    <s v="PRESTACIÓN DE SERVICIOS PERSONALES PARA REALIZAR ACTIVIDADES DE RECONOCIMIENTO PREDIAL RURAL Y URBANO EN EL MARCO DEL PROYECTO DE CONSERVACIÓN CATASTRAL DEL MUNICIPIO DE CHINÁCOTA"/>
    <s v="3721"/>
    <s v="9221, 9321, 9421, 9521, 9621, 9721"/>
    <s v="15021, 15121, 15721, 15821, 16021, 16921"/>
    <s v="32221, 32321, 32521, 32621, 32821, 32921, 37621, 37721, 38021, 38121, 38221"/>
    <s v="178217421, 178236221, 178278021, 178281921, 178287321, 189060121, 213715121, 213717421, 217716521, 217733821, 217753221"/>
    <s v="-0"/>
    <x v="0"/>
    <x v="1"/>
  </r>
  <r>
    <s v="3621"/>
    <s v="2021-06-30 00:00:00"/>
    <s v="2021-06-30 08:58:00"/>
    <s v="Gasto"/>
    <s v="Con Compromiso"/>
    <s v="0500"/>
    <x v="15"/>
    <x v="1"/>
    <s v="ADQUISICIÓN DE BIENES Y SERVICIOS - SERVICIO DE INFORMACIÓN CATASTRAL - ACTUALIZACIÓN  Y GESTIÓN CATASTRAL  NACIONAL"/>
    <s v="Propios"/>
    <x v="1"/>
    <s v="CSF"/>
    <n v="12498928"/>
    <n v="0"/>
    <n v="12498928"/>
    <n v="0"/>
    <s v="PRESTACIÓN DE SERVICIOS PROFESIONALES PARA GESTIONAR DESDE EL COMPONENTE JURÍDICO LAS ACTIVIDADES DERIVADAS DEL PROYECTO DE CONSERVACIÓN CATASTRAL DEL MUNICIPIO DE CHINÁCOTA"/>
    <s v="3821"/>
    <s v="9821"/>
    <s v="15921"/>
    <s v="32721, 37921"/>
    <s v="178285121, 214646321"/>
    <s v="-0"/>
    <x v="0"/>
    <x v="1"/>
  </r>
  <r>
    <s v="3721"/>
    <s v="2021-06-30 00:00:00"/>
    <s v="2021-06-30 08:59:00"/>
    <s v="Gasto"/>
    <s v="Con Compromiso"/>
    <s v="0500"/>
    <x v="15"/>
    <x v="1"/>
    <s v="ADQUISICIÓN DE BIENES Y SERVICIOS - SERVICIO DE INFORMACIÓN CATASTRAL - ACTUALIZACIÓN  Y GESTIÓN CATASTRAL  NACIONAL"/>
    <s v="Propios"/>
    <x v="1"/>
    <s v="CSF"/>
    <n v="10685932"/>
    <n v="0"/>
    <n v="10685932"/>
    <n v="0"/>
    <s v="PRESTACIÓN DE SERVICIOS PERSONALES PARA REALIZAR ACTIVIDADES DE DIGITALIZACIÓN Y GENERACIÓN DE PRODUCTOS DE LA INFORMACIÓN CATASTRAL, EN EL MARCO DEL PROYECTO DE CONSERVACIÓN CATASTRAL DEL MUNICIPIO DE CHINÁCOTA"/>
    <s v="3921"/>
    <s v="9921"/>
    <s v="14421"/>
    <s v="31721, 35021"/>
    <s v="178171821, 212714021"/>
    <s v="-0"/>
    <x v="0"/>
    <x v="1"/>
  </r>
  <r>
    <s v="3921"/>
    <s v="2021-07-02 00:00:00"/>
    <s v="2021-07-02 15:53:00"/>
    <s v="Gasto"/>
    <s v="Generado"/>
    <s v="0200"/>
    <x v="15"/>
    <x v="19"/>
    <s v="ADQUISICIÓN DE BIENES Y SERVICIOS - SEDES MANTENIDAS - FORTALECIMIENTO DE LA INFRAESTRUCTURA FÍSICA DEL IGAC A NIVEL  NACIONAL"/>
    <s v="Nación"/>
    <x v="0"/>
    <s v="CSF"/>
    <n v="4000000"/>
    <n v="0"/>
    <n v="4000000"/>
    <n v="4000000"/>
    <s v="SERVICIO DE MANTENIMIENTO PREVENTIVO Y CORRECTIVO DE LOS AIRES ACONDICIONADOS DE LA DIRECCIÓN TERRITORIAL NORTE DE SANTANDER"/>
    <s v="4121"/>
    <s v="-0"/>
    <s v="-0"/>
    <s v="-0"/>
    <s v="-0"/>
    <s v="-0"/>
    <x v="0"/>
    <x v="0"/>
  </r>
  <r>
    <s v="4021"/>
    <s v="2021-07-19 00:00:00"/>
    <s v="2021-07-19 12:20:00"/>
    <s v="Gasto"/>
    <s v="Anulado"/>
    <s v="0500"/>
    <x v="15"/>
    <x v="1"/>
    <s v="ADQUISICIÓN DE BIENES Y SERVICIOS - SERVICIO DE INFORMACIÓN CATASTRAL - ACTUALIZACIÓN  Y GESTIÓN CATASTRAL  NACIONAL"/>
    <s v="Nación"/>
    <x v="0"/>
    <s v="CSF"/>
    <n v="1483940"/>
    <n v="-1483940"/>
    <n v="0"/>
    <n v="0"/>
    <s v="BRINDAR APOYO A LA TERRITORIAL DEL CESAR, EN LOS PROCESOS ENMARCADOS EN LA RESOLUCIÓN CONJUNTA SNR No.1732 IGAC No.221 DEL 21 DE FEBRERO DEL 2018, RESOLUCIÓN CONJUNTA  SNR No.5204 IGAC 479 DEL 23 DE ABRIL DE 2019,DECRETO 148 DEL 4 DE FEBRERO DE 2020"/>
    <s v="4321"/>
    <s v="-0"/>
    <s v="-0"/>
    <s v="-0"/>
    <s v="-0"/>
    <s v="-0"/>
    <x v="0"/>
    <x v="1"/>
  </r>
  <r>
    <s v="4421"/>
    <s v="2021-08-19 00:00:00"/>
    <s v="2021-08-19 09:19:00"/>
    <s v="Gasto"/>
    <s v="Generado"/>
    <s v="0500"/>
    <x v="15"/>
    <x v="1"/>
    <s v="ADQUISICIÓN DE BIENES Y SERVICIOS - SERVICIO DE INFORMACIÓN CATASTRAL - ACTUALIZACIÓN  Y GESTIÓN CATASTRAL  NACIONAL"/>
    <s v="Propios"/>
    <x v="1"/>
    <s v="CSF"/>
    <n v="10685932"/>
    <n v="0"/>
    <n v="10685932"/>
    <n v="10685932"/>
    <s v="PRESTACION DE SERVICIOS PERSONALES PARA REALIZAR ACTIVIDADES DE DIGITALIZACIÓN Y GENERACIÓN DE PRODUCTOS DE LA INFORMACIÓN CATASTRAL, EN EL MARCO DE LOS PROYECTOS Y/O CONTRATOS QUE ADELANTE EL INSTITUTO A TRAVÉS DE LA TERRITORIAL NORTE DE SANTANDER."/>
    <s v="4621"/>
    <s v="-0"/>
    <s v="-0"/>
    <s v="-0"/>
    <s v="-0"/>
    <s v="-0"/>
    <x v="0"/>
    <x v="1"/>
  </r>
  <r>
    <s v="721"/>
    <s v="2021-01-28 00:00:00"/>
    <s v="2021-01-28 10:13:00"/>
    <s v="Gasto"/>
    <s v="Con Compromiso"/>
    <s v="0510"/>
    <x v="16"/>
    <x v="16"/>
    <s v="ADQUISICIÓN DE BIENES Y SERVICIOS - SERVICIO DE AVALÚOS - ACTUALIZACIÓN  Y GESTIÓN CATASTRAL  NACIONAL"/>
    <s v="Propios"/>
    <x v="1"/>
    <s v="CSF"/>
    <n v="3500000"/>
    <n v="0"/>
    <n v="3500000"/>
    <n v="2395617"/>
    <s v="VIATICOS PROCESO DE AVALUOS"/>
    <s v="721"/>
    <s v="2221, 4521, 6321, 6421"/>
    <s v="1321, 5221, 8921, 9021"/>
    <s v="8321, 18121, 23821, 23921"/>
    <s v="53333721, 119099521, 179388721, 179422721"/>
    <s v="-0"/>
    <x v="0"/>
    <x v="6"/>
  </r>
  <r>
    <s v="821"/>
    <s v="2021-02-04 00:00:00"/>
    <s v="2021-02-04 12:30:00"/>
    <s v="Gasto"/>
    <s v="Con Compromiso"/>
    <s v="0500"/>
    <x v="16"/>
    <x v="1"/>
    <s v="ADQUISICIÓN DE BIENES Y SERVICIOS - SERVICIO DE INFORMACIÓN CATASTRAL - ACTUALIZACIÓN  Y GESTIÓN CATASTRAL  NACIONAL"/>
    <s v="Nación"/>
    <x v="0"/>
    <s v="CSF"/>
    <n v="48152500"/>
    <n v="-11235583"/>
    <n v="36916917"/>
    <n v="0"/>
    <s v="PRESTACIÓN DE SERVICIOS PERSONALES PARA REALIZAR ACTIVIDADES DE RECONOCIMIENTO PREDIAL URBANO Y RURAL PARA LA ATENCIÓN DE TRÁMITES EN LOS PROCESOS CATASTRALES DE LA DIRECCIÓN TERRITORIAL QUINDÍO SEGÚN PAA APROBADO Y ASIGNACIÓN PRESUPUESTAL"/>
    <s v="821"/>
    <s v="1921, 2021"/>
    <s v="2621, 2721"/>
    <s v="13021, 13121, 14121, 15521, 18421, 18521, 20821, 20921, 21621, 24021, 26821"/>
    <s v="75366221, 75373621, 90253021, 91990221, 121105121, 122255921, 145920121, 145924121, 171671921, 181664321, 217596421"/>
    <s v="-0"/>
    <x v="0"/>
    <x v="1"/>
  </r>
  <r>
    <s v="921"/>
    <s v="2021-02-04 00:00:00"/>
    <s v="2021-02-04 12:54:00"/>
    <s v="Gasto"/>
    <s v="Con Compromiso"/>
    <s v="0500"/>
    <x v="16"/>
    <x v="1"/>
    <s v="ADQUISICIÓN DE BIENES Y SERVICIOS - SERVICIO DE INFORMACIÓN CATASTRAL - ACTUALIZACIÓN  Y GESTIÓN CATASTRAL  NACIONAL"/>
    <s v="Nación"/>
    <x v="0"/>
    <s v="CSF"/>
    <n v="53589155"/>
    <n v="-510377"/>
    <n v="53078778"/>
    <n v="0"/>
    <s v="PRESTACIÓN DE SERVICIOS PERSONALES PARA REALIZAR ACTIVIDADES DE  APOYO OPERATIVO EN LOS PROCESOS CATASTRALES EN LA DIRECCIÓN TERRITORIAL QUINDÍO SEGÚN PAA APROBADO Y ASIGNACIÓN PRESUPUESTAL"/>
    <s v="921"/>
    <s v="1121, 1221, 1321"/>
    <s v="2021, 2221, 2421"/>
    <s v="12421, 12521, 12621, 12721, 12821, 12921, 13721, 13821, 13921, 16521, 17921, 18021, 19221, 19321, 21021, 21521, 22021, 22121, 23721, 25021, 25121, 25221"/>
    <s v="75343621, 75351321, 75355521, 75359221, 75419621, 75425721, 87007621, 87012021, 87580721, 116032221, 116453221, 116461221, 144489721, 144491121, 147354021, 170109521, 176468321, 176469921, 178404821, 211491221, 213239921, 213776321"/>
    <s v="-0"/>
    <x v="0"/>
    <x v="1"/>
  </r>
  <r>
    <s v="1321"/>
    <s v="2021-03-09 00:00:00"/>
    <s v="2021-03-09 09:43:00"/>
    <s v="Gasto"/>
    <s v="Con Compromiso"/>
    <s v="0500"/>
    <x v="16"/>
    <x v="1"/>
    <s v="ADQUISICIÓN DE BIENES Y SERVICIOS - SERVICIO DE INFORMACIÓN CATASTRAL - ACTUALIZACIÓN  Y GESTIÓN CATASTRAL  NACIONAL"/>
    <s v="Nación"/>
    <x v="0"/>
    <s v="CSF"/>
    <n v="2041394"/>
    <n v="0"/>
    <n v="2041394"/>
    <n v="1123017"/>
    <s v="VIATICOS PROCESO DE CONSERVACION"/>
    <s v="1321"/>
    <s v="3821, 3921, 4621, 4721, 6921"/>
    <s v="4121, 4221, 5321, 5421, 9821"/>
    <s v="15821, 15921, 18221, 18321, 24521"/>
    <s v="107044221, 107054921, 119102021, 119104721, 191466021"/>
    <s v="-0"/>
    <x v="0"/>
    <x v="1"/>
  </r>
  <r>
    <s v="1721"/>
    <s v="2021-04-16 00:00:00"/>
    <s v="2021-04-16 09:30:00"/>
    <s v="Gasto"/>
    <s v="Con Compromiso"/>
    <s v="0500"/>
    <x v="16"/>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de la Dirección Territorial Quindío, de acuerdo a las directrices de la entidad y las normas del Archivo General de la Nació"/>
    <s v="1721"/>
    <s v="3621"/>
    <s v="5721"/>
    <s v="18621, 21121, 22221, 24621"/>
    <s v="123535021, 148078921, 176471821, 195227421"/>
    <s v="-0"/>
    <x v="0"/>
    <x v="1"/>
  </r>
  <r>
    <s v="2921"/>
    <s v="2021-07-26 00:00:00"/>
    <s v="2021-07-26 09:14:00"/>
    <s v="Gasto"/>
    <s v="Con Compromiso"/>
    <s v="0500"/>
    <x v="16"/>
    <x v="1"/>
    <s v="ADQUISICIÓN DE BIENES Y SERVICIOS - SERVICIO DE INFORMACIÓN CATASTRAL - ACTUALIZACIÓN  Y GESTIÓN CATASTRAL  NACIONAL"/>
    <s v="Propios"/>
    <x v="1"/>
    <s v="CSF"/>
    <n v="2299752"/>
    <n v="0"/>
    <n v="2299752"/>
    <n v="0"/>
    <s v="VIATICOS DE CONSERVACION PROCESO DE TITULACION GENOVA LA TEBAIDA CONTRATO INTERAMDINISTRATIVO 845 MINVIENDA MEMORANDO 9688-IE-001"/>
    <s v="2921"/>
    <s v="6521, 6621, 6721, 6821"/>
    <s v="9221, 9321, 9421, 9521"/>
    <s v="24121, 24221, 24321, 24421"/>
    <s v="183856021, 183859221, 183862021, 183864021"/>
    <s v="-0"/>
    <x v="0"/>
    <x v="1"/>
  </r>
  <r>
    <s v="3221"/>
    <s v="2021-08-27 00:00:00"/>
    <s v="2021-08-27 11:38:00"/>
    <s v="Gasto"/>
    <s v="Con Compromiso"/>
    <s v="0500"/>
    <x v="16"/>
    <x v="1"/>
    <s v="ADQUISICIÓN DE BIENES Y SERVICIOS - SERVICIO DE INFORMACIÓN CATASTRAL - ACTUALIZACIÓN  Y GESTIÓN CATASTRAL  NACIONAL"/>
    <s v="Propios"/>
    <x v="1"/>
    <s v="CSF"/>
    <n v="10685932"/>
    <n v="0"/>
    <n v="10685932"/>
    <n v="0"/>
    <s v="PRESTACIÓN DE SERVICIOS PERSONALES PARA REALIZAR ACTIVIDADES DE DIGITALIZACIÓN DE INFORMACIÓN CARTOGRÁFICA Y CATASTRAL DENTRO DEL PROCESO DE CONSERVACIÓN Y TITULACIÓN DE LOS MUNICIPIOS DE GÉNOVA Y LA TEBAIDA EN LA TERRITORIAL QUINDÍO. SEGUN MEMORANDO"/>
    <s v="3221"/>
    <s v="7621"/>
    <s v="-0"/>
    <s v="-0"/>
    <s v="-0"/>
    <s v="-0"/>
    <x v="0"/>
    <x v="1"/>
  </r>
  <r>
    <s v="3321"/>
    <s v="2021-08-27 00:00:00"/>
    <s v="2021-08-27 12:02:00"/>
    <s v="Gasto"/>
    <s v="Generado"/>
    <s v="0500"/>
    <x v="16"/>
    <x v="1"/>
    <s v="ADQUISICIÓN DE BIENES Y SERVICIOS - SERVICIO DE INFORMACIÓN CATASTRAL - ACTUALIZACIÓN  Y GESTIÓN CATASTRAL  NACIONAL"/>
    <s v="Nación"/>
    <x v="0"/>
    <s v="CSF"/>
    <n v="11235583"/>
    <n v="0"/>
    <n v="11235583"/>
    <n v="11235583"/>
    <s v="PRESTACION DE SERVICIOS PARA DESARROLLAR ACTIVIDADES DE RECONOCIMIENTO PREDIAL URBANO Y RURAL EN LOS DIFERENTES TRAMITES DE LOS PROCESOS CATASTRALES DE LA DIRECCION TERRITORIAL QUINDIO SEGUN PAA AGOSTO APROBADO"/>
    <s v="3321"/>
    <s v="-0"/>
    <s v="-0"/>
    <s v="-0"/>
    <s v="-0"/>
    <s v="-0"/>
    <x v="0"/>
    <x v="1"/>
  </r>
  <r>
    <s v="921"/>
    <s v="2021-01-27 00:00:00"/>
    <s v="2021-01-27 11:13:00"/>
    <s v="Gasto"/>
    <s v="Con Compromiso"/>
    <s v="0500"/>
    <x v="17"/>
    <x v="1"/>
    <s v="ADQUISICIÓN DE BIENES Y SERVICIOS - SERVICIO DE INFORMACIÓN CATASTRAL - ACTUALIZACIÓN  Y GESTIÓN CATASTRAL  NACIONAL"/>
    <s v="Nación"/>
    <x v="0"/>
    <s v="CSF"/>
    <n v="68006145"/>
    <n v="-1"/>
    <n v="68006144"/>
    <n v="0"/>
    <s v="PARA 4 CONTRATOS PROCESO DE CONSERVACION T.RISARALDA AÑO 2021"/>
    <s v="921"/>
    <s v="2821, 2921, 3021, 3421, 12021"/>
    <s v="8421, 8521, 9521, 12321, 24721"/>
    <s v="22221, 22321, 23321, 26021, 26121, 26221, 29321, 29521, 29621, 29721, 30621, 30821, 34721, 34821, 34921, 35921, 39021, 39121, 40421, 40721, 43821, 44121, 44221, 44321, 44721"/>
    <s v="78466321, 78470921, 83683321, 94291821, 94294621, 94297421, 118163521, 118797921, 118799421, 118800721, 130223621, 130227121, 151635521, 151644221, 151646021, 168829021, 183215421, 183219721, 192986021, 194099821, 217755421, 219384721, 219399321, 219407721, 227569821"/>
    <s v="-0"/>
    <x v="0"/>
    <x v="1"/>
  </r>
  <r>
    <s v="1021"/>
    <s v="2021-01-27 00:00:00"/>
    <s v="2021-01-27 11:37:00"/>
    <s v="Gasto"/>
    <s v="Con Compromiso"/>
    <s v="0500"/>
    <x v="17"/>
    <x v="1"/>
    <s v="ADQUISICIÓN DE BIENES Y SERVICIOS - SERVICIO DE INFORMACIÓN CATASTRAL - ACTUALIZACIÓN  Y GESTIÓN CATASTRAL  NACIONAL"/>
    <s v="Nación"/>
    <x v="0"/>
    <s v="CSF"/>
    <n v="29974860"/>
    <n v="1466578"/>
    <n v="31441438"/>
    <n v="62259"/>
    <s v="PARA VIATICOS FUNCIONARIOS T. RISARALDA PROCESO DE CONSERVACION AÑO 2021"/>
    <s v="1021"/>
    <s v="1221, 1321, 1621, 1721, 1821, 2221, 2321, 2421, 2521, 2621, 2721, 3621, 3721, 3821, 3921, 4321, 4421, 4521, 4621, 4721, 4821, 4921, 5021, 5121, 5221, 5321, 7021, 7321, 7421, 7521, 7621, 7921, 8421, 9421, 9521, 9721, 9821, 10121, 10221, 10321, 10421, 10721, 10821, 10921, 11021"/>
    <s v="1121, 1221, 1321, 1421, 1521, 2121, 2221, 2321, 3421, 3521, 3621, 3721, 3821, 3921, 4121, 4521, 4621, 4721, 4821, 4921, 5021, 5121, 5221, 5321, 5421, 5521, 8621, 9121, 9221, 9321, 9421, 9621, 10921, 13421, 13521, 13621, 13721, 14621, 14721, 14821, 14921, 15621, 15721, 15821, 15921"/>
    <s v="6621, 6721, 6821, 6921, 7021, 7421, 7521, 7621, 13621, 13721, 13821, 13921, 14021, 14121, 14221, 14521, 14621, 14721, 14821, 14921, 15021, 15121, 15221, 15321, 15421, 15521, 22421, 22821, 22921, 23021, 23121, 25121, 26321, 30221, 30321, 30421, 30521, 31021, 31121, 31221, 31321, 31621, 31721, 31821, 31921"/>
    <s v="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
    <s v="-0"/>
    <x v="0"/>
    <x v="1"/>
  </r>
  <r>
    <s v="1121"/>
    <s v="2021-01-27 00:00:00"/>
    <s v="2021-01-27 11:40:00"/>
    <s v="Gasto"/>
    <s v="Con Compromiso"/>
    <s v="0500"/>
    <x v="17"/>
    <x v="1"/>
    <s v="ADQUISICIÓN DE BIENES Y SERVICIOS - SERVICIO DE INFORMACIÓN CATASTRAL - ACTUALIZACIÓN  Y GESTIÓN CATASTRAL  NACIONAL"/>
    <s v="Nación"/>
    <x v="0"/>
    <s v="CSF"/>
    <n v="17012430"/>
    <n v="0"/>
    <n v="17012430"/>
    <n v="0"/>
    <s v="PARA CONTRATOS POLITICA DE TIERRAS T. RISARALDA AÑO 2021"/>
    <s v="1121"/>
    <s v="4221"/>
    <s v="8821"/>
    <s v="22521, 26721, 30721, 35721, 40521, 44621"/>
    <s v="83347521, 105179921, 130225621, 159689821, 192989021, 227559321"/>
    <s v="-0"/>
    <x v="0"/>
    <x v="1"/>
  </r>
  <r>
    <s v="1221"/>
    <s v="2021-01-27 00:00:00"/>
    <s v="2021-01-27 11:42:00"/>
    <s v="Gasto"/>
    <s v="Generado"/>
    <s v="0500"/>
    <x v="17"/>
    <x v="1"/>
    <s v="ADQUISICIÓN DE BIENES Y SERVICIOS - SERVICIO DE INFORMACIÓN CATASTRAL - ACTUALIZACIÓN  Y GESTIÓN CATASTRAL  NACIONAL"/>
    <s v="Nación"/>
    <x v="0"/>
    <s v="CSF"/>
    <n v="2000000"/>
    <n v="0"/>
    <n v="2000000"/>
    <n v="2000000"/>
    <s v="VIATICOS FUNCIONARIOS POLITICA DE TIERRAS T. RISARALDA AÑO 2021"/>
    <s v="1221"/>
    <s v="-0"/>
    <s v="-0"/>
    <s v="-0"/>
    <s v="-0"/>
    <s v="-0"/>
    <x v="0"/>
    <x v="1"/>
  </r>
  <r>
    <s v="1321"/>
    <s v="2021-01-27 00:00:00"/>
    <s v="2021-01-27 11:44:00"/>
    <s v="Gasto"/>
    <s v="Con Compromiso"/>
    <s v="0510"/>
    <x v="17"/>
    <x v="16"/>
    <s v="ADQUISICIÓN DE BIENES Y SERVICIOS - SERVICIO DE AVALÚOS - ACTUALIZACIÓN  Y GESTIÓN CATASTRAL  NACIONAL"/>
    <s v="Propios"/>
    <x v="1"/>
    <s v="CSF"/>
    <n v="20000000"/>
    <n v="0"/>
    <n v="20000000"/>
    <n v="0"/>
    <s v="PARA CONTRATOS PERITOS AVALUADORES T. RISARALDA AÑO 2021"/>
    <s v="1321"/>
    <s v="5721"/>
    <s v="16721"/>
    <s v="34421"/>
    <s v="148178821"/>
    <s v="-0"/>
    <x v="0"/>
    <x v="6"/>
  </r>
  <r>
    <s v="1421"/>
    <s v="2021-01-27 00:00:00"/>
    <s v="2021-01-27 11:47:00"/>
    <s v="Gasto"/>
    <s v="Generado"/>
    <s v="0510"/>
    <x v="17"/>
    <x v="16"/>
    <s v="ADQUISICIÓN DE BIENES Y SERVICIOS - SERVICIO DE AVALÚOS - ACTUALIZACIÓN  Y GESTIÓN CATASTRAL  NACIONAL"/>
    <s v="Propios"/>
    <x v="1"/>
    <s v="CSF"/>
    <n v="3500000"/>
    <n v="0"/>
    <n v="3500000"/>
    <n v="3500000"/>
    <s v="PARA VIATICOS FUNCIONARIOS REALIZAR AVALUOS T. RISARALDA AÑO 2021"/>
    <s v="1421"/>
    <s v="-0"/>
    <s v="-0"/>
    <s v="-0"/>
    <s v="-0"/>
    <s v="-0"/>
    <x v="0"/>
    <x v="6"/>
  </r>
  <r>
    <s v="1921"/>
    <s v="2021-03-18 00:00:00"/>
    <s v="2021-03-18 10:00:00"/>
    <s v="Gasto"/>
    <s v="Con Compromiso"/>
    <s v="0500"/>
    <x v="17"/>
    <x v="1"/>
    <s v="ADQUISICIÓN DE BIENES Y SERVICIOS - SERVICIO DE INFORMACIÓN CATASTRAL - ACTUALIZACIÓN  Y GESTIÓN CATASTRAL  NACIONAL"/>
    <s v="Propios"/>
    <x v="1"/>
    <s v="CSF"/>
    <n v="11548440"/>
    <n v="0"/>
    <n v="11548440"/>
    <n v="150112"/>
    <s v="CONTRATO PRESTACION DE SERVICIOS GESTION DOCUMENTAL"/>
    <s v="1921"/>
    <s v="7721, 7821"/>
    <s v="12221, 12421"/>
    <s v="29221, 29421, 34121, 34221, 35621, 38721, 43921"/>
    <s v="118157121, 118166421, 147242921, 147245321, 159669021, 179833921, 217763421"/>
    <s v="-0"/>
    <x v="0"/>
    <x v="1"/>
  </r>
  <r>
    <s v="2221"/>
    <s v="2021-04-21 00:00:00"/>
    <s v="2021-04-21 09:33:00"/>
    <s v="Gasto"/>
    <s v="Con Compromiso"/>
    <s v="0500"/>
    <x v="17"/>
    <x v="1"/>
    <s v="ADQUISICIÓN DE BIENES Y SERVICIOS - SERVICIO DE INFORMACIÓN CATASTRAL - ACTUALIZACIÓN  Y GESTIÓN CATASTRAL  NACIONAL"/>
    <s v="Propios"/>
    <x v="1"/>
    <s v="CSF"/>
    <n v="3150600"/>
    <n v="0"/>
    <n v="3150600"/>
    <n v="299155"/>
    <s v="VIATICOS Y GASTOS CONSERVACION T.RISARALDA"/>
    <s v="2221"/>
    <s v="12221, 12321, 14321, 14421, 14521, 15121, 15221, 15321"/>
    <s v="18321, 18421, 21921, 22121, 22221, 23221, 23321, 23421"/>
    <s v="36021, 36121, 40621, 40821, 40921, 41521, 41621, 41721"/>
    <s v="168834121, 168842921, 194095921, 197457721, 197460821, 211167121, 211168421, 211170121"/>
    <s v="-0"/>
    <x v="0"/>
    <x v="1"/>
  </r>
  <r>
    <s v="3521"/>
    <s v="2021-07-26 00:00:00"/>
    <s v="2021-07-26 10:01:00"/>
    <s v="Gasto"/>
    <s v="Con Compromiso"/>
    <s v="0500"/>
    <x v="17"/>
    <x v="1"/>
    <s v="ADQUISICIÓN DE BIENES Y SERVICIOS - SERVICIO DE INFORMACIÓN CATASTRAL - ACTUALIZACIÓN  Y GESTIÓN CATASTRAL  NACIONAL"/>
    <s v="Propios"/>
    <x v="1"/>
    <s v="CSF"/>
    <n v="88522206"/>
    <n v="-49015370"/>
    <n v="39506836"/>
    <n v="28820904"/>
    <s v="PARA CONTRATOS PROCESO DE CONSERVACION"/>
    <s v="3521"/>
    <s v="15021"/>
    <s v="-0"/>
    <s v="-0"/>
    <s v="-0"/>
    <s v="-0"/>
    <x v="0"/>
    <x v="1"/>
  </r>
  <r>
    <s v="3621"/>
    <s v="2021-07-28 00:00:00"/>
    <s v="2021-07-28 11:31:00"/>
    <s v="Gasto"/>
    <s v="Con Compromiso"/>
    <s v="0500"/>
    <x v="17"/>
    <x v="1"/>
    <s v="ADQUISICIÓN DE BIENES Y SERVICIOS - SERVICIO DE INFORMACIÓN CATASTRAL - ACTUALIZACIÓN  Y GESTIÓN CATASTRAL  NACIONAL"/>
    <s v="Propios"/>
    <x v="1"/>
    <s v="CSF"/>
    <n v="29015370"/>
    <n v="0"/>
    <n v="29015370"/>
    <n v="12511"/>
    <s v="PARA VIATICOS PROCESO DE TITULACION FUNCIONARIOS T. RISARALDA"/>
    <s v="3621"/>
    <s v="15821, 15921, 16021, 16121, 16221, 16321"/>
    <s v="24421"/>
    <s v="44021"/>
    <s v="219369021"/>
    <s v="-0"/>
    <x v="0"/>
    <x v="1"/>
  </r>
  <r>
    <s v="3721"/>
    <s v="2021-07-28 00:00:00"/>
    <s v="2021-07-28 11:34:00"/>
    <s v="Gasto"/>
    <s v="Generado"/>
    <s v="0500"/>
    <x v="17"/>
    <x v="1"/>
    <s v="ADQUISICIÓN DE BIENES Y SERVICIOS - SERVICIO DE INFORMACIÓN CATASTRAL - ACTUALIZACIÓN  Y GESTIÓN CATASTRAL  NACIONAL"/>
    <s v="Propios"/>
    <x v="1"/>
    <s v="CSF"/>
    <n v="20000000"/>
    <n v="3000000"/>
    <n v="23000000"/>
    <n v="23000000"/>
    <s v="PARA COMPRA SCANER PROCESO DE TITULACION"/>
    <s v="3721"/>
    <s v="-0"/>
    <s v="-0"/>
    <s v="-0"/>
    <s v="-0"/>
    <s v="-0"/>
    <x v="0"/>
    <x v="1"/>
  </r>
  <r>
    <s v="3821"/>
    <s v="2021-07-28 00:00:00"/>
    <s v="2021-07-28 14:30:00"/>
    <s v="Gasto"/>
    <s v="Con Compromiso"/>
    <s v="0500"/>
    <x v="17"/>
    <x v="1"/>
    <s v="ADQUISICIÓN DE BIENES Y SERVICIOS - SERVICIO DE INFORMACIÓN CATASTRAL - ACTUALIZACIÓN  Y GESTIÓN CATASTRAL  NACIONAL"/>
    <s v="Nación"/>
    <x v="0"/>
    <s v="CSF"/>
    <n v="9937396"/>
    <n v="0"/>
    <n v="9937396"/>
    <n v="4286511"/>
    <s v="VIATICOS Y GASTOS COMISIONES"/>
    <s v="3821"/>
    <s v="13221, 13321, 13421, 13521, 13621, 13721, 13821"/>
    <s v="20621, 20721, 20821, 20921, 21021, 21121, 21221"/>
    <s v="39321, 39421, 39521, 39621, 39721, 39821, 39921"/>
    <s v="184819321, 184830021, 184831721, 184834521, 184836221, 184837421, 184842421"/>
    <s v="521, 621, 721, 821"/>
    <x v="0"/>
    <x v="1"/>
  </r>
  <r>
    <s v="3921"/>
    <s v="2021-08-13 00:00:00"/>
    <s v="2021-08-13 17:42:00"/>
    <s v="Gasto"/>
    <s v="Generado"/>
    <s v="0500"/>
    <x v="17"/>
    <x v="1"/>
    <s v="ADQUISICIÓN DE BIENES Y SERVICIOS - SERVICIO DE INFORMACIÓN CATASTRAL - ACTUALIZACIÓN  Y GESTIÓN CATASTRAL  NACIONAL"/>
    <s v="Propios"/>
    <x v="1"/>
    <s v="CSF"/>
    <n v="25023137"/>
    <n v="0"/>
    <n v="25023137"/>
    <n v="25023137"/>
    <s v="MANTENIMIENTO 3 VEHICULOS TERRITORIALES QUINDIO Y RISARALDA"/>
    <s v="3921"/>
    <s v="-0"/>
    <s v="-0"/>
    <s v="-0"/>
    <s v="-0"/>
    <s v="-0"/>
    <x v="0"/>
    <x v="1"/>
  </r>
  <r>
    <s v="421"/>
    <s v="2021-01-12 00:00:00"/>
    <s v="2021-01-12 11:12:00"/>
    <s v="Gasto"/>
    <s v="Con Compromiso"/>
    <s v="0300"/>
    <x v="18"/>
    <x v="12"/>
    <s v="ADQUISICIÓN DE BIENES Y SERVICIOS - SERVICIO DE INFORMACIÓN CARTOGRÁFICA ACTUALIZADO - LEVANTAMIENTO , GENERACIÓN Y ACTUALIZACIÓN DE LA RED GEODÉSICA Y LA CARTOGRAFÍA BÁSICA A NIVEL   NACIONAL"/>
    <s v="Nación"/>
    <x v="0"/>
    <s v="CSF"/>
    <n v="6235653"/>
    <n v="-694594"/>
    <n v="5541059"/>
    <n v="0"/>
    <s v="ASIGN. PPTAL. GASTOS Y VIATICOS CONDUCTOR LUIS EDUARDO ARDILA"/>
    <s v="421"/>
    <s v="421"/>
    <s v="421"/>
    <s v="421"/>
    <s v="2338021"/>
    <s v="121"/>
    <x v="0"/>
    <x v="3"/>
  </r>
  <r>
    <s v="921"/>
    <s v="2021-02-04 00:00:00"/>
    <s v="2021-02-04 12:33:00"/>
    <s v="Gasto"/>
    <s v="Con Compromiso"/>
    <s v="0500"/>
    <x v="18"/>
    <x v="1"/>
    <s v="ADQUISICIÓN DE BIENES Y SERVICIOS - SERVICIO DE INFORMACIÓN CATASTRAL - ACTUALIZACIÓN  Y GESTIÓN CATASTRAL  NACIONAL"/>
    <s v="Nación"/>
    <x v="0"/>
    <s v="CSF"/>
    <n v="84975000"/>
    <n v="-19827500"/>
    <n v="65147500"/>
    <n v="0"/>
    <s v="PRESTACIÓN DE SERVICIOS PERSONALES PARA ADELANTAR ACTIVIDADES DE RECONOCIMIENTO PREDIAL URBANO Y RURAL  PARA LA ATENCIÓN DE TRAMITES EN LOS PROCESOS CATASTRALES DE LA DIRECCIÓN TERRITORIAL SANTANDER"/>
    <s v="921"/>
    <s v="7721, 8821, 15221"/>
    <s v="14921, 15421, 29421"/>
    <s v="33521, 33921, 39321, 39521, 44021, 44221, 49021, 49721, 49821, 52321, 52621, 53021"/>
    <s v="91177721, 99143721, 118154621, 123416621, 147311221, 147316721, 178106821, 179984121, 179990321, 214765221, 214773321, 219564121"/>
    <s v="-0"/>
    <x v="0"/>
    <x v="1"/>
  </r>
  <r>
    <s v="1021"/>
    <s v="2021-02-04 00:00:00"/>
    <s v="2021-02-04 12:35:00"/>
    <s v="Gasto"/>
    <s v="Con Compromiso"/>
    <s v="0500"/>
    <x v="18"/>
    <x v="1"/>
    <s v="ADQUISICIÓN DE BIENES Y SERVICIOS - SERVICIO DE INFORMACIÓN CATASTRAL - ACTUALIZACIÓN  Y GESTIÓN CATASTRAL  NACIONAL"/>
    <s v="Nación"/>
    <x v="0"/>
    <s v="CSF"/>
    <n v="24043347"/>
    <n v="-20481370"/>
    <n v="3561977"/>
    <n v="0"/>
    <s v="PRESTACIÓN DE SERVICIOS PERSONALES PARA REALIZAR LAS ACTIVIDADES DE APOYO Y VERIFICACIÓN A LOS TRAMITES CATASTRALES EN LA DIRECCIÓN TERRITORIAL SANTANDER"/>
    <s v="1021"/>
    <s v="3921"/>
    <s v="9421"/>
    <s v="27421, 30821"/>
    <s v="67558621, 88022121"/>
    <s v="-0"/>
    <x v="0"/>
    <x v="1"/>
  </r>
  <r>
    <s v="1121"/>
    <s v="2021-02-04 00:00:00"/>
    <s v="2021-02-04 12:36:00"/>
    <s v="Gasto"/>
    <s v="Con Compromiso"/>
    <s v="0500"/>
    <x v="18"/>
    <x v="1"/>
    <s v="ADQUISICIÓN DE BIENES Y SERVICIOS - SERVICIO DE INFORMACIÓN CATASTRAL - ACTUALIZACIÓN  Y GESTIÓN CATASTRAL  NACIONAL"/>
    <s v="Nación"/>
    <x v="0"/>
    <s v="CSF"/>
    <n v="10207458"/>
    <n v="0"/>
    <n v="10207458"/>
    <n v="0"/>
    <s v="PRESTACIÓN DE SERVICIOS PERSONALES PARA REALIZAR ACTIVIDADES DE APOYO EN OFICINA EN LA DIRECCIÓN TERRITORIAL SANTANDER"/>
    <s v="1121"/>
    <s v="4021"/>
    <s v="9521"/>
    <s v="27521, 31421, 39221, 44421, 48721"/>
    <s v="67560821, 98499521, 118145621, 147320021, 178086821"/>
    <s v="-0"/>
    <x v="0"/>
    <x v="1"/>
  </r>
  <r>
    <s v="1221"/>
    <s v="2021-02-04 00:00:00"/>
    <s v="2021-02-04 12:38:00"/>
    <s v="Gasto"/>
    <s v="Con Compromiso"/>
    <s v="0500"/>
    <x v="18"/>
    <x v="1"/>
    <s v="ADQUISICIÓN DE BIENES Y SERVICIOS - SERVICIO DE INFORMACIÓN CATASTRAL - ACTUALIZACIÓN  Y GESTIÓN CATASTRAL  NACIONAL"/>
    <s v="Nación"/>
    <x v="0"/>
    <s v="CSF"/>
    <n v="23080365"/>
    <n v="-699405"/>
    <n v="22380960"/>
    <n v="0"/>
    <s v="PRESTACIÓN DE SERVICIOS PERSONALES COMO TÉCNICO DE APOYO A LA GESTIÓN DESARROLLADA EN PROCESOS CATASTRALES DE LA DIRECCIÓN TERRITORIAL SANTANDER"/>
    <s v="1221"/>
    <s v="2721"/>
    <s v="5021"/>
    <s v="17921, 27721, 30921, 38621, 42021, 49421, 52821"/>
    <s v="46083621, 67567121, 88023321, 117390921, 147237821, 179971021, 214933921"/>
    <s v="-0"/>
    <x v="0"/>
    <x v="1"/>
  </r>
  <r>
    <s v="1321"/>
    <s v="2021-02-04 00:00:00"/>
    <s v="2021-02-04 12:39:00"/>
    <s v="Gasto"/>
    <s v="Con Compromiso"/>
    <s v="0500"/>
    <x v="18"/>
    <x v="1"/>
    <s v="ADQUISICIÓN DE BIENES Y SERVICIOS - SERVICIO DE INFORMACIÓN CATASTRAL - ACTUALIZACIÓN  Y GESTIÓN CATASTRAL  NACIONAL"/>
    <s v="Nación"/>
    <x v="0"/>
    <s v="CSF"/>
    <n v="29386313"/>
    <n v="-17987985"/>
    <n v="11398328"/>
    <n v="0"/>
    <s v="PRESTACIÓN DE SERVICIOS PERSONALES COMO TÉCNICO DE APOYO PARA REALIZAR LAS ACTIVIDADES DE APOYO EN EL PROCESO DE CONSERVACIÓN CATASTRAL EN LA DIRECCIÓN TERRITORIAL SANTANDER"/>
    <s v="1321"/>
    <s v="2421"/>
    <s v="4921"/>
    <s v="17821, 27921, 30721, 38521, 41921"/>
    <s v="46077121, 67571821, 88020721, 117388321, 147229321"/>
    <s v="-0"/>
    <x v="0"/>
    <x v="1"/>
  </r>
  <r>
    <s v="1421"/>
    <s v="2021-02-04 00:00:00"/>
    <s v="2021-02-04 12:40:00"/>
    <s v="Gasto"/>
    <s v="Con Compromiso"/>
    <s v="0500"/>
    <x v="18"/>
    <x v="1"/>
    <s v="ADQUISICIÓN DE BIENES Y SERVICIOS - SERVICIO DE INFORMACIÓN CATASTRAL - ACTUALIZACIÓN  Y GESTIÓN CATASTRAL  NACIONAL"/>
    <s v="Nación"/>
    <x v="0"/>
    <s v="CSF"/>
    <n v="26714830"/>
    <n v="-5788213"/>
    <n v="20926617"/>
    <n v="0"/>
    <s v="PRESTACIÓN DE SERVICIOS PERSONALES PARA REALIZAR ACTIVIDADES DE DIGITALIZACIÓN Y GENERACIÓN DE PRODUCTOS DE LA INFORMACIÓN CATASTRAL EN LA DIRECCIÓN TERRITORIAL SANTANDER"/>
    <s v="1421"/>
    <s v="10221"/>
    <s v="21021"/>
    <s v="39721, 44821, 49521, 52221"/>
    <s v="123445021, 147246321, 179973521, 214763321"/>
    <s v="-0"/>
    <x v="0"/>
    <x v="1"/>
  </r>
  <r>
    <s v="1521"/>
    <s v="2021-02-04 00:00:00"/>
    <s v="2021-02-04 12:43:00"/>
    <s v="Gasto"/>
    <s v="Con Compromiso"/>
    <s v="0500"/>
    <x v="18"/>
    <x v="1"/>
    <s v="ADQUISICIÓN DE BIENES Y SERVICIOS - SERVICIO DE INFORMACIÓN CATASTRAL - ACTUALIZACIÓN  Y GESTIÓN CATASTRAL  NACIONAL"/>
    <s v="Nación"/>
    <x v="0"/>
    <s v="CSF"/>
    <n v="30325000"/>
    <n v="-12385833"/>
    <n v="17939167"/>
    <n v="0"/>
    <s v="PRESTACIÓN DE SERVICIOS PERSONALES PARA ADELANTAR ACTIVIDADES DE RECONOCIMIENTO PREDIAL URBANO Y RURAL EN ATENCIÓN A LOS REQUERIMIENTOS ADMINISTRATIVOS Y JUDICIALES DEL PROCESO DE RESTITUCIÓN DE TIERRAS EN LA DIRECCIÓN TERRITORIAL SANTANDER."/>
    <s v="1521"/>
    <s v="14821"/>
    <s v="28821"/>
    <s v="49221, 52721"/>
    <s v="179965521, 214775021"/>
    <s v="-0"/>
    <x v="0"/>
    <x v="1"/>
  </r>
  <r>
    <s v="1621"/>
    <s v="2021-02-04 00:00:00"/>
    <s v="2021-02-04 12:45:00"/>
    <s v="Gasto"/>
    <s v="Con Compromiso"/>
    <s v="0500"/>
    <x v="18"/>
    <x v="1"/>
    <s v="ADQUISICIÓN DE BIENES Y SERVICIOS - SERVICIO DE INFORMACIÓN CATASTRAL - ACTUALIZACIÓN  Y GESTIÓN CATASTRAL  NACIONAL"/>
    <s v="Nación"/>
    <x v="0"/>
    <s v="CSF"/>
    <n v="51037290"/>
    <n v="-2268324"/>
    <n v="48768966"/>
    <n v="0"/>
    <s v="PRESTACIÓN DE SERVICIOS PERSONALES PARA REALIZAR ACTIVIDADES DE APOYO OPERATIVO EN LOS PROCESOS CATASTRALES EN LA DIRECCIÓN TERRITORIAL SANTANDER"/>
    <s v="1621"/>
    <s v="3121, 4821, 4921"/>
    <s v="4821, 9621, 9821"/>
    <s v="17721, 27621, 27821, 28021, 31021, 31121, 31221, 38721, 38921, 39021, 39121, 44521, 44621, 44721, 45521, 48821, 49321, 49621, 52121, 52421, 52521"/>
    <s v="46074921, 67563321, 67569421, 67574721, 88024521, 88033821, 88039621, 117393721, 118124521, 118126921, 147242121, 147244421, 147321521, 159448421, 178091221, 179968521, 179975921, 214761721, 214768121, 214770421"/>
    <s v="-0"/>
    <x v="0"/>
    <x v="1"/>
  </r>
  <r>
    <s v="1721"/>
    <s v="2021-02-04 00:00:00"/>
    <s v="2021-02-04 12:46:00"/>
    <s v="Gasto"/>
    <s v="Con Compromiso"/>
    <s v="0500"/>
    <x v="18"/>
    <x v="1"/>
    <s v="ADQUISICIÓN DE BIENES Y SERVICIOS - SERVICIO DE INFORMACIÓN CATASTRAL - ACTUALIZACIÓN  Y GESTIÓN CATASTRAL  NACIONAL"/>
    <s v="Nación"/>
    <x v="0"/>
    <s v="CSF"/>
    <n v="24997856"/>
    <n v="0"/>
    <n v="24997856"/>
    <n v="0"/>
    <s v="PRESTACIÓN DE SERVICIOS PROFESIONALES PARA REALIZAR LAS ACTIVIDADES DE PLANEACIÓN Y SEGUIMIENTO A LOS PROCESOS CATASTRALES DE LA DIRECCIÓN TERRITORIAL SANTANDER."/>
    <s v="1721"/>
    <s v="7321, 7421"/>
    <s v="15121"/>
    <s v="33721, 38821, 45121, 48621, 55221"/>
    <s v="92781221, 117396621, 152646821, 178079521, 223129821"/>
    <s v="-0"/>
    <x v="0"/>
    <x v="1"/>
  </r>
  <r>
    <s v="1821"/>
    <s v="2021-02-04 00:00:00"/>
    <s v="2021-02-04 12:47:00"/>
    <s v="Gasto"/>
    <s v="Con Compromiso"/>
    <s v="0510"/>
    <x v="18"/>
    <x v="16"/>
    <s v="ADQUISICIÓN DE BIENES Y SERVICIOS - SERVICIO DE AVALÚOS - ACTUALIZACIÓN  Y GESTIÓN CATASTRAL  NACIONAL"/>
    <s v="Propios"/>
    <x v="1"/>
    <s v="CSF"/>
    <n v="35000000"/>
    <n v="0"/>
    <n v="35000000"/>
    <n v="17500000"/>
    <s v="PRESTACIÓN DE SERVICIOS PROFESIONALES PARA REALIZAR AVALÚOS COMERCIALES, A NIVEL NACIONAL DE LOS BIENES URBANOS Y RURALES"/>
    <s v="1821"/>
    <s v="16221"/>
    <s v="-0"/>
    <s v="-0"/>
    <s v="-0"/>
    <s v="-0"/>
    <x v="0"/>
    <x v="6"/>
  </r>
  <r>
    <s v="2021"/>
    <s v="2021-02-15 00:00:00"/>
    <s v="2021-02-15 15:43:00"/>
    <s v="Gasto"/>
    <s v="Con Compromiso"/>
    <s v="0510"/>
    <x v="18"/>
    <x v="16"/>
    <s v="ADQUISICIÓN DE BIENES Y SERVICIOS - SERVICIO DE AVALÚOS - ACTUALIZACIÓN  Y GESTIÓN CATASTRAL  NACIONAL"/>
    <s v="Propios"/>
    <x v="1"/>
    <s v="CSF"/>
    <n v="5000000"/>
    <n v="0"/>
    <n v="5000000"/>
    <n v="932947"/>
    <s v="ASIGN. PPTAL. VIATICOS PARA PROYECTO DE AVALUOS"/>
    <s v="2021"/>
    <s v="3221, 3321, 3421, 6321, 6421, 7821, 7921, 8021, 11121"/>
    <s v="4121, 4221, 4321, 8421, 8521, 11121, 11221, 11321, 16921"/>
    <s v="17321, 17421, 17521, 20521, 20621, 28921, 29021, 29121, 34821"/>
    <s v="36187021, 36189421, 36197721, 58676921, 58677221, 78506921, 78509221, 78511621, 104994721"/>
    <s v="421"/>
    <x v="0"/>
    <x v="6"/>
  </r>
  <r>
    <s v="2321"/>
    <s v="2021-02-23 00:00:00"/>
    <s v="2021-02-23 11:52:00"/>
    <s v="Gasto"/>
    <s v="Con Compromiso"/>
    <s v="0500"/>
    <x v="18"/>
    <x v="1"/>
    <s v="ADQUISICIÓN DE BIENES Y SERVICIOS - SERVICIO DE INFORMACIÓN CATASTRAL - ACTUALIZACIÓN  Y GESTIÓN CATASTRAL  NACIONAL"/>
    <s v="Nación"/>
    <x v="0"/>
    <s v="CSF"/>
    <n v="29554968"/>
    <n v="0"/>
    <n v="29554968"/>
    <n v="2130093"/>
    <s v="ASIGN. PPTAL. VIATICOS CONSERVACION 2021"/>
    <s v="2321"/>
    <s v="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
    <s v="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
    <s v="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
    <s v="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
    <s v="221, 321, 621, 1221, 1321, 1421"/>
    <x v="0"/>
    <x v="1"/>
  </r>
  <r>
    <s v="2921"/>
    <s v="2021-04-15 00:00:00"/>
    <s v="2021-04-15 14:34:00"/>
    <s v="Gasto"/>
    <s v="Con Compromiso"/>
    <s v="0500"/>
    <x v="18"/>
    <x v="1"/>
    <s v="ADQUISICIÓN DE BIENES Y SERVICIOS - SERVICIO DE INFORMACIÓN CATASTRAL - ACTUALIZACIÓN  Y GESTIÓN CATASTRAL  NACIONAL"/>
    <s v="Nación"/>
    <x v="0"/>
    <s v="CSF"/>
    <n v="14177025"/>
    <n v="0"/>
    <n v="14177025"/>
    <n v="0"/>
    <s v="PRESTACIÓN DE SERVICIOS PERSONALES PARA REALIZAR ACTIVIDADES DE APOYO EN OFICINA Y TERRENO DENTRO DE LOS PROCESOS DE CONSERVACIÓN CATASTRAL EN LA DIRECCIÓN TERRITORIAL SANTANDER"/>
    <s v="2921"/>
    <s v="8921"/>
    <s v="15021"/>
    <s v="33621, 39621, 44321, 45421, 49121, 52921"/>
    <s v="91667321, 123433421, 147318221, 159446421, 179963721, 214937621"/>
    <s v="-0"/>
    <x v="0"/>
    <x v="1"/>
  </r>
  <r>
    <s v="3021"/>
    <s v="2021-04-15 00:00:00"/>
    <s v="2021-04-15 14:36:00"/>
    <s v="Gasto"/>
    <s v="Con Compromiso"/>
    <s v="0500"/>
    <x v="18"/>
    <x v="1"/>
    <s v="ADQUISICIÓN DE BIENES Y SERVICIOS - SERVICIO DE INFORMACIÓN CATASTRAL - ACTUALIZACIÓN  Y GESTIÓN CATASTRAL  NACIONAL"/>
    <s v="Nación"/>
    <x v="0"/>
    <s v="CSF"/>
    <n v="10491075"/>
    <n v="0"/>
    <n v="10491075"/>
    <n v="0"/>
    <s v="PRESTACIÓN DE SERVICIOS DE APOYO A LA GESTIÓN EN VENTANILLA PARA ATENCIÓN AL PÚBLICO EN LOS PROCESOS CATASTRALES DE LA DIRECCIÓN TERRITORIAL SANTANDER"/>
    <s v="3021"/>
    <s v="9221"/>
    <s v="21121"/>
    <s v="39821, 44121, 48921, 52021"/>
    <s v="123453221, 147315021, 178093921, 214760121"/>
    <s v="-0"/>
    <x v="0"/>
    <x v="1"/>
  </r>
  <r>
    <s v="3621"/>
    <s v="2021-06-21 00:00:00"/>
    <s v="2021-06-21 14:36:00"/>
    <s v="Gasto"/>
    <s v="Con Compromiso"/>
    <s v="0500"/>
    <x v="18"/>
    <x v="1"/>
    <s v="ADQUISICIÓN DE BIENES Y SERVICIOS - SERVICIO DE INFORMACIÓN CATASTRAL - ACTUALIZACIÓN  Y GESTIÓN CATASTRAL  NACIONAL"/>
    <s v="Nación"/>
    <x v="0"/>
    <s v="CSF"/>
    <n v="1000000"/>
    <n v="0"/>
    <n v="1000000"/>
    <n v="0"/>
    <s v="GASTOS DE VIAJE Y MANUTENCION PARA ADELANTAR ACTIVIDADES DE RECONOCIMIENTO PREDIAL URBANO Y RURAL EN ATENCIÓN A LOS REQUERIMIENTOS ADMINISTRATIVOS Y JUDICIALES DEL PROCESO DE RESTITUCIÓN DE TIERRAS EN LA DIRECCIÓN TERRITORIAL SANTANDER."/>
    <s v="3621"/>
    <s v="14921"/>
    <s v="34621"/>
    <s v="55421"/>
    <s v="227077621"/>
    <s v="-0"/>
    <x v="0"/>
    <x v="1"/>
  </r>
  <r>
    <s v="4121"/>
    <s v="2021-07-14 00:00:00"/>
    <s v="2021-07-14 09:48:00"/>
    <s v="Gasto"/>
    <s v="Con Compromiso"/>
    <s v="0500"/>
    <x v="18"/>
    <x v="1"/>
    <s v="ADQUISICIÓN DE BIENES Y SERVICIOS - SERVICIO DE INFORMACIÓN CATASTRAL - ACTUALIZACIÓN  Y GESTIÓN CATASTRAL  NACIONAL"/>
    <s v="Nación"/>
    <x v="0"/>
    <s v="CSF"/>
    <n v="14162500"/>
    <n v="0"/>
    <n v="14162500"/>
    <n v="0"/>
    <s v="PRESTACIÓN DE SERVICIOS PERSONALES PARA  REALIZAR ACTIVIDADES DE RECONOCIMIENTO PREDIAL URBANO Y RURAL  EN EL TRAMITE DE MUTACIONES EN CAMPO Y OFICINA DENTRO DEL PROCESO DE CONSERVACIÓN CATASTRAL DE LA  DIRECCIÓN TERRITORIAL SANTANDER"/>
    <s v="4121"/>
    <s v="17221"/>
    <s v="33921"/>
    <s v="55021"/>
    <s v="223128921"/>
    <s v="-0"/>
    <x v="0"/>
    <x v="1"/>
  </r>
  <r>
    <s v="4221"/>
    <s v="2021-07-14 00:00:00"/>
    <s v="2021-07-14 09:49:00"/>
    <s v="Gasto"/>
    <s v="Con Compromiso"/>
    <s v="0500"/>
    <x v="18"/>
    <x v="1"/>
    <s v="ADQUISICIÓN DE BIENES Y SERVICIOS - SERVICIO DE INFORMACIÓN CATASTRAL - ACTUALIZACIÓN  Y GESTIÓN CATASTRAL  NACIONAL"/>
    <s v="Nación"/>
    <x v="0"/>
    <s v="CSF"/>
    <n v="25518645"/>
    <n v="0"/>
    <n v="25518645"/>
    <n v="1134162"/>
    <s v="PRESTACIÓN DE SERVICIOS PERSONALES PARA REALIZAR ACTIVIDADES DE APOYO CATASTRAL PARA OFICINA Y TERRENO URBANO Y RURAL EN EL PROCESO DE CONSERVACIÓN CATASTRAL EN LA DIRECCIÓN TERRITORIAL SANTANDER"/>
    <s v="4221"/>
    <s v="17021, 17121, 18521"/>
    <s v="33721, 34021"/>
    <s v="53121, 55121, 55321"/>
    <s v="214941321, 225251021"/>
    <s v="-0"/>
    <x v="0"/>
    <x v="1"/>
  </r>
  <r>
    <s v="4321"/>
    <s v="2021-07-19 00:00:00"/>
    <s v="2021-07-19 08:38:00"/>
    <s v="Gasto"/>
    <s v="Generado"/>
    <s v="0200"/>
    <x v="18"/>
    <x v="19"/>
    <s v="ADQUISICIÓN DE BIENES Y SERVICIOS - SEDES MANTENIDAS - FORTALECIMIENTO DE LA INFRAESTRUCTURA FÍSICA DEL IGAC A NIVEL  NACIONAL"/>
    <s v="Nación"/>
    <x v="0"/>
    <s v="CSF"/>
    <n v="500000"/>
    <n v="0"/>
    <n v="500000"/>
    <n v="500000"/>
    <s v="LAVADO Y DESINFECCIÓN DE 2 TANQUES ELEVADOS DE CAPACIDAD DE 2000 LITROS DE AGUA POTABLE DE LA DIRECCIÓN TERRITORIAL SANTANDER"/>
    <s v="4321"/>
    <s v="-0"/>
    <s v="-0"/>
    <s v="-0"/>
    <s v="-0"/>
    <s v="-0"/>
    <x v="0"/>
    <x v="0"/>
  </r>
  <r>
    <s v="4421"/>
    <s v="2021-07-19 00:00:00"/>
    <s v="2021-07-19 08:39:00"/>
    <s v="Gasto"/>
    <s v="Generado"/>
    <s v="0200"/>
    <x v="18"/>
    <x v="19"/>
    <s v="ADQUISICIÓN DE BIENES Y SERVICIOS - SEDES MANTENIDAS - FORTALECIMIENTO DE LA INFRAESTRUCTURA FÍSICA DEL IGAC A NIVEL  NACIONAL"/>
    <s v="Nación"/>
    <x v="0"/>
    <s v="CSF"/>
    <n v="1100000"/>
    <n v="0"/>
    <n v="1100000"/>
    <n v="1100000"/>
    <s v="CONTROL DE PLAGAS Y FUMIGACIÓN GENERAL DE ÁREAS  DE LA SEDE A Y SEDE B DE LA DIRECCION TERRITORIAL SANTANDER"/>
    <s v="4421"/>
    <s v="-0"/>
    <s v="-0"/>
    <s v="-0"/>
    <s v="-0"/>
    <s v="-0"/>
    <x v="0"/>
    <x v="0"/>
  </r>
  <r>
    <s v="4721"/>
    <s v="2021-07-27 00:00:00"/>
    <s v="2021-07-27 10:18:00"/>
    <s v="Gasto"/>
    <s v="Generado"/>
    <s v="0500"/>
    <x v="18"/>
    <x v="1"/>
    <s v="ADQUISICIÓN DE BIENES Y SERVICIOS - SERVICIO DE INFORMACIÓN CATASTRAL - ACTUALIZACIÓN  Y GESTIÓN CATASTRAL  NACIONAL"/>
    <s v="Propios"/>
    <x v="1"/>
    <s v="CSF"/>
    <n v="24000000"/>
    <n v="0"/>
    <n v="24000000"/>
    <n v="24000000"/>
    <s v="MEMO 2050-2021-0007501-IE-001 ASIGN. PPTAL. MANTENIMIENTO DE VEHICULOS T. SANTANDER"/>
    <s v="4721"/>
    <s v="-0"/>
    <s v="-0"/>
    <s v="-0"/>
    <s v="-0"/>
    <s v="-0"/>
    <x v="0"/>
    <x v="1"/>
  </r>
  <r>
    <s v="4821"/>
    <s v="2021-08-02 00:00:00"/>
    <s v="2021-08-02 08:44:00"/>
    <s v="Gasto"/>
    <s v="Con Compromiso"/>
    <s v="0510"/>
    <x v="18"/>
    <x v="16"/>
    <s v="ADQUISICIÓN DE BIENES Y SERVICIOS - SERVICIO DE AVALÚOS - ACTUALIZACIÓN  Y GESTIÓN CATASTRAL  NACIONAL"/>
    <s v="Propios"/>
    <x v="1"/>
    <s v="CSF"/>
    <n v="1500000"/>
    <n v="0"/>
    <n v="1500000"/>
    <n v="0"/>
    <s v="ASIGN. PPTAL. APOYO DE TRANSPORTE PARA INICIAR EL RECORRIDO DEL IVP"/>
    <s v="4821"/>
    <s v="19421"/>
    <s v="32521"/>
    <s v="51921"/>
    <s v="214282421"/>
    <s v="-0"/>
    <x v="0"/>
    <x v="6"/>
  </r>
  <r>
    <s v="4921"/>
    <s v="2021-08-18 00:00:00"/>
    <s v="2021-08-18 09:35:00"/>
    <s v="Gasto"/>
    <s v="Con Compromiso"/>
    <s v="0500"/>
    <x v="18"/>
    <x v="1"/>
    <s v="ADQUISICIÓN DE BIENES Y SERVICIOS - SERVICIO DE INFORMACIÓN CATASTRAL - ACTUALIZACIÓN  Y GESTIÓN CATASTRAL  NACIONAL"/>
    <s v="Nación"/>
    <x v="0"/>
    <s v="CSF"/>
    <n v="6294645"/>
    <n v="0"/>
    <n v="6294645"/>
    <n v="0"/>
    <s v="PRESTACIÓN DE SERVICIOS PERSONALES PARA  REALIZAR LAS ACTIVIDADES DE APOYO EN LOS TRAMITES CATASTRALES DENTRO DEL PROCESO DE CONSERVACIÓN CATASTRAL EN LA DIRECCIÓN TERRITORIAL SANTANDER"/>
    <s v="4921"/>
    <s v="18621, 18721"/>
    <s v="-0"/>
    <s v="-0"/>
    <s v="-0"/>
    <s v="-0"/>
    <x v="0"/>
    <x v="1"/>
  </r>
  <r>
    <s v="5221"/>
    <s v="2021-09-03 00:00:00"/>
    <s v="2021-09-03 15:45:00"/>
    <s v="Gasto"/>
    <s v="Generado"/>
    <s v="0510"/>
    <x v="18"/>
    <x v="16"/>
    <s v="ADQUISICIÓN DE BIENES Y SERVICIOS - SERVICIO DE AVALÚOS - ACTUALIZACIÓN  Y GESTIÓN CATASTRAL  NACIONAL"/>
    <s v="Propios"/>
    <x v="1"/>
    <s v="CSF"/>
    <n v="18861000"/>
    <n v="0"/>
    <n v="18861000"/>
    <n v="18861000"/>
    <s v="MEMO 2050-2021-0010579 GASTOS COMISION PROCESO DIVISORIO DE PARTICION MATERIAL-TRIBUNAL SUPERIOR DE BUCARAMANGA"/>
    <s v="5221"/>
    <s v="-0"/>
    <s v="-0"/>
    <s v="-0"/>
    <s v="-0"/>
    <s v="-0"/>
    <x v="0"/>
    <x v="6"/>
  </r>
  <r>
    <s v="921"/>
    <s v="2021-01-28 00:00:00"/>
    <s v="2021-01-28 11:24:00"/>
    <s v="Gasto"/>
    <s v="Con Compromiso"/>
    <s v="0500"/>
    <x v="19"/>
    <x v="1"/>
    <s v="ADQUISICIÓN DE BIENES Y SERVICIOS - SERVICIO DE INFORMACIÓN CATASTRAL - ACTUALIZACIÓN  Y GESTIÓN CATASTRAL  NACIONAL"/>
    <s v="Nación"/>
    <x v="0"/>
    <s v="CSF"/>
    <n v="124699902"/>
    <n v="-7116292"/>
    <n v="117583610"/>
    <n v="0"/>
    <s v="PARA CONTRATACION APROBADA POR LA SUBDIRECCION DE CATASTRO PARA LA REALIZACION DE LABORES EB CONSERVACION"/>
    <s v="921"/>
    <s v="1421, 1521, 1621, 1721, 1821"/>
    <s v="2221, 2321, 2521, 2621, 2721"/>
    <s v="12821, 12921, 13121, 13221, 13321, 15521, 15621, 15721, 15821, 16021, 17921, 18021, 18121, 18221, 18421, 19721, 19821, 20021, 20121, 20321, 22921, 23021, 23121, 23321, 23421, 25821, 25921, 26021, 26221, 26321"/>
    <s v="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
    <s v="-0"/>
    <x v="0"/>
    <x v="1"/>
  </r>
  <r>
    <s v="1021"/>
    <s v="2021-01-28 00:00:00"/>
    <s v="2021-01-28 11:28:00"/>
    <s v="Gasto"/>
    <s v="Con Compromiso"/>
    <s v="0510"/>
    <x v="19"/>
    <x v="16"/>
    <s v="ADQUISICIÓN DE BIENES Y SERVICIOS - SERVICIO DE AVALÚOS - ACTUALIZACIÓN  Y GESTIÓN CATASTRAL  NACIONAL"/>
    <s v="Propios"/>
    <x v="1"/>
    <s v="CSF"/>
    <n v="40000000"/>
    <n v="0"/>
    <n v="40000000"/>
    <n v="2775140"/>
    <s v="PARA CONTRATACION AVALUOS 2021"/>
    <s v="1021"/>
    <s v="1921, 3221, 5821"/>
    <s v="2121, 2421, 7421"/>
    <s v="12721, 13021, 15921, 18321, 19921, 20521, 22821, 26121"/>
    <s v="68768221, 75343721, 91097921, 119188221, 144234021, 144723621, 174797021, 211725221"/>
    <s v="-0"/>
    <x v="0"/>
    <x v="6"/>
  </r>
  <r>
    <s v="1721"/>
    <s v="2021-04-05 00:00:00"/>
    <s v="2021-04-05 14:35:00"/>
    <s v="Gasto"/>
    <s v="Con Compromiso"/>
    <s v="0500"/>
    <x v="19"/>
    <x v="1"/>
    <s v="ADQUISICIÓN DE BIENES Y SERVICIOS - SERVICIO DE INFORMACIÓN CATASTRAL - ACTUALIZACIÓN  Y GESTIÓN CATASTRAL  NACIONAL"/>
    <s v="Nación"/>
    <x v="0"/>
    <s v="CSF"/>
    <n v="7116292"/>
    <n v="0"/>
    <n v="7116292"/>
    <n v="4892011"/>
    <s v="PARA VIATICOS Y GASTOS DE COMISION"/>
    <s v="1821"/>
    <s v="3321, 4921, 5021, 5121, 6021, 6121, 7121, 7221, 7321, 8321, 8421"/>
    <s v="2921, 5721, 5821, 5921, 7821, 7921, 9921, 10021, 10221, 12121, 12421"/>
    <s v="13521, 18921, 19021, 19121, 21921, 22021, 24921, 25021, 25221, 28121, 28421"/>
    <s v="75358221, 141722821, 141723421, 141724721, 149431121, 149433721, 183449121, 183451021, 194364521, 219092921"/>
    <s v="421"/>
    <x v="0"/>
    <x v="1"/>
  </r>
  <r>
    <s v="2821"/>
    <s v="2021-07-23 00:00:00"/>
    <s v="2021-07-23 09:23:00"/>
    <s v="Gasto"/>
    <s v="Con Compromiso"/>
    <s v="0500"/>
    <x v="19"/>
    <x v="1"/>
    <s v="ADQUISICIÓN DE BIENES Y SERVICIOS - SERVICIO DE INFORMACIÓN CATASTRAL - ACTUALIZACIÓN  Y GESTIÓN CATASTRAL  NACIONAL"/>
    <s v="Propios"/>
    <x v="1"/>
    <s v="CSF"/>
    <n v="95446576"/>
    <n v="-2354925"/>
    <n v="93091651"/>
    <n v="12014056"/>
    <s v="PARA REALIZAR CONTRATACION PARA TITULACION DE LOS MUNICIPIOS DEL ROBLE ,LOS  PALMITOS Y GALERAS"/>
    <s v="2921"/>
    <s v="8721, 8821, 8921, 9021, 9121, 9221, 9321, 9421, 9521"/>
    <s v="-0"/>
    <s v="-0"/>
    <s v="-0"/>
    <s v="-0"/>
    <x v="0"/>
    <x v="1"/>
  </r>
  <r>
    <s v="3021"/>
    <s v="2021-08-24 00:00:00"/>
    <s v="2021-08-24 10:11:00"/>
    <s v="Gasto"/>
    <s v="Anulado"/>
    <s v="0500"/>
    <x v="19"/>
    <x v="1"/>
    <s v="ADQUISICIÓN DE BIENES Y SERVICIOS - SERVICIO DE INFORMACIÓN CATASTRAL - ACTUALIZACIÓN  Y GESTIÓN CATASTRAL  NACIONAL"/>
    <s v="Propios"/>
    <x v="1"/>
    <s v="CSF"/>
    <n v="8000000"/>
    <n v="-8000000"/>
    <n v="0"/>
    <n v="0"/>
    <s v="PARA VIATICOS DE GASTOS DE COMISION PARA TITULACION 2021 DE LOS MUNICIPIOS DE ROBLE LOS PALMITOS Y GALERAS"/>
    <s v="3121"/>
    <s v="-0"/>
    <s v="-0"/>
    <s v="-0"/>
    <s v="-0"/>
    <s v="-0"/>
    <x v="0"/>
    <x v="1"/>
  </r>
  <r>
    <s v="3221"/>
    <s v="2021-08-24 00:00:00"/>
    <s v="2021-08-24 14:11:00"/>
    <s v="Gasto"/>
    <s v="Con Compromiso"/>
    <s v="0500"/>
    <x v="19"/>
    <x v="1"/>
    <s v="ADQUISICIÓN DE BIENES Y SERVICIOS - SERVICIO DE INFORMACIÓN CATASTRAL - ACTUALIZACIÓN  Y GESTIÓN CATASTRAL  NACIONAL"/>
    <s v="Propios"/>
    <x v="1"/>
    <s v="CSF"/>
    <n v="2354925"/>
    <n v="0"/>
    <n v="2354925"/>
    <n v="1881878"/>
    <s v="PARA VIATICOS Y GASTOS DE COMISION EN EL PROGRAMA DE TITULACION EN LOS MUNICIPIOS DE EL ROBLE, GALERAS Y LOS PALMITOS"/>
    <s v="3121"/>
    <s v="8121, 8221, 8521, 8621"/>
    <s v="11921, 12021, 12221, 12321"/>
    <s v="27921, 28021, 28221, 28321"/>
    <s v="219086421, 219088121"/>
    <s v="-0"/>
    <x v="0"/>
    <x v="1"/>
  </r>
  <r>
    <s v="3321"/>
    <s v="2021-08-31 00:00:00"/>
    <s v="2021-08-31 16:16:00"/>
    <s v="Gasto"/>
    <s v="Generado"/>
    <s v="0200"/>
    <x v="19"/>
    <x v="19"/>
    <s v="ADQUISICIÓN DE BIENES Y SERVICIOS - SEDES MANTENIDAS - FORTALECIMIENTO DE LA INFRAESTRUCTURA FÍSICA DEL IGAC A NIVEL  NACIONAL"/>
    <s v="Nación"/>
    <x v="0"/>
    <s v="CSF"/>
    <n v="8600000"/>
    <n v="0"/>
    <n v="8600000"/>
    <n v="8600000"/>
    <s v="PARA MANTENIMIENTO CORRECTIVO Y PREVENTIVO PARA LOS AIRES DE LA TERRITORIAL"/>
    <s v="4021"/>
    <s v="-0"/>
    <s v="-0"/>
    <s v="-0"/>
    <s v="-0"/>
    <s v="-0"/>
    <x v="0"/>
    <x v="0"/>
  </r>
  <r>
    <s v="621"/>
    <s v="2021-02-04 00:00:00"/>
    <s v="2021-02-04 12:42:00"/>
    <s v="Gasto"/>
    <s v="Con Compromiso"/>
    <s v="0500"/>
    <x v="20"/>
    <x v="1"/>
    <s v="ADQUISICIÓN DE BIENES Y SERVICIOS - SERVICIO DE INFORMACIÓN CATASTRAL - ACTUALIZACIÓN  Y GESTIÓN CATASTRAL  NACIONAL"/>
    <s v="Nación"/>
    <x v="0"/>
    <s v="CSF"/>
    <n v="146817917"/>
    <n v="0"/>
    <n v="146817917"/>
    <n v="2"/>
    <s v="Prestación de servicios personales para realizar actividades de reconocimiento predial urbano y rural para la atencion de tramites en los procesos catastrales en la Dirección Territorial Tolima según Paa aprobado el 03-02-2021"/>
    <s v="621"/>
    <s v="1721, 1821, 1921, 2221, 2321"/>
    <s v="1521, 1621, 2321, 2421, 5921"/>
    <s v="9921, 10021, 10721, 10821, 16721, 16821, 16921, 17121, 17221, 23121, 23221, 23321, 23421, 23721, 26921, 27021, 27121, 27221, 27321, 30321, 30421, 30521, 30621, 30721, 37021, 37121, 37221, 37321, 37421, 40721, 40821, 40921, 41021, 41121"/>
    <s v="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
    <s v="-0"/>
    <x v="0"/>
    <x v="1"/>
  </r>
  <r>
    <s v="721"/>
    <s v="2021-02-04 00:00:00"/>
    <s v="2021-02-04 12:57:00"/>
    <s v="Gasto"/>
    <s v="Con Compromiso"/>
    <s v="0500"/>
    <x v="20"/>
    <x v="1"/>
    <s v="ADQUISICIÓN DE BIENES Y SERVICIOS - SERVICIO DE INFORMACIÓN CATASTRAL - ACTUALIZACIÓN  Y GESTIÓN CATASTRAL  NACIONAL"/>
    <s v="Nación"/>
    <x v="0"/>
    <s v="CSF"/>
    <n v="109219801"/>
    <n v="0"/>
    <n v="109219801"/>
    <n v="1"/>
    <s v="Prestación de servicios personales para realizar actividades de apoyo operativo en los procesos catastrales en la Dirección Territorial Tolima segun Paa aprobado 03-02-2021"/>
    <s v="721"/>
    <s v="1121, 1221, 1321, 1421, 1521, 1621"/>
    <s v="1721, 1821, 1921, 2021, 2121, 2221"/>
    <s v="10121, 10221, 10321, 10421, 10521, 10621, 16021, 16121, 16221, 16321, 16421, 17021, 22421, 22521, 22621, 22721, 22821, 22921, 27521, 27621, 27721, 27821, 27921, 28021, 31121, 31221, 31321, 31421, 31621, 33021, 34221, 34821, 37621, 37721, 37821, 37921, 38221, 39521, 39621, 39721, 39821, 40121, 40521"/>
    <s v="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
    <s v="-0"/>
    <x v="0"/>
    <x v="1"/>
  </r>
  <r>
    <s v="821"/>
    <s v="2021-02-04 00:00:00"/>
    <s v="2021-02-04 13:02:00"/>
    <s v="Gasto"/>
    <s v="Con Compromiso"/>
    <s v="0500"/>
    <x v="20"/>
    <x v="1"/>
    <s v="ADQUISICIÓN DE BIENES Y SERVICIOS - SERVICIO DE INFORMACIÓN CATASTRAL - ACTUALIZACIÓN  Y GESTIÓN CATASTRAL  NACIONAL"/>
    <s v="Nación"/>
    <x v="0"/>
    <s v="CSF"/>
    <n v="44901801"/>
    <n v="0"/>
    <n v="44901801"/>
    <n v="0"/>
    <s v="Prestación de servicios técnicos y administrativos para realizar el inventario, organización, prestamo, devolución y custodia de las fichas prediales dentro de los procesos catastrales en la Dirección Territorial Tolima segun Paa aprobado 03-02-2021"/>
    <s v="821"/>
    <s v="821, 921"/>
    <s v="2521, 2721"/>
    <s v="10921, 11121, 19421, 19721, 24021, 24121, 24421, 28921, 29021, 33421, 33521, 38821, 39021, 43321, 43421"/>
    <s v="48735521, 48736421, 75256721, 76660021, 110439321, 110465721, 136296621, 136299021, 163193121, 163197321, 200887221, 200890121, 227545121, 227556021"/>
    <s v="-0"/>
    <x v="0"/>
    <x v="1"/>
  </r>
  <r>
    <s v="921"/>
    <s v="2021-02-04 00:00:00"/>
    <s v="2021-02-04 13:10:00"/>
    <s v="Gasto"/>
    <s v="Con Compromiso"/>
    <s v="0500"/>
    <x v="20"/>
    <x v="1"/>
    <s v="ADQUISICIÓN DE BIENES Y SERVICIOS - SERVICIO DE INFORMACIÓN CATASTRAL - ACTUALIZACIÓN  Y GESTIÓN CATASTRAL  NACIONAL"/>
    <s v="Nación"/>
    <x v="0"/>
    <s v="CSF"/>
    <n v="22450901"/>
    <n v="0"/>
    <n v="22450901"/>
    <n v="0"/>
    <s v="Prestación de servicios de apoyo a la gestión en ventanilla para la atención al público en los procesos catastrales en la Dirección Territorial Tolima segun Paa aprobado"/>
    <s v="921"/>
    <s v="1021"/>
    <s v="2621"/>
    <s v="11021, 19521, 24321, 29121, 33621, 38721, 38921, 43521"/>
    <s v="48735921, 75258421, 110459321, 136300821, 163198821, 200886121, 227558521"/>
    <s v="-0"/>
    <x v="0"/>
    <x v="1"/>
  </r>
  <r>
    <s v="1021"/>
    <s v="2021-02-04 00:00:00"/>
    <s v="2021-02-04 13:17:00"/>
    <s v="Gasto"/>
    <s v="Con Compromiso"/>
    <s v="0500"/>
    <x v="20"/>
    <x v="1"/>
    <s v="ADQUISICIÓN DE BIENES Y SERVICIOS - SERVICIO DE INFORMACIÓN CATASTRAL - ACTUALIZACIÓN  Y GESTIÓN CATASTRAL  NACIONAL"/>
    <s v="Nación"/>
    <x v="0"/>
    <s v="CSF"/>
    <n v="44901801"/>
    <n v="0"/>
    <n v="44901801"/>
    <n v="0"/>
    <s v="Prestación de servicios personales para realizar actividades de digitalización de información catastral en los procesos catastrales en la Dirección Territorial Tolima segun Paa Aprobado 03-02-2021"/>
    <s v="1021"/>
    <s v="2621, 2721"/>
    <s v="1321, 1421"/>
    <s v="9721, 9821, 16521, 16621, 23821, 23921, 26721, 26821, 30121, 30221, 34621, 34721, 39921, 40021"/>
    <s v="48727921, 48728921, 64652221, 64655121, 91391721, 91398221, 122586221, 122587921, 146786821, 146788721, 175318621, 175333121, 213768321, 213771521"/>
    <s v="-0"/>
    <x v="0"/>
    <x v="1"/>
  </r>
  <r>
    <s v="1121"/>
    <s v="2021-02-04 00:00:00"/>
    <s v="2021-02-04 16:27:00"/>
    <s v="Gasto"/>
    <s v="Con Compromiso"/>
    <s v="0500"/>
    <x v="20"/>
    <x v="1"/>
    <s v="ADQUISICIÓN DE BIENES Y SERVICIOS - SERVICIO DE INFORMACIÓN CATASTRAL - ACTUALIZACIÓN  Y GESTIÓN CATASTRAL  NACIONAL"/>
    <s v="Nación"/>
    <x v="0"/>
    <s v="CSF"/>
    <n v="28891500"/>
    <n v="0"/>
    <n v="28891500"/>
    <n v="0"/>
    <s v="Prestación de servicios personales para adelantar actividades de reconocimiento predial urbano y rural, en atención a los requerimientos administrativos y judiciales del proceso de restitución de tierras en la Dirección Territorial Tolima segun Paa A"/>
    <s v="1121"/>
    <s v="3621"/>
    <s v="6321"/>
    <s v="17721, 23521, 27421, 30821, 37521, 41221"/>
    <s v="66304021, 91385021, 122568921, 146810221, 183080921, 218361921"/>
    <s v="-0"/>
    <x v="0"/>
    <x v="1"/>
  </r>
  <r>
    <s v="1221"/>
    <s v="2021-02-04 00:00:00"/>
    <s v="2021-02-04 16:45:00"/>
    <s v="Gasto"/>
    <s v="Con Compromiso"/>
    <s v="0500"/>
    <x v="20"/>
    <x v="1"/>
    <s v="ADQUISICIÓN DE BIENES Y SERVICIOS - SERVICIO DE INFORMACIÓN CATASTRAL - ACTUALIZACIÓN  Y GESTIÓN CATASTRAL  NACIONAL"/>
    <s v="Nación"/>
    <x v="0"/>
    <s v="CSF"/>
    <n v="17636219"/>
    <n v="0"/>
    <n v="17636219"/>
    <n v="0"/>
    <s v="Prestación de servicios personales para el seguimiento a las solicitudes realizadas en el marco de la politica integral de reparación a victimas en la Dirección Territorial Tolima según CI192 y Paa Aprobado 03-02-2021"/>
    <s v="1221"/>
    <s v="3421"/>
    <s v="6621"/>
    <s v="19321, 23021, 28121, 31021, 38021, 40621"/>
    <s v="66313621, 91377621, 122662421, 146811221, 183087721, 218336921"/>
    <s v="-0"/>
    <x v="0"/>
    <x v="1"/>
  </r>
  <r>
    <s v="1321"/>
    <s v="2021-02-04 00:00:00"/>
    <s v="2021-02-04 16:51:00"/>
    <s v="Gasto"/>
    <s v="Con Compromiso"/>
    <s v="0510"/>
    <x v="20"/>
    <x v="16"/>
    <s v="ADQUISICIÓN DE BIENES Y SERVICIOS - SERVICIO DE AVALÚOS - ACTUALIZACIÓN  Y GESTIÓN CATASTRAL  NACIONAL"/>
    <s v="Propios"/>
    <x v="1"/>
    <s v="CSF"/>
    <n v="36402360"/>
    <n v="0"/>
    <n v="36402360"/>
    <n v="0"/>
    <s v="Prestación de servicios profesionales para realizar el control de calidad a los infomes de avaluos comerciales, así como realizar avaluos a bienes inmuebles urbanos y rurales en todo el país segun Paa aprobado el 03-02-2021"/>
    <s v="1321"/>
    <s v="3221"/>
    <s v="6521"/>
    <s v="19221, 23621, 28221, 30921, 38121, 41321"/>
    <s v="66309221, 91388821, 122667721, 146785121, 183090421, 218363821"/>
    <s v="-0"/>
    <x v="0"/>
    <x v="6"/>
  </r>
  <r>
    <s v="1421"/>
    <s v="2021-02-04 00:00:00"/>
    <s v="2021-02-04 17:12:00"/>
    <s v="Gasto"/>
    <s v="Con Compromiso"/>
    <s v="0500"/>
    <x v="20"/>
    <x v="1"/>
    <s v="ADQUISICIÓN DE BIENES Y SERVICIOS - SERVICIO DE INFORMACIÓN CATASTRAL - ACTUALIZACIÓN  Y GESTIÓN CATASTRAL  NACIONAL"/>
    <s v="Nación"/>
    <x v="0"/>
    <s v="CSF"/>
    <n v="20573191"/>
    <n v="0"/>
    <n v="20573191"/>
    <n v="0"/>
    <s v="Prestación de servicios profesionales para gestionar desde el componente juridico las actividades de los procesos catastrales en la Dirección Territorial Tolima Segun Paa Aprobado"/>
    <s v="1421"/>
    <s v="3821"/>
    <s v="7921"/>
    <s v="19621, 24221, 40221"/>
    <s v="75259121, 110454821, 213786621"/>
    <s v="-0"/>
    <x v="0"/>
    <x v="1"/>
  </r>
  <r>
    <s v="1521"/>
    <s v="2021-02-08 00:00:00"/>
    <s v="2021-02-08 14:39:00"/>
    <s v="Gasto"/>
    <s v="Con Compromiso"/>
    <s v="0500"/>
    <x v="20"/>
    <x v="1"/>
    <s v="ADQUISICIÓN DE BIENES Y SERVICIOS - SERVICIO DE INFORMACIÓN CATASTRAL - ACTUALIZACIÓN  Y GESTIÓN CATASTRAL  NACIONAL"/>
    <s v="Nación"/>
    <x v="0"/>
    <s v="CSF"/>
    <n v="20000000"/>
    <n v="0"/>
    <n v="20000000"/>
    <n v="13039704"/>
    <s v="Viáticos Proceso de Conservación."/>
    <s v="1521"/>
    <s v="2821, 4321, 4721, 5021, 5921, 6621, 6721, 8121, 8221, 8321, 8721, 9221, 9821, 10021, 10521, 11621, 12521, 12621, 12821, 12921"/>
    <s v="3321, 3821, 3921, 4021, 8121, 8921, 9021, 14721, 14821, 14921, 15521, 16521, 18921, 19221, 20321, 24021, 27421, 27521, 27721, 27821"/>
    <s v="11721, 12221, 12321, 12421, 19821, 20421, 20521, 28421, 28521, 28621, 29221, 29721, 33121, 33321, 34121, 38421, 39321, 42821, 42921, 43121, 43221"/>
    <s v="56378621, 56403221, 56407521, 60613921, 76661221, 85861021, 85872121, 124551221, 124552721, 124558521, 136342321, 143531521, 152001721, 159442621, 169243021, 194389921, 208549021, 219780821, 219783721, 227530921, 227537321"/>
    <s v="-0"/>
    <x v="0"/>
    <x v="1"/>
  </r>
  <r>
    <s v="1621"/>
    <s v="2021-02-08 00:00:00"/>
    <s v="2021-02-08 14:50:00"/>
    <s v="Gasto"/>
    <s v="Con Compromiso"/>
    <s v="0500"/>
    <x v="20"/>
    <x v="1"/>
    <s v="ADQUISICIÓN DE BIENES Y SERVICIOS - SERVICIO DE INFORMACIÓN CATASTRAL - ACTUALIZACIÓN  Y GESTIÓN CATASTRAL  NACIONAL"/>
    <s v="Nación"/>
    <x v="0"/>
    <s v="CSF"/>
    <n v="4804142"/>
    <n v="0"/>
    <n v="4804142"/>
    <n v="525055"/>
    <s v="Viaticos politica de tierras y ley de victimas."/>
    <s v="1621"/>
    <s v="2921, 3521, 3921, 4221, 5321, 5721, 6021, 6121, 6521, 8021, 8621, 9121, 10421, 10921, 11221, 11321, 11721, 12221"/>
    <s v="3421, 3521, 3621, 3721, 4421, 6021, 8421, 8521, 8821, 14621, 16421, 20221, 21321, 21521, 21621, 25121, 27321"/>
    <s v="11821, 11921, 12021, 12121, 12821, 17421, 19921, 20021, 20321, 28321, 29621, 34021, 34921, 36421, 36521, 39421, 41421"/>
    <s v="56395921, 56397921, 56399221, 56400721, 61531021, 64676221, 79570221, 79578321, 90256721, 124548221, 146693721, 169241021, 176956821, 179854421, 179856821, 208547821, 218365521"/>
    <s v="121"/>
    <x v="0"/>
    <x v="1"/>
  </r>
  <r>
    <s v="1721"/>
    <s v="2021-02-08 00:00:00"/>
    <s v="2021-02-08 15:38:00"/>
    <s v="Gasto"/>
    <s v="Con Compromiso"/>
    <s v="0510"/>
    <x v="20"/>
    <x v="16"/>
    <s v="ADQUISICIÓN DE BIENES Y SERVICIOS - SERVICIO DE AVALÚOS - ACTUALIZACIÓN  Y GESTIÓN CATASTRAL  NACIONAL"/>
    <s v="Propios"/>
    <x v="1"/>
    <s v="CSF"/>
    <n v="3597640"/>
    <n v="3000000"/>
    <n v="6597640"/>
    <n v="3421670"/>
    <s v="gastos de manutención, alojamiento y transporte de los contratistas del proyecto de avalúos según e-mail 08-02-2021 Direccion Territorial"/>
    <s v="1721"/>
    <s v="5421, 7021, 7321, 8421, 9021, 10121, 10621, 11521"/>
    <s v="6421, 9421, 12421, 15021, 16321, 20121, 20621, 23921"/>
    <s v="19121, 20821, 24521, 28721, 29521, 33921, 34321, 38321"/>
    <s v="66307121, 90259621, 114326121, 124584021, 140707521, 167121421, 170879021, 196171021"/>
    <s v="-0"/>
    <x v="0"/>
    <x v="6"/>
  </r>
  <r>
    <s v="2821"/>
    <s v="2021-04-14 00:00:00"/>
    <s v="2021-04-14 11:35:00"/>
    <s v="Gasto"/>
    <s v="Con Compromiso"/>
    <s v="0500"/>
    <x v="20"/>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821"/>
    <s v="11421"/>
    <s v="27621"/>
    <s v="43021"/>
    <s v="219786821"/>
    <s v="-0"/>
    <x v="0"/>
    <x v="1"/>
  </r>
  <r>
    <s v="3921"/>
    <s v="2021-07-29 00:00:00"/>
    <s v="2021-07-29 08:12:00"/>
    <s v="Gasto"/>
    <s v="Generado"/>
    <s v="0200"/>
    <x v="20"/>
    <x v="19"/>
    <s v="ADQUISICIÓN DE BIENES Y SERVICIOS - SEDES MANTENIDAS - FORTALECIMIENTO DE LA INFRAESTRUCTURA FÍSICA DEL IGAC A NIVEL  NACIONAL"/>
    <s v="Nación"/>
    <x v="0"/>
    <s v="CSF"/>
    <n v="1500000"/>
    <n v="0"/>
    <n v="1500000"/>
    <n v="1500000"/>
    <s v="Prestación de servicios para el control de plagas y lavado de tanques en la DT Tolima."/>
    <s v="3921"/>
    <s v="-0"/>
    <s v="-0"/>
    <s v="-0"/>
    <s v="-0"/>
    <s v="-0"/>
    <x v="0"/>
    <x v="0"/>
  </r>
  <r>
    <s v="4021"/>
    <s v="2021-08-18 00:00:00"/>
    <s v="2021-08-18 16:08:00"/>
    <s v="Gasto"/>
    <s v="Con Compromiso"/>
    <s v="0500"/>
    <x v="20"/>
    <x v="1"/>
    <s v="ADQUISICIÓN DE BIENES Y SERVICIOS - SERVICIO DE INFORMACIÓN CATASTRAL - ACTUALIZACIÓN  Y GESTIÓN CATASTRAL  NACIONAL"/>
    <s v="Propios"/>
    <x v="1"/>
    <s v="CSF"/>
    <n v="56650000"/>
    <n v="0"/>
    <n v="56650000"/>
    <n v="33990000"/>
    <s v="Prestación de servicios personales para realizar actividades de reconocimiento predial urbano y rural de los trámites en el proceso de titulación y conservación catastral en la Dirección Territorial Tolima."/>
    <s v="4021"/>
    <s v="12721, 13021"/>
    <s v="-0"/>
    <s v="-0"/>
    <s v="-0"/>
    <s v="-0"/>
    <x v="0"/>
    <x v="1"/>
  </r>
  <r>
    <s v="4121"/>
    <s v="2021-08-18 00:00:00"/>
    <s v="2021-08-18 16:10:00"/>
    <s v="Gasto"/>
    <s v="Generado"/>
    <s v="0500"/>
    <x v="20"/>
    <x v="1"/>
    <s v="ADQUISICIÓN DE BIENES Y SERVICIOS - SERVICIO DE INFORMACIÓN CATASTRAL - ACTUALIZACIÓN  Y GESTIÓN CATASTRAL  NACIONAL"/>
    <s v="Propios"/>
    <x v="1"/>
    <s v="CSF"/>
    <n v="8392860"/>
    <n v="0"/>
    <n v="8392860"/>
    <n v="8392860"/>
    <s v="Prestación de servicios técnicos administrativos para realizar actividades de apoyo técnico de los trámites en el proceso de titulación y conservación catastral en la Dirección Territorial Tolima"/>
    <s v="4121"/>
    <s v="-0"/>
    <s v="-0"/>
    <s v="-0"/>
    <s v="-0"/>
    <s v="-0"/>
    <x v="0"/>
    <x v="1"/>
  </r>
  <r>
    <s v="4221"/>
    <s v="2021-08-18 00:00:00"/>
    <s v="2021-08-18 16:27:00"/>
    <s v="Gasto"/>
    <s v="Generado"/>
    <s v="0500"/>
    <x v="20"/>
    <x v="1"/>
    <s v="ADQUISICIÓN DE BIENES Y SERVICIOS - SERVICIO DE INFORMACIÓN CATASTRAL - ACTUALIZACIÓN  Y GESTIÓN CATASTRAL  NACIONAL"/>
    <s v="Propios"/>
    <x v="1"/>
    <s v="CSF"/>
    <n v="13609944"/>
    <n v="0"/>
    <n v="13609944"/>
    <n v="13609944"/>
    <s v="Prestación de servicios personales para realizar actividades de apoyo operativo de los trámites en el proceso de titulación y conservación catastral en la Dirección Territorial Tolima."/>
    <s v="4221"/>
    <s v="-0"/>
    <s v="-0"/>
    <s v="-0"/>
    <s v="-0"/>
    <s v="-0"/>
    <x v="0"/>
    <x v="1"/>
  </r>
  <r>
    <s v="4321"/>
    <s v="2021-08-18 00:00:00"/>
    <s v="2021-08-18 16:29:00"/>
    <s v="Gasto"/>
    <s v="Generado"/>
    <s v="0500"/>
    <x v="20"/>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para la atención de trámites en el proceso de titulación y conservación catastral en la Dirección Territorial Tolima"/>
    <s v="4321"/>
    <s v="-0"/>
    <s v="-0"/>
    <s v="-0"/>
    <s v="-0"/>
    <s v="-0"/>
    <x v="0"/>
    <x v="1"/>
  </r>
  <r>
    <s v="4421"/>
    <s v="2021-08-18 00:00:00"/>
    <s v="2021-08-18 16:30:00"/>
    <s v="Gasto"/>
    <s v="Generado"/>
    <s v="0500"/>
    <x v="20"/>
    <x v="1"/>
    <s v="ADQUISICIÓN DE BIENES Y SERVICIOS - SERVICIO DE INFORMACIÓN CATASTRAL - ACTUALIZACIÓN  Y GESTIÓN CATASTRAL  NACIONAL"/>
    <s v="Propios"/>
    <x v="1"/>
    <s v="CSF"/>
    <n v="8636690"/>
    <n v="0"/>
    <n v="8636690"/>
    <n v="8636690"/>
    <s v="Prestación de servicios profesionales en labores de topografía para la atención de trámites en el proceso de titulación y conservación catastral en la Dirección Territorial Tolima"/>
    <s v="4421"/>
    <s v="-0"/>
    <s v="-0"/>
    <s v="-0"/>
    <s v="-0"/>
    <s v="-0"/>
    <x v="0"/>
    <x v="1"/>
  </r>
  <r>
    <s v="4721"/>
    <s v="2021-09-01 00:00:00"/>
    <s v="2021-09-01 16:56:00"/>
    <s v="Gasto"/>
    <s v="Generado"/>
    <s v="0500"/>
    <x v="20"/>
    <x v="1"/>
    <s v="ADQUISICIÓN DE BIENES Y SERVICIOS - SERVICIO DE INFORMACIÓN CATASTRAL - ACTUALIZACIÓN  Y GESTIÓN CATASTRAL  NACIONAL"/>
    <s v="Propios"/>
    <x v="1"/>
    <s v="CSF"/>
    <n v="24529540"/>
    <n v="0"/>
    <n v="24529540"/>
    <n v="24529540"/>
    <s v="Viáticos proceso de titulación Dirección Territorial Tolima  , contrato interadministrativo 845 suscrito con Ministerio de Hacienda, ciudad y territorio."/>
    <s v="4721"/>
    <s v="-0"/>
    <s v="-0"/>
    <s v="-0"/>
    <s v="-0"/>
    <s v="-0"/>
    <x v="0"/>
    <x v="1"/>
  </r>
  <r>
    <s v="321"/>
    <s v="2021-01-13 00:00:00"/>
    <s v="2021-01-13 17:23:00"/>
    <s v="Gasto"/>
    <s v="Anulado"/>
    <s v="0200"/>
    <x v="21"/>
    <x v="18"/>
    <s v="ADQUISICIÓN DE BIENES Y SERVICIOS - SEDES ADECUADAS - FORTALECIMIENTO DE LA INFRAESTRUCTURA FÍSICA DEL IGAC A NIVEL  NACIONAL"/>
    <s v="Nación"/>
    <x v="0"/>
    <s v="CSF"/>
    <n v="25400000"/>
    <n v="-25400000"/>
    <n v="0"/>
    <n v="0"/>
    <s v="CDP PARA PAGO TRASLADO DE LAS UOC ADSCRITAS A LA TVALLE Y ADECUACIONES UOC PARA ENTREGAR (COSTOS MUDANZA, OPERARIO CARGUE Y DESCARGUE, EMPACADO TABLA MESA, ADECUACIONES UOC)"/>
    <s v="421"/>
    <s v="-0"/>
    <s v="-0"/>
    <s v="-0"/>
    <s v="-0"/>
    <s v="-0"/>
    <x v="0"/>
    <x v="0"/>
  </r>
  <r>
    <s v="421"/>
    <s v="2021-01-13 00:00:00"/>
    <s v="2021-01-13 17:24:00"/>
    <s v="Gasto"/>
    <s v="Con Compromiso"/>
    <s v="0200"/>
    <x v="21"/>
    <x v="18"/>
    <s v="ADQUISICIÓN DE BIENES Y SERVICIOS - SEDES ADECUADAS - FORTALECIMIENTO DE LA INFRAESTRUCTURA FÍSICA DEL IGAC A NIVEL  NACIONAL"/>
    <s v="Nación"/>
    <x v="0"/>
    <s v="CSF"/>
    <n v="25400000"/>
    <n v="0"/>
    <n v="25400000"/>
    <n v="0"/>
    <s v="CDP PARA PAGO TRASLADO DE LAS UOC ADSCRITAS A LA TVALLE Y ADECUACIONES UOC PARA ENTREGAR (COSTOS MUDANZA, OPERARIO CARGUE Y DESCARGUE, EMPACADO TABLA MESA, ADECUACIONES UOC)"/>
    <s v="421"/>
    <s v="721, 821, 921, 1021, 1121, 1221, 1321, 1421, 1621, 1721, 1821, 1921, 2021, 2121, 2221, 2321, 2421, 2521, 2621, 2721, 2821, 2921, 3021, 3121, 3221, 3321, 3421, 3521, 3621, 3821, 3921, 4021, 4121, 4221"/>
    <s v="521, 621, 721, 821, 921, 1021, 1121, 1221, 1321, 1421, 1521, 1621, 1721, 1821, 1921, 2021, 2121, 2221, 2321, 2421, 2521, 2621, 2721, 2821, 2921, 3021, 3121, 3221, 3321"/>
    <s v="6921, 7021, 7121, 8721, 8821, 8921, 9021, 9121, 9221, 9321, 9421, 9521, 9621, 9721, 9821, 9921, 10021, 10121, 10221, 10321, 10421, 10521, 10621, 10721, 10821"/>
    <s v="8321421, 8695121, 8696621, 9002121, 9003721, 9006221, 9007421, 9008421, 9025821, 9027121, 9029621, 9037021, 9044221, 9067721, 9100921, 9349821, 9350921, 9351521, 9351921, 9352121, 9353021, 9427221, 9427721, 9429721, 9430121"/>
    <s v="-0"/>
    <x v="0"/>
    <x v="0"/>
  </r>
  <r>
    <s v="921"/>
    <s v="2021-02-04 00:00:00"/>
    <s v="2021-02-04 14:21:00"/>
    <s v="Gasto"/>
    <s v="Con Compromiso"/>
    <s v="0500"/>
    <x v="21"/>
    <x v="1"/>
    <s v="ADQUISICIÓN DE BIENES Y SERVICIOS - SERVICIO DE INFORMACIÓN CATASTRAL - ACTUALIZACIÓN  Y GESTIÓN CATASTRAL  NACIONAL"/>
    <s v="Nación"/>
    <x v="0"/>
    <s v="CSF"/>
    <n v="20982150"/>
    <n v="0"/>
    <n v="20982150"/>
    <n v="0"/>
    <s v="CDP PARA PRESTACION DE SERVICIOS DE APOYO A LA GESTION DESARROLLADA EN PROCESOS CATASTRALES DE LA TERRITORIAL VALLE"/>
    <s v="921"/>
    <s v="5421"/>
    <s v="9221"/>
    <s v="19921, 26921, 30521, 33521, 35121, 39821, 44221"/>
    <s v="53908221, 68659321, 92551221, 118299321, 145361621, 177212321, 213354221"/>
    <s v="-0"/>
    <x v="0"/>
    <x v="1"/>
  </r>
  <r>
    <s v="1021"/>
    <s v="2021-02-04 00:00:00"/>
    <s v="2021-02-04 14:29:00"/>
    <s v="Gasto"/>
    <s v="Con Compromiso"/>
    <s v="0500"/>
    <x v="21"/>
    <x v="1"/>
    <s v="ADQUISICIÓN DE BIENES Y SERVICIOS - SERVICIO DE INFORMACIÓN CATASTRAL - ACTUALIZACIÓN  Y GESTIÓN CATASTRAL  NACIONAL"/>
    <s v="Nación"/>
    <x v="0"/>
    <s v="CSF"/>
    <n v="36402360"/>
    <n v="0"/>
    <n v="36402360"/>
    <n v="0"/>
    <s v="CDP PARA PRESTACION DE SERVICIOS PROFESIONALES PARA ATENDER DESDE EL COMPONENTE JURIDICO LAS ACTIVIDADES DE LOS PROCESOS CATATRALES EN LA DIRECCION TERRITORIAL VALLE"/>
    <s v="1021"/>
    <s v="5721"/>
    <s v="9321"/>
    <s v="20021, 27621, 31121, 33421, 34921, 39221, 41721, 46621"/>
    <s v="55413921, 76370421, 92964721, 118295821, 138111121, 171553921, 179880421, 215881321"/>
    <s v="-0"/>
    <x v="0"/>
    <x v="1"/>
  </r>
  <r>
    <s v="1121"/>
    <s v="2021-02-04 00:00:00"/>
    <s v="2021-02-04 14:35:00"/>
    <s v="Gasto"/>
    <s v="Con Compromiso"/>
    <s v="0500"/>
    <x v="21"/>
    <x v="1"/>
    <s v="ADQUISICIÓN DE BIENES Y SERVICIOS - SERVICIO DE INFORMACIÓN CATASTRAL - ACTUALIZACIÓN  Y GESTIÓN CATASTRAL  NACIONAL"/>
    <s v="Nación"/>
    <x v="0"/>
    <s v="CSF"/>
    <n v="17012430"/>
    <n v="0"/>
    <n v="17012430"/>
    <n v="0"/>
    <s v="CDP PARA PRESTACION DE SERVICIOS PERSONALES PARA REALIZAR ACTIVIDADES DE APOYO OPERATIVO EN LOS PROCESOS CATASTRALES EN LA  DIRECCION TERRITORIAL VALLE"/>
    <s v="1121"/>
    <s v="5621"/>
    <s v="9021"/>
    <s v="19621, 27021, 30721, 34221, 37021, 40021, 44521"/>
    <s v="53906621, 68658921, 92956521, 129868321, 150434721, 177202621, 213485121"/>
    <s v="-0"/>
    <x v="0"/>
    <x v="1"/>
  </r>
  <r>
    <s v="1221"/>
    <s v="2021-02-04 00:00:00"/>
    <s v="2021-02-04 14:41:00"/>
    <s v="Gasto"/>
    <s v="Con Compromiso"/>
    <s v="0500"/>
    <x v="21"/>
    <x v="1"/>
    <s v="ADQUISICIÓN DE BIENES Y SERVICIOS - SERVICIO DE INFORMACIÓN CATASTRAL - ACTUALIZACIÓN  Y GESTIÓN CATASTRAL  NACIONAL"/>
    <s v="Nación"/>
    <x v="0"/>
    <s v="CSF"/>
    <n v="26714830"/>
    <n v="0"/>
    <n v="26714830"/>
    <n v="0"/>
    <s v="CDP PARA PRESTACION DE SERVICIOS PERSONALES PARA REALIZAR ACTIVIDADES DE DIGITALIZACION Y GENERACION DE PRODUCTOS DE LA INFORMACION CATASTRAL DE LA   DIRECCION TERRITORIAL VALLE DEL CAUCA"/>
    <s v="1221"/>
    <s v="5521"/>
    <s v="9121"/>
    <s v="19721, 26821, 30321, 31821, 35221, 41921, 44421"/>
    <s v="53907721, 68659621, 92544421, 118293521, 145362521, 181664221, 213360421"/>
    <s v="-0"/>
    <x v="0"/>
    <x v="1"/>
  </r>
  <r>
    <s v="1321"/>
    <s v="2021-02-04 00:00:00"/>
    <s v="2021-02-04 15:12:00"/>
    <s v="Gasto"/>
    <s v="Con Compromiso"/>
    <s v="0510"/>
    <x v="21"/>
    <x v="16"/>
    <s v="ADQUISICIÓN DE BIENES Y SERVICIOS - SERVICIO DE AVALÚOS - ACTUALIZACIÓN  Y GESTIÓN CATASTRAL  NACIONAL"/>
    <s v="Propios"/>
    <x v="1"/>
    <s v="CSF"/>
    <n v="36402360"/>
    <n v="-29364570"/>
    <n v="7037790"/>
    <n v="0"/>
    <s v="CDP para Prestación de servicios profesionales para realizar el control de calidad a los informes de avalúos comerciales, así como realizar avalúos a bienes inmuebles urbanos y rurales en todo el país"/>
    <s v="1321"/>
    <s v="5321"/>
    <s v="15521"/>
    <s v="34421, 34521"/>
    <s v="136200021, 137308421"/>
    <s v="-0"/>
    <x v="0"/>
    <x v="6"/>
  </r>
  <r>
    <s v="1421"/>
    <s v="2021-02-04 00:00:00"/>
    <s v="2021-02-04 15:17:00"/>
    <s v="Gasto"/>
    <s v="Con Compromiso"/>
    <s v="0510"/>
    <x v="21"/>
    <x v="16"/>
    <s v="ADQUISICIÓN DE BIENES Y SERVICIOS - SERVICIO DE AVALÚOS - ACTUALIZACIÓN  Y GESTIÓN CATASTRAL  NACIONAL"/>
    <s v="Propios"/>
    <x v="1"/>
    <s v="CSF"/>
    <n v="3597640"/>
    <n v="2669506"/>
    <n v="6267146"/>
    <n v="2391993"/>
    <s v="CDP para Gastos de manutención  alojamiento y transporte para avalúos comerciales"/>
    <s v="1421"/>
    <s v="6521, 6621, 11621, 11721, 11821, 13521, 13621, 13721, 13821"/>
    <s v="4621, 4721, 16921, 17321, 17421, 21021, 21121, 21221, 21321"/>
    <s v="18421, 18521, 37321, 37721, 37821, 42321, 42421, 42521, 42621"/>
    <s v="36991021, 36993921, 152723021, 160465921, 160470121, 185385721, 185386521, 185393121, 189115121"/>
    <s v="-0"/>
    <x v="0"/>
    <x v="6"/>
  </r>
  <r>
    <s v="1521"/>
    <s v="2021-02-04 00:00:00"/>
    <s v="2021-02-04 15:22:00"/>
    <s v="Gasto"/>
    <s v="Con Compromiso"/>
    <s v="0500"/>
    <x v="21"/>
    <x v="1"/>
    <s v="ADQUISICIÓN DE BIENES Y SERVICIOS - SERVICIO DE INFORMACIÓN CATASTRAL - ACTUALIZACIÓN  Y GESTIÓN CATASTRAL  NACIONAL"/>
    <s v="Nación"/>
    <x v="0"/>
    <s v="CSF"/>
    <n v="29121888"/>
    <n v="8979249"/>
    <n v="38101137"/>
    <n v="8979249"/>
    <s v="CDP para Prestación de servicios profesionales para apoyar a la dirección territorial valle del cauca  en los requerimientos del trámite administrativo, judicial y el postfallo del proceso de restitución de tierras en el marco de la ley 1448 de 2011"/>
    <s v="1521"/>
    <s v="5821"/>
    <s v="8921"/>
    <s v="19521, 27121, 30621, 31721, 35321, 39721, 46521"/>
    <s v="53902421, 68658721, 92554721, 118289221, 145363321, 177213421, 215877921"/>
    <s v="-0"/>
    <x v="0"/>
    <x v="1"/>
  </r>
  <r>
    <s v="1621"/>
    <s v="2021-02-04 00:00:00"/>
    <s v="2021-02-04 15:26:00"/>
    <s v="Gasto"/>
    <s v="Generado"/>
    <s v="0500"/>
    <x v="21"/>
    <x v="1"/>
    <s v="ADQUISICIÓN DE BIENES Y SERVICIOS - SERVICIO DE INFORMACIÓN CATASTRAL - ACTUALIZACIÓN  Y GESTIÓN CATASTRAL  NACIONAL"/>
    <s v="Nación"/>
    <x v="0"/>
    <s v="CSF"/>
    <n v="1203112"/>
    <n v="0"/>
    <n v="1203112"/>
    <n v="1203112"/>
    <s v="CDP Gastos de manutención  alojamiento y transporte para procesos  de restitución  de tierras"/>
    <s v="1621"/>
    <s v="6921"/>
    <s v="-0"/>
    <s v="-0"/>
    <s v="-0"/>
    <s v="-0"/>
    <x v="0"/>
    <x v="1"/>
  </r>
  <r>
    <s v="2021"/>
    <s v="2021-02-04 00:00:00"/>
    <s v="2021-02-04 16:42:00"/>
    <s v="Gasto"/>
    <s v="Con Compromiso"/>
    <s v="0500"/>
    <x v="21"/>
    <x v="1"/>
    <s v="ADQUISICIÓN DE BIENES Y SERVICIOS - SERVICIO DE INFORMACIÓN CATASTRAL - ACTUALIZACIÓN  Y GESTIÓN CATASTRAL  NACIONAL"/>
    <s v="Nación"/>
    <x v="0"/>
    <s v="CSF"/>
    <n v="67161122"/>
    <n v="0"/>
    <n v="67161122"/>
    <n v="36676258"/>
    <s v="CDP PARA VIATICOS Y GASTOS DE COMISION PROCESO DE CONSERVACION CATASTRAL"/>
    <s v="2021"/>
    <s v="4921, 5021, 6721, 6821, 7021, 7121, 7221, 7321, 9321, 9421, 9521, 12221, 12321, 12421, 12521, 12621, 12721, 13021, 13221, 14121, 14621, 14721, 14821, 14921, 15021, 15121, 15221, 15321, 15621, 15721, 15821, 15921, 16021, 16121"/>
    <s v="3721, 3821, 8121, 8221, 8321, 8421, 8521, 8621, 12021, 12121, 12221, 17921, 18021, 18121, 18221, 18321, 18421, 18921, 19221, 22421, 22821, 22921, 23021, 23121, 23221, 23321, 23421, 23521, 24821, 24921, 25021, 25121, 25221, 25321"/>
    <s v="11221, 11321, 18721, 18821, 18921, 19021, 19121, 19221, 19321, 28221, 28321, 28421, 38221, 38321, 38421, 38521, 38621, 38721, 38821, 38921, 39121, 39421, 42721, 43121, 43221, 43321, 43421, 43521, 43621, 43721, 43821, 46821, 46921, 47021, 47121, 47221, 47321"/>
    <s v="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
    <s v="121"/>
    <x v="0"/>
    <x v="1"/>
  </r>
  <r>
    <s v="2421"/>
    <s v="2021-03-15 00:00:00"/>
    <s v="2021-03-15 17:56:00"/>
    <s v="Gasto"/>
    <s v="Con Compromiso"/>
    <s v="0300"/>
    <x v="2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42773"/>
    <n v="-95000"/>
    <n v="947773"/>
    <n v="0"/>
    <s v="APOYO DE TRANSPOPRTE PARA COMISION PARA DILIGENCIA DE CAMPO DEL PROCESO DE DESLINDE DE LOS MUNICIPIOS DE VIJES Y YUMBO"/>
    <s v="2421"/>
    <s v="7621"/>
    <s v="9421"/>
    <s v="20121"/>
    <s v="58397721"/>
    <s v="-0"/>
    <x v="0"/>
    <x v="3"/>
  </r>
  <r>
    <s v="2621"/>
    <s v="2021-03-18 00:00:00"/>
    <s v="2021-03-18 09:38:00"/>
    <s v="Gasto"/>
    <s v="Con Compromiso"/>
    <s v="0500"/>
    <x v="21"/>
    <x v="1"/>
    <s v="ADQUISICIÓN DE BIENES Y SERVICIOS - SERVICIO DE INFORMACIÓN CATASTRAL - ACTUALIZACIÓN  Y GESTIÓN CATASTRAL  NACIONAL"/>
    <s v="Propios"/>
    <x v="1"/>
    <s v="CSF"/>
    <n v="17322660"/>
    <n v="0"/>
    <n v="17322660"/>
    <n v="0"/>
    <s v="CDP para llevar a cabo la contratación de Prestación de servicios personales para la realización de los procesos archivísticos en archivos de gestión y archivo central, incluidos en el último plan de compras."/>
    <s v="2621"/>
    <s v="8121, 8221, 8321"/>
    <s v="13121, 13221, 13321"/>
    <s v="30821, 30921, 31021, 33921, 34021, 34321, 37421, 37521, 37621, 39921, 41821, 42121"/>
    <s v="92957721, 92960621, 92962321, 123579721, 123581821, 132762521, 152744821, 158054221, 158055921, 177205521, 179884021, 183123021"/>
    <s v="-0"/>
    <x v="0"/>
    <x v="1"/>
  </r>
  <r>
    <s v="2921"/>
    <s v="2021-04-16 00:00:00"/>
    <s v="2021-04-16 12:05:00"/>
    <s v="Gasto"/>
    <s v="Con Compromiso"/>
    <s v="0500"/>
    <x v="21"/>
    <x v="1"/>
    <s v="ADQUISICIÓN DE BIENES Y SERVICIOS - SERVICIO DE INFORMACIÓN CATASTRAL - ACTUALIZACIÓN  Y GESTIÓN CATASTRAL  NACIONAL"/>
    <s v="Propios"/>
    <x v="1"/>
    <s v="CSF"/>
    <n v="18883935"/>
    <n v="0"/>
    <n v="18883935"/>
    <n v="0"/>
    <s v="CDP PARA CONTRATACION DE PRESTACION DE SERVICIOS PERSONALES PARA APOYAR EL PROCESO DE GESTION DOCUMENTAL PARA LA HABILITACION CATASTRAL DE LA DIRECCION TERRITORIAL VALLE"/>
    <s v="2921"/>
    <s v="10921, 13921, 14021"/>
    <s v="16621, 24021, 24421"/>
    <s v="37221, 39621, 44321, 44621, 46721"/>
    <s v="152747121, 177222621, 213356621, 213504621, 217713821"/>
    <s v="-0"/>
    <x v="0"/>
    <x v="1"/>
  </r>
  <r>
    <s v="3721"/>
    <s v="2021-06-01 00:00:00"/>
    <s v="2021-06-01 08:46:00"/>
    <s v="Gasto"/>
    <s v="Con Compromiso"/>
    <s v="0500"/>
    <x v="21"/>
    <x v="1"/>
    <s v="ADQUISICIÓN DE BIENES Y SERVICIOS - SERVICIO DE INFORMACIÓN CATASTRAL - ACTUALIZACIÓN  Y GESTIÓN CATASTRAL  NACIONAL"/>
    <s v="Propios"/>
    <x v="1"/>
    <s v="CSF"/>
    <n v="6831050"/>
    <n v="0"/>
    <n v="6831050"/>
    <n v="0"/>
    <s v="CDP PARA MANTENIMIENTO PREVENTIVO, CORRECTIVO, SUMINISTRO E INSTALACION DE REPUESTOS DE LOS VEHICULOS DE LA DIRECCION TERRITORIAL VALLE DEL CAUCA"/>
    <s v="3721"/>
    <s v="11921"/>
    <s v="20221"/>
    <s v="42021"/>
    <s v="181663021"/>
    <s v="-0"/>
    <x v="0"/>
    <x v="1"/>
  </r>
  <r>
    <s v="4221"/>
    <s v="2021-07-13 00:00:00"/>
    <s v="2021-07-13 18:55:00"/>
    <s v="Gasto"/>
    <s v="Anulado"/>
    <s v="0200"/>
    <x v="21"/>
    <x v="19"/>
    <s v="ADQUISICIÓN DE BIENES Y SERVICIOS - SEDES MANTENIDAS - FORTALECIMIENTO DE LA INFRAESTRUCTURA FÍSICA DEL IGAC A NIVEL  NACIONAL"/>
    <s v="Nación"/>
    <x v="0"/>
    <s v="CSF"/>
    <n v="700000"/>
    <n v="-700000"/>
    <n v="0"/>
    <n v="0"/>
    <s v="CDP PARA SANEAMIENTO AMBIENTAL LAVADO Y DESINFECCION DE TANQUES DE ALMACENAMIENTO DE AGUA POTABLE Y FUMIGACION DE OFICINAS TVALLE"/>
    <s v="4221"/>
    <s v="-0"/>
    <s v="-0"/>
    <s v="-0"/>
    <s v="-0"/>
    <s v="-0"/>
    <x v="0"/>
    <x v="0"/>
  </r>
  <r>
    <s v="4521"/>
    <s v="2021-07-26 00:00:00"/>
    <s v="2021-07-26 14:52:00"/>
    <s v="Gasto"/>
    <s v="Con Compromiso"/>
    <s v="0200"/>
    <x v="21"/>
    <x v="19"/>
    <s v="ADQUISICIÓN DE BIENES Y SERVICIOS - SEDES MANTENIDAS - FORTALECIMIENTO DE LA INFRAESTRUCTURA FÍSICA DEL IGAC A NIVEL  NACIONAL"/>
    <s v="Nación"/>
    <x v="0"/>
    <s v="CSF"/>
    <n v="700000"/>
    <n v="0"/>
    <n v="700000"/>
    <n v="250000"/>
    <s v="CDP PARA CONTROL INTEGRADO DE PLAGAS"/>
    <s v="4621"/>
    <s v="14521"/>
    <s v="-0"/>
    <s v="-0"/>
    <s v="-0"/>
    <s v="-0"/>
    <x v="0"/>
    <x v="0"/>
  </r>
  <r>
    <s v="821"/>
    <s v="2021-02-19 00:00:00"/>
    <s v="2021-02-19 20:27:00"/>
    <s v="Gasto"/>
    <s v="Con Compromiso"/>
    <s v="0500"/>
    <x v="22"/>
    <x v="1"/>
    <s v="ADQUISICIÓN DE BIENES Y SERVICIOS - SERVICIO DE INFORMACIÓN CATASTRAL - ACTUALIZACIÓN  Y GESTIÓN CATASTRAL  NACIONAL"/>
    <s v="Nación"/>
    <x v="0"/>
    <s v="CSF"/>
    <n v="170124300"/>
    <n v="0"/>
    <n v="170124300"/>
    <n v="55573938"/>
    <s v="ACTIVIDADES  DE APOYO OPERATIVO"/>
    <s v="821"/>
    <s v="2221, 2521, 2621, 2721, 4421, 4521, 4621, 4721, 5921, 6021, 7221, 7421, 10121"/>
    <s v="1421, 1521, 1621, 1921, 4521, 4721, 6021, 6321, 10821, 11521, 16221, 16321, 22221"/>
    <s v="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
    <s v="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
    <s v="-0"/>
    <x v="0"/>
    <x v="1"/>
  </r>
  <r>
    <s v="921"/>
    <s v="2021-02-19 00:00:00"/>
    <s v="2021-02-19 21:18:00"/>
    <s v="Gasto"/>
    <s v="Con Compromiso"/>
    <s v="0500"/>
    <x v="22"/>
    <x v="1"/>
    <s v="ADQUISICIÓN DE BIENES Y SERVICIOS - SERVICIO DE INFORMACIÓN CATASTRAL - ACTUALIZACIÓN  Y GESTIÓN CATASTRAL  NACIONAL"/>
    <s v="Nación"/>
    <x v="0"/>
    <s v="CSF"/>
    <n v="100714320"/>
    <n v="0"/>
    <n v="100714320"/>
    <n v="27276795"/>
    <s v="PRESTACION DE SERVICIOS PERSONALES PARA REALIZAR ACTIVIDADES COMO TECNICOS DE APOYO"/>
    <s v="921"/>
    <s v="1121, 1221, 1721, 2021, 2321, 9321"/>
    <s v="1221, 1721, 2121, 2221, 8021, 21721"/>
    <s v="20721, 21121, 21521, 21621, 25521, 26721, 27221, 27421, 28021, 30821, 30921, 31121, 33121, 33821, 36621, 38221, 38921, 39221, 39521, 40521, 40821, 41921, 45121, 45621, 47321, 47421, 47621, 49121, 49421"/>
    <s v="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
    <s v="-0"/>
    <x v="0"/>
    <x v="1"/>
  </r>
  <r>
    <s v="1021"/>
    <s v="2021-02-19 00:00:00"/>
    <s v="2021-02-19 21:20:00"/>
    <s v="Gasto"/>
    <s v="Con Compromiso"/>
    <s v="0500"/>
    <x v="22"/>
    <x v="1"/>
    <s v="ADQUISICIÓN DE BIENES Y SERVICIOS - SERVICIO DE INFORMACIÓN CATASTRAL - ACTUALIZACIÓN  Y GESTIÓN CATASTRAL  NACIONAL"/>
    <s v="Nación"/>
    <x v="0"/>
    <s v="CSF"/>
    <n v="283250000"/>
    <n v="-10700000"/>
    <n v="272550000"/>
    <n v="85605000"/>
    <s v="PRESTACION DE SERVICIOS PERSONALES PARA REALIZAR ACTIVIDADES DE RECONOCIMIENTO PREDIAL"/>
    <s v="1021"/>
    <s v="3021, 3121, 3221, 3321, 3421, 3521, 3621, 3721, 3821, 3921, 9521, 9621"/>
    <s v="4321, 4421, 4621, 5021, 5521, 5621, 7321, 7521, 7721, 8121, 22521, 22621"/>
    <s v="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
    <s v="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
    <s v="-0"/>
    <x v="0"/>
    <x v="1"/>
  </r>
  <r>
    <s v="1121"/>
    <s v="2021-02-19 00:00:00"/>
    <s v="2021-02-19 21:24:00"/>
    <s v="Gasto"/>
    <s v="Con Compromiso"/>
    <s v="0500"/>
    <x v="22"/>
    <x v="1"/>
    <s v="ADQUISICIÓN DE BIENES Y SERVICIOS - SERVICIO DE INFORMACIÓN CATASTRAL - ACTUALIZACIÓN  Y GESTIÓN CATASTRAL  NACIONAL"/>
    <s v="Nación"/>
    <x v="0"/>
    <s v="CSF"/>
    <n v="25492500"/>
    <n v="0"/>
    <n v="25492500"/>
    <n v="8497500"/>
    <s v="PRESTACION DE SERVICIOS PERSONALES PARA REALIZAR ACTIVIDADESDE RECONOCIMIENTO CAVIDA Y LINDEROS"/>
    <s v="1121"/>
    <s v="1421"/>
    <s v="1321"/>
    <s v="20821, 27021, 30721, 37421, 41621, 49021"/>
    <s v="70360721, 99463021, 119231021, 146886521, 176945821, 215261421"/>
    <s v="-0"/>
    <x v="0"/>
    <x v="1"/>
  </r>
  <r>
    <s v="1221"/>
    <s v="2021-02-19 00:00:00"/>
    <s v="2021-02-19 21:26:00"/>
    <s v="Gasto"/>
    <s v="Con Compromiso"/>
    <s v="0500"/>
    <x v="22"/>
    <x v="1"/>
    <s v="ADQUISICIÓN DE BIENES Y SERVICIOS - SERVICIO DE INFORMACIÓN CATASTRAL - ACTUALIZACIÓN  Y GESTIÓN CATASTRAL  NACIONAL"/>
    <s v="Nación"/>
    <x v="0"/>
    <s v="CSF"/>
    <n v="37400762"/>
    <n v="10700000"/>
    <n v="48100762"/>
    <n v="16042968"/>
    <s v="PRESTACION DE SERVICIOS PERSONALES PARA REALIZAR ACTIVIDADES DE DIGITALIZACION"/>
    <s v="1221"/>
    <s v="2121, 2821"/>
    <s v="1121, 7921"/>
    <s v="20521, 20621, 25621, 26521, 27521, 31521, 31621, 36721, 38721, 41721, 42121, 50021, 50221"/>
    <s v="70423521, 96003921, 99439621, 99529221, 120718321, 120722021, 146446821, 147733121, 176884021, 180466421, 216579621, 216920921"/>
    <s v="-0"/>
    <x v="0"/>
    <x v="1"/>
  </r>
  <r>
    <s v="1321"/>
    <s v="2021-02-19 00:00:00"/>
    <s v="2021-02-19 21:30:00"/>
    <s v="Gasto"/>
    <s v="Con Compromiso"/>
    <s v="0500"/>
    <x v="22"/>
    <x v="1"/>
    <s v="ADQUISICIÓN DE BIENES Y SERVICIOS - SERVICIO DE INFORMACIÓN CATASTRAL - ACTUALIZACIÓN  Y GESTIÓN CATASTRAL  NACIONAL"/>
    <s v="Nación"/>
    <x v="0"/>
    <s v="CSF"/>
    <n v="18700381"/>
    <n v="0"/>
    <n v="18700381"/>
    <n v="2671483"/>
    <s v="E SERVICIOS PROFESIONALES EN LA VERIFICACION DE LEVANTAM. TOPOGRAFICOS"/>
    <s v="1321"/>
    <s v="7321"/>
    <s v="23721"/>
    <s v="45321, 50521, 50621"/>
    <s v="183934221, 218682621, 218683221"/>
    <s v="-0"/>
    <x v="0"/>
    <x v="1"/>
  </r>
  <r>
    <s v="1421"/>
    <s v="2021-02-19 00:00:00"/>
    <s v="2021-02-19 21:32:00"/>
    <s v="Gasto"/>
    <s v="Con Compromiso"/>
    <s v="0500"/>
    <x v="22"/>
    <x v="1"/>
    <s v="ADQUISICIÓN DE BIENES Y SERVICIOS - SERVICIO DE INFORMACIÓN CATASTRAL - ACTUALIZACIÓN  Y GESTIÓN CATASTRAL  NACIONAL"/>
    <s v="Nación"/>
    <x v="0"/>
    <s v="CSF"/>
    <n v="72100000"/>
    <n v="0"/>
    <n v="72100000"/>
    <n v="28840000"/>
    <s v="PRESTACION DE SERVICIOS PERSONALES PARA REALIZAR ACTIVIDADES DE CONTRO A LOS TRAMITES DEL PROCESO DE CONCERV."/>
    <s v="1421"/>
    <s v="1521, 1621"/>
    <s v="1821, 2021"/>
    <s v="21221, 21421, 26821, 27921, 33621, 33721, 38321, 39121, 44121, 44421, 49621, 49721"/>
    <s v="70310421, 70319821, 99472721, 101567221, 129040321, 129079921, 146908721, 150553921, 180435121, 180547721, 216420621, 216428921"/>
    <s v="-0"/>
    <x v="0"/>
    <x v="1"/>
  </r>
  <r>
    <s v="1521"/>
    <s v="2021-02-19 00:00:00"/>
    <s v="2021-02-19 21:37:00"/>
    <s v="Gasto"/>
    <s v="Con Compromiso"/>
    <s v="0500"/>
    <x v="22"/>
    <x v="1"/>
    <s v="ADQUISICIÓN DE BIENES Y SERVICIOS - SERVICIO DE INFORMACIÓN CATASTRAL - ACTUALIZACIÓN  Y GESTIÓN CATASTRAL  NACIONAL"/>
    <s v="Nación"/>
    <x v="0"/>
    <s v="CSF"/>
    <n v="31247320"/>
    <n v="0"/>
    <n v="31247320"/>
    <n v="3124732"/>
    <s v="SERVICIOS PROFESIONALES PARA REALIZAR PROCESOS DE PLANEACIONY SEGIMIENTOAL PLAN DE ACCION DE LA DIRECCION TERRITORIAL"/>
    <s v="1521"/>
    <s v="1321"/>
    <s v="1021"/>
    <s v="20421, 25721, 32221, 38821, 45521, 50121"/>
    <s v="70416721, 96008621, 120727121, 147747621, 184137421, 216601221"/>
    <s v="-0"/>
    <x v="0"/>
    <x v="1"/>
  </r>
  <r>
    <s v="1621"/>
    <s v="2021-02-19 00:00:00"/>
    <s v="2021-02-19 21:40:00"/>
    <s v="Gasto"/>
    <s v="Con Compromiso"/>
    <s v="0500"/>
    <x v="22"/>
    <x v="1"/>
    <s v="ADQUISICIÓN DE BIENES Y SERVICIOS - SERVICIO DE INFORMACIÓN CATASTRAL - ACTUALIZACIÓN  Y GESTIÓN CATASTRAL  NACIONAL"/>
    <s v="Nación"/>
    <x v="0"/>
    <s v="CSF"/>
    <n v="53662581"/>
    <n v="0"/>
    <n v="53662581"/>
    <n v="44598196"/>
    <s v="VIATICOS Y GASTOS DE COMISION FUNCIONARIOS T.C"/>
    <s v="1621"/>
    <s v="921, 1021, 2421, 2921, 4821, 4921, 5021, 5121, 5521, 5621, 5721, 5821, 6421, 6521, 6821, 6921, 7021, 7721, 7821, 7921, 8021, 8121, 8221, 8321, 8421, 8621, 8721, 8821, 8921, 9021, 9121, 9721, 9821, 9921, 10021, 11921, 12521, 12621"/>
    <s v="221, 321, 621, 721, 2421, 2521, 2921, 3021, 3221, 3621, 3721, 3821, 5421, 5721, 9021, 9121, 9221, 10121, 10321, 10421, 10521, 11621, 11721, 11821, 11921, 14421, 14521, 14621, 14821, 14921, 15021, 19021, 19121, 19221, 19521, 20121, 23121, 23221"/>
    <s v="13321, 13421, 13521, 13621, 21821, 21921, 22121, 22221, 22621, 22821, 22921, 23021, 25821, 26121, 28421, 28521, 28621, 31021, 31221, 31321, 31421, 32521, 32621, 32721, 32821, 34421, 34521, 34621, 34721, 34821, 34921, 39621, 39721, 39821, 40121, 40321, 44721, 44821"/>
    <s v="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
    <s v="121, 221, 321, 421, 521"/>
    <x v="0"/>
    <x v="1"/>
  </r>
  <r>
    <s v="1721"/>
    <s v="2021-02-19 00:00:00"/>
    <s v="2021-02-19 21:43:00"/>
    <s v="Gasto"/>
    <s v="Generado"/>
    <s v="0500"/>
    <x v="22"/>
    <x v="1"/>
    <s v="ADQUISICIÓN DE BIENES Y SERVICIOS - SERVICIO DE INFORMACIÓN CATASTRAL - ACTUALIZACIÓN  Y GESTIÓN CATASTRAL  NACIONAL"/>
    <s v="Nación"/>
    <x v="0"/>
    <s v="CSF"/>
    <n v="2000000"/>
    <n v="0"/>
    <n v="2000000"/>
    <n v="2000000"/>
    <s v="VIATICOS Y GASTOS DE COMISIONPARA TIERRAS"/>
    <s v="1721"/>
    <s v="-0"/>
    <s v="-0"/>
    <s v="-0"/>
    <s v="-0"/>
    <s v="-0"/>
    <x v="0"/>
    <x v="1"/>
  </r>
  <r>
    <s v="1821"/>
    <s v="2021-02-19 00:00:00"/>
    <s v="2021-02-19 21:45:00"/>
    <s v="Gasto"/>
    <s v="Con Compromiso"/>
    <s v="0510"/>
    <x v="22"/>
    <x v="16"/>
    <s v="ADQUISICIÓN DE BIENES Y SERVICIOS - SERVICIO DE AVALÚOS - ACTUALIZACIÓN  Y GESTIÓN CATASTRAL  NACIONAL"/>
    <s v="Propios"/>
    <x v="1"/>
    <s v="CSF"/>
    <n v="40000000"/>
    <n v="0"/>
    <n v="40000000"/>
    <n v="0"/>
    <s v="PRESTACION DE SERVICIOS PROFESIONALES PARA REALIZAR AVALUOS COMERCIALES"/>
    <s v="1821"/>
    <s v="6721, 7521"/>
    <s v="-0"/>
    <s v="-0"/>
    <s v="-0"/>
    <s v="-0"/>
    <x v="0"/>
    <x v="6"/>
  </r>
  <r>
    <s v="2221"/>
    <s v="2021-03-29 00:00:00"/>
    <s v="2021-03-29 17:04:00"/>
    <s v="Gasto"/>
    <s v="Con Compromiso"/>
    <s v="0500"/>
    <x v="22"/>
    <x v="1"/>
    <s v="ADQUISICIÓN DE BIENES Y SERVICIOS - SERVICIO DE INFORMACIÓN CATASTRAL - ACTUALIZACIÓN  Y GESTIÓN CATASTRAL  NACIONAL"/>
    <s v="Propios"/>
    <x v="1"/>
    <s v="CSF"/>
    <n v="5774220"/>
    <n v="0"/>
    <n v="5774220"/>
    <n v="25017"/>
    <s v="PARA CONTRATACION MANEJO ARCHIVO"/>
    <s v="2221"/>
    <s v="5421"/>
    <s v="4921"/>
    <s v="25421, 32321, 37521, 40221"/>
    <s v="92681521, 120895321, 146888321, 167530921"/>
    <s v="-0"/>
    <x v="0"/>
    <x v="1"/>
  </r>
  <r>
    <s v="3021"/>
    <s v="2021-06-25 00:00:00"/>
    <s v="2021-06-25 10:12:00"/>
    <s v="Gasto"/>
    <s v="Generado"/>
    <s v="0500"/>
    <x v="22"/>
    <x v="1"/>
    <s v="ADQUISICIÓN DE BIENES Y SERVICIOS - SERVICIO DE INFORMACIÓN CATASTRAL - ACTUALIZACIÓN  Y GESTIÓN CATASTRAL  NACIONAL"/>
    <s v="Propios"/>
    <x v="1"/>
    <s v="CSF"/>
    <n v="631687974"/>
    <n v="-631687974"/>
    <n v="0"/>
    <n v="0"/>
    <s v="CONTRATACION CONVENIO RICAURTE"/>
    <s v="3021"/>
    <s v="-0"/>
    <s v="-0"/>
    <s v="-0"/>
    <s v="-0"/>
    <s v="-0"/>
    <x v="0"/>
    <x v="1"/>
  </r>
  <r>
    <s v="3121"/>
    <s v="2021-06-25 00:00:00"/>
    <s v="2021-06-25 14:57:00"/>
    <s v="Gasto"/>
    <s v="Con Compromiso"/>
    <s v="0500"/>
    <x v="22"/>
    <x v="1"/>
    <s v="ADQUISICIÓN DE BIENES Y SERVICIOS - SERVICIO DE INFORMACIÓN CATASTRAL - ACTUALIZACIÓN  Y GESTIÓN CATASTRAL  NACIONAL"/>
    <s v="Propios"/>
    <x v="1"/>
    <s v="CSF"/>
    <n v="48086694"/>
    <n v="0"/>
    <n v="48086694"/>
    <n v="1335741"/>
    <s v="Prestación de servicios para realizar actividades de digitalización y generación de productos resultantes del proceso de actualización catastral del municipio de Ricaurte- Territorial Cundinamarca."/>
    <s v="3121"/>
    <s v="10821, 11321, 12721"/>
    <s v="-0"/>
    <s v="-0"/>
    <s v="-0"/>
    <s v="-0"/>
    <x v="0"/>
    <x v="1"/>
  </r>
  <r>
    <s v="3221"/>
    <s v="2021-06-25 00:00:00"/>
    <s v="2021-06-25 15:03:00"/>
    <s v="Gasto"/>
    <s v="Con Compromiso"/>
    <s v="0500"/>
    <x v="22"/>
    <x v="1"/>
    <s v="ADQUISICIÓN DE BIENES Y SERVICIOS - SERVICIO DE INFORMACIÓN CATASTRAL - ACTUALIZACIÓN  Y GESTIÓN CATASTRAL  NACIONAL"/>
    <s v="Propios"/>
    <x v="1"/>
    <s v="CSF"/>
    <n v="86520000"/>
    <n v="0"/>
    <n v="86520000"/>
    <n v="24153501"/>
    <s v="Prestación de servicios técnicos de apoyo al seguimiento, planeación y gestión del reconocimiento predial en el proceso de actualizacion catastral del municipio de Ricaurte – Territorial  Cundinamarca."/>
    <s v="3221"/>
    <s v="10921, 11521, 11621"/>
    <s v="-0"/>
    <s v="-0"/>
    <s v="-0"/>
    <s v="-0"/>
    <x v="0"/>
    <x v="1"/>
  </r>
  <r>
    <s v="3321"/>
    <s v="2021-06-25 00:00:00"/>
    <s v="2021-06-25 15:07:00"/>
    <s v="Gasto"/>
    <s v="Con Compromiso"/>
    <s v="0500"/>
    <x v="22"/>
    <x v="1"/>
    <s v="ADQUISICIÓN DE BIENES Y SERVICIOS - SERVICIO DE INFORMACIÓN CATASTRAL - ACTUALIZACIÓN  Y GESTIÓN CATASTRAL  NACIONAL"/>
    <s v="Propios"/>
    <x v="1"/>
    <s v="CSF"/>
    <n v="224980704"/>
    <n v="0"/>
    <n v="224980704"/>
    <n v="8957569"/>
    <s v="Prestación de servicios para realizar actividades de reconocimiento predial en el proceso de Actualización Catastral del municipio de Ricaurte -  Territorial Cundinamarca.-"/>
    <s v="3321"/>
    <s v="10221, 10321, 10421, 10521, 10621, 10721, 11221, 11421, 12021, 12821, 12921, 13021"/>
    <s v="-0"/>
    <s v="-0"/>
    <s v="-0"/>
    <s v="-0"/>
    <x v="0"/>
    <x v="1"/>
  </r>
  <r>
    <s v="3421"/>
    <s v="2021-06-25 00:00:00"/>
    <s v="2021-06-25 15:13:00"/>
    <s v="Gasto"/>
    <s v="Con Compromiso"/>
    <s v="0500"/>
    <x v="22"/>
    <x v="1"/>
    <s v="ADQUISICIÓN DE BIENES Y SERVICIOS - SERVICIO DE INFORMACIÓN CATASTRAL - ACTUALIZACIÓN  Y GESTIÓN CATASTRAL  NACIONAL"/>
    <s v="Propios"/>
    <x v="1"/>
    <s v="CSF"/>
    <n v="33540000"/>
    <n v="0"/>
    <n v="33540000"/>
    <n v="8205711"/>
    <s v="Prestación de servicios para realizar el control calidad de los productos geográficos, alfanuméricos y documentales generados en el  proceso de actualización catastral del municipio de Ricaurte- Territorial Cundinamarca"/>
    <s v="3421"/>
    <s v="13221"/>
    <s v="-0"/>
    <s v="-0"/>
    <s v="-0"/>
    <s v="-0"/>
    <x v="0"/>
    <x v="1"/>
  </r>
  <r>
    <s v="3521"/>
    <s v="2021-06-25 00:00:00"/>
    <s v="2021-06-25 15:23:00"/>
    <s v="Gasto"/>
    <s v="Con Compromiso"/>
    <s v="0500"/>
    <x v="22"/>
    <x v="1"/>
    <s v="ADQUISICIÓN DE BIENES Y SERVICIOS - SERVICIO DE INFORMACIÓN CATASTRAL - ACTUALIZACIÓN  Y GESTIÓN CATASTRAL  NACIONAL"/>
    <s v="Propios"/>
    <x v="1"/>
    <s v="CSF"/>
    <n v="59717088"/>
    <n v="0"/>
    <n v="59717088"/>
    <n v="4312902"/>
    <s v="Prestacion de servicios personales para realizar las ediciones, depuración, y consolidación de los productos cartográficos para los componentes Geográficos del proceso de actualización catasrtal del Municipio de Ricaurte-Territorial Cundinamarca"/>
    <s v="3521"/>
    <s v="11721, 12121"/>
    <s v="-0"/>
    <s v="-0"/>
    <s v="-0"/>
    <s v="-0"/>
    <x v="0"/>
    <x v="1"/>
  </r>
  <r>
    <s v="3621"/>
    <s v="2021-06-25 00:00:00"/>
    <s v="2021-06-25 15:36:00"/>
    <s v="Gasto"/>
    <s v="Con Compromiso"/>
    <s v="0500"/>
    <x v="22"/>
    <x v="1"/>
    <s v="ADQUISICIÓN DE BIENES Y SERVICIOS - SERVICIO DE INFORMACIÓN CATASTRAL - ACTUALIZACIÓN  Y GESTIÓN CATASTRAL  NACIONAL"/>
    <s v="Propios"/>
    <x v="1"/>
    <s v="CSF"/>
    <n v="21841416"/>
    <n v="0"/>
    <n v="21841416"/>
    <n v="1334753"/>
    <s v="Prestación de servicios profesionales para realizar las socializaciones requeridas en el proceso de actualización catastral del municipio de Ricaurte- Territorial Cundinamarca"/>
    <s v="3621"/>
    <s v="11821"/>
    <s v="-0"/>
    <s v="-0"/>
    <s v="-0"/>
    <s v="-0"/>
    <x v="0"/>
    <x v="1"/>
  </r>
  <r>
    <s v="3721"/>
    <s v="2021-06-25 00:00:00"/>
    <s v="2021-06-25 15:44:00"/>
    <s v="Gasto"/>
    <s v="Con Compromiso"/>
    <s v="0500"/>
    <x v="22"/>
    <x v="1"/>
    <s v="ADQUISICIÓN DE BIENES Y SERVICIOS - SERVICIO DE INFORMACIÓN CATASTRAL - ACTUALIZACIÓN  Y GESTIÓN CATASTRAL  NACIONAL"/>
    <s v="Propios"/>
    <x v="1"/>
    <s v="CSF"/>
    <n v="52247856"/>
    <n v="0"/>
    <n v="52247856"/>
    <n v="3483191"/>
    <s v="Prestación de servicios profesionales para el seguimiento y control de las actividades de la etapa operativa del proyecto de actualización catastral del municipio de Ricaurte- Territorial Cundinamarca"/>
    <s v="3721"/>
    <s v="11021"/>
    <s v="-0"/>
    <s v="-0"/>
    <s v="-0"/>
    <s v="-0"/>
    <x v="0"/>
    <x v="1"/>
  </r>
  <r>
    <s v="3821"/>
    <s v="2021-06-25 00:00:00"/>
    <s v="2021-06-25 15:49:00"/>
    <s v="Gasto"/>
    <s v="Con Compromiso"/>
    <s v="0500"/>
    <x v="22"/>
    <x v="1"/>
    <s v="ADQUISICIÓN DE BIENES Y SERVICIOS - SERVICIO DE INFORMACIÓN CATASTRAL - ACTUALIZACIÓN  Y GESTIÓN CATASTRAL  NACIONAL"/>
    <s v="Propios"/>
    <x v="1"/>
    <s v="CSF"/>
    <n v="34546758"/>
    <n v="0"/>
    <n v="34546758"/>
    <n v="6333573"/>
    <s v="Prestación de servicios profesionales para realizar las actividades de topografia urbana para la atención de trámites en el proceso de actualización catastral municipio de Ricaurte- Territorial  Cundinamarca.."/>
    <s v="3821"/>
    <s v="13121"/>
    <s v="-0"/>
    <s v="-0"/>
    <s v="-0"/>
    <s v="-0"/>
    <x v="0"/>
    <x v="1"/>
  </r>
  <r>
    <s v="3921"/>
    <s v="2021-06-25 00:00:00"/>
    <s v="2021-06-25 15:58:00"/>
    <s v="Gasto"/>
    <s v="Generado"/>
    <s v="0500"/>
    <x v="22"/>
    <x v="1"/>
    <s v="ADQUISICIÓN DE BIENES Y SERVICIOS - SERVICIO DE INFORMACIÓN CATASTRAL - ACTUALIZACIÓN  Y GESTIÓN CATASTRAL  NACIONAL"/>
    <s v="Propios"/>
    <x v="1"/>
    <s v="CSF"/>
    <n v="60000000"/>
    <n v="0"/>
    <n v="60000000"/>
    <n v="60000000"/>
    <s v="VIATICOS Y GASTOS FUNCIONARIOS_x0009_CONTRATO RICAURTE"/>
    <s v="3921"/>
    <s v="-0"/>
    <s v="-0"/>
    <s v="-0"/>
    <s v="-0"/>
    <s v="-0"/>
    <x v="0"/>
    <x v="1"/>
  </r>
  <r>
    <s v="4021"/>
    <s v="2021-06-29 00:00:00"/>
    <s v="2021-06-29 12:21:00"/>
    <s v="Gasto"/>
    <s v="Con Compromiso"/>
    <s v="0500"/>
    <x v="22"/>
    <x v="1"/>
    <s v="ADQUISICIÓN DE BIENES Y SERVICIOS - SERVICIO DE INFORMACIÓN CATASTRAL - ACTUALIZACIÓN  Y GESTIÓN CATASTRAL  NACIONAL"/>
    <s v="Propios"/>
    <x v="1"/>
    <s v="CSF"/>
    <n v="10207458"/>
    <n v="0"/>
    <n v="10207458"/>
    <n v="283540"/>
    <s v="Prestación de servicios personales para realizar actividades de apoyo operativo del proceso de actualización catastral del municipio de Ricaurte- Territorial Cundinamarca"/>
    <s v="4021"/>
    <s v="11121"/>
    <s v="-0"/>
    <s v="-0"/>
    <s v="-0"/>
    <s v="-0"/>
    <x v="0"/>
    <x v="1"/>
  </r>
  <r>
    <s v="4321"/>
    <s v="2021-07-23 00:00:00"/>
    <s v="2021-07-23 21:44:00"/>
    <s v="Gasto"/>
    <s v="Generado"/>
    <s v="0500"/>
    <x v="22"/>
    <x v="1"/>
    <s v="ADQUISICIÓN DE BIENES Y SERVICIOS - SERVICIO DE INFORMACIÓN CATASTRAL - ACTUALIZACIÓN  Y GESTIÓN CATASTRAL  NACIONAL"/>
    <s v="Propios"/>
    <x v="1"/>
    <s v="CSF"/>
    <n v="5103729"/>
    <n v="0"/>
    <n v="5103729"/>
    <n v="5103729"/>
    <s v="Prestación de servicios personales para realizar actividades de apoyo en los tramites de Conservación Catastral en la Dirección Territorial Cundinamarca."/>
    <s v="4321"/>
    <s v="-0"/>
    <s v="-0"/>
    <s v="-0"/>
    <s v="-0"/>
    <s v="-0"/>
    <x v="0"/>
    <x v="1"/>
  </r>
  <r>
    <s v="4421"/>
    <s v="2021-07-23 00:00:00"/>
    <s v="2021-07-23 21:45:00"/>
    <s v="Gasto"/>
    <s v="Con Compromiso"/>
    <s v="0500"/>
    <x v="22"/>
    <x v="1"/>
    <s v="ADQUISICIÓN DE BIENES Y SERVICIOS - SERVICIO DE INFORMACIÓN CATASTRAL - ACTUALIZACIÓN  Y GESTIÓN CATASTRAL  NACIONAL"/>
    <s v="Propios"/>
    <x v="1"/>
    <s v="CSF"/>
    <n v="9374196"/>
    <n v="0"/>
    <n v="9374196"/>
    <n v="0"/>
    <s v="Prestación de servicios personales para realizar actividades de reconocimiento predial en los procesos de Conservación Catastral de la Dirección Territorial Cundinamarca."/>
    <s v="4421"/>
    <s v="13521"/>
    <s v="-0"/>
    <s v="-0"/>
    <s v="-0"/>
    <s v="-0"/>
    <x v="0"/>
    <x v="1"/>
  </r>
  <r>
    <s v="4521"/>
    <s v="2021-07-23 00:00:00"/>
    <s v="2021-07-23 21:47:00"/>
    <s v="Gasto"/>
    <s v="Generado"/>
    <s v="0500"/>
    <x v="22"/>
    <x v="1"/>
    <s v="ADQUISICIÓN DE BIENES Y SERVICIOS - SERVICIO DE INFORMACIÓN CATASTRAL - ACTUALIZACIÓN  Y GESTIÓN CATASTRAL  NACIONAL"/>
    <s v="Propios"/>
    <x v="1"/>
    <s v="CSF"/>
    <n v="5342966"/>
    <n v="0"/>
    <n v="5342966"/>
    <n v="5342966"/>
    <s v="Prestación de servicios personales para realizar actividades de digitalización y generación de productos resultantes en los procesos catastrales de la Dirección Territorial Cundinamarca."/>
    <s v="4521"/>
    <s v="-0"/>
    <s v="-0"/>
    <s v="-0"/>
    <s v="-0"/>
    <s v="-0"/>
    <x v="0"/>
    <x v="1"/>
  </r>
  <r>
    <s v="4621"/>
    <s v="2021-07-23 00:00:00"/>
    <s v="2021-07-23 21:49:00"/>
    <s v="Gasto"/>
    <s v="Con Compromiso"/>
    <s v="0500"/>
    <x v="22"/>
    <x v="1"/>
    <s v="ADQUISICIÓN DE BIENES Y SERVICIOS - SERVICIO DE INFORMACIÓN CATASTRAL - ACTUALIZACIÓN  Y GESTIÓN CATASTRAL  NACIONAL"/>
    <s v="Propios"/>
    <x v="1"/>
    <s v="CSF"/>
    <n v="6804972"/>
    <n v="0"/>
    <n v="6804972"/>
    <n v="0"/>
    <s v="Prestación de servicios personales para realizar actividades de apoyo en los procesos de conservación catastral de la Dirección Territorial Cundinamarca."/>
    <s v="4621"/>
    <s v="13621"/>
    <s v="-0"/>
    <s v="-0"/>
    <s v="-0"/>
    <s v="-0"/>
    <x v="0"/>
    <x v="1"/>
  </r>
  <r>
    <s v="4721"/>
    <s v="2021-07-23 00:00:00"/>
    <s v="2021-07-23 21:51:00"/>
    <s v="Gasto"/>
    <s v="Generado"/>
    <s v="0500"/>
    <x v="22"/>
    <x v="1"/>
    <s v="ADQUISICIÓN DE BIENES Y SERVICIOS - SERVICIO DE INFORMACIÓN CATASTRAL - ACTUALIZACIÓN  Y GESTIÓN CATASTRAL  NACIONAL"/>
    <s v="Propios"/>
    <x v="1"/>
    <s v="CSF"/>
    <n v="1750000"/>
    <n v="0"/>
    <n v="1750000"/>
    <n v="1750000"/>
    <s v="Compra de una Antena de sistema de posicionamiento geográfico GPS y distanciómetro."/>
    <s v="4721"/>
    <s v="-0"/>
    <s v="-0"/>
    <s v="-0"/>
    <s v="-0"/>
    <s v="-0"/>
    <x v="0"/>
    <x v="1"/>
  </r>
  <r>
    <s v="4821"/>
    <s v="2021-07-23 00:00:00"/>
    <s v="2021-07-23 21:53:00"/>
    <s v="Gasto"/>
    <s v="Generado"/>
    <s v="0500"/>
    <x v="22"/>
    <x v="1"/>
    <s v="ADQUISICIÓN DE BIENES Y SERVICIOS - SERVICIO DE INFORMACIÓN CATASTRAL - ACTUALIZACIÓN  Y GESTIÓN CATASTRAL  NACIONAL"/>
    <s v="Propios"/>
    <x v="1"/>
    <s v="CSF"/>
    <n v="3871218"/>
    <n v="0"/>
    <n v="3871218"/>
    <n v="3871218"/>
    <s v="VIATICOS Y GASTOS FUNCIONARIOS"/>
    <s v="4821"/>
    <s v="-0"/>
    <s v="-0"/>
    <s v="-0"/>
    <s v="-0"/>
    <s v="-0"/>
    <x v="0"/>
    <x v="1"/>
  </r>
  <r>
    <s v="5121"/>
    <s v="2021-09-02 00:00:00"/>
    <s v="2021-09-02 09:51:00"/>
    <s v="Gasto"/>
    <s v="Generado"/>
    <s v="0500"/>
    <x v="22"/>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écnicas de la etapa operativa del proyecto de gestión catastral multipropósito en el municipio de Gachancipa - Cundinamarca"/>
    <s v="5121"/>
    <s v="-0"/>
    <s v="-0"/>
    <s v="-0"/>
    <s v="-0"/>
    <s v="-0"/>
    <x v="0"/>
    <x v="1"/>
  </r>
  <r>
    <s v="5221"/>
    <s v="2021-09-02 00:00:00"/>
    <s v="2021-09-02 09:58:00"/>
    <s v="Gasto"/>
    <s v="Generado"/>
    <s v="0500"/>
    <x v="22"/>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Gachancipa - Cundinamarca"/>
    <s v="5221"/>
    <s v="-0"/>
    <s v="-0"/>
    <s v="-0"/>
    <s v="-0"/>
    <s v="-0"/>
    <x v="0"/>
    <x v="1"/>
  </r>
  <r>
    <s v="5321"/>
    <s v="2021-09-02 00:00:00"/>
    <s v="2021-09-02 10:01:00"/>
    <s v="Gasto"/>
    <s v="Generado"/>
    <s v="0500"/>
    <x v="22"/>
    <x v="1"/>
    <s v="ADQUISICIÓN DE BIENES Y SERVICIOS - SERVICIO DE INFORMACIÓN CATASTRAL - ACTUALIZACIÓN  Y GESTIÓN CATASTRAL  NACIONAL"/>
    <s v="Propios"/>
    <x v="1"/>
    <s v="CSF"/>
    <n v="62494640"/>
    <n v="0"/>
    <n v="62494640"/>
    <n v="62494640"/>
    <s v="Prestación de servicios personales para realizar actividades de reconocimiento predial en el proceso de actualización catastra multipropósito en el municipio de Gachancipa - Cundinamarca"/>
    <s v="5321"/>
    <s v="-0"/>
    <s v="-0"/>
    <s v="-0"/>
    <s v="-0"/>
    <s v="-0"/>
    <x v="0"/>
    <x v="1"/>
  </r>
  <r>
    <s v="5421"/>
    <s v="2021-09-02 00:00:00"/>
    <s v="2021-09-02 10:26:00"/>
    <s v="Gasto"/>
    <s v="Generado"/>
    <s v="0500"/>
    <x v="22"/>
    <x v="1"/>
    <s v="ADQUISICIÓN DE BIENES Y SERVICIOS - SERVICIO DE INFORMACIÓN CATASTRAL - ACTUALIZACIÓN  Y GESTIÓN CATASTRAL  NACIONAL"/>
    <s v="Propios"/>
    <x v="1"/>
    <s v="CSF"/>
    <n v="33990000"/>
    <n v="0"/>
    <n v="33990000"/>
    <n v="33990000"/>
    <s v="Prestación de servicios de apoyo a la gestión reconocedor predial  y atención de requerimientos administrativos y judiciales en el proceso de actualización catastral multipropósito en el municipio de Gachancipa - Cundinamarca"/>
    <s v="5421"/>
    <s v="-0"/>
    <s v="-0"/>
    <s v="-0"/>
    <s v="-0"/>
    <s v="-0"/>
    <x v="0"/>
    <x v="1"/>
  </r>
  <r>
    <s v="5521"/>
    <s v="2021-09-02 00:00:00"/>
    <s v="2021-09-02 10:29:00"/>
    <s v="Gasto"/>
    <s v="Generado"/>
    <s v="0500"/>
    <x v="22"/>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ósito en el municipio de Gachancipa - Cundinamarca"/>
    <s v="5521"/>
    <s v="-0"/>
    <s v="-0"/>
    <s v="-0"/>
    <s v="-0"/>
    <s v="-0"/>
    <x v="0"/>
    <x v="1"/>
  </r>
  <r>
    <s v="5621"/>
    <s v="2021-09-02 00:00:00"/>
    <s v="2021-09-02 10:35:00"/>
    <s v="Gasto"/>
    <s v="Generado"/>
    <s v="0500"/>
    <x v="22"/>
    <x v="1"/>
    <s v="ADQUISICIÓN DE BIENES Y SERVICIOS - SERVICIO DE INFORMACIÓN CATASTRAL - ACTUALIZACIÓN  Y GESTIÓN CATASTRAL  NACIONAL"/>
    <s v="Propios"/>
    <x v="1"/>
    <s v="CSF"/>
    <n v="28840000"/>
    <n v="0"/>
    <n v="28840000"/>
    <n v="28840000"/>
    <s v="Prestación de servicios técnicos de apoyo al seguimiento, planeación y gestión del reconocimiento predial  en el proceso de actualización catastral multipropósito  en el municipio de Gachancipa - Cundinamarca"/>
    <s v="5621"/>
    <s v="-0"/>
    <s v="-0"/>
    <s v="-0"/>
    <s v="-0"/>
    <s v="-0"/>
    <x v="0"/>
    <x v="1"/>
  </r>
  <r>
    <s v="5721"/>
    <s v="2021-09-02 00:00:00"/>
    <s v="2021-09-02 10:38:00"/>
    <s v="Gasto"/>
    <s v="Generado"/>
    <s v="0500"/>
    <x v="22"/>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ósito en el municipio de Gachancipa - Cundinamarca"/>
    <s v="5721"/>
    <s v="-0"/>
    <s v="-0"/>
    <s v="-0"/>
    <s v="-0"/>
    <s v="-0"/>
    <x v="0"/>
    <x v="1"/>
  </r>
  <r>
    <s v="5821"/>
    <s v="2021-09-02 00:00:00"/>
    <s v="2021-09-02 10:45:00"/>
    <s v="Gasto"/>
    <s v="Generado"/>
    <s v="0500"/>
    <x v="22"/>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resultantes del proceso de actualización catastral multipropósito en el municipio de Gachancipa – Cundinamarca"/>
    <s v="5821"/>
    <s v="-0"/>
    <s v="-0"/>
    <s v="-0"/>
    <s v="-0"/>
    <s v="-0"/>
    <x v="0"/>
    <x v="1"/>
  </r>
  <r>
    <s v="5921"/>
    <s v="2021-09-02 00:00:00"/>
    <s v="2021-09-02 10:48:00"/>
    <s v="Gasto"/>
    <s v="Generado"/>
    <s v="0500"/>
    <x v="22"/>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Gachancipa - Cundinamarc"/>
    <s v="5921"/>
    <s v="-0"/>
    <s v="-0"/>
    <s v="-0"/>
    <s v="-0"/>
    <s v="-0"/>
    <x v="0"/>
    <x v="1"/>
  </r>
  <r>
    <s v="6021"/>
    <s v="2021-09-02 00:00:00"/>
    <s v="2021-09-02 10:56:00"/>
    <s v="Gasto"/>
    <s v="Generado"/>
    <s v="0500"/>
    <x v="22"/>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Gachancipa - Cundinamarca"/>
    <s v="6021"/>
    <s v="-0"/>
    <s v="-0"/>
    <s v="-0"/>
    <s v="-0"/>
    <s v="-0"/>
    <x v="0"/>
    <x v="1"/>
  </r>
  <r>
    <s v="6121"/>
    <s v="2021-09-02 00:00:00"/>
    <s v="2021-09-02 11:00:00"/>
    <s v="Gasto"/>
    <s v="Generado"/>
    <s v="0500"/>
    <x v="22"/>
    <x v="1"/>
    <s v="ADQUISICIÓN DE BIENES Y SERVICIOS - SERVICIO DE INFORMACIÓN CATASTRAL - ACTUALIZACIÓN  Y GESTIÓN CATASTRAL  NACIONAL"/>
    <s v="Propios"/>
    <x v="1"/>
    <s v="CSF"/>
    <n v="40000000"/>
    <n v="0"/>
    <n v="40000000"/>
    <n v="40000000"/>
    <s v="VIÁTICOS Y GASTOS"/>
    <s v="6121"/>
    <s v="-0"/>
    <s v="-0"/>
    <s v="-0"/>
    <s v="-0"/>
    <s v="-0"/>
    <x v="0"/>
    <x v="1"/>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n v="3"/>
    <s v="Se realizó Comité Institucional de Gestión y Desempeño donde se generaron alertas de seguimiento a las metas institucionales y sectoriales"/>
    <n v="3"/>
    <s v="Se realizó Comité Institucional de Gestión y Desempeño donde se generaron alertas de seguimiento a las metas institucionales y sectoriales"/>
    <m/>
    <m/>
    <d v="2021-04-09T00:00:00"/>
    <d v="2021-07-02T00:00:00"/>
    <d v="2021-10-08T00:00:00"/>
    <m/>
    <n v="0.75"/>
    <n v="1"/>
    <n v="1"/>
    <n v="1"/>
    <s v=" "/>
    <s v="Concepto Favorable"/>
    <s v="Concepto Favorable"/>
    <s v="Concepto Favorable"/>
    <m/>
    <s v="Se observa que se presentaron reportes de seguimiento mejorados en los Comités de Gestión y Desempeño"/>
    <s v="Se observa que el proceso genero alertas de seguimiento a las metas institucionales y sectoriales durante el segundo trimestre."/>
    <s v="De acuerdo con las evidencias, se observa que durante el tercer trimestre se generaron 3 Comité Institucional de Gestión y Desempeño donde se generaron alertas de seguimiento a las metas institucionales y sectoriales"/>
    <m/>
    <x v="0"/>
    <x v="0"/>
    <x v="0"/>
    <x v="0"/>
    <s v="Se evidencia la presentación de los  reportes de seguimiento mejorados en los Comités de Gestión y Desempeño Actas del 28 y 29 de enero y 19 de marzo; así como correos con información para comités y reporte de ejecución. "/>
    <s v="Mediante Actas 4, 5 y 7, se evidencia la realización de Comité de Gestión y Desempeño, con la generación de alertas de seguimiento a las metas institucionales y sectoriales durante el periodo."/>
    <s v="De acuerdo a los soportes entregados, ACTAS Comité Institucional de Gestión y Desempeño, se evidencia el avance reportado."/>
    <m/>
  </r>
  <r>
    <n v="2"/>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n v="2"/>
    <s v="Se realizó publicación en el link: https://www.igac.gov.co/es/contenido/metas-objetivos-e-indicadores-de-gestion-yo-desempeno el seguimiento a las metas Plan Nacional de Desarrollo y de SPI con el el cierre del primer trimestre del 2021"/>
    <n v="2"/>
    <s v="Se realizó publicación en el link: https://www.igac.gov.co/es/contenido/metas-objetivos-e-indicadores-de-gestion-yo-desempeno el seguimiento a las metas Plan Nacional de Desarrollo y de SPI con el el cierre del segundo trimestre del 2021"/>
    <m/>
    <m/>
    <d v="2021-04-09T00:00:00"/>
    <d v="2021-07-02T00:00:00"/>
    <d v="2021-10-08T00:00:00"/>
    <m/>
    <n v="0.75"/>
    <n v="1"/>
    <n v="1"/>
    <n v="1"/>
    <s v=" "/>
    <s v="Concepto Favorable"/>
    <s v="Concepto Favorable"/>
    <s v="Concepto Favorable"/>
    <m/>
    <s v="Se observa que se elaboraron, presentaron y publicaron los reportes de seguimiento de las metas institucionales en  las herramientas definidas por el cierre del 2020"/>
    <s v="Se observa que el proceso público en el link: https://www.igac.gov.co/es/transparencia-y-acceso-a-la-informacion-publica/metas-objetivos-e-indicadores-de-gestion-yo-desempeno_x000d__x000a_el seguimiento a las metas Plan Nacional de Desarrollo y de SPI con el cierre del primer trimestre del 2021_x000d__x000a_"/>
    <s v="Revisado el enlace https://www.igac.gov.co/es/transparencia-y-acceso-a-la-informacion-publica/metas-objetivos-e-indicadores-de-gestion-yo-desempeno, se observa que aparecen publicados los seguimientos del tercer trimestre a las metas Plan Nacional de Desarrollo y de SPI."/>
    <m/>
    <x v="0"/>
    <x v="0"/>
    <x v="0"/>
    <x v="0"/>
    <s v="Se verifica la elaboración, presentación y publicación de los reportes de seguimiento de las metas institucionales en las herramientas definidas cierre 2020."/>
    <s v="Se evidencia activiad con el proceso el proceso público en el link: https://www.igac.gov.co/es/transparencia-y-acceso-a-la-informacion-publica/metas-objetivos-e-indicadores-de-gestion-yo-desempeno"/>
    <s v="Conforme a la revisión del link referido https://www.igac.gov.co/es/transparencia-y-acceso-a-la-informacion-publica/metas-objetivos-e-indicadores-de-gestion-yo-desempeno, se evidencia el avance reportado."/>
    <m/>
  </r>
  <r>
    <n v="3"/>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n v="0"/>
    <s v="Actividad completada en el primer trimestre del 2021. Sin meta para este periodo."/>
    <n v="0"/>
    <s v="Actividad completada en el primer trimestre del 2021. Sin meta para este periodo."/>
    <m/>
    <m/>
    <d v="2021-04-09T00:00:00"/>
    <d v="2021-07-02T00:00:00"/>
    <d v="2021-10-08T00:00:00"/>
    <m/>
    <n v="1"/>
    <n v="1"/>
    <s v=""/>
    <s v=""/>
    <s v=" "/>
    <s v="Concepto Favorable"/>
    <s v="Sin meta asignada en el periodo"/>
    <s v="Sin meta asignada en el periodo"/>
    <m/>
    <s v="Se observa que se estructuró el anteproyecto de presupuesto "/>
    <s v="Sin meta asignada en el periodo"/>
    <s v="Sin meta para este periodo."/>
    <m/>
    <x v="0"/>
    <x v="1"/>
    <x v="1"/>
    <x v="0"/>
    <s v="Se verifica la actividad con las evidencias aportadas por el proceso como los formularios, la justificación y programa de gastos e ingresos."/>
    <s v="Sin meta para el periodo"/>
    <s v="No se tiene programada meta."/>
    <m/>
  </r>
  <r>
    <n v="4"/>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n v="0"/>
    <s v="Actividad completada en el primer trimestre del 2021. Sin meta para este periodo."/>
    <n v="0"/>
    <s v="Actividad completada en el primer trimestre del 2021. Sin meta para este periodo."/>
    <m/>
    <m/>
    <d v="2021-04-09T00:00:00"/>
    <d v="2021-07-02T00:00:00"/>
    <d v="2021-10-08T00:00:00"/>
    <m/>
    <n v="1"/>
    <n v="1"/>
    <s v=""/>
    <s v=""/>
    <s v=" "/>
    <s v="Concepto Favorable"/>
    <s v="Sin meta asignada en el periodo"/>
    <s v="Sin meta asignada en el periodo"/>
    <m/>
    <s v="Se observa que se realizó socialización del Anteproyecto de presupuesto "/>
    <s v="Sin meta asignada en el periodo"/>
    <s v="Sin meta para este periodo."/>
    <m/>
    <x v="0"/>
    <x v="1"/>
    <x v="1"/>
    <x v="0"/>
    <s v="Se constata la socialización del anteproyecto de presupuesto, a través de correo electrónico de fecha 24 de marzo de 2021."/>
    <s v="Sin meta para el periodo"/>
    <s v="No hay meta para este trimestre"/>
    <m/>
  </r>
  <r>
    <n v="5"/>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n v="1"/>
    <s v="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
    <n v="0"/>
    <s v="Actividad completada en el segundo trimestre del 2021. Sin meta para este periodo."/>
    <m/>
    <m/>
    <d v="2021-04-09T00:00:00"/>
    <d v="2021-07-02T00:00:00"/>
    <d v="2021-10-08T00:00:00"/>
    <m/>
    <n v="1"/>
    <n v="1"/>
    <n v="1"/>
    <s v=""/>
    <s v=" "/>
    <s v="Concepto Favorable"/>
    <s v="Concepto Favorable"/>
    <s v="Sin meta asignada en el periodo"/>
    <m/>
    <s v="Se observa que el Anteproyecto de presupuesto se presentó ante el Ministerio de Hacienda y Crédito Público el 29 de marzo "/>
    <s v="Se observa que el proceso envió la presentación del anteproyecto de presupuesto"/>
    <s v="Sin meta para este periodo."/>
    <m/>
    <x v="0"/>
    <x v="0"/>
    <x v="1"/>
    <x v="0"/>
    <s v="Se evidencia el envío mediante correo electrónico del Anteproyecto de presupuesto, al Ministerio de Hacienda y Crédito Público. "/>
    <s v="De acuerdo con lo evidenciado, el proceso presentó ante las instancias definidas el anteproyecto de presupuesto del IGAC."/>
    <s v="No hay meta para este trimestre"/>
    <m/>
  </r>
  <r>
    <n v="6"/>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n v="0"/>
    <s v="Actividad programada para los próximos periodos. "/>
    <n v="1"/>
    <s v="Se elaboró el informe sectorial al Congreso correspondiente al periodo 2020-2021. El documento se encuentra publicado en la página web de la entidad en la sección de Transparencia: https://igac.gov.co/es/transparencia-y-acceso-a-la-informacion-publica/informe_al_congreso"/>
    <m/>
    <m/>
    <d v="2021-04-09T00:00:00"/>
    <d v="2021-07-02T00:00:00"/>
    <d v="2021-10-17T00:00:00"/>
    <m/>
    <n v="1"/>
    <n v="1"/>
    <s v=""/>
    <n v="1"/>
    <s v=" "/>
    <s v="Concepto Favorable"/>
    <s v="Sin meta asignada en el periodo"/>
    <s v="Concepto Favorable"/>
    <m/>
    <s v="Se observa que se realizó el informe de gestión cierre vigencia 2020"/>
    <s v="Sin meta asignada en el periodo"/>
    <s v="Revisado el enlace citado, se observa que aparece publicado el informe sectorial al Congreso correspondiente al periodo 2020-2021."/>
    <m/>
    <x v="0"/>
    <x v="1"/>
    <x v="0"/>
    <x v="0"/>
    <s v="Se verifica el informe de gestión del cierre vigencia 2020."/>
    <s v="Sin meta asignada en el periodo"/>
    <s v="Conforme a la revisión del link referido https://igac.gov.co/es/transparencia-y-acceso-a-la-informacion-publica/informe_al_congreso, se evidencia la publicación del informe  al congreso."/>
    <m/>
  </r>
  <r>
    <n v="7"/>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n v="3"/>
    <s v="Se realizó informe de ejecución presupuestal de los meses de abril, mayo y junio, a su vez la respectiva publicación en el link: https://www.igac.gov.co/es/transparencia-y-acceso-a-la-informacion-publica/presupuesto-y-ejecucion-general-de-ingresos-gastos-e-inversion"/>
    <n v="3"/>
    <s v="Se realizó informe de ejecución presupuestal de los meses de julio, agosto y septiembre, a su vez la respectiva publicación en el link: https://www.igac.gov.co/es/transparencia-y-acceso-a-la-informacion-publica/presupuesto-y-ejecucion-general-de-ingresos-gastos-e-inversion"/>
    <m/>
    <m/>
    <d v="2021-04-09T00:00:00"/>
    <d v="2021-07-02T00:00:00"/>
    <d v="2021-10-08T00:00:00"/>
    <m/>
    <n v="0.75"/>
    <n v="1"/>
    <n v="1"/>
    <n v="1"/>
    <s v=" "/>
    <s v="Concepto Favorable"/>
    <s v="Concepto Favorable"/>
    <s v="Concepto Favorable"/>
    <m/>
    <s v="Se observa que se elaboraron mensualmente  los informes mensuales de ejecución presupuestal"/>
    <s v="Se observa los informe de ejecución presupuestal correspondientes al segundo trimestre elaborados y publicados por el proceso"/>
    <s v="Revisado el enlace citado, se observa que aparece publicado el informe de ejecución presupuestal de los meses de julio, agosto y septiembre"/>
    <m/>
    <x v="0"/>
    <x v="0"/>
    <x v="0"/>
    <x v="0"/>
    <s v="La actividad de &quot;Elaborar los informes mensuales de ejecución presupuestal&quot;, para el trimestre, se verifica con la publicación en la página institucional."/>
    <s v="Se constata la realización  de informe de ejecución presupuestal en el periodo, y publicación en el link: https://www.igac.gov.co/es/transparencia-y-acceso-a-la-informacion-publica/presupuesto-y-ejecucion-general-de-ingresos-gastos-e-inversion."/>
    <s v="Conforme a la revisión del link referido: https://www.igac.gov.co/es/transparencia-y-acceso-a-la-informacion-publica/presupuesto-y-ejecucion-general-de-ingresos-gastos-e-inversion, se evidencia la publicación del informe de ejecución presupuestal para los meses julio, agosto y septiembre de 2021."/>
    <m/>
  </r>
  <r>
    <n v="8"/>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n v="0"/>
    <s v="Actividad programada para los próximos periodos. "/>
    <n v="1"/>
    <s v="Se publicó el informe al Congreso 2020-2021 en el link: https://igac.gov.co/es/transparencia-y-acceso-a-la-informacion-publica/informe_al_congreso"/>
    <m/>
    <m/>
    <d v="2021-04-09T00:00:00"/>
    <d v="2021-07-02T00:00:00"/>
    <d v="2021-10-17T00:00:00"/>
    <m/>
    <n v="1"/>
    <n v="1"/>
    <s v=""/>
    <n v="1"/>
    <s v=" "/>
    <s v="Concepto Favorable"/>
    <s v="Sin meta asignada en el periodo"/>
    <s v="Concepto Favorable"/>
    <m/>
    <s v="Se observa que se publicó el informe de gestión2020  de la entidad "/>
    <s v="Sin meta asignada en el periodo"/>
    <s v="Revisado el enlace citado, se observa que aparece publicado el informe al Congreso 2020-2021 "/>
    <m/>
    <x v="0"/>
    <x v="1"/>
    <x v="0"/>
    <x v="0"/>
    <s v="Se verifica la publicación del informe de gestión de cierre de la vigencia 2020 del IGAC."/>
    <s v="Sin meta asignada en el periodo"/>
    <s v="Conforme a la revisión del link referido: https://igac.gov.co/es/transparencia-y-acceso-a-la-informacion-publica/informe_al_congreso, se evidencia la publicación del informe el informe al Congreso 2020-2021."/>
    <m/>
  </r>
  <r>
    <n v="9"/>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n v="1"/>
    <s v="Se llevó a cabo el seguimiento al avance en los diferentes temas de cooperación internacional adelantados desde cada una de las áreas misionales durante el primer trimestre del año 2021, se_x000d__x000a_verificó el diligenciamiento de actividades y evidencias aportadas"/>
    <n v="1"/>
    <s v="Se llevó a cabo el seguimiento al avance en los diferentes temas de Cooperación Internacional adelantados desde cada una de las áreas misionales durante el segundo trimestre del año 2021, se verificó el diligenciamiento de actividades y evidencias aportadas"/>
    <m/>
    <m/>
    <d v="2021-04-09T00:00:00"/>
    <d v="2021-07-02T00:00:00"/>
    <d v="2021-10-08T00:00:00"/>
    <m/>
    <n v="0.75"/>
    <n v="1"/>
    <n v="1"/>
    <n v="1"/>
    <s v=" "/>
    <s v="Concepto Favorable"/>
    <s v="Concepto Favorable"/>
    <s v="Concepto Favorable"/>
    <m/>
    <s v="Se observa que se realizó seguimiento a los temas de Cooperación Internacional de la entidad"/>
    <s v="Se observa el seguimiento realizado por el proceso en la Matriz de Cooperación Internacional"/>
    <s v="De acuerdo con las evidencias, se observa que durante el tercer trimestre se llevó a cabo el seguimiento al avance en los diferentes temas de Cooperación Internacional adelantados desde cada una de las áreas misionales durante el segundo trimestre del año 2021"/>
    <m/>
    <x v="0"/>
    <x v="0"/>
    <x v="0"/>
    <x v="0"/>
    <s v="La actividad de seguimiento a los temas de Cooperación Inrternacional del IGAC, son evidenciados con las matrices de seguimiento de los procesos a cargo, así como los correos de envío."/>
    <s v="Con las evidencias aportadas por el proceso se evidencia la realización de seguimiento a los temas de Cooperación Internacional de la entidad."/>
    <s v="De acuerdo a los soportes entregados, seguimiento a las diferentes dependencias que cuentan con temas de cooperaciòn, se evidencia el avance reportado."/>
    <m/>
  </r>
  <r>
    <n v="10"/>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os optimizados"/>
    <s v="Producto"/>
    <n v="20"/>
    <n v="0"/>
    <n v="7"/>
    <n v="0"/>
    <n v="13"/>
    <n v="1"/>
    <s v="Se realizó el levantamiento de información y modelamiento del proceso de gestión contractual"/>
    <n v="6"/>
    <s v="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
    <n v="0"/>
    <s v="Actividad programada para el último trimestre del 2021."/>
    <m/>
    <m/>
    <d v="2021-04-09T00:00:00"/>
    <d v="2021-07-02T00:00:00"/>
    <d v="2021-10-08T00:00:00"/>
    <m/>
    <n v="0.35"/>
    <s v=""/>
    <n v="1"/>
    <s v=""/>
    <s v=" "/>
    <s v="Concepto Favorable"/>
    <s v="Concepto Favorable"/>
    <s v="Sin meta asignada en el periodo"/>
    <m/>
    <s v="Se observa que se realizó el levantamiento de información y modelamiento documental del proceso de gestión contractual"/>
    <s v="Se observa que el proceso realizó la identificación de variables de los procesos en los documentos de casos de uso"/>
    <s v="Sin meta para este periodo."/>
    <m/>
    <x v="0"/>
    <x v="0"/>
    <x v="1"/>
    <x v="0"/>
    <s v="Se evidenció la realización  del levantamiento de información y modelamiento del proceso de gestión contractual."/>
    <s v="Se verifica en las matrices aportadas por el proceso la realización de  la identificación de variables de los procesos en los documentos de casos de uso"/>
    <s v="No hay meta para este trimestre"/>
    <m/>
  </r>
  <r>
    <n v="11"/>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os optimizados"/>
    <s v="Producto"/>
    <n v="20"/>
    <n v="0"/>
    <n v="7"/>
    <n v="0"/>
    <n v="13"/>
    <n v="1"/>
    <s v="Se realizó el levantamiento de información y modelamiento del proceso de gestión contractual"/>
    <n v="6"/>
    <s v="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
    <n v="17"/>
    <s v="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
    <m/>
    <m/>
    <d v="2021-04-09T00:00:00"/>
    <d v="2021-07-02T00:00:00"/>
    <d v="2021-10-08T00:00:00"/>
    <m/>
    <n v="1"/>
    <s v=""/>
    <n v="1"/>
    <s v=""/>
    <s v=" "/>
    <s v="Concepto Favorable"/>
    <s v="Concepto Favorable"/>
    <s v="Concepto Favorable"/>
    <m/>
    <s v="Se observa que se realizó modelamiento documental del proceso de gestión contractual"/>
    <s v="Se observa el modelamiento de los procesos realizado durante el segundo trimestre."/>
    <s v="De acuerdo con las evidencias, se observa que durante el tercer trimestre 2021 se modelaron los 17 procesos de la Entidad de acuerdo con la nueva cadena de valor y se socializaron las propuestas de caracterización presentadas"/>
    <m/>
    <x v="0"/>
    <x v="0"/>
    <x v="0"/>
    <x v="0"/>
    <s v="De acuerdo a la información revisada, se evidencia la realización de la actividad."/>
    <s v="Se verifica el modelamiento de los procesos  de Control disciplinario, Gestión del Talento Humano, Gestión Geodésica, Regulación, Seguimiento y Evaluación y Servicio al Ciudadano y participación"/>
    <s v="De acuerdo a los soportes entregados, caracterización de procesos y subprocesos y correos de aprobación, se evidencia el avance reportado."/>
    <m/>
  </r>
  <r>
    <n v="12"/>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os optimizados"/>
    <s v="Producto"/>
    <n v="20"/>
    <n v="0"/>
    <n v="7"/>
    <n v="0"/>
    <n v="13"/>
    <n v="0"/>
    <s v="Actividad programada para próximos trimestres "/>
    <n v="7"/>
    <s v="Se modelaron los diagramas 'To Be' de los procesos: Control disciplinario, gestión del talento humano, gestión geodésica, regulación, seguimiento y evaluación, servicio al ciudadano y participación, y gestión contractual."/>
    <n v="0"/>
    <s v="Actividad programada para el último trimestre del 2021."/>
    <m/>
    <m/>
    <d v="2021-04-09T00:00:00"/>
    <d v="2021-07-02T00:00:00"/>
    <d v="2021-10-08T00:00:00"/>
    <m/>
    <n v="0.35"/>
    <s v=""/>
    <n v="1"/>
    <s v=""/>
    <s v=" "/>
    <s v="Sin meta asignada en el periodo"/>
    <s v="Concepto Favorable"/>
    <s v="Sin meta asignada en el periodo"/>
    <m/>
    <s v="Sin meta asignada en el periodo"/>
    <s v="Se observan los documentos de propuesta de mejora presentados a los procesos durante el segundo trimestre."/>
    <s v="Sin meta para este periodo."/>
    <m/>
    <x v="1"/>
    <x v="0"/>
    <x v="1"/>
    <x v="0"/>
    <s v="Sin meta programada para el trimestre."/>
    <s v="Se verifican las propuestas de mejora presentadas a los procesos durante el periodo."/>
    <s v="Sin meta para este trimestre"/>
    <m/>
  </r>
  <r>
    <n v="1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Índice de desempeño institucional"/>
    <s v="Producto"/>
    <n v="2"/>
    <n v="1"/>
    <n v="0"/>
    <n v="1"/>
    <n v="0"/>
    <n v="1"/>
    <s v="Se realizó reporte de acciones con corte al 31 de marzo de2021"/>
    <n v="0"/>
    <s v="Actividad programada para el próximo trimestre. Sin meta asignada. "/>
    <n v="1"/>
    <s v="Se realizó reporte de acciones con corte al 30 de septiembre. "/>
    <m/>
    <m/>
    <d v="2021-04-09T00:00:00"/>
    <d v="2021-07-02T00:00:00"/>
    <d v="2021-10-08T00:00:00"/>
    <m/>
    <n v="1"/>
    <n v="1"/>
    <s v=""/>
    <n v="1"/>
    <s v=" "/>
    <s v="Concepto Favorable"/>
    <s v="Sin meta asignada en el periodo"/>
    <s v="Concepto Favorable"/>
    <m/>
    <s v="Se observa que se realizó reporte de acciones con corte al 31 de marzo de2021"/>
    <s v="Sin meta asignada en el periodo"/>
    <s v="De acuerdo con las evidencias, se observa que durante el tercer trimestre se realizó reporte de acciones con corte al 30 de septiembre"/>
    <m/>
    <x v="0"/>
    <x v="1"/>
    <x v="0"/>
    <x v="0"/>
    <s v="Se constata la realización del reporte de acciones con corte al 31 de marzo de2021."/>
    <s v="Sin meta asignada en el periodo"/>
    <s v="De acuerdo a los soportes entregados, Informe Acciones de Mejoramiento, se evidencia el avance reportado."/>
    <m/>
  </r>
  <r>
    <n v="1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de Planeación "/>
    <s v="Porcentaje"/>
    <s v="Índice de desempeño institucional"/>
    <s v="Producto"/>
    <n v="1"/>
    <n v="0"/>
    <n v="0"/>
    <n v="0.5"/>
    <n v="0.5"/>
    <n v="0"/>
    <s v="Aunque la actividad esta programada para el tercer trimestre, se adelanto parte de la actualización documenta, se carga en las evidencias el cronograma de trabajo."/>
    <n v="0"/>
    <s v="Actividad programada para el próximo trimestre. Sin meta asignada. "/>
    <n v="0.6986"/>
    <s v="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
    <m/>
    <m/>
    <d v="2021-04-09T00:00:00"/>
    <d v="2021-07-02T00:00:00"/>
    <d v="2021-10-08T00:00:00"/>
    <m/>
    <n v="0.6986"/>
    <s v=""/>
    <s v=""/>
    <n v="1"/>
    <s v=" "/>
    <s v="Sin meta asignada en el periodo"/>
    <s v="Sin meta asignada en el periodo"/>
    <s v="Concepto Favorable"/>
    <m/>
    <s v="Sin meta asignada en el periodo"/>
    <s v="Sin meta asignada en el periodo"/>
    <s v="De acuerdo con las evidencias, se observa que durante el tercer trimestre se realizó seguimiento a la actualización documental del proceso de Direccionamiento Estratégico y Planeación."/>
    <m/>
    <x v="1"/>
    <x v="1"/>
    <x v="0"/>
    <x v="0"/>
    <s v="Sin meta asignada en el periodo"/>
    <s v="Sin meta asignada en el periodo"/>
    <s v="De acuerdo a los soportes entregados, Cronograma, se evidencia el avance reportado."/>
    <m/>
  </r>
  <r>
    <n v="15"/>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Índice de desempeño institucional"/>
    <s v="Producto"/>
    <n v="4"/>
    <n v="1"/>
    <n v="1"/>
    <n v="1"/>
    <n v="1"/>
    <n v="1"/>
    <s v="Se realizó seguimiento de acuerdo con la programación con corte al último trimestre de 2020"/>
    <n v="1"/>
    <s v="Se realizó seguimiento de acuerdo con la programación con corte al primer trimestre del 2021 a través de cada asesor responsable desde la OAP."/>
    <n v="1"/>
    <s v="Se realizó seguimiento de acuerdo con la programación con corte al segundo trimestre del 2021 a través de cada asesor responsable desde la OAP."/>
    <m/>
    <m/>
    <d v="2021-04-09T00:00:00"/>
    <d v="2021-07-02T00:00:00"/>
    <d v="2021-10-08T00:00:00"/>
    <m/>
    <n v="0.75"/>
    <n v="1"/>
    <n v="1"/>
    <n v="1"/>
    <s v=" "/>
    <s v="Concepto Favorable"/>
    <s v="Concepto Favorable"/>
    <s v="Concepto Favorable"/>
    <m/>
    <s v="Se observa que se realizó seguimiento seguimiento a los controles de los riesgos institucionales con corte al último trimestre de 2020"/>
    <s v="Se observan que el proceso realiza seguimiento del segundo trimestre en la Herramienta Planigac"/>
    <s v="De acuerdo con las evidencias, se observa que durante el tercer trimestre se realizó seguimiento de acuerdo con la programación con corte al segundo trimestre del 2021 "/>
    <m/>
    <x v="0"/>
    <x v="0"/>
    <x v="0"/>
    <x v="0"/>
    <s v="Se verifica el seguimiento a los controles de los riesgos institucionales con corte al último trimestre de 2020."/>
    <s v="Se evidencia la realización del seguimiento en el periodo a Sede Central y Direcciones Territoriales en la herramienta Planigac."/>
    <s v="De acuerdo a los soportes entregados, reporte definitivo y relación de PLANIGAC para sede central y territoriales, se evidencia el avance reportado."/>
    <m/>
  </r>
  <r>
    <n v="16"/>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Índice de desempeño institucional"/>
    <s v="Producto"/>
    <n v="1"/>
    <n v="0"/>
    <n v="0"/>
    <n v="0"/>
    <n v="1"/>
    <n v="0"/>
    <s v="Actividad programada para el cuarto trimestre."/>
    <n v="0"/>
    <s v="Actividad programada para el cuarto trimestre."/>
    <n v="0"/>
    <s v="Actividad programada para el cuarto trimestre."/>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7"/>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Índice de desempeño institucional"/>
    <s v="Producto"/>
    <n v="4"/>
    <n v="1"/>
    <n v="1"/>
    <n v="1"/>
    <n v="1"/>
    <n v="1"/>
    <s v="Se realizó el seguimiento a través de cada uno de los enlaces en la herramienta PLANIGAC de acuerdo con la programación. "/>
    <n v="1"/>
    <s v="Se realizó el seguimiento a través de cada uno de los enlaces en la herramienta PLANIGAC de acuerdo con la programación. "/>
    <n v="1"/>
    <s v="Se realizó el seguimiento a través de cada uno de los enlaces en la herramienta PLANIGAC de acuerdo con la programación. "/>
    <m/>
    <m/>
    <d v="2021-04-09T00:00:00"/>
    <d v="2021-07-02T00:00:00"/>
    <d v="2021-10-08T00:00:00"/>
    <m/>
    <n v="0.75"/>
    <n v="1"/>
    <n v="1"/>
    <n v="1"/>
    <s v=" "/>
    <s v="Concepto Favorable"/>
    <s v="Concepto Favorable"/>
    <s v="Concepto Favorable"/>
    <m/>
    <s v="Se observa que se realizó acompañamiento a los procesos en el seguimiento al PAA y PAAC a través de cada uno de los enlaces en la herramienta PLANIGAC de acuerdo con la programación. "/>
    <s v="Se observan que el proceso realiza acompañamiento a los procesos y DT en la Herramienta Planigac y Matriz PAAC durante el segundo trimestre"/>
    <s v="De acuerdo con las evidencias, se observa que durante el tercer trimestre se realizó acompañamiento a través de cada uno de los enlaces en la herramienta PLANIGAC frente al PAA y también en el PAAC"/>
    <m/>
    <x v="0"/>
    <x v="0"/>
    <x v="0"/>
    <x v="0"/>
    <s v="Se evidencia el acompañamiento durante el periodo por los responsables  a los procesos en el seguimiento al PAA y PAAC."/>
    <s v="Constatado lo soportado por el proceso se evidencia la realización  en el acompañamiento a los procesos seguimiento PAA y PAAC. "/>
    <s v="De acuerdo a los soportes entregados, relación de PLANIGAC para sede central y territoriales y seguimiento segundo semestre, se evidencia el avance reportado."/>
    <m/>
  </r>
  <r>
    <n v="18"/>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Índice de desempeño institucional"/>
    <s v="Producto"/>
    <n v="2"/>
    <n v="0"/>
    <n v="0"/>
    <n v="0"/>
    <n v="2"/>
    <n v="0"/>
    <s v="Actividad programada para el cuarto trimestre."/>
    <n v="0"/>
    <s v="Actividad programada para el cuarto trimestre."/>
    <n v="0"/>
    <s v="Actividad programada para el cuarto trimestre."/>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9"/>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Índice de desempeño institucional"/>
    <s v="Producto"/>
    <n v="9"/>
    <n v="0"/>
    <n v="3"/>
    <n v="3"/>
    <n v="3"/>
    <n v="0"/>
    <s v="Actividad programada a partir del segundo trimestre"/>
    <n v="3"/>
    <s v="Se realizó monitoreo mensual a los productos, trabajos y servicios no conformes y se generó la matriz con corte al segundo trimestre del 2021, la cual se incluye como evidencia. "/>
    <n v="3"/>
    <s v="Se realizó monitoreo mensual a los productos, trabajos y servicios no conformes y se generó la matriz con corte al tercer trimestre del 2021, la cual se incluye como evidencia. "/>
    <m/>
    <m/>
    <d v="2021-04-09T00:00:00"/>
    <d v="2021-07-02T00:00:00"/>
    <d v="2021-10-08T00:00:00"/>
    <m/>
    <n v="0.66666666666666663"/>
    <s v=""/>
    <n v="1"/>
    <n v="1"/>
    <s v=" "/>
    <s v="Sin meta asignada en el periodo"/>
    <s v="Concepto Favorable"/>
    <s v="Concepto Favorable"/>
    <m/>
    <s v="Sin meta asignada en el periodo"/>
    <s v="Se observa que el proceso monitorea el producto no conforme"/>
    <s v="De acuerdo con las evidencias, se observa que durante el tercer trimestre se realizó monitoreo mensual a los productos, trabajos y servicios no conformes y se generó la matriz con corte al tercer trimestre del 2021"/>
    <m/>
    <x v="1"/>
    <x v="0"/>
    <x v="0"/>
    <x v="0"/>
    <s v="Sin meta asignada en el periodo."/>
    <s v="De acuerdo a lo soportado por el proceso se evidencia el monitoreo mensual a los productos, trabajos y servicios no conformes y la generación de  la matriz con corte al segundo trimestre del 2021."/>
    <s v="De acuerdo a los soportes entregados, reportes de los procesos sede central y direcciones territoriales, se evidencia el avance reportado."/>
    <m/>
  </r>
  <r>
    <n v="20"/>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Índice de desempeño institucional"/>
    <s v="Producto"/>
    <n v="14"/>
    <n v="0"/>
    <n v="5"/>
    <n v="5"/>
    <n v="4"/>
    <n v="0"/>
    <s v="Actividad programada para el segundo y tercer trimestre"/>
    <n v="5"/>
    <s v="Se realizaron 5 autodiagnósticos a partir de las herramientas dispuestas por el DAFP y con la información registrada en el FURAG para la vigencia 2020. "/>
    <n v="5"/>
    <s v="Se realizaron 5 autodiagnósticos a partir de las herramientas dispuestas por el DAFP y con la información registrada en el FURAG para la vigencia 2020. "/>
    <m/>
    <m/>
    <d v="2021-04-09T00:00:00"/>
    <d v="2021-07-02T00:00:00"/>
    <d v="2021-10-08T00:00:00"/>
    <m/>
    <n v="0.7142857142857143"/>
    <s v=""/>
    <n v="1"/>
    <n v="1"/>
    <s v=" "/>
    <s v="Sin meta asignada en el periodo"/>
    <s v="Concepto Favorable"/>
    <s v="Concepto Favorable"/>
    <m/>
    <s v="Sin meta asignada en el periodo"/>
    <s v="se observa el diligenciamiento de los Autodiagnósticos durante el segundo trimestre"/>
    <s v="De acuerdo con las evidencias, se observa que durante el tercer trimestre Se realizaron 5 autodiagnósticos a partir de las herramientas dispuestas por el DAFP y con la información registrada en el FURAG para la vigencia 2020."/>
    <m/>
    <x v="1"/>
    <x v="0"/>
    <x v="0"/>
    <x v="0"/>
    <s v="Sin meta asignada en el periodo."/>
    <s v="Se presenta por el proceso la realización de 5 autodiagnósticos, verificando la realización de la actividad."/>
    <s v="De acuerdo a los soportes entregados, cinco (5) autodiagnósticos, se evidencia el avance reportado."/>
    <m/>
  </r>
  <r>
    <n v="21"/>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Índice de desempeño institucional"/>
    <s v="Producto"/>
    <n v="1"/>
    <n v="0"/>
    <n v="0"/>
    <n v="1"/>
    <n v="0"/>
    <n v="0"/>
    <s v="Actividad programada para los próximos trimestres."/>
    <n v="0"/>
    <s v="Actividad programada para el próximo trimestre. "/>
    <n v="1"/>
    <s v="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
    <m/>
    <m/>
    <d v="2021-04-09T00:00:00"/>
    <d v="2021-07-02T00:00:00"/>
    <d v="2021-10-08T00:00:00"/>
    <m/>
    <n v="1"/>
    <s v=""/>
    <s v=""/>
    <n v="1"/>
    <s v=" "/>
    <s v="Sin meta asignada en el periodo"/>
    <s v="Sin meta asignada en el periodo"/>
    <s v="Concepto Favorable"/>
    <m/>
    <s v="Sin meta asignada en el periodo"/>
    <s v="Sin meta asignada en el periodo"/>
    <s v="De acuerdo con las evidencias, se observa que durante el tercer trimestre se realizó informe comparativo con los resultados obtenidos en el FURAG en las vigencias 2019 -2020"/>
    <m/>
    <x v="1"/>
    <x v="1"/>
    <x v="0"/>
    <x v="0"/>
    <s v="Sin meta asignada en el periodo"/>
    <s v="Sin meta asignada en el periodo"/>
    <s v="De acuerdo a los soportes entregados, informe resultados FURAC 2019-2020, se evidencia el avance reportado."/>
    <m/>
  </r>
  <r>
    <n v="22"/>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Índice de desempeño institucional"/>
    <s v="Producto"/>
    <n v="4"/>
    <n v="0"/>
    <n v="2"/>
    <n v="1"/>
    <n v="1"/>
    <n v="0"/>
    <s v="Actividad programada para los próximos trimestres."/>
    <n v="3"/>
    <s v="Se realizaron 3 acompañamientos para la preparación del FURAG 2021 con los procesos de Gestión del conocimiento y la innovación, Gestión de tecnologías de la información y servicio al ciudadano"/>
    <n v="1"/>
    <s v="Se realizaron 6 acompañamientos para la preparación del FURAG 2021 con los procesos de Comunicaciones, Gestión Administrativa, Gestión Contractual, Gestión Documental, OAJ y Talento Humano. Se deja ejecución en 1 por ser una jornada masiva de acompañamiento. "/>
    <m/>
    <m/>
    <d v="2021-04-09T00:00:00"/>
    <d v="2021-07-02T00:00:00"/>
    <d v="2021-10-08T00:00:00"/>
    <m/>
    <n v="1"/>
    <s v=""/>
    <n v="1"/>
    <n v="1"/>
    <s v=" "/>
    <s v="Sin meta asignada en el periodo"/>
    <s v="Concepto Favorable"/>
    <s v="Concepto Favorable"/>
    <m/>
    <s v="Sin meta asignada en el periodo"/>
    <s v="se observa el acompañamiento a Gestión del conocimiento y la innovación, Gestión de tecnologías de la información y servicio al ciudadano para la formulación de las actividades a partir de los resultados del FURAG 2020"/>
    <s v="De acuerdo con las evidencias, se observa que durante el tercer trimestre se realizaron acompañamientos para la preparación del FURAG 2021 a partir de los resultados del FURAG 2020."/>
    <m/>
    <x v="1"/>
    <x v="0"/>
    <x v="0"/>
    <x v="0"/>
    <s v="Sin meta asignada en el periodo."/>
    <s v="Con las evidencias aportadas, se evidencia el acompañamiento tema FURAG a los procesos de Gestión del conocimiento y la innovación, Gestión de tecnologías de la información y servicio al ciudadano"/>
    <s v="De acuerdo a los soportes entregados, seis (6) formatos de preparación FURAC 2021, se evidencia el avance reportado."/>
    <m/>
  </r>
  <r>
    <n v="2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Índice de desempeño institucional"/>
    <s v="Producto"/>
    <n v="2"/>
    <n v="0"/>
    <n v="1"/>
    <n v="1"/>
    <n v="0"/>
    <n v="0"/>
    <s v="Actividad programada para el segundo y tercer trimestre"/>
    <n v="1"/>
    <s v="Se realizaron 18 sesiones de sensibilización sobre los temas del SGI en el componente de riesgos y en MIPG con los procesos y direcciones territoriales entre los días 15 y 18 de junio. "/>
    <n v="1"/>
    <s v="Se realizaron 8 sesiones de sensibilización sobre los temas centrales de la OAP, en lo que se incluyeron las generalidades, medición y resultados de MIPG. Esta actividad se desarrolló con procesos y Direcciones Territoriales entre el 15 y 22 de septiembre. "/>
    <m/>
    <m/>
    <d v="2021-04-09T00:00:00"/>
    <d v="2021-07-02T00:00:00"/>
    <d v="2021-10-08T00:00:00"/>
    <m/>
    <n v="1"/>
    <s v=""/>
    <n v="1"/>
    <n v="1"/>
    <s v=" "/>
    <s v="Sin meta asignada en el periodo"/>
    <s v="Concepto Favorable"/>
    <s v="Concepto Favorable"/>
    <m/>
    <s v="Sin meta asignada en el periodo"/>
    <s v="Se observa que el proceso realizo sensibilizaciones acerca de los temas del SGI-MIPG durante el segundo trimestre"/>
    <s v="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
    <m/>
    <x v="1"/>
    <x v="0"/>
    <x v="0"/>
    <x v="0"/>
    <s v="Sin meta asignada en el periodo."/>
    <s v="Se evidencia la realización de sensibilizaciones en los temas del SGI-MIPG durante el periodo."/>
    <s v="De acuerdo a los soportes entregados, sensibilizaciones realizadas, se evidencia el avance reportado"/>
    <m/>
  </r>
  <r>
    <n v="2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Índice de desempeño institucional"/>
    <s v="Producto"/>
    <n v="1"/>
    <n v="0"/>
    <n v="0.1"/>
    <n v="0.9"/>
    <n v="0"/>
    <n v="0.1"/>
    <s v="Se realizó socialización y aprobación del programa de auditoria "/>
    <n v="0.1"/>
    <s v="Se realizó socialización y aprobación del programa de auditoria en su versión 2 en el que se actualizaron los meses de inicio de las auditorías internas "/>
    <n v="0.3"/>
    <s v="Dado el proceso de modernización de la entidad, las auditorías internas se reprogramaron para el último trimestre del año. No obstante, para este periodo se adelantaron las acciones de planificación de las auditorías. "/>
    <m/>
    <m/>
    <d v="2021-04-09T00:00:00"/>
    <d v="2021-07-02T00:00:00"/>
    <d v="2021-10-08T00:00:00"/>
    <m/>
    <n v="0.5"/>
    <s v=""/>
    <n v="1"/>
    <n v="0.53333333333333333"/>
    <s v=" "/>
    <s v="Concepto Favorable"/>
    <s v="Concepto Favorable"/>
    <s v="Concepto Favorable"/>
    <m/>
    <s v="Se observa que se  realizó aprobación del programa de auditoria en el Comité de Coordinación de Control Interno"/>
    <s v="Se observa que el proceso realizó la socialización y aprobación del programa de auditoria."/>
    <s v="De acuerdo con las evidencias, se observa que durante el tercer trimestre se adelantaron las acciones de planificación de las auditorías internas al SGI."/>
    <m/>
    <x v="0"/>
    <x v="0"/>
    <x v="2"/>
    <x v="0"/>
    <s v="Se verifica en documento excel el programa de auditoria internas al SGI."/>
    <s v="Según lo evidenciado el proceso realizó la socialización y aprobación del programa de auditorias internas del SGI."/>
    <s v="De acuerdo a los soportes entregados, planificación proceso de auditorías al SGI, se evidencia el avance reportado, que se encuentra por debajo de lo programadao."/>
    <m/>
  </r>
  <r>
    <n v="25"/>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Í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n v="0"/>
    <s v="Actividad completada satisfactoriamente el periodo anterior. "/>
    <n v="1"/>
    <s v="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
    <m/>
    <m/>
    <d v="2021-04-09T00:00:00"/>
    <d v="2021-07-02T00:00:00"/>
    <d v="2021-10-08T00:00:00"/>
    <m/>
    <n v="1"/>
    <n v="0"/>
    <s v=""/>
    <s v=""/>
    <s v=" "/>
    <s v="Concepto Favorable"/>
    <s v="Sin meta asignada en el periodo"/>
    <s v="Concepto Favorable"/>
    <m/>
    <s v="Se observa justificación para reprogramar la actividad para la última semana del mes de abril de 2021. "/>
    <s v="Sin meta asignada en el periodo"/>
    <s v="De acuerdo con los registros, se observa se incluyen evidencias de la sesión de Comité Institucional de Gestión y desempeño en el que se presentó la Revisión por la dirección, con el fin de ajustar el dato dejado de reportar en el segundo trimestre 2021."/>
    <m/>
    <x v="0"/>
    <x v="1"/>
    <x v="0"/>
    <x v="0"/>
    <s v="Se observa la justificación por parte del proceso, para la reprogramación de la actividad para el mes de abril de 2021."/>
    <s v="Sin meta asignada en el periodo"/>
    <s v="De acuerdo a los soportes entregados, revisión por la dirección, se evidencia el avance reportado."/>
    <m/>
  </r>
  <r>
    <n v="26"/>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Índice de desempeño institucional"/>
    <s v="Producto"/>
    <n v="1"/>
    <n v="0"/>
    <n v="0"/>
    <n v="0"/>
    <n v="1"/>
    <n v="0"/>
    <s v="Actividad programada para el cuarto trimestre."/>
    <n v="0"/>
    <s v="Actividad programada para el cuarto trimestre. Sin meta asignada. "/>
    <n v="0"/>
    <s v="Actividad programada para el cuarto trimestre. Sin meta asignada. "/>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27"/>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Se realizó seguimiento al Plan de trabajo del SGA donde se da cumplimiento al 100% de las actividades programadas. "/>
    <n v="1"/>
    <s v="Se realizó seguimiento al Plan de trabajo del SGA donde se da cumplimiento al 100% de las actividades programadas. "/>
    <m/>
    <m/>
    <d v="2021-04-09T00:00:00"/>
    <d v="2021-07-02T00:00:00"/>
    <d v="2021-10-08T00:00:00"/>
    <m/>
    <n v="0.5"/>
    <s v=""/>
    <n v="1"/>
    <n v="1"/>
    <s v=" "/>
    <s v="Sin meta asignada en el periodo"/>
    <s v="Concepto Favorable"/>
    <s v="Concepto Favorable"/>
    <m/>
    <s v="Sin meta asignada en el periodo"/>
    <s v="Se observa que el proceso hace seguimiento a la implementación del plan de trabajo del Sistema de Gestión Ambiental"/>
    <s v="De acuerdo con las evidencias, se observa que durante el tercer trimestre se realizó seguimiento al plan de trabajo ambiental"/>
    <m/>
    <x v="1"/>
    <x v="0"/>
    <x v="0"/>
    <x v="0"/>
    <s v="Sin meta asignada en el periodo."/>
    <s v="Se evidencia el seguimiento a la implementación del plan de trabajo del Sistema de Gestión Ambiental, de acuerdo a las evidencias aportadas por el proceso."/>
    <s v="De acuerdo a los soportes entregados, plan de trabajo ambiental 2021 , se evidencia el avance reportado."/>
    <m/>
  </r>
  <r>
    <n v="28"/>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s v="Número"/>
    <s v="Porcentaje de avance del plan de mantenimiento del SGA Implementado"/>
    <s v="Efectividad"/>
    <n v="1"/>
    <n v="0"/>
    <n v="0"/>
    <n v="1"/>
    <n v="0"/>
    <n v="0"/>
    <s v="Actividad programada para los siguientes trimestres trimestre."/>
    <n v="0"/>
    <s v="Actividad programada para el tercer trimestre. Sin meta asignada para este periodo. "/>
    <n v="1"/>
    <s v="Se realizó la actualización de la matriz legal ambiental para el 2021 y se publica en la página web: https://www.igac.gov.co/es/contenido/sistema-de-gestion-de-ambiental"/>
    <m/>
    <m/>
    <d v="2021-04-09T00:00:00"/>
    <d v="2021-07-02T00:00:00"/>
    <d v="2021-10-08T00:00:00"/>
    <m/>
    <n v="1"/>
    <s v=""/>
    <s v=""/>
    <n v="1"/>
    <s v=" "/>
    <s v="Sin meta asignada en el periodo"/>
    <s v="Sin meta asignada en el periodo"/>
    <s v="Concepto Favorable"/>
    <m/>
    <s v="Sin meta asignada en el periodo"/>
    <s v="Sin meta asignada en el periodo"/>
    <s v="Revisado el enlace citado, se observa que aparece publicada la matriz actualizada de cumplimiento legal ambiental"/>
    <m/>
    <x v="1"/>
    <x v="1"/>
    <x v="0"/>
    <x v="0"/>
    <s v="Sin meta asignada en el periodo."/>
    <s v="Sin meta asignada en el periodo"/>
    <s v="Revisado el link: https://www.igac.gov.co/es/contenido/sistema-de-gestion-de-ambiental, se evidencia el avance reportado."/>
    <m/>
  </r>
  <r>
    <n v="29"/>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Dentro del seguimiento del Plan de Gestión del SGA se contempla el monitoreo del cumplimiento legal ambiental, de manera que al realizar esta actividad trimestralmente, se está realizando también el seguimiento de esta actividad. "/>
    <n v="1"/>
    <s v="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
    <m/>
    <m/>
    <d v="2021-04-09T00:00:00"/>
    <d v="2021-07-02T00:00:00"/>
    <d v="2021-10-08T00:00:00"/>
    <m/>
    <n v="0.5"/>
    <s v=""/>
    <n v="1"/>
    <n v="1"/>
    <s v=" "/>
    <s v="Sin meta asignada en el periodo"/>
    <s v="Concepto Favorable"/>
    <s v="Concepto Favorable"/>
    <m/>
    <s v="Sin meta asignada en el periodo"/>
    <s v="Se observa que el proceso hace seguimiento al  cumplimiento legal ambiental durante el segundo trimestre"/>
    <s v="De acuerdo con las evidencias, se observa que durante el tercer trimestre se realizó seguimiento al  cumplimiento legal ambiental."/>
    <m/>
    <x v="1"/>
    <x v="0"/>
    <x v="0"/>
    <x v="0"/>
    <s v="Sin meta asignada en el periodo."/>
    <s v="Se evidencia el cumplimiento en la realización de seguimiento al  cumplimiento legal ambiental."/>
    <s v="De acuerdo a los soportes entregados, plan de trabajo ambiental direcciones territoriales_x000d__x000a_2021, se evidencia el avance reportado._x000d__x000a_"/>
    <m/>
  </r>
  <r>
    <n v="1"/>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onsolidar los inventarios de los módulos ERP (SAE y SAI) a nivel nacional, realizar el cierre de movimientos y actualización en la Sede Central (por demanda)"/>
    <d v="2021-01-01T00:00:00"/>
    <d v="2021-12-31T00:00:00"/>
    <s v="Back Up, informes"/>
    <s v="Subdirección Administrativa y Financiera"/>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n v="3"/>
    <s v="Durante el segundo trimestre se consolidó los inventarios de los modulos ERP (SAE y SAI) a nivel nacional, se realizó  el cierre de movimientos y actualización en la Sede Central (por demanda). Para este periodo se evidencia los back up de los meses de marzo, abril y mayo."/>
    <n v="3"/>
    <s v="Durante el tercer trimestre se consolidó los inventarios de los modulos ERP (SAE y SAI) a nivel nacional, se realizó  el cierre de movimientos y actualización en la Sede Central (por demanda). Para este periodo se evidencia los back up de los meses de julio, agosto y septiembre"/>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s v="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
    <s v="Se verifica ejecución de la actividad con los soportes suministrados (Backup devolutivo SAI, Backup SAE y cierre movimientos módulos ERP SAE y SAI, Backup Consumo correspondientes a julio, agosto y septiembre de 2021)"/>
    <m/>
  </r>
  <r>
    <n v="2"/>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Depurar inventario, propiedad planta y equipo, y realizar el levantamiento del mismo. "/>
    <d v="2021-03-01T00:00:00"/>
    <d v="2021-12-31T00:00:00"/>
    <s v="Archivo del inventario físico"/>
    <s v="Subdirección Administrativa y Financiera"/>
    <s v="Porcentaje"/>
    <s v="Porcentaje de bienes de consumo y devolutivos registrados en el sistema"/>
    <s v="Eficacia"/>
    <n v="1"/>
    <n v="0.1"/>
    <n v="0.1"/>
    <n v="0.4"/>
    <n v="0.4"/>
    <n v="0.1"/>
    <s v="Durante el trimestre evaluado se depuró inventario, propiedad planta y equipo, y se realizó el levantamiento del mismo. "/>
    <n v="0.1"/>
    <s v="Durante el trimestre evaluado se depuró inventario, propiedad planta y equipo, y se realizó el levantamiento del mismo. "/>
    <n v="0.4"/>
    <s v="Durante el trimestre evaluado se depuró inventario, propiedad planta y equipo, y se realizó el levantamiento del mismo. "/>
    <m/>
    <m/>
    <d v="2021-04-09T00:00:00"/>
    <d v="2021-07-02T00:00:00"/>
    <d v="2021-10-11T00:00:00"/>
    <m/>
    <n v="0.60000000000000009"/>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os soportes suministrados y los documentos &quot;INFORME LEVANTAMIENTO DE INVENTARIO CONSUMO&quot; para los meses de enero, febrero y marzo se observa la ejecución de la actividad."/>
    <s v="Teniendo en cuenta los soportes suministrados y los documentos &quot;INFORME LEVANTAMIENTO DE INVENTARIO BIENES EN BODEGA&quot; para los meses de abril, mayo y junio se observa la ejecución de la actividad."/>
    <s v="Se observa ejecución de la actividad con los Informes de Levantamiento de Inventarios de Bienes de Consumo correspondientes a los meses de julio, agosto y septiembre de 2021."/>
    <m/>
  </r>
  <r>
    <n v="3"/>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ustodiar y controlar el ingreso y salida de elementos"/>
    <d v="2021-01-01T00:00:00"/>
    <d v="2021-12-31T00:00:00"/>
    <s v="Correos, electrónicos, informes, relación de elementos que ingresan y salen"/>
    <s v="Subdirección Administrativa y Financiera"/>
    <s v="Porcentaje"/>
    <s v="Porcentaje de bienes de consumo y devolutivos registrados en el sistema"/>
    <s v="Eficacia"/>
    <n v="1"/>
    <n v="0.25"/>
    <n v="0.25"/>
    <n v="0.25"/>
    <n v="0.25"/>
    <n v="0.25"/>
    <s v="El GIT de Almacen realizó la custodia y el control de ingreso y salida de elementos durante el primer trimestre"/>
    <n v="0.25"/>
    <s v="El GIT de Almacen realizó la custodia y el control de ingreso y salida de elementos durante el segundo trimestre"/>
    <n v="0.25"/>
    <s v="El proceso de gestión de inventario realizó la custodia y el control de ingreso y salida de elementos durante el tercer trimestre"/>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observa registro de bienes de consumo y devolutivos en el módulos SAE y SAI de los meses de enero, febreo y marzo, por lo que existen evidencias del desarrollo de la actividad."/>
    <s v="Teniendo en cuenta los soportes suministrados se observa inventario de bienes de consumo en los módulos de SAE y SAI de los meses abril y mayo."/>
    <s v="Se evidencia ejecución de la actividad a través de los reportes SAE y SAI de julio, agosto y septiembre de 2021, reportes de ingreso de bienes de julio y agosto 2021 y el correo electrónico del 06/08/2021 sobre envío de la información de julio 2021 movimientos SAI Sede Central, Boletín Contable y reportes y backup inventarios a nivel nacional, entre otros. "/>
    <m/>
  </r>
  <r>
    <n v="4"/>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proceso de bajas de bienes"/>
    <d v="2021-01-01T00:00:00"/>
    <d v="2021-12-31T00:00:00"/>
    <s v="Correos, informes"/>
    <s v="Subdirección Administrativa y Financiera"/>
    <s v="Porcentaje"/>
    <s v="Porcentaje de bienes de consumo y devolutivos registrados en el sistema"/>
    <s v="Eficacia"/>
    <n v="1"/>
    <n v="0.25"/>
    <n v="0.25"/>
    <n v="0.25"/>
    <n v="0.25"/>
    <n v="0.25"/>
    <s v="Durante el primer trimestre se realizó el proceso de bajas de bienes"/>
    <n v="0.25"/>
    <s v="El GIT de Almacen realizó durante el segundo trimestre el proceso de bajas de bienes"/>
    <n v="0.25"/>
    <s v="El proceso de gestión de inventario realizó durante el tercer trimestre el proceso de bajas de bienes"/>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s v="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
    <s v="Se verifica ejecución de la actividad mediante el listado de bienes suceptibles de baja con corte 10/09/2021 y los reportes reintegro de bienes de julio, agosto y septiembre de 2021, entre otros. "/>
    <m/>
  </r>
  <r>
    <n v="5"/>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d v="2021-04-01T00:00:00"/>
    <d v="2021-12-31T00:00:00"/>
    <s v="Solicitud de publicación de los tips y/o publicación de los tips"/>
    <s v="Subdirección Administrativa y Financiera"/>
    <s v="Número"/>
    <s v="Porcentaje de bienes de consumo y devolutivos registrados en el sistema"/>
    <s v="Eficacia"/>
    <n v="8"/>
    <n v="2"/>
    <n v="2"/>
    <n v="2"/>
    <n v="2"/>
    <n v="3"/>
    <s v="El GIT de Almacen publicó 3 tips durante este primer trimestre"/>
    <n v="2"/>
    <s v="El GIT de Almacen publicó 2 tips durante el segundo trimestre"/>
    <n v="2"/>
    <s v="El proceso de gestión de inventario publicó 2 tips durante el tercer trimestre"/>
    <m/>
    <m/>
    <d v="2021-04-09T00:00:00"/>
    <d v="2021-07-02T00:00:00"/>
    <d v="2021-10-11T00:00:00"/>
    <m/>
    <n v="0.8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GIT de Almacén envío mediante correos electrónicos de fechas 17, 24 y 26 de marzo tips respecto a los procesos que se encuentran a cargo de esta área."/>
    <s v="Teniendo en cuenta los soportes suministrados  se presentan dos tips enviados por correo electrónico de fechas 25 y 27 de junio con información de interes del almacén general"/>
    <s v="Se evidencia ejecución mediante los correos electrónicos del 12/07/2021 (se publican 3 tips) y 14/07/2021 (se publican 4 tips)."/>
    <m/>
  </r>
  <r>
    <n v="6"/>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Socialización, capacitación y acompañamiento a las Direcciones Territoriales en los tema de almacén"/>
    <d v="2021-04-01T00:00:00"/>
    <d v="2021-12-31T00:00:00"/>
    <s v="Reuniones, correos electrónicos"/>
    <s v="Subdirección Administrativa y Financiera"/>
    <s v="Número"/>
    <s v="Porcentaje de bienes de consumo y devolutivos registrados en el sistema"/>
    <s v="Eficacia"/>
    <n v="8"/>
    <n v="2"/>
    <n v="2"/>
    <n v="2"/>
    <n v="2"/>
    <n v="5"/>
    <s v="El GIT de Almacen realizó el acompañamiento a las Direcciones territoriales en los temas de almacen"/>
    <n v="5"/>
    <s v="El GIT de Almacen realizó el acompañamiento a las Direcciones territoriales en los temas de almacen"/>
    <n v="16"/>
    <s v="El proceso realizó el acompañamiento a las Direcciones territoriales en los temas de almacen"/>
    <m/>
    <m/>
    <d v="2021-04-09T00:00:00"/>
    <d v="2021-07-02T00:00:00"/>
    <d v="2021-10-11T00:00:00"/>
    <m/>
    <n v="1"/>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s v="Teniendo en cuenta los soportes suministrados se observa acompañamiento realizado durante el trimestre a las Direcciones Territoriales de: Caldas, Atlantico, Tolima y  Norte de Santander."/>
    <s v="Se observa cumplimiento de la actividad mediante correo del 04/08/2021 sobre habilitación de tercero para DT Tolima, correo 15/09/2021 acompañamiento solicitud de bienes DT Cesar, capacitación 27/07/2021 sobre funcionalidades ERP SAI almacenista DT Caldas, entre otros"/>
    <m/>
  </r>
  <r>
    <n v="7"/>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ísica y actualizar el diagnostico de las necesidades de infraestructura física a nivel nacional para la vigencia"/>
    <d v="2021-01-01T00:00:00"/>
    <d v="2021-11-30T00:00:00"/>
    <s v="Correos, formato de diagnostico, listas de asistencia, diagnostico de necesidades a nivel nacional"/>
    <s v="Subdirección Administrativa y Financiera"/>
    <s v="Porcentaje"/>
    <s v=" Porcentaje de avance del Plan de Infraestructura Física del IGAC implementado"/>
    <s v="Eficiencia"/>
    <n v="1"/>
    <n v="0"/>
    <n v="0"/>
    <n v="0"/>
    <n v="1"/>
    <n v="1"/>
    <s v="Se realizó el acompañamiento a las Direcciones Territoriales"/>
    <n v="1"/>
    <s v="Se realizó el acompañamiento a las Direcciones Territoriales"/>
    <n v="1"/>
    <s v="Se realizó el acompañamiento a las Direcciones Territoriales"/>
    <m/>
    <m/>
    <d v="2021-04-09T00:00:00"/>
    <d v="2021-07-02T00:00:00"/>
    <d v="2021-10-11T00:00:00"/>
    <m/>
    <n v="1"/>
    <s v=""/>
    <s v=""/>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correos electrónicos con el acompañamiento a las Direcciones Territoriales en la atención de necesidades de infraestructura fisica y la actualización del diagnostico de las necesidades de infraestructura fisica."/>
    <s v="Se observa acompañamiento mediante los Informes de Gestión de abril, mayo y junio de 2021, la ficha de Autodiagnóstico NTC6047 de Territoriales, el Informe de Gestión segundo trimstre 2021 e imagenes de la DT Bolívar. "/>
    <s v="Se observa ejecución de la actividad mediante el Informe de Gestión de Agosto 2021."/>
    <m/>
  </r>
  <r>
    <n v="8"/>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Subdirección Administrativa y Financiera"/>
    <s v="Número"/>
    <s v=" Porcentaje de avance del Plan de Infraestructura Física del IGAC implementado"/>
    <s v="Eficiencia"/>
    <n v="1"/>
    <n v="0"/>
    <n v="1"/>
    <n v="0"/>
    <n v="0"/>
    <n v="0"/>
    <s v="Esta actividad se desarrollará en el siguiente trimestre"/>
    <n v="1"/>
    <s v="Se elaboró el plan de infraestructura durante el segundo trimestre"/>
    <n v="0"/>
    <s v="Sin meta para el trimestre"/>
    <m/>
    <m/>
    <d v="2021-04-09T00:00:00"/>
    <d v="2021-07-02T00:00:00"/>
    <d v="2021-10-11T00:00:00"/>
    <m/>
    <n v="1"/>
    <s v=""/>
    <n v="1"/>
    <s v=""/>
    <s v=" "/>
    <s v="Sin meta asignada en el periodo"/>
    <s v="Concepto Favorable"/>
    <s v="Sin meta asignada en el periodo"/>
    <m/>
    <s v="Sin meta asignada en el periodo"/>
    <s v="se verificó el cargue de la evidencia y el reporte del avance"/>
    <s v="Sin meta asignada en el periodo"/>
    <m/>
    <x v="1"/>
    <x v="0"/>
    <x v="1"/>
    <x v="0"/>
    <s v="No hay meta programada para el periodo"/>
    <s v="Se verifica ejecución de actividad mediante documentos Plan de Infraestructura mantenimiento sede central 2021, excel de Direcciones Territoriales 2021 y Cronograma actividades infraestrctura 2021."/>
    <s v="Sin meta para el tercer trimestre."/>
    <m/>
  </r>
  <r>
    <n v="9"/>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l seguimiento realizado por el GIT Servicios Administrativos a través de los Informes de Seguimiento a los Proyectos de Inversión de los meses de abril, mayo, junio de 2021 y de la presentación sobre Proyectos de Inversión Primer Semestre 2021. "/>
    <s v="se observa seguimiento realizado por la dependencia mediante los Informes de Seguimiento Proyectos de Inversión de julio, agosto y septiembre 2021."/>
    <m/>
  </r>
  <r>
    <n v="10"/>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jecución de actividad con la presentación de los Proyectos de Inversión primer semestre 2021 y los Informes de seguimiento proyectos de inversión de abril, mayo y junio 2021. "/>
    <s v="Se verifica ejecución a traves de los Seguimientos Proyectos de Inversión de julio, agosto y septiembre de 2021. "/>
    <m/>
  </r>
  <r>
    <n v="11"/>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seguimiento con Informes de proyectos de Inversión de abril, mayo y junio 2021 así como la presentación de Informe Proyectos de Inversión primer semestre 2021. "/>
    <s v="Se observa ejecución de actividad mediante seguimiento proyectos de inversión del tercer trimestre 2021."/>
    <m/>
  </r>
  <r>
    <n v="12"/>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Subdirección Administrativa y Financiera"/>
    <s v="Número"/>
    <s v="Porcentaje de avance plan de seguridad vial Implementado "/>
    <s v="Eficiencia"/>
    <n v="12"/>
    <n v="3"/>
    <n v="3"/>
    <n v="3"/>
    <n v="3"/>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seguimientos correspondientes a los meses de enero, febrero y marzo, al contrato numero 23936 DE 2020 de servicio de transporte especial."/>
    <s v="Se observa seguimiento mediante documentos del 31/04/2021 y 02/06/2021 sobre contrato transporte especial, documento 28/06/2021 seguimiento contrato 247381 de 2021 e Informes sobre Transporte de abril y mayo 2021."/>
    <s v="Se evidencia seguimiento realizado en el trimestre mediante Informe sistema transporte de julio-agosto y septiembre 2021, factura electrónica de venta Fe587 del 13/09/2021, entre otros soportes."/>
    <m/>
  </r>
  <r>
    <n v="13"/>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Subdirección Administrativa y Financiera"/>
    <s v="Porcentaje"/>
    <s v="Porcentaje de avance plan de seguridad vial Implementado "/>
    <s v="Eficiencia"/>
    <n v="1"/>
    <n v="0.25"/>
    <n v="0.25"/>
    <n v="0.25"/>
    <n v="0.25"/>
    <n v="0.25"/>
    <s v="Se atendieron y se realizó seguimiento a las solicitudes de servicios de transporte del parque automotor en la Sede Central."/>
    <n v="0.25"/>
    <s v="Se atendieron y se realizó seguimiento a las solicitudes de servicios de transporte del parque automotor en la Sede Central."/>
    <n v="0.25"/>
    <s v="Se atendieron y se realizó seguimiento a las solicitudes de servicios de transporte del parque automotor en la Sede Central."/>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formatos F20603-04/14 Solicitud-Servicio-de- Transporte de los meses de enero y febrero, en los que se evidencia la atención de los servicios prestados, pero no se evidencia el seguimiento realizado."/>
    <s v="Se verifica seguimiento y atención de servicios de transporte a través del Informe del segundo trimestre 2021 y las muestras de abril, mayo y junio 2021."/>
    <s v="Se verifica ejecución de la actividad con Informes de julio, agosto y septiembre de 2021"/>
    <m/>
  </r>
  <r>
    <n v="14"/>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égico de Seguridad Vial"/>
    <d v="2021-01-01T00:00:00"/>
    <d v="2021-12-31T00:00:00"/>
    <s v="Seguimiento del Plan, informes, correos"/>
    <s v="Subdirección Administrativa y Financiera"/>
    <s v="Número"/>
    <s v="Porcentaje de avance plan de seguridad vial Implementado "/>
    <s v="Eficiencia"/>
    <n v="4"/>
    <n v="0"/>
    <n v="1"/>
    <n v="1"/>
    <n v="2"/>
    <n v="1"/>
    <s v="Se realizó seguimiento al Plan Estratégico de Seguridad Vial"/>
    <n v="1"/>
    <s v="Se realizó seguimiento al Plan Estratégico de Seguridad Vial"/>
    <n v="1"/>
    <s v="Se realizó seguimiento al Plan Estratégico de Seguridad Vial"/>
    <m/>
    <m/>
    <d v="2021-04-09T00:00:00"/>
    <d v="2021-07-02T00:00:00"/>
    <d v="2021-10-11T00:00:00"/>
    <m/>
    <n v="0.75"/>
    <s v=""/>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seguimiento al Plan Estrategico de Seguridad Vial realizados durante los meses de febrero y marzo. "/>
    <s v="Se observa seguimiento con evidencias registradas de abril, mayo y junio 2021 y reporte de avance."/>
    <s v="Se verifica seguimiento al Plan de seguridad Vial con los Informes sobre Sistema de Transporte de julio, agosto y septiembre de 2021, entre otros."/>
    <m/>
  </r>
  <r>
    <n v="15"/>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desarrollará en el tercer trimestre"/>
    <n v="0"/>
    <s v="Esta actividad se desarrollará en el tercer trimestre"/>
    <n v="0.5"/>
    <s v="Se establecio cronograma para la actualización de los documentos que se encuentran en el SGI"/>
    <m/>
    <m/>
    <d v="2021-04-09T00:00:00"/>
    <d v="2021-07-02T00:00:00"/>
    <d v="2021-10-11T00:00:00"/>
    <m/>
    <n v="0.5"/>
    <s v=""/>
    <s v=""/>
    <n v="1"/>
    <s v=" "/>
    <s v="Sin meta asignada en el periodo"/>
    <s v="Sin meta asignada en el periodo"/>
    <s v="Concepto Favorable"/>
    <m/>
    <s v="Sin meta asignada en el periodo"/>
    <s v="Sin meta asignada en el periodo"/>
    <s v="se verificó el cargue de la evidencia y el reporte del avance"/>
    <m/>
    <x v="1"/>
    <x v="1"/>
    <x v="0"/>
    <x v="0"/>
    <s v="No se registra avance durante el trimestre"/>
    <s v="Meta asignada para ejecutar en el tercer trimestre."/>
    <s v="Se verifica ejecución de la actividad mediante cronograma del 24/09/2021. "/>
    <m/>
  </r>
  <r>
    <n v="16"/>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realizó el seguimiento a los controles de los riesgos del proceso "/>
    <n v="1"/>
    <s v="Se realizó el seguimiento a los controles de los riesgos del proceso "/>
    <n v="1"/>
    <s v="Se realizó el seguimiento a los controles de los riesgos del proceso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correo del 14-04-2021 en el que remiten seguimiento del Plan de Acción Anual y de los Riesgos de la Secretaría General."/>
    <s v="Se realizó ejecución de la actividad mediante cargue de evidencia y reporte de avance."/>
    <s v="Se verifica ejecución de la actividad con excel planigac Servicios Administrativos y correo en que se remite Planigac y seguimiento Plan Anticorrupción tercer trimestre 2021."/>
    <m/>
  </r>
  <r>
    <n v="17"/>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desarrollará en el cuarto trimestre"/>
    <n v="0"/>
    <s v="Esta actividad se desarrollará en el cuarto trimestre"/>
    <n v="0"/>
    <s v="Esta actividad se desarrollará en el cuarto trimestre"/>
    <m/>
    <m/>
    <d v="2021-04-09T00:00:00"/>
    <d v="2021-07-02T00:00:00"/>
    <d v="2021-10-11T00:00:00"/>
    <m/>
    <n v="0"/>
    <s v=""/>
    <s v=""/>
    <s v=""/>
    <s v=" "/>
    <s v="Sin meta asignada en el periodo"/>
    <s v="Sin meta asignada en el periodo"/>
    <s v="Sin meta asignada en el periodo"/>
    <m/>
    <s v="Sin meta asignada en el periodo"/>
    <s v="Sin meta asignada en el periodo"/>
    <s v="Sin meta asignada en el periodo"/>
    <m/>
    <x v="1"/>
    <x v="1"/>
    <x v="1"/>
    <x v="0"/>
    <s v="No estaba programdo avance para el periodo"/>
    <s v="Sin meta asignada en el segundo trimestre."/>
    <s v="Sin meta asignada para el periodo."/>
    <m/>
  </r>
  <r>
    <n v="18"/>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reportes de seguimiento al plan de acción anual y al plan anticorrupción del proceso de Gestión de Servicios Administrativos, igualmente, se evidencia archivo Planigac y archivo Excel de seguimiento al plan anticorrupción."/>
    <s v="Se observa ejecución de la actividad mediante el cargue de evidencia y reporte del avance (Excel seguimiento segundo trimestre 2021 Plan Anticorrupción y archivo Planigac)."/>
    <s v="Se verifica ejecución de la actividad a través de correo sobre envío Planigac Servicios Administrativos y Plan Anticorrupción tercer trimestre 2021 y excel seguimiento Plan Anticorrupcion tercer trimestre, entre otros.  "/>
    <m/>
  </r>
  <r>
    <n v="19"/>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desarrollará en el cuarto trimestre"/>
    <n v="0"/>
    <s v="Esta actividad se desarrollará en el cuarto trimestre"/>
    <n v="0"/>
    <s v="Esta actividad se desarrollará en el cuarto trimestre"/>
    <m/>
    <m/>
    <d v="2021-04-09T00:00:00"/>
    <d v="2021-07-02T00:00:00"/>
    <d v="2021-10-11T00:00:00"/>
    <m/>
    <n v="0"/>
    <s v=""/>
    <s v=""/>
    <s v=""/>
    <s v=" "/>
    <s v="Sin meta asignada en el periodo"/>
    <s v="Sin meta asignada en el periodo"/>
    <s v="Concepto Favorable"/>
    <m/>
    <s v="Sin meta asignada en el periodo"/>
    <s v="Sin meta asignada en el periodo"/>
    <s v="se verificó el cargue de la evidencia y el reporte del avance"/>
    <m/>
    <x v="1"/>
    <x v="1"/>
    <x v="1"/>
    <x v="0"/>
    <s v="No hay avance programado para el periodo"/>
    <s v="Sin meta para este trimestre."/>
    <s v="Sin meta asignada para el periodo."/>
    <m/>
  </r>
  <r>
    <n v="20"/>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desarrollará en el siguiente trimestre"/>
    <n v="0"/>
    <s v="Esta actividad se desarrollará en el siguiente trimestre"/>
    <n v="2"/>
    <s v="Se desarrollo mesa de trabajo con la OAP en la cual se identificaron las acciones de merjoa para el cumpliento del FURAG"/>
    <m/>
    <m/>
    <d v="2021-04-09T00:00:00"/>
    <d v="2021-07-02T00:00:00"/>
    <d v="2021-10-11T00:00:00"/>
    <m/>
    <n v="0.5"/>
    <s v=""/>
    <n v="0"/>
    <n v="1"/>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para este trimestre."/>
    <s v="Se evidencia ejecución de la actividad mediante correo del 29/09/2021 sobre preparación FURAG 2021-2022 de Servicios Administrativos y documento excel."/>
    <m/>
  </r>
  <r>
    <n v="1"/>
    <x v="2"/>
    <s v="Avalúos Comerciales"/>
    <s v="Avalúos comerciales elaborados _x000a_"/>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o la totalidad de los que sean solicitados en caso que sea un número inferior"/>
    <d v="2021-01-01T00:00:00"/>
    <d v="2021-12-31T00:00:00"/>
    <s v="Reporte Excel de avalúos "/>
    <s v="Subdirección de Avalúos"/>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n v="120"/>
    <s v="Abril: Para el mes de Abril se entregaron 13 avalúos comerciales, los cuales fueron reportados por Sede Central (8), Norte de Santander (2), Tolima (2) y Meta (1)_x000d__x000a_Mayo: Para el mes de Mayo se entregaron 13 avalúos comerciales, los cuales fueron reportados por Sede Central (10), Cundinamarca (1), Santander (1), y Tolima (1)_x000d__x000a_Junio: Para el mes de Junio se entregaron 41 avalúos comerciales, los cuales fueron reportados por Sede Central (16), Magdalena (8) Meta (7), Cauca (6), y Córdoba (3) y Nariño (1)_x000d__x000a_"/>
    <n v="730"/>
    <s v="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
    <m/>
    <m/>
    <d v="2021-04-09T00:00:00"/>
    <d v="2021-07-02T00:00:00"/>
    <d v="2021-10-14T00:00:00"/>
    <m/>
    <n v="0.43623188405797103"/>
    <n v="0.75714285714285712"/>
    <n v="1"/>
    <n v="1"/>
    <s v=" "/>
    <s v="Concepto Favorable"/>
    <s v="Concepto Favorable"/>
    <s v="Concepto Favorable"/>
    <m/>
    <s v="Reportaron los avalúos realizados"/>
    <s v="La subdireccion realiza el reporte de los avalúos realizados"/>
    <s v="El proceso reporta la realización de los avalúos (730) a nivel nacional"/>
    <m/>
    <x v="0"/>
    <x v="0"/>
    <x v="2"/>
    <x v="0"/>
    <s v="Se evidencia reporte Excel de avalúos con 53 realizados en el primer trimestre."/>
    <s v="Se evidencia reporte Excel de avalúos con 67 realizados en el segundo trimestre. Nota: se reportaron 120 por el proceso y no corresponde al reporte. "/>
    <s v="Se evidencia reporte Excel de avalúos con 610 realizados en el tercer trimestre. Nota: no cumple con la meta para este trimestre."/>
    <m/>
  </r>
  <r>
    <n v="2"/>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Subdirección de Avalúos"/>
    <s v="Porcentaje"/>
    <s v="Desarrollo e implementación de la herramienta de avalúos"/>
    <s v="Producto"/>
    <n v="1"/>
    <n v="0"/>
    <n v="1"/>
    <n v="0"/>
    <n v="0"/>
    <n v="0"/>
    <s v="No aplica"/>
    <n v="0.2"/>
    <s v="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
    <n v="0.8"/>
    <s v="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
    <m/>
    <m/>
    <d v="2021-04-09T00:00:00"/>
    <d v="2021-07-02T00:00:00"/>
    <d v="2021-10-14T00:00:00"/>
    <m/>
    <n v="1"/>
    <s v=""/>
    <n v="0.2"/>
    <s v=""/>
    <s v=" "/>
    <s v="Sin meta asignada en el periodo"/>
    <s v="Concepto Favorable"/>
    <s v="Concepto Favorable"/>
    <m/>
    <s v="En el periodo no hay meta"/>
    <s v="Presentan la programacion y los requerimientos para poner en marcha el modulo de avalúos"/>
    <s v="en éste trimestre finalizan el acompañamiento de requerimientos funcionales para el módulo de avalúos"/>
    <m/>
    <x v="1"/>
    <x v="0"/>
    <x v="0"/>
    <x v="0"/>
    <s v="Para este periodo no existe meta asignada."/>
    <s v="Se evidencia borrador de requerimiento del módulo de avalúos y avance del aplicativo, no se cumple con la meta programada pero se ve un avance para este trimestre."/>
    <s v="Se evidencia entrega de documentos con especificaciones para del módulo de avalúos y avance del aplicativo."/>
    <m/>
  </r>
  <r>
    <n v="3"/>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Subdirección de Avalúos"/>
    <s v="Porcentaje"/>
    <s v="Desarrollo e implementación de la herramienta de avalúos"/>
    <s v="Producto"/>
    <n v="1"/>
    <n v="0"/>
    <n v="0"/>
    <n v="0"/>
    <n v="1"/>
    <n v="0"/>
    <s v="No aplica"/>
    <n v="0"/>
    <s v="NO APLICA"/>
    <n v="0"/>
    <s v="No aplica"/>
    <m/>
    <m/>
    <d v="2021-04-09T00:00:00"/>
    <d v="2021-07-02T00:00:00"/>
    <d v="2021-10-14T00:00:00"/>
    <m/>
    <n v="0"/>
    <s v=""/>
    <s v=""/>
    <s v=""/>
    <s v=" "/>
    <s v="Sin meta asignada en el periodo"/>
    <s v="Sin meta asignada en el periodo"/>
    <s v="Sin meta asignada en el periodo"/>
    <m/>
    <s v="No aplica para el periodo"/>
    <s v="No aplica porque hasta ahora esta en proceso la creacion del modulo"/>
    <s v="No aplica"/>
    <m/>
    <x v="1"/>
    <x v="1"/>
    <x v="1"/>
    <x v="0"/>
    <s v="Para este periodo no existe meta asignada."/>
    <s v="Para este periodo no existe meta asignada."/>
    <s v="Para este periodo no existe meta asignada."/>
    <m/>
  </r>
  <r>
    <n v="4"/>
    <x v="2"/>
    <s v="Avalúos Comerciales"/>
    <s v="Trámites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Subdirección de Avalúos"/>
    <s v="Porcentaje"/>
    <s v="Número de avalúos elaborados en el periodo"/>
    <s v="Producto"/>
    <n v="4"/>
    <n v="1"/>
    <n v="1"/>
    <n v="1"/>
    <n v="1"/>
    <n v="1"/>
    <s v="No hubo impugnaciones"/>
    <n v="1"/>
    <s v="Abril: Se atiende de manera oportuna y bajo criterios de ley tres solicitudes de impugnación, dentro del periodo reportado._x000d__x000a_Mayo y Junio: No se reciben solicitudes de impugnaciones durante los meses de mayo y junio._x000d__x000a_"/>
    <n v="1"/>
    <s v="Julio, Agosto y Septiembre: No se reciben solicitudes de impugnaciones durante los meses de julio, agosto y septiembre."/>
    <m/>
    <m/>
    <d v="2021-04-09T00:00:00"/>
    <d v="2021-07-02T00:00:00"/>
    <d v="2021-10-14T00:00:00"/>
    <m/>
    <n v="0.75"/>
    <n v="1"/>
    <n v="1"/>
    <n v="1"/>
    <s v=" "/>
    <s v="Concepto Favorable"/>
    <s v="Concepto Favorable"/>
    <s v="Concepto Favorable"/>
    <m/>
    <s v="no hubo impugnaciones, se acepta 1 ejecutado"/>
    <s v="Anexaron las eviadencias del mes de abril respecto a las solicitudes de impugnación"/>
    <s v="No hubo impugnaciones a avalúos"/>
    <m/>
    <x v="0"/>
    <x v="0"/>
    <x v="0"/>
    <x v="0"/>
    <s v="No hubo impugnaciones"/>
    <s v="Se evidencia oficios donde se da respuesta a las impugnaciones recibidas. "/>
    <s v="No hubo impugnaciones"/>
    <m/>
  </r>
  <r>
    <n v="5"/>
    <x v="2"/>
    <s v="Prestación del Servicio Catastral por Excepción"/>
    <s v="Avalúos IVP elaborados _x000a_"/>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Subdirección de Avalúos"/>
    <s v="Número"/>
    <s v="Número de avalúos elaborados en el periodo"/>
    <s v="Producto"/>
    <n v="4921"/>
    <n v="0"/>
    <n v="0"/>
    <n v="0"/>
    <n v="4921"/>
    <n v="0"/>
    <s v="no aplica"/>
    <n v="0"/>
    <s v="NO APLICA"/>
    <n v="0"/>
    <s v="Julio: Se realizó alistamiento de la información requerida para trabajo de campo, de acuerdo a observaciones del DANE, capacitación para todos los profesionales y personal a cargo_x000d__x000a_Agosto: Se finalizó con los 3.285 puntos visitados, lo que equivale al 66% del trabajo en campo; además se tiene un consolidado del 30% de ofertas de mercado (trabajo de oficina)_x000d__x000a_Septiembre: Se da por terminadas las visitas o trabajo de recolección de la información en campo; se establece cronograma de entrega y gestión administrativa en pro del cumplimiento de objetivos._x000d__x000a_"/>
    <m/>
    <m/>
    <d v="2021-04-09T00:00:00"/>
    <d v="2021-07-02T00:00:00"/>
    <d v="2021-10-14T00:00:00"/>
    <m/>
    <n v="0"/>
    <s v=""/>
    <s v=""/>
    <s v=""/>
    <s v=" "/>
    <s v="Sin meta asignada en el periodo"/>
    <s v="Sin meta asignada en el periodo"/>
    <s v="Sin meta asignada en el periodo"/>
    <m/>
    <s v="Se realizan a final de año"/>
    <s v="No aplica ya que todavia el DANE esta en proceso de solicitud"/>
    <s v="No se han realizado, preparacion de los insumos para la elaboración"/>
    <m/>
    <x v="1"/>
    <x v="1"/>
    <x v="1"/>
    <x v="0"/>
    <s v="Para este periodo no existe meta asignada."/>
    <s v="Para este periodo no existe meta asignada."/>
    <s v="Para este periodo no existe meta asignada."/>
    <m/>
  </r>
  <r>
    <n v="6"/>
    <x v="2"/>
    <s v="Prestación del Servicio Catastral por Excepción"/>
    <s v="Trámites de avalúos"/>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Subdirección de Avalúos"/>
    <s v="Porcentaje"/>
    <s v="Solicitudes de ZHFyG atendidas"/>
    <s v="Producto"/>
    <n v="4"/>
    <n v="1"/>
    <n v="1"/>
    <n v="1"/>
    <n v="1"/>
    <n v="1"/>
    <s v="No hubo solicitudes de modificación."/>
    <n v="1"/>
    <s v="Abril: Al mes de abril se han radicado tres solicitudes de ZHF y G provenientes de las direcciones territoriales de Norte de Santander (1), Tolima (1), y Meta (1); dos actualizaciones y una modificación respectivamente._x000d__x000a_Mayo y Junio: No se reciben solicitudes de  ZHFy G durante los meses de mayo y junio._x000d__x000a_"/>
    <n v="1"/>
    <s v="Julio: No se reciben solicitudes de  ZHFy G durante el mes de julio_x000d__x000a_Agosto: Durante el mes de agosto se reciben cuatro solicitudes de ZHFyG, las cuales son entregadas de acuerdo a los protocolos establecidos en la Subdirección de avalúos _x000d__x000a_Septiembre: Para el mes de septiembre se tramitan nueve solicitudes se ZHF y G, de las cuales se aprueban tres, Pasto (Modificación), Popayán (ajuste) y Montenegro (Ajuste)._x000d__x000a_"/>
    <m/>
    <m/>
    <d v="2021-04-09T00:00:00"/>
    <d v="2021-07-02T00:00:00"/>
    <d v="2021-10-14T00:00:00"/>
    <m/>
    <n v="0.75"/>
    <n v="1"/>
    <n v="1"/>
    <n v="1"/>
    <s v=" "/>
    <s v="Concepto Favorable"/>
    <s v="Concepto No Favorable"/>
    <s v="Concepto Favorable"/>
    <m/>
    <s v="Se acepta 1 aunque no hubo solicitudes"/>
    <s v="Se observan las tres evidencias de los conceptos a las tres territoriales sobre las solicitudes de modificacion de zonas"/>
    <s v="Realizaron el estudio a las solicitudes de modificación de las ZHF y G"/>
    <m/>
    <x v="0"/>
    <x v="0"/>
    <x v="0"/>
    <x v="0"/>
    <s v="No hubo solicitudes de modificación."/>
    <s v="Se evidencia oficios con los conceptos emitidos en atención a las solicitudes recibidas de actualización o modificación de cambios de zonas homogéneas físicas y geoeconomicas."/>
    <s v="Se evidencia reporte con las solicitudes recibidas y atendidas de ZHF y G."/>
    <m/>
  </r>
  <r>
    <n v="7"/>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4"/>
    <n v="1"/>
    <n v="1"/>
    <n v="1"/>
    <n v="1"/>
    <n v="0.95"/>
    <s v="Se contestaron por la Plataforma SIGAC a 31 de marzo 102 oficios, y se trasladó a otros gestores catastrales de 28 correos electrónicos"/>
    <n v="0.98"/>
    <s v="Abril: De los 158 oficios reportados se contestaron 153, 101 corresponden a oficios contestados por la plataforma SIGAC y 57 a traslados de oficios que se realizaron por correo electrónico(politicadetierras@igac.gov.co)._x000d__x000a_Mayo: De los 131 oficios reportados se contestaron 126, 71 corresponden a oficios contestados por la plataforma SIGAC y 55 a traslados de oficios que se realizaron por correo electrónico(politicadetierras@igac.gov.co)._x000d__x000a_Junio: De los 129 oficios contestados, 69 corresponden a oficios contestados por la plataforma SIGAC y 60 a traslados de oficios que se realizaron por correo electrónico(politicadetierras@igac.gov.co)._x000d__x000a_"/>
    <n v="1"/>
    <s v="Julio: De los 187 oficios contestados, 113 corresponden a oficios contestados por la plataforma SIGAC y 74 a traslados de oficios que se realizaron por correo electrónico(politicadetierras@igac.gov.co)._x000d__x000a_Agosto: De los 126 oficios contestados, 18 corresponden a oficios contestados por la plataforma SIGAC y 108 a traslados de oficios que se realizaron por correo electrónico(politicadetierras@igac.gov.co)._x000d__x000a_Septiembre: _x000d__x000a_De los 227  oficios contestados, 126corresponden a oficios contestados por la plataforma SIGAC y 101 a traslados de oficios que se realizaron por correo electrónico(politicadetierras@igac.gov.co)._x000d__x000a_"/>
    <m/>
    <m/>
    <d v="2021-04-09T00:00:00"/>
    <d v="2021-07-02T00:00:00"/>
    <d v="2021-10-14T00:00:00"/>
    <m/>
    <n v="0.73249999999999993"/>
    <n v="0.95"/>
    <n v="1"/>
    <n v="1"/>
    <s v=" "/>
    <s v="Concepto Favorable"/>
    <s v="Concepto Favorable"/>
    <s v="Concepto Favorable"/>
    <m/>
    <s v="Registraron la relacion de las respuestas"/>
    <s v="Reportan listado con la atencion a las solicitudes a nivel nacional"/>
    <s v="Anexan listado de solicitudes atendidas en materia de regularización"/>
    <m/>
    <x v="0"/>
    <x v="0"/>
    <x v="0"/>
    <x v="0"/>
    <s v="Se evidencia reporte Excel del registro de contestaciones y de traslados a otra entidades en el primer trimestre."/>
    <s v="Se evidencia reporte Excel de los meses de abril, mayo y junio con el registro de contestaciones y de traslados a otra entidades en el segundo trimestre."/>
    <s v="Se evidencia reporte Excel de los meses de julio, agosto y septiembre con el registro de contestaciones y de traslados a otras entidades en el tercer trimestre."/>
    <m/>
  </r>
  <r>
    <n v="8"/>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n v="0.92"/>
    <s v="Abril: Se recibieron 605 requerimientos y se atendieron 479, incluye solicitudes de información etapa administrativa y judicial, suspensión de predios y solicitud de peritajes en etapa judicial._x000d__x000a_Mayo: Se recibieron 528 requerimientos y se atendieron 447, incluye solicitudes de información etapa administrativa y judicial, suspensión de predios y solicitud de peritajes en etapa judicial._x000d__x000a_Junio: Se recibieron 523 requerimientos y se atendieron 587 , incluye solicitudes de información etapa administrativa y judicial, suspensión de predios y solicitud de peritajes en etapa judicial._x000d__x000a_"/>
    <n v="0.81"/>
    <s v="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
    <m/>
    <m/>
    <d v="2021-04-09T00:00:00"/>
    <d v="2021-07-02T00:00:00"/>
    <d v="2021-10-14T00:00:00"/>
    <m/>
    <n v="0.65882352941176481"/>
    <n v="0.6"/>
    <n v="1"/>
    <n v="1"/>
    <s v=" "/>
    <s v="Concepto Favorable"/>
    <s v="Concepto Favorable"/>
    <s v="Concepto Favorable"/>
    <m/>
    <s v="Registraron la atencion a las solicitudes"/>
    <s v="relacionan cuadro con las solicitudes atendidas a nivel nacional"/>
    <s v="El proceso atendió los requerminetos recibidos dentro de la politica de restitucion de tierras"/>
    <m/>
    <x v="2"/>
    <x v="0"/>
    <x v="0"/>
    <x v="0"/>
    <s v="Se evidencia reporte de solicitudes recibidas y atendidas, se observa un cumplimiento de atención de solicitudes del 51,3% que es un porcentaje bajo a lo esperado para el trimestre."/>
    <s v="Se evidencia reporte de solicitudes recibidas y atendidas, se observa un cumplimiento de atención de solicitudes del 91,36% para el segundo trimestre."/>
    <s v="Se evidencia reporte de solicitudes recibidas y atendidas, se observa un cumplimiento de atención de solicitudes del 83,05% para el tercer trimestre."/>
    <m/>
  </r>
  <r>
    <n v="9"/>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Subdirección de Proyecto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n v="3"/>
    <s v="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_x000a_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_x000a_Junio: Se asistió a 2 audiencias de seguimiento de procesos étnicos una de parte del Juzgado Primero de Restitución de Tierras de Quibdó(Resguardo indígena Embera Cuti) y "/>
    <n v="3"/>
    <s v="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
    <m/>
    <m/>
    <d v="2021-04-09T00:00:00"/>
    <d v="2021-07-02T00:00:00"/>
    <d v="2021-10-14T00:00:00"/>
    <m/>
    <n v="0.75"/>
    <n v="1"/>
    <n v="1"/>
    <n v="1"/>
    <s v=" "/>
    <s v="Concepto Favorable"/>
    <s v="Concepto Favorable"/>
    <s v="Concepto Favorable"/>
    <m/>
    <s v="Se evidencia las actividades realizadas"/>
    <s v="Relacionan las actividades atendidas en Resguardos Indigenas/Grupos etcnicos"/>
    <s v="Registran evidencias de lo reportado en el autoseguimiento en cumplimiento de los autos"/>
    <m/>
    <x v="0"/>
    <x v="0"/>
    <x v="0"/>
    <x v="0"/>
    <s v="Se evidencia reporte de excel donde se relacionan los autos, asistencias a consejos directivos de la ANT y tutelas a marzo de 2021."/>
    <s v="Se evidencia reporte de excel donde se relacionan los autos, asistencias a consejos directivos de la ANT y tutelas a junio de 2021."/>
    <s v="Se evidencia reporte de excel donde se relacionan los autos, asistencias a consejos directivos de la ANT y tutelas del tercer  trimestre de 2021."/>
    <m/>
  </r>
  <r>
    <n v="10"/>
    <x v="2"/>
    <s v="Prestación del Servicio Catastral por Excepción"/>
    <s v="Área geográfica actualizada catastralmente"/>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Subdirección de Proyectos"/>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n v="0.3"/>
    <s v="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_x000a_En Rioblanco (Tolima), Guamo y Córdoba (Bolívar) se realizó diagnóstico de la información catastral y análisis de la dinámica inmobiliaria e identificación del perímetro urbano para definir la zona de intervención del IGAC, en conjunto con la ANT._x000d__x000a_"/>
    <n v="0.09"/>
    <s v="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
    <m/>
    <m/>
    <d v="2021-04-09T00:00:00"/>
    <d v="2021-07-02T00:00:00"/>
    <d v="2021-10-14T00:00:00"/>
    <m/>
    <n v="0.49"/>
    <n v="1"/>
    <n v="1"/>
    <n v="0.7"/>
    <s v=" "/>
    <s v="Concepto Favorable"/>
    <s v="Concepto Favorable"/>
    <s v="Concepto Favorable"/>
    <m/>
    <s v="Se verifico las actividades reportadas"/>
    <s v="Se evidencia el seguimiento realizado a los procesos de actualizacion que están en proceso"/>
    <s v="Registran el seguimiento a los procesos de actualización catastral que se vienen desarrollando"/>
    <m/>
    <x v="2"/>
    <x v="2"/>
    <x v="2"/>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m/>
  </r>
  <r>
    <n v="11"/>
    <x v="2"/>
    <s v="Prestación del Servicio Catastral por Excepción"/>
    <s v="Trámites de conservación catastral"/>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Subdirección de Proyectos"/>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n v="186451"/>
    <s v="Abril: En el mes de abril se realizaron 36.533 trámites de conservación, para un total acumulado de 114.066 trámites, que corresponden al 25,45% de la meta anual._x000d__x000a_Mayo: En el mes de mayo se realizaron 36.622 trámites de conservación, para un total acumulado de 150.688 trámites, que corresponden al 33,62% de la meta anual._x000d__x000a_Junio: En el mes de junio se realizaron 35.763 trámites de conservación, para un total acumulado de 186.451 trámites, que corresponden al 41,60% de la meta anual._x000d__x000a_"/>
    <n v="286470"/>
    <s v="Julio: En el mes de julio se realizaron 69.581 trámites de conservación, para un total acumulado de 256.032 trámites, que corresponden al 57,12% de la meta anual. _x000d__x000a_Agosto: En el mes de agosto se realizaron 9.674 trámites de conservación, para un total acumulado de 265.706 trámites, que corresponden al 59,28% de la meta anual. _x000d__x000a_Septiembre: En el mes de septiembre se realizaron 20.764 trámites de conservación, para un total acumulado de 286.470 trámites, que corresponden al 64% de la meta anual. _x000d__x000a_"/>
    <m/>
    <m/>
    <d v="2021-04-09T00:00:00"/>
    <d v="2021-07-02T00:00:00"/>
    <d v="2021-10-14T00:00:00"/>
    <m/>
    <n v="1"/>
    <n v="0.86147777777777779"/>
    <n v="1"/>
    <n v="1"/>
    <s v=" "/>
    <s v="Concepto Favorable"/>
    <s v="Concepto Favorable"/>
    <s v="Concepto Favorable"/>
    <m/>
    <s v="Aunque no se cumplio con la meta se espera se cumpla en el siguiente trimestre"/>
    <s v="Se observa en cuadro en evidencias el desarrollo de las metas de conservacion por DT"/>
    <s v="Reporte por territorial de los tramites de conservacion catastral a septiembre 2021"/>
    <m/>
    <x v="0"/>
    <x v="0"/>
    <x v="2"/>
    <x v="0"/>
    <s v="Se evidencia reporte Excel de tramites, donde se llevan 77.533 de una meta de 90.000 para el trimestre, por lo tanto, se observa un avance de 86,14 % del primer trimestre."/>
    <s v="Se evidencia reporte Excel de tramites, donde se realizaron 108.918 de una meta de 119.403 para el trimestre, por lo tanto, se observa un cumplimiento de 91,21 % de la meta del segundo trimestre. Nota: la cifra ejecutada está mal reportada."/>
    <s v="Se evidencia reporte Excel de trámites, donde se realizaron 100.019 de una meta de 119.403 para el trimestre, por lo tanto, se observa un cumplimiento de 83,76% de la meta del tercer trimestre. Nota: la cifra ejecutada está mal reportada"/>
    <m/>
  </r>
  <r>
    <n v="12"/>
    <x v="2"/>
    <s v="Prestación del Servicio Catastral por Excepción"/>
    <s v="Suministro y disposición de información catastral actualizad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Dirección de Gest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n v="3"/>
    <s v="Abril: Para el mes de abril se actualizó la información del geoportal y datos abiertos de acuerdo a la meta establecida._x000d__x000a_Mayo: Para el mes de mayo se actualizó la información del geoportal y datos abiertos de acuerdo a la meta establecida._x000d__x000a_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_x000a_"/>
    <n v="3"/>
    <s v="Julio: Para el mes de julio se actualizó la información del geoportal y datos abiertos de acuerdo con la meta establecida._x000d__x000a_Agosto: Para el mes de AGOSTO se actualizó la información del geoportal y datos abiertos de acuerdo a la meta establecida._x000d__x000a_Septiembre: Para el mes de SEPTIEMBRE se actualizó la información del _x000d__x000a_geoportal y datos abiertos de acuerdo a la meta establecida. Adicionalmente se entregara la información para el portal Colombia en Mapas._x000d__x000a_"/>
    <m/>
    <m/>
    <d v="2021-04-09T00:00:00"/>
    <d v="2021-07-02T00:00:00"/>
    <d v="2021-10-14T00:00:00"/>
    <m/>
    <n v="0.66666666666666663"/>
    <n v="0.66666666666666663"/>
    <n v="1"/>
    <n v="1"/>
    <s v=" "/>
    <s v="Concepto Favorable"/>
    <s v="Concepto Favorable"/>
    <s v="Concepto Favorable"/>
    <m/>
    <s v="registraron las publicaciones"/>
    <s v="Registran la entrega de la informacion catastral a traves de Geoportal y datos abiertos de abril y mayo, junio no se realizo de acuerdo a lo que reportan"/>
    <s v="actualización y disposicion de la informacion en el geoportal"/>
    <m/>
    <x v="0"/>
    <x v="0"/>
    <x v="0"/>
    <x v="0"/>
    <s v="Se evidencia reporte de cargue de información de los meses de enero y febrero."/>
    <s v="Se evidencia correos donde se envía la información para su posterior cargue de la información de los meses de abril y mayo."/>
    <s v="Se evidencia correos donde se envía la información para su posterior cargue de la información de los meses de julio, agosto y septiembre."/>
    <m/>
  </r>
  <r>
    <n v="13"/>
    <x v="2"/>
    <s v="Formación, Actualización y Conservación Catastral"/>
    <s v="Crédito de banca multilateral implementado"/>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Proyectos"/>
    <s v="Número"/>
    <s v="Implementación del proyecto de Catastro Multipropósito, en el marco del crédito de la banca multilateral"/>
    <s v="Eficacia"/>
    <n v="3"/>
    <n v="0"/>
    <n v="0"/>
    <n v="2"/>
    <n v="1"/>
    <n v="0"/>
    <s v="No aplica"/>
    <n v="1"/>
    <s v="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
    <n v="8"/>
    <s v="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
    <m/>
    <m/>
    <d v="2021-04-09T00:00:00"/>
    <d v="2021-07-02T00:00:00"/>
    <d v="2021-10-14T00:00:00"/>
    <m/>
    <n v="1"/>
    <s v=""/>
    <s v=""/>
    <n v="1"/>
    <s v=" "/>
    <s v="Sin meta asignada en el periodo"/>
    <s v="Concepto Favorable"/>
    <s v="Concepto Favorable"/>
    <m/>
    <s v="no aplica"/>
    <s v="Aunque no se pueden leer bien las evidencias, se consta de que realizaron ese proceso para la contratación dentro del credito BID y Banca Mundial"/>
    <s v="De acuerdo a los registros realizaron un contrato dentro de los procesos financiados por la banca multilateral"/>
    <m/>
    <x v="1"/>
    <x v="0"/>
    <x v="0"/>
    <x v="0"/>
    <s v="Para este periodo no existe meta asignada."/>
    <s v="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
    <s v="Se evidencia actas de inicio y pantallazos de secop de las personas que son contratadas en marco de la banca multilateral."/>
    <m/>
  </r>
  <r>
    <n v="14"/>
    <x v="2"/>
    <s v="Formación, Actualización y Conservación Catastral"/>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Dirección de Gestión Catastral"/>
    <s v="Porcentaje"/>
    <s v="Socialización y publicación de la resolución"/>
    <s v="Producto"/>
    <n v="1"/>
    <n v="0.5"/>
    <n v="0.5"/>
    <n v="0"/>
    <n v="0"/>
    <n v="0.5"/>
    <s v="Se avanzó en los ajustes propuestos por los gestores catastrales y se consolidó una nueva versión para revisión de jurídica."/>
    <n v="0.25"/>
    <s v="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
    <n v="0.25"/>
    <s v="Julio: Se publicó el proyecto de resolución en la página del instituto para observaciones y comentarios de la ciudadanía con plazo al 30 de julio._x000d__x000a__x000d__x000a_Agosto: Se publicó el 19 de agosto de 2021 _x000d__x000a_"/>
    <m/>
    <m/>
    <d v="2021-04-09T00:00:00"/>
    <d v="2021-07-02T00:00:00"/>
    <d v="2021-10-14T00:00:00"/>
    <m/>
    <n v="1"/>
    <n v="1"/>
    <n v="1"/>
    <s v=""/>
    <s v=" "/>
    <s v="Concepto Favorable"/>
    <s v="Concepto Favorable"/>
    <s v="Concepto Favorable"/>
    <m/>
    <s v="Registraron el borrador de la reglamentacion tecnica para la formacion y actualizacion, conservacion, difusion catastral"/>
    <s v="En las evidencias anexan la version ajustada de la resolucion 70"/>
    <s v="se publicó y se expidio la 1149 de agosto"/>
    <m/>
    <x v="0"/>
    <x v="0"/>
    <x v="0"/>
    <x v="0"/>
    <s v="Se observa borrador de modificación de la resolución 070 de 2011._x000a_"/>
    <s v=" Se evidencia proyecto de resolución con ajustes realizados."/>
    <s v="Se publicó y se expidio la resolucion 1149 de agosto"/>
    <m/>
  </r>
  <r>
    <n v="15"/>
    <x v="2"/>
    <s v="Prestación del Servicio Catastral por Excepción"/>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Proyectos"/>
    <s v="Porcentaje"/>
    <s v="Socialización y publicación de la resolución"/>
    <s v="Producto"/>
    <n v="1"/>
    <n v="0"/>
    <n v="0.5"/>
    <n v="0.5"/>
    <n v="0"/>
    <n v="0"/>
    <s v="no aplica"/>
    <n v="0.2"/>
    <s v="Se diseñó cronograma, se identificó que se requiere actualizar o modificar la resolución 193 de 2014, razón por la cual se generó cronograma específico para dicha resolución._x000d__x000a_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_x000a_El avance de la resolución 193 de 2014 se encuentra en un 30%, hasta proyección de borrador del articulado propuesto._x000d__x000a_"/>
    <n v="0.8"/>
    <s v="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
    <m/>
    <m/>
    <d v="2021-04-09T00:00:00"/>
    <d v="2021-07-02T00:00:00"/>
    <d v="2021-10-14T00:00:00"/>
    <m/>
    <n v="1"/>
    <s v=""/>
    <n v="0.4"/>
    <n v="1"/>
    <s v=" "/>
    <s v="Sin meta asignada en el periodo"/>
    <s v="Concepto Favorable"/>
    <s v="Concepto Favorable"/>
    <m/>
    <s v="No aplica"/>
    <s v="Se observa la realizacion de los avances en la modificacion de la resolucion 643 y 193"/>
    <s v="El proceso ha realizado los pasos para la modificación de la resolución y ser expuesta al publico"/>
    <m/>
    <x v="1"/>
    <x v="0"/>
    <x v="2"/>
    <x v="0"/>
    <s v="Para este periodo no existe meta asignada."/>
    <s v="Se evidencia el avance en el cronograma propuesto para la realización de las modificaciones a las resoluciones 193 y 643, al igual se observa el avance en los borradores de modificación."/>
    <s v="Se evidencia borrador de resolución Nota: no se avala avance hasta que no se encuentre publicada"/>
    <m/>
  </r>
  <r>
    <n v="16"/>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especificaciones funcionales del SINIC"/>
    <d v="2021-04-01T00:00:00"/>
    <d v="2021-06-30T00:00:00"/>
    <s v="Documento de especificaciones"/>
    <s v="Dirección de Gestión Catastral"/>
    <s v="Porcentaje"/>
    <s v="Desarrollo e implementación del SINIC"/>
    <s v="Producto"/>
    <n v="1"/>
    <n v="0"/>
    <n v="1"/>
    <n v="0"/>
    <n v="0"/>
    <n v="0"/>
    <s v="No aplica"/>
    <n v="0.05"/>
    <s v="Se revisó por parte de la Oficina de Tecnología, Dirección General, Subdirección de Catastro y Bancos el documento levantado por el Departamento Nacional de Planeación que contiene la lógica de lo que espera de la herramienta y se solicitaron los ajustes pertinentes._x000d__x000a__x000d__x000a_Se realizó la planificación del cronograma y se iniciaron las reuniones de entendimiento con OIT._x000d__x000a_"/>
    <n v="0.05"/>
    <s v="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
    <m/>
    <m/>
    <d v="2021-04-09T00:00:00"/>
    <d v="2021-07-02T00:00:00"/>
    <d v="2021-10-14T00:00:00"/>
    <m/>
    <n v="0.1"/>
    <s v=""/>
    <n v="0.05"/>
    <s v=""/>
    <s v=" "/>
    <s v="Sin meta asignada en el periodo"/>
    <s v="Concepto Favorable"/>
    <s v="Concepto Favorable"/>
    <m/>
    <s v="No aplica"/>
    <s v="Se observa en las evidencias el cronograma y las actividades realizadas para los ajustes"/>
    <s v="han venido trabajando en el modelo SINIC para recibir propuestas y obsrvaciones"/>
    <m/>
    <x v="1"/>
    <x v="2"/>
    <x v="2"/>
    <x v="0"/>
    <s v="Para este periodo no existe meta asignada"/>
    <s v="Se evidencia cronograma de actividades y presentación Mapeo de Atributos CICA y GDB a modelo de Levantamiento Catastral para Construcción de ETLs. Nota: no se observa avance en la actividad."/>
    <s v="Se evidencia modelo de datos SINIC y se han venido realizando mesas de trabajo. Nota: no se presenta avance en esta actividad."/>
    <m/>
  </r>
  <r>
    <n v="17"/>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pruebas del SINIC"/>
    <d v="2021-07-01T00:00:00"/>
    <d v="2021-12-31T00:00:00"/>
    <s v="Pruebas realizadas"/>
    <s v="Dirección de Gestión Catastral"/>
    <s v="Porcentaje"/>
    <s v="Desarrollo e implementación del SINIC"/>
    <s v="Producto"/>
    <n v="1"/>
    <n v="0"/>
    <n v="0"/>
    <n v="0.5"/>
    <n v="0.5"/>
    <n v="0"/>
    <s v="No aplica"/>
    <n v="0"/>
    <s v="NO APLICA"/>
    <n v="0"/>
    <s v="Se está a la espera de tener las especificaciones funcionales del SINIC"/>
    <m/>
    <m/>
    <d v="2021-04-09T00:00:00"/>
    <d v="2021-07-02T00:00:00"/>
    <d v="2021-10-14T00:00:00"/>
    <m/>
    <n v="0"/>
    <s v=""/>
    <s v=""/>
    <n v="0"/>
    <s v=" "/>
    <s v="Sin meta asignada en el periodo"/>
    <s v="Sin meta asignada en el periodo"/>
    <s v="Sin meta asignada en el periodo"/>
    <m/>
    <s v="No aplica"/>
    <s v="no aplica"/>
    <s v="no hay avance respecto a la programacion"/>
    <m/>
    <x v="1"/>
    <x v="1"/>
    <x v="2"/>
    <x v="0"/>
    <s v="Para este periodo no existe meta asignada."/>
    <s v="Para este periodo no existe meta asignada."/>
    <s v="No se presenta avance en esta actividad."/>
    <m/>
  </r>
  <r>
    <n v="18"/>
    <x v="2"/>
    <s v="Formación, Actualización y Conservación Catastral"/>
    <s v="Sistema nacional catastral"/>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Dirección de Gestión Catastral"/>
    <s v="Porcentaje"/>
    <s v="Desarrollo e implementación de SNC"/>
    <s v="Producto"/>
    <n v="1"/>
    <n v="0.5"/>
    <n v="0.5"/>
    <n v="0"/>
    <n v="0"/>
    <n v="0.5"/>
    <s v="Se avanzó en la especificación de mutaciones masivas y en la épica del flujo de conservación."/>
    <n v="0.1"/>
    <s v="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_x000a_Se realizó la homologación del modelo LADM y SNC _x000d__x000a_En el segundo trimestre se identificaron nuevos componentes para esta actividad._x000d__x000a_"/>
    <n v="0"/>
    <s v="Se realizaron mesas de entendimiento técnico con la Dirección de tecnología de los siguientes requerimientos: _x000d__x000a_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_x000a__x000d__x000a_Se inicia el levantamiento de información de los requerimientos: 1- Publicaciones en diario oficial 2- Control de calidad operadores 3- Apertura del proceso de actualización/formación catastral_x000d__x000a_"/>
    <m/>
    <m/>
    <d v="2021-04-09T00:00:00"/>
    <d v="2021-07-02T00:00:00"/>
    <d v="2021-10-14T00:00:00"/>
    <m/>
    <n v="0.6"/>
    <n v="1"/>
    <n v="0.7"/>
    <s v=""/>
    <s v=" "/>
    <s v="Concepto Favorable"/>
    <s v="Concepto Favorable"/>
    <s v="Sin meta asignada en el periodo"/>
    <m/>
    <s v="Anexaron lo correspondiente al avance"/>
    <s v="Requerimientos y cronograma en evidencias"/>
    <s v="Realizaron actividades para el avance en las especificaciones funcionales del SNC pero no hubo ejecucion en el avance"/>
    <m/>
    <x v="0"/>
    <x v="2"/>
    <x v="2"/>
    <x v="0"/>
    <s v="Se evidencia avance con documento de épicas de tramites catastrales."/>
    <s v="Se evidencia documentos en el avance de las especificaciones funcionales del SNC.Nota:para este trimestre se debio tenerel documento definitivo con las especificaciones "/>
    <s v="Realizaron actividades para el avance en las especificaciones funcionales del SNC pero no hubo avance de esta actividad."/>
    <m/>
  </r>
  <r>
    <n v="19"/>
    <x v="2"/>
    <s v="Formación, Actualización y Conservación Catastral"/>
    <s v="Puesta en marcha del sistema de información  nacional de catastro"/>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Dirección de Gestión Catastral"/>
    <s v="Porcentaje"/>
    <s v="Desarrollo e implementación de SNC"/>
    <s v="Producto"/>
    <n v="1"/>
    <n v="0"/>
    <n v="0.3"/>
    <n v="0.7"/>
    <n v="0"/>
    <n v="0"/>
    <s v="No aplica"/>
    <n v="0"/>
    <s v="Se está a la espera de tener las especificaciones funcionales del SNC."/>
    <n v="0"/>
    <s v="Se está a la espera de tener las especificaciones funcionales del SNC"/>
    <m/>
    <m/>
    <d v="2021-04-09T00:00:00"/>
    <d v="2021-07-02T00:00:00"/>
    <d v="2021-10-14T00:00:00"/>
    <m/>
    <n v="0"/>
    <s v=""/>
    <n v="0"/>
    <n v="0"/>
    <s v=" "/>
    <s v="Sin meta asignada en el periodo"/>
    <s v="Sin meta asignada en el periodo"/>
    <s v="Sin meta asignada en el periodo"/>
    <m/>
    <s v="No aplica"/>
    <s v="no aplica"/>
    <s v="no aplica para este trimestre. no se ha ejecutado ninguna meta, se espera que para el ultimo trimestre se ejecute toda la meta"/>
    <m/>
    <x v="1"/>
    <x v="2"/>
    <x v="2"/>
    <x v="0"/>
    <s v="Para este periodo no existe meta asignada."/>
    <s v="No existe avance para esta actividad."/>
    <s v="No existe avance para esta actividad."/>
    <m/>
  </r>
  <r>
    <n v="20"/>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18T00:00:00"/>
    <d v="2021-06-15T00:00:00"/>
    <s v="Procedimientos en Word"/>
    <s v="Dirección de Gestión Catastral"/>
    <s v="Número"/>
    <s v="Actualización, implementación y seguimiento de las actividades de MIPG"/>
    <s v="Producto"/>
    <n v="1"/>
    <n v="0"/>
    <n v="0"/>
    <n v="0.5"/>
    <n v="0.5"/>
    <n v="0"/>
    <s v="No aplica"/>
    <n v="0"/>
    <s v="Meta programada para los dos últimos trimestres"/>
    <n v="0"/>
    <s v="Se está actualizando los procedimientos de Conservación Catastral y de elaboración de ZFHyG"/>
    <m/>
    <m/>
    <d v="2021-04-09T00:00:00"/>
    <d v="2021-07-02T00:00:00"/>
    <d v="2021-10-14T00:00:00"/>
    <m/>
    <n v="0"/>
    <s v=""/>
    <s v=""/>
    <n v="0"/>
    <s v=" "/>
    <s v="Sin meta asignada en el periodo"/>
    <s v="Sin meta asignada en el periodo"/>
    <s v="Sin meta asignada en el periodo"/>
    <m/>
    <s v="No aplica"/>
    <s v="no aplica"/>
    <s v="no hay actualizaciones a la fecha"/>
    <m/>
    <x v="1"/>
    <x v="2"/>
    <x v="2"/>
    <x v="0"/>
    <s v="Para este periodo no existe meta asignada."/>
    <s v="Para este periodo no existe meta asignada"/>
    <s v="No existe avance para esta actividad."/>
    <m/>
  </r>
  <r>
    <n v="21"/>
    <x v="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1-01T00:00:00"/>
    <d v="2021-12-31T00:00:00"/>
    <s v="PLANIGAC "/>
    <s v="Dirección de Gestión Catastral"/>
    <s v="Número"/>
    <s v="Actualización, implementación y seguimiento de las actividades de MIPG"/>
    <s v="Producto"/>
    <n v="4"/>
    <n v="1"/>
    <n v="1"/>
    <n v="1"/>
    <n v="1"/>
    <n v="1"/>
    <s v="Se realizó seguimiento al primer trimestre de los riesgos establecidos para la Subdirección."/>
    <n v="1"/>
    <s v="Se realizó seguimiento al Segundo trimestre de los riesgos establecidos para la Subdirección."/>
    <n v="1"/>
    <s v="Se realizó seguimiento al Tercer trimestre de los riesgos establecidos para la Dirección."/>
    <m/>
    <m/>
    <d v="2021-04-09T00:00:00"/>
    <d v="2021-07-02T00:00:00"/>
    <d v="2021-10-14T00:00:00"/>
    <m/>
    <n v="0.75"/>
    <n v="1"/>
    <n v="1"/>
    <n v="1"/>
    <s v=" "/>
    <s v="Concepto Favorable"/>
    <s v="Concepto Favorable"/>
    <s v="Concepto Favorable"/>
    <m/>
    <s v="el seguimiento lo hicieron en la plataforma de riesgos"/>
    <s v="se direcciona al seguimiento de PLanner de riesgos"/>
    <s v="la direccion de gestión catastral realizó el seguimiento al tercer trimestre a los riesgos establecidos para el proceso"/>
    <m/>
    <x v="0"/>
    <x v="0"/>
    <x v="0"/>
    <x v="0"/>
    <s v="Se cargan evidencias en PLANIGAC"/>
    <s v="Se cargan evidencias en PLANIGAC"/>
    <s v="Se cargan evidencias en PLANIGAC"/>
    <m/>
  </r>
  <r>
    <n v="22"/>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Gestión Catastral"/>
    <s v="Número"/>
    <s v="Índice de Desempeño Institucional (IDI)"/>
    <s v="Producto"/>
    <n v="12"/>
    <n v="3"/>
    <n v="3"/>
    <n v="3"/>
    <n v="3"/>
    <n v="3"/>
    <s v="Se hizo seguimiento al PTS No Conforme que se presentó para el primer trimestre de 2021, se adjunta como evidencias correos y matriz de PTS No Conforme"/>
    <n v="3"/>
    <s v="Se hizo seguimiento al PTS No Conforme que se presentó para el segundo trimestre de 2021, se adjunta como evidencias correos y matriz de PTS No Conforme "/>
    <n v="3"/>
    <s v="Se hizo seguimiento al PTS No Conforme que se presentó para el tercer trimestre de 2021, se adjunta como evidencias correos y cuadro resumen "/>
    <m/>
    <m/>
    <d v="2021-04-09T00:00:00"/>
    <d v="2021-07-02T00:00:00"/>
    <d v="2021-10-14T00:00:00"/>
    <m/>
    <n v="0.75"/>
    <n v="1"/>
    <n v="1"/>
    <n v="1"/>
    <s v=" "/>
    <s v="Concepto Favorable"/>
    <s v="Concepto Favorable"/>
    <s v="Concepto Favorable"/>
    <m/>
    <s v="Registraron el seguimiento a nivel nacional de los productos no conformes"/>
    <s v="Realizaron el cargue de evidencias por territorial de producto no conforme "/>
    <s v="la direccion de gestión catastral realizó el seguimiento al tercer trimestre al Producto, Trabajo y/o Servicio no Conforme del proceso, anexando las evidencias correspondientes"/>
    <m/>
    <x v="0"/>
    <x v="0"/>
    <x v="0"/>
    <x v="0"/>
    <s v="Se evidencias correos y matriz de PTS No Conforme"/>
    <s v="Se evidencias correos y matriz de PTS No Conforme"/>
    <s v="Se evidencias correos y matriz de PTS No Conforme"/>
    <m/>
  </r>
  <r>
    <n v="1"/>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Direccionamiento Estratégico y Planeación"/>
    <s v="Planeación Institucional "/>
    <s v="Formular el plan de Mercadeo "/>
    <d v="2021-09-01T00:00:00"/>
    <d v="2021-09-30T00:00:00"/>
    <s v="Documento Plan de Mercadeo formulado y aprobado por la alta gerencia. "/>
    <s v="Oficina Comercial "/>
    <s v="Número "/>
    <s v="Plan de Mercadeo formulado"/>
    <s v="Eficiencia"/>
    <n v="1"/>
    <n v="0"/>
    <n v="0"/>
    <n v="0"/>
    <n v="1"/>
    <m/>
    <m/>
    <m/>
    <m/>
    <n v="0"/>
    <s v="Sin meta para el periodo"/>
    <m/>
    <m/>
    <m/>
    <m/>
    <d v="2021-10-14T00:00:00"/>
    <m/>
    <n v="0"/>
    <s v=""/>
    <s v=""/>
    <s v=""/>
    <s v=" "/>
    <m/>
    <m/>
    <s v="Sin meta asignada en el periodo"/>
    <m/>
    <m/>
    <m/>
    <s v="Sin meta asignada en el periodo"/>
    <m/>
    <x v="3"/>
    <x v="3"/>
    <x v="1"/>
    <x v="0"/>
    <m/>
    <m/>
    <s v="Sin meta asignada para el trimestre"/>
    <m/>
  </r>
  <r>
    <n v="2"/>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Información y Comunicación "/>
    <s v="Transparencia, acceso a la información pública y Lucha contra la Corrupción."/>
    <s v="Actualizar el portafolio de productos y Servicios, alineado con el enfoque estratégico."/>
    <d v="2021-09-01T00:00:00"/>
    <d v="2021-09-30T00:00:00"/>
    <s v="Documento portafolio de productos y/o servicios aprobado por las áreas misionales.  Resolución de precios actualizada 2021. "/>
    <s v="Oficina Comercial "/>
    <s v="Número "/>
    <s v="Informes de avance en la implementación del plan de mercadeo "/>
    <s v="Eficiencia"/>
    <n v="1"/>
    <n v="0"/>
    <n v="1"/>
    <n v="0"/>
    <n v="0"/>
    <m/>
    <m/>
    <m/>
    <m/>
    <n v="1"/>
    <s v="Se realizó la actualización del portafolio de productos y servicios, así como el componente de precios, expedidos a través de la resolución 481 de 2021, de acuerdo con el incremento del IPC 1,61% para la actual vigencia. "/>
    <m/>
    <m/>
    <m/>
    <m/>
    <d v="2021-10-14T00:00:00"/>
    <m/>
    <n v="1"/>
    <s v=""/>
    <n v="0"/>
    <s v=""/>
    <s v=" "/>
    <m/>
    <m/>
    <s v="Concepto Favorable"/>
    <m/>
    <m/>
    <m/>
    <s v="se verificó el cargue de la evidencia y el reporte del avance"/>
    <m/>
    <x v="3"/>
    <x v="3"/>
    <x v="0"/>
    <x v="0"/>
    <m/>
    <m/>
    <s v="De acuerdo con las evidencias suministradas, &quot; Cátalogo bienes y servicios 2021&quot; y resolución de actualización de precios se observa el desarrollo de la actividad."/>
    <m/>
  </r>
  <r>
    <n v="3"/>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Gestionar las relaciones comerciales a través de las solicitudes que llegan de los diferentes grupos de interés publico y/o privados. . "/>
    <d v="2021-09-01T00:00:00"/>
    <d v="2021-12-31T00:00:00"/>
    <s v="Actas de reunión - Llamadas telefónicas - Correos electrónicos enviados - Propuestas Técnicas y Económicas. "/>
    <s v="Oficina Comercial "/>
    <s v="Número "/>
    <s v="Informes de avance en la implementación del plan de mercadeo "/>
    <s v="Eficiencia"/>
    <n v="600"/>
    <n v="250"/>
    <n v="250"/>
    <n v="50"/>
    <n v="50"/>
    <m/>
    <m/>
    <m/>
    <m/>
    <n v="430"/>
    <s v="Se respondieron las solicitudes realizadas por los clientes y/o grupos de interés públicos y privados, así como las remitidas por las diferentes dependencias del IGAC, por medio de correos electrónicos, llamadas telefónicas brindando la información en oportunidad. "/>
    <m/>
    <m/>
    <m/>
    <m/>
    <d v="2021-10-14T00:00:00"/>
    <m/>
    <n v="0.71666666666666667"/>
    <n v="0"/>
    <n v="0"/>
    <n v="1"/>
    <s v=" "/>
    <m/>
    <m/>
    <s v="Concepto Favorable"/>
    <m/>
    <m/>
    <m/>
    <s v="se verificó el cargue de la evidencia y el reporte del avance"/>
    <m/>
    <x v="3"/>
    <x v="3"/>
    <x v="0"/>
    <x v="0"/>
    <m/>
    <m/>
    <s v="De acuerdo con las evidencias suministradas, &quot;Gestionar relaciones comerciales&quot; se presentan las actividades desarrolladas para el fortalecimiento de las acciones comerciales con diferentes grupos de interes e instituciones."/>
    <m/>
  </r>
  <r>
    <n v="4"/>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Tramitar la realización y envió de propuestas técnico económicas."/>
    <d v="2021-09-01T00:00:00"/>
    <d v="2021-12-31T00:00:00"/>
    <s v="Propuestas técnico economicas realizadas y enviadas. Reporte de correos remitidos a los futuros aliados estratégicos. "/>
    <s v="Oficina Comercial "/>
    <s v="Número "/>
    <s v="Informes de avance en la implementación del plan de mercadeo "/>
    <s v="Eficiencia"/>
    <n v="87"/>
    <n v="20"/>
    <n v="32"/>
    <n v="25"/>
    <n v="10"/>
    <m/>
    <m/>
    <m/>
    <m/>
    <n v="112"/>
    <s v="Se enviaron las propuestas técnico económicas y cotizaciones de los siguientes productos o servicios: A.  Actualización Catastral: 49 propuestas B. Conservación Catastral: 36 propuestas. C.  Información catastral: 27 Propuestas. "/>
    <m/>
    <m/>
    <m/>
    <m/>
    <d v="2021-10-14T00:00:00"/>
    <m/>
    <n v="1"/>
    <n v="0"/>
    <n v="0"/>
    <n v="1"/>
    <s v=" "/>
    <m/>
    <m/>
    <s v="Concepto Favorable"/>
    <m/>
    <m/>
    <m/>
    <s v="se verificó el cargue de la evidencia y el reporte del avance"/>
    <m/>
    <x v="3"/>
    <x v="3"/>
    <x v="0"/>
    <x v="0"/>
    <m/>
    <m/>
    <s v="De acuerdo con las evidencias suministradas, &quot;Tramitar la realización y envió de propuestas técnico económicas&quot; se osbserva el envío de diferentes propuestas."/>
    <m/>
  </r>
  <r>
    <n v="5"/>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Brindar asistencia técnica comercial en la negociación con los aliados estratégicos a nivel nacional. (Áreas misionales, Direcciones Territoriales). _x000a__x000a_"/>
    <d v="2021-09-01T00:00:00"/>
    <d v="2021-12-31T00:00:00"/>
    <s v="Planillas de asistencia - Actas de reunión - Llamadas telefónicas - Correos electrónicos enviados.  "/>
    <s v="Oficina Comercial "/>
    <s v="Porcentaje "/>
    <s v="Informes de avance en la implementación del plan de mercadeo "/>
    <s v="Eficiencia"/>
    <n v="1"/>
    <n v="0.2"/>
    <n v="0.5"/>
    <n v="0.15"/>
    <n v="0.15"/>
    <m/>
    <m/>
    <m/>
    <m/>
    <n v="0.85"/>
    <s v="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
    <m/>
    <m/>
    <m/>
    <m/>
    <d v="2021-10-14T00:00:00"/>
    <m/>
    <n v="0.85"/>
    <n v="0"/>
    <n v="0"/>
    <n v="1"/>
    <s v=" "/>
    <m/>
    <m/>
    <s v="Concepto Favorable"/>
    <m/>
    <m/>
    <m/>
    <s v="se verificó el cargue de la evidencia y el reporte del avance"/>
    <m/>
    <x v="3"/>
    <x v="3"/>
    <x v="2"/>
    <x v="0"/>
    <m/>
    <m/>
    <s v="Las evidencias suminitradas no corresponden al trimestre evaluado."/>
    <m/>
  </r>
  <r>
    <n v="6"/>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Fortalecimiento organizacional y simplificación de procesos "/>
    <s v="Realizar mesas de trabajo con las áreas misionales para generar propuestas de valor frente a la gestión comercial. (procesos, personas, técnologia, servicio).  _x000a_"/>
    <d v="2021-09-01T00:00:00"/>
    <d v="2021-12-31T00:00:00"/>
    <s v="Acta de reuniónes.  Planillas de asistencia - Actas de reunión - Llamadas telefónicas - Correos electrónicos enviados.  "/>
    <s v="Oficina Comercial "/>
    <s v="Número "/>
    <s v="Informes de avance en la implementación del plan de mercadeo "/>
    <s v="Eficiencia"/>
    <n v="10"/>
    <n v="2"/>
    <n v="4"/>
    <n v="2"/>
    <n v="2"/>
    <m/>
    <m/>
    <m/>
    <m/>
    <n v="13"/>
    <s v="Se realizaron reuniones de trabajo con las diferentes dependencias del Instituto y direcciones territoriales brindando información técnica, suministrando documentos,  socialización de procedimientos."/>
    <m/>
    <m/>
    <m/>
    <m/>
    <d v="2021-10-14T00:00:00"/>
    <m/>
    <n v="1"/>
    <n v="0"/>
    <n v="0"/>
    <n v="1"/>
    <s v=" "/>
    <m/>
    <m/>
    <s v="Concepto Favorable"/>
    <m/>
    <m/>
    <m/>
    <s v="se verificó el cargue de la evidencia y el reporte del avance"/>
    <m/>
    <x v="3"/>
    <x v="3"/>
    <x v="0"/>
    <x v="0"/>
    <m/>
    <m/>
    <s v="De acuerdo con las evidencias suministradas, &quot;Realizxar mesas de trabajo con las áreas misionales&quot; se observa ue se desarrollaron mesas de trabajo en el mes de agosto y septiembre."/>
    <m/>
  </r>
  <r>
    <n v="7"/>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Gobierno Digital "/>
    <s v="Actualizar y/o mantener los productos de la tienda virtual para la venta  de productos y servicios en línea."/>
    <d v="2021-09-01T00:00:00"/>
    <d v="2021-12-31T00:00:00"/>
    <s v="Reporte de actualización de los productos y/o servicios, asi como el seguimiento a las solicitudes de los clientes. _x000a__x000a_Movimientos de inventario de nuevas publicaciones cargadas a _x000a_tienda virtual. "/>
    <s v="Oficina Comercial "/>
    <s v="Número "/>
    <s v="Informes de avance en la implementación del plan de mercadeo "/>
    <s v="Eficiencia"/>
    <n v="12"/>
    <n v="3"/>
    <n v="3"/>
    <n v="3"/>
    <n v="3"/>
    <m/>
    <m/>
    <m/>
    <m/>
    <n v="12"/>
    <s v="Se realizaron las actualizaciones de publicaciones de acuerdo con el inventario de productos de la tienda virtual."/>
    <m/>
    <m/>
    <m/>
    <m/>
    <d v="2021-10-14T00:00:00"/>
    <m/>
    <n v="1"/>
    <n v="0"/>
    <n v="0"/>
    <n v="1"/>
    <s v=" "/>
    <m/>
    <m/>
    <s v="Concepto Favorable"/>
    <m/>
    <m/>
    <m/>
    <s v="se verificó el cargue de la evidencia y el reporte del avance"/>
    <m/>
    <x v="3"/>
    <x v="3"/>
    <x v="0"/>
    <x v="0"/>
    <m/>
    <m/>
    <s v="De acuerdo con las evidencias suministradas,  &quot;Actualizar mantener los productos de la tienda virtual&quot; se observa que durante los meses de julio, agosto y septiembre se han ido actualizando los productos."/>
    <m/>
  </r>
  <r>
    <n v="8"/>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Realizar seguimiento al cumplimiento de la meta de ingresos a nivel nacional. "/>
    <d v="2021-09-01T00:00:00"/>
    <d v="2021-12-31T00:00:00"/>
    <s v="Reportes y/o análisis del comportamiento de las ventas - Reportes SIIF mensuales. Reportes del Seguimiento en Comités con la Alta Gerencia. "/>
    <s v="Oficina Comercial "/>
    <s v="Número "/>
    <s v="Informes de seguimiento al cumplimiento de la meta de ingresos del Instituto"/>
    <s v="Producto "/>
    <n v="10"/>
    <n v="1"/>
    <n v="3"/>
    <n v="3"/>
    <n v="3"/>
    <m/>
    <m/>
    <m/>
    <m/>
    <n v="11"/>
    <s v="Se realizaron los seguimientos sobre el cumplimiento de la meta de ingresos, se actualizó el archivo de comité reducido y gráficos con información del periodo, con  corte al último informe correspondiente al mes de agosto de 2021."/>
    <m/>
    <m/>
    <m/>
    <m/>
    <d v="2021-10-14T00:00:00"/>
    <m/>
    <n v="1"/>
    <n v="0"/>
    <n v="0"/>
    <n v="1"/>
    <s v=" "/>
    <m/>
    <m/>
    <s v="Concepto Favorable"/>
    <m/>
    <m/>
    <m/>
    <s v="se verificó el cargue de la evidencia y el reporte del avance"/>
    <m/>
    <x v="3"/>
    <x v="3"/>
    <x v="0"/>
    <x v="0"/>
    <m/>
    <m/>
    <s v="De acuerdo con las evidencias suministradas, &quot;Ingresos SIIF Enero- Agosto&quot; &quot; Realizar Seguimiento a la meta de ingresos&quot; se observa que durante los meses de julio, agosto y septiembre se realiza análisis y revisión de las metas de ingresos y su cumplimiento"/>
    <m/>
  </r>
  <r>
    <n v="9"/>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Implementar una (1) encuesta para medir el índice de satisfacción del cliente."/>
    <d v="2021-09-01T00:00:00"/>
    <d v="2021-12-31T00:00:00"/>
    <s v="Resultados de las encuestas y analisis de las mismas.  Correos eletrónicos y/o links de las encuestas enviadas. "/>
    <s v="Oficina Comercial "/>
    <s v="Número "/>
    <s v="Medición del índice de satisfacción del cliente.  "/>
    <s v="Eficacia "/>
    <n v="3"/>
    <n v="0"/>
    <n v="0"/>
    <n v="1"/>
    <n v="2"/>
    <m/>
    <m/>
    <m/>
    <m/>
    <n v="1"/>
    <s v="Se proyectó encuesta en google forms y se remitió mediante correo electrónico a las diferentes entidades con las que tenemos relación comercial."/>
    <m/>
    <m/>
    <m/>
    <m/>
    <d v="2021-10-14T00:00:00"/>
    <m/>
    <n v="0.33333333333333331"/>
    <s v=""/>
    <s v=""/>
    <n v="1"/>
    <s v=" "/>
    <m/>
    <m/>
    <s v="Concepto Favorable"/>
    <m/>
    <m/>
    <m/>
    <s v="se verificó el cargue de la evidencia y el reporte del avance"/>
    <m/>
    <x v="3"/>
    <x v="3"/>
    <x v="0"/>
    <x v="0"/>
    <m/>
    <m/>
    <s v="De acuerdo con las evidencias suministradas, &quot;Implementar encuesta indice satisfacción al cliente&quot; se observa que durante el mes de septiembre se enviaron 22 encuestas a diferentes entidades con las que tiene relación el Instituto."/>
    <m/>
  </r>
  <r>
    <n v="10"/>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Diseñar e implementar un (1) plan de mejora frente a los resultados de la medición de satisfacción del cliente. "/>
    <d v="2021-09-01T00:00:00"/>
    <d v="2021-12-31T00:00:00"/>
    <s v="Plan de mejora diseñado y aprobado. "/>
    <s v="Oficina Comercial "/>
    <s v="Número "/>
    <s v="Medición del índice de satisfacción del cliente.  "/>
    <s v="Eficacia "/>
    <n v="1"/>
    <n v="0"/>
    <n v="0"/>
    <n v="0"/>
    <n v="1"/>
    <m/>
    <m/>
    <m/>
    <m/>
    <n v="0"/>
    <s v="Sin meta para el periodo"/>
    <m/>
    <m/>
    <m/>
    <m/>
    <d v="2021-10-14T00:00:00"/>
    <m/>
    <n v="0"/>
    <s v=""/>
    <s v=""/>
    <s v=""/>
    <s v=" "/>
    <m/>
    <m/>
    <s v="Sin meta asignada en el periodo"/>
    <m/>
    <m/>
    <m/>
    <s v="Sin meta asignada en el periodo"/>
    <m/>
    <x v="3"/>
    <x v="3"/>
    <x v="1"/>
    <x v="0"/>
    <m/>
    <m/>
    <s v="Sin meta asignada para el trimestre."/>
    <m/>
  </r>
  <r>
    <n v="11"/>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on actualizada del proceso. "/>
    <s v="Oficina Comercial "/>
    <s v="Porcentaje"/>
    <s v="Índice de Desempeño Institucional (IDI)"/>
    <s v="Eficacia"/>
    <n v="1"/>
    <n v="0"/>
    <n v="0"/>
    <n v="0.5"/>
    <n v="0.5"/>
    <m/>
    <m/>
    <m/>
    <m/>
    <n v="0.5"/>
    <s v="El pasado 22 de septiembre se estableció con la OAP el cronograma de actualización documental para el proceso comercial el cual se adjunta."/>
    <m/>
    <m/>
    <m/>
    <m/>
    <d v="2021-10-08T00:00:00"/>
    <m/>
    <n v="0.5"/>
    <s v=""/>
    <s v=""/>
    <n v="1"/>
    <s v=" "/>
    <m/>
    <m/>
    <s v="Concepto Favorable"/>
    <m/>
    <m/>
    <m/>
    <s v="se verificó el cargue de la evidencia y el reporte del avance"/>
    <m/>
    <x v="3"/>
    <x v="3"/>
    <x v="0"/>
    <x v="0"/>
    <m/>
    <m/>
    <s v="De acuerdo con las evidencias suministradas, &quot;Cronograma gestión Comercial&quot; se observa que se establecen fechas para la actualización de los documentos."/>
    <m/>
  </r>
  <r>
    <n v="12"/>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miento, actas, correos, documento de implementación del plan anticorrupción."/>
    <s v="Oficina Comercial "/>
    <s v="Porcentaje"/>
    <s v="Índice de Desempeño Institucional (IDI)"/>
    <s v="Eficacia"/>
    <n v="1"/>
    <n v="0"/>
    <n v="0"/>
    <n v="0.5"/>
    <n v="0.5"/>
    <m/>
    <m/>
    <m/>
    <m/>
    <n v="0.5"/>
    <s v="el proceso de Gestión Comercial no tiene a cargo actividades en el Plan Anticorrupción y Atención al Ciudadano, el seguimiento al Plan de Acción se realiza mediante el aplicativo PLANIGAC."/>
    <m/>
    <m/>
    <m/>
    <m/>
    <d v="2021-10-08T00:00:00"/>
    <m/>
    <n v="0.5"/>
    <s v=""/>
    <s v=""/>
    <n v="1"/>
    <s v=" "/>
    <m/>
    <m/>
    <s v="Concepto Favorable"/>
    <m/>
    <m/>
    <m/>
    <s v="se verificó el cargue de la evidencia y el reporte del avance"/>
    <m/>
    <x v="3"/>
    <x v="3"/>
    <x v="1"/>
    <x v="0"/>
    <m/>
    <m/>
    <s v="No se presentan evidencias del desarrollo de la actividad."/>
    <m/>
  </r>
  <r>
    <n v="13"/>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Comercial "/>
    <s v="Porcentaje"/>
    <s v="Índice de Desempeño Institucional (IDI)"/>
    <s v="Eficacia"/>
    <n v="1"/>
    <n v="0"/>
    <n v="0"/>
    <n v="0"/>
    <n v="1"/>
    <m/>
    <m/>
    <m/>
    <m/>
    <n v="1"/>
    <s v="Esta actividad no está programada para el trimestre, sin embargo se anexa correo donde se confirma que el proceso de Gestión Comercial no tiene actividades programadas relacionadas al cumplimiento del FURAG que apliquen al proceso."/>
    <m/>
    <m/>
    <m/>
    <m/>
    <d v="2021-10-08T00:00:00"/>
    <m/>
    <n v="1"/>
    <s v=""/>
    <s v=""/>
    <s v=""/>
    <s v=" "/>
    <m/>
    <m/>
    <s v="Concepto Favorable"/>
    <m/>
    <m/>
    <m/>
    <s v="se verificó el cargue de la evidencia y el reporte del avance"/>
    <m/>
    <x v="3"/>
    <x v="3"/>
    <x v="1"/>
    <x v="0"/>
    <m/>
    <m/>
    <s v="No se presentan evidencias del desarrollo de la actividad."/>
    <m/>
  </r>
  <r>
    <n v="14"/>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Comercial "/>
    <s v="Porcentaje"/>
    <s v="Índice de Desempeño Institucional (IDI)"/>
    <s v="Eficacia"/>
    <n v="1"/>
    <n v="0"/>
    <n v="0"/>
    <n v="0"/>
    <n v="1"/>
    <m/>
    <m/>
    <m/>
    <m/>
    <n v="0"/>
    <s v="Esta actividad no esta programada para el trimestre"/>
    <m/>
    <m/>
    <m/>
    <m/>
    <d v="2021-10-08T00:00:00"/>
    <m/>
    <n v="0"/>
    <s v=""/>
    <s v=""/>
    <s v=""/>
    <s v=" "/>
    <m/>
    <m/>
    <s v="Sin meta asignada en el periodo"/>
    <m/>
    <m/>
    <m/>
    <s v="Sin meta asignada en el periodo"/>
    <m/>
    <x v="3"/>
    <x v="3"/>
    <x v="1"/>
    <x v="0"/>
    <m/>
    <m/>
    <s v="No se presentan evidencias del desarrollo de la actividad."/>
    <m/>
  </r>
  <r>
    <n v="15"/>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Oficina Comercial "/>
    <s v="Número"/>
    <s v="Índice de Desempeño Institucional (IDI)"/>
    <s v="Producto"/>
    <n v="4"/>
    <n v="0"/>
    <n v="0"/>
    <n v="1"/>
    <n v="3"/>
    <m/>
    <m/>
    <m/>
    <m/>
    <n v="1"/>
    <s v="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
    <m/>
    <m/>
    <m/>
    <m/>
    <d v="2021-10-08T00:00:00"/>
    <m/>
    <n v="0.25"/>
    <s v=""/>
    <s v=""/>
    <n v="1"/>
    <s v=" "/>
    <m/>
    <m/>
    <s v="Concepto Favorable"/>
    <m/>
    <m/>
    <m/>
    <s v="se verificó el cargue de la evidencia y el reporte del avance"/>
    <m/>
    <x v="3"/>
    <x v="3"/>
    <x v="1"/>
    <x v="0"/>
    <m/>
    <m/>
    <s v="No se presentan evidencias del desarrollo de la actividad."/>
    <m/>
  </r>
  <r>
    <n v="1"/>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visar, ajustar, consolidar y publicar el Plan Anual de Adquisiciones a nivel nacional"/>
    <d v="2021-01-01T00:00:00"/>
    <d v="2021-12-31T00:00:00"/>
    <s v="Publicación en pagina WEB del PAA"/>
    <s v="Subdirección Administrativa y Financiera"/>
    <s v="Número"/>
    <s v="Porcentaje  de contratación adelantados"/>
    <s v="Proceso"/>
    <n v="12"/>
    <n v="3"/>
    <n v="3"/>
    <n v="3"/>
    <n v="3"/>
    <n v="3"/>
    <s v="Durante el primer trimestre se revisó, ajusto, consolido y se publicó el Plan Anual de Adquisiciones a nivel nacional esta actividad se desarrollo mensualmente"/>
    <n v="3"/>
    <s v="Durante el segundo trimestre se revisó, ajusto, consolido y se publicó el Plan Anual de Adquisiciones a nivel nacional esta actividad se desarrollo mensualmente (https://www.igac.gov.co/transparencia-y-acceso-a-la-informacion-publica/plan-anual-de-adquisiciones)"/>
    <n v="3"/>
    <s v="Durante el segundo trimestre se revisó, ajusto, consolido y se publicó el Plan Anual de Adquisiciones a nivel nacional esta actividad se desarrollo mensualmente (https://www.igac.gov.co/transparencia-y-acceso-a-la-informacion-publica/plan-anual-de-adquisicione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Documentos de PAA, al ser coincidentes se aprueba el seguimiento."/>
    <m/>
    <x v="0"/>
    <x v="0"/>
    <x v="0"/>
    <x v="0"/>
    <s v="De acuerdo con los soportes entregados se observa que se ha consolidado y ajustado el Plana anual de adquisiciones a nivel nacional de acuerdo con las necesidades de la entidad"/>
    <s v="De acuerdo con las evidencias suministradas se observa que se ha consolidado y ajustado el Plan anual de adquisiciones en los meses de abril, mayo y junio."/>
    <s v="De acuerdo con las eviencias suministradas se observa que se ha reevisado ajustado, consolidado y publicado el Plan Anual de Adquisiciones a nivel nacional durante los meses de julio, agosto, septiembre"/>
    <m/>
  </r>
  <r>
    <n v="2"/>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procesos de contratación utilizando las plataformas dispuestas por el Gobierno Nacional"/>
    <d v="2021-01-01T00:00:00"/>
    <d v="2021-12-31T00:00:00"/>
    <s v="Relación de contratos, informes"/>
    <s v="Subdirección Administrativa y Financiera"/>
    <s v="Porcentaje"/>
    <s v="Porcentaje  de contratación adelantados"/>
    <s v="Proceso"/>
    <n v="1"/>
    <n v="0.25"/>
    <n v="0.25"/>
    <n v="0.25"/>
    <n v="0.25"/>
    <n v="0.25"/>
    <s v="Durante los meses de enero, febrero y marzo se elaboraron  los procesos de contratación utilizando las plataformas dispuestas por el Gobierno Nacional"/>
    <n v="0.25"/>
    <s v="Durante los meses de abril, mayo y junio se elaboraron  los procesos de contratación utilizando las plataformas dispuestas por el Gobierno Nacional"/>
    <n v="0.25"/>
    <s v="Durante los meses de julio, agosto y septiembre se elaboraron  los procesos de contratación utilizando las plataformas dispuestas por el Gobierno Nacional"/>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Informes de contratación efectuada, al ser coincidentes se aprueba el seguimiento."/>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s v="Teniendo en cuenta los soportes suministrados, el documento &quot;Informes de Gestión- Plan de acción 2021&quot; se observa que para el mes de junio la sede central ha realizado 21 procesos de contratación, las direcciones territoriales 25 procesos, así mismo el plan de adquisiciones durante el mes de junio se modifio en 3 oportunidades."/>
    <s v="De acuerdo con los soportes suministrados, &quot;Informes de Gestión- Plan de acción 2021&quot; se observa que para el mes de julio la sede central realizó 36  procesos de contratación y las direcciones territoriales 64 procesos, el plan de adquisiciones se modifico 2 veces durante el mes de julio, en agosto la sede central realizó 37  procesos de contratación y las direcciones territoriales 130 procesos, el plan de adquisiciones se modifico 4 veces durante este mes. "/>
    <m/>
  </r>
  <r>
    <n v="3"/>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Apoyo precontractual y contractual para los procesos que se adelanten para la ejecución del crédito de banca multilateral "/>
    <d v="2021-01-01T00:00:00"/>
    <d v="2021-12-31T00:00:00"/>
    <s v="Reuniones, correos electrónicos, informes"/>
    <s v="Subdirección Administrativa y Financiera"/>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n v="0.25"/>
    <s v="El GIT de Gestión Contractual durante el segundo trimestre estuvo apoyando el proceso  precontractual y contractual para los procesos que se adelanten para la ejecución del crédito de banca multilateral cuando fue requerido "/>
    <n v="0.25"/>
    <s v="El GIT de Gestión Contractual durante el tercer trimestre estuvo apoyando el proceso  precontractual y contractual para los procesos que se adelanten para la ejecución del crédito de banca multilateral cuando fue requerido "/>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Reuniones realizadas, al ser coincidentes se aprueba el seguimiento."/>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s v="Teniendo en cuenta los soportes suministrados se observa que el GIT de Gestión Contractual brindo los apoyos requeridos en las reuniones sostenidas en los meses de abril, mayo y junio."/>
    <s v="De acuerdo con las evidencias suministradas, soportes reuniones de julio, reuniones de la banca se observa que durante los meses de julio y agosto se brindo el apoyo requerido para los procesos de contratación."/>
    <m/>
  </r>
  <r>
    <n v="4"/>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Brindar acompañamiento (capacitación, soporte y asesoría) a las diferentes áreas y Direcciones Territoriales del IGAC en asuntos contractuales en desarrollo de los procesos."/>
    <d v="2021-01-01T00:00:00"/>
    <d v="2021-12-31T00:00:00"/>
    <s v="Reuniones, correos electrónicos"/>
    <s v="Subdirección Administrativa y Financiera"/>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n v="0.25"/>
    <s v="El GIT de Gestión Contractual durante el segundo trimestre prestó acompañamiento, soporte y asesoria a las diferentes áreas y Direcciones Territoriales del IGAC en asuntos contractuales en desarrollo de los procesos"/>
    <n v="0.25"/>
    <s v="El GIT de Gestión Contractual durante el tercer trimestre prestó acompañamiento, soporte y asesoria a las diferentes áreas y Direcciones Territoriales del IGAC en asuntos contractuales en desarrollo de los proceso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s v="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
    <s v="De acuerdo con los soportes suministrados, reuniones para capacitación de supervisiores, correos electrónicos de soporte asesoría se observa el acompñamiento brindado para el correcto funcionamiento de la supervisión de los contratos."/>
    <m/>
  </r>
  <r>
    <n v="5"/>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requeridos en desarrollo  del proceso de Gestión Contractual"/>
    <d v="2021-01-01T00:00:00"/>
    <d v="2021-12-31T00:00:00"/>
    <s v="Informes"/>
    <s v="Subdirección Administrativa y Financiera"/>
    <s v="Número"/>
    <s v="Porcentaje  de contratación adelantados"/>
    <s v="Proceso"/>
    <n v="12"/>
    <n v="3"/>
    <n v="3"/>
    <n v="3"/>
    <n v="3"/>
    <n v="3"/>
    <s v="Se elaborarón informes sobre el desarrollo del proceso de gestión contractual mensualmente"/>
    <n v="3"/>
    <s v="Se elaborarón informes sobre el desarrollo del proceso de gestión contractual mensualmente, adicionalmente se publicó mensualmente los planes de adquisiciones (https://www.igac.gov.co/transparencia-y-acceso-a-la-informacion-publica/plan-anual-de-adquisiciones)"/>
    <n v="3"/>
    <s v="Se elaborarón informes sobre el desarrollo del proceso de gestión contractual mensualmente, adicionalmente se publicó mensualmente los planes de adquisiciones (https://www.igac.gov.co/transparencia-y-acceso-a-la-informacion-publica/plan-anual-de-adquisicione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Listados de contratos, al ser coincidentes se aprueba el seguimiento."/>
    <m/>
    <x v="0"/>
    <x v="0"/>
    <x v="0"/>
    <x v="0"/>
    <s v="De acuerdo con los soportes suministrados se observa que se han publicado los contratos suscritos en los meses de enero, febrero y marzo del 2021."/>
    <s v="Teniendo en cuenta los soportes suministrados se presenta relación de 46 contratos suscritos a nivle nacional durante el mes de junio."/>
    <s v="De acuerdo con los soportes suministrados, Contratos Julio, agosto y septiembre se observa que los procesos de contratación suscritos se han publicado y perfeccionado en los tiempos establecidos."/>
    <m/>
  </r>
  <r>
    <n v="6"/>
    <x v="4"/>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capacitaciones a los funcionarios y contratistas a nivel nacional, de acuerdo a los procedimientos de Contratación y supervisión e interventoría y demás formatos"/>
    <d v="2021-03-01T00:00:00"/>
    <d v="2021-12-31T00:00:00"/>
    <s v="Lista de asistencia, programación de las socializaciones"/>
    <s v="Subdirección Administrativa y Financiera"/>
    <s v="Número"/>
    <s v="Actividades de socialización y sensibilizaciones realizadas"/>
    <s v="Eficacia"/>
    <n v="4"/>
    <n v="1"/>
    <n v="1"/>
    <n v="1"/>
    <n v="1"/>
    <n v="10"/>
    <s v="Durante el primer trimestre del año el GIT Gestión Contractual realizaron capacitaciones a funcionarios y contratistas del IGAC"/>
    <n v="7"/>
    <s v="Durante el segundo trimestre del año el GIT Gestión Contractual realizó 7 capacitaciones a funcionarios y/o contratistas del IGAC"/>
    <n v="10"/>
    <s v="Durante el tercer trimestre del año el GIT Gestión Contractual realizó 10 capacitaciones a funcionarios y/o contratistas del IGAC"/>
    <m/>
    <m/>
    <d v="2021-04-10T00:00:00"/>
    <d v="2021-07-07T00:00:00"/>
    <d v="2021-10-11T00:00:00"/>
    <m/>
    <n v="1"/>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Registros de asistencia, al ser coincidentes se aprueba el seguimiento."/>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s v="Teniendo en cuenta los soportes suministrados se observan capacitaciones realizadas los días 8 de abril, 03 de mayo, 30 de mayo,4 de junio, 17 de junio."/>
    <s v="De acuerdo con los soportes suministrados, Registros de asistencia de fecha 02, 07,08,09 y 13 de julio, 01 de agosto, 01 y 06 dde septiembre se observa la socialización y capacitación en temas relacionados con supervisión de contratos."/>
    <m/>
  </r>
  <r>
    <n v="7"/>
    <x v="4"/>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Subdirección Administrativa y Financiera"/>
    <s v="Número"/>
    <s v="Actividades de socialización y sensibilizaciones realizadas"/>
    <s v="Eficacia"/>
    <n v="8"/>
    <n v="2"/>
    <n v="2"/>
    <n v="2"/>
    <n v="2"/>
    <n v="5"/>
    <s v="El GIT de Gestión Contractual publicó 5 tips"/>
    <n v="5"/>
    <s v="El GIT de Gestión Contractual publicó 5 tips durante el segundo trimestre"/>
    <n v="2"/>
    <s v="El GIT de Gestión Contractual publicó 2 tips durante el tercer trimestre"/>
    <m/>
    <m/>
    <d v="2021-04-10T00:00:00"/>
    <d v="2021-07-07T00:00:00"/>
    <d v="2021-10-11T00:00:00"/>
    <m/>
    <n v="1"/>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s v="Teniendo en cuenta los soportes suministrados se observa el envío de tips por medio de correo electrónico de fechas 08 de abril, 07 de mayo y 25 de mayo relacionados con las funciones de la supervisión de contratos."/>
    <s v="De acuerdo con los soportes suministrados, se observa que se envian tips relacionados con el proceso de supervisión por medio de correo electrónico de fecha 09 de juio y 13 de agosto."/>
    <m/>
  </r>
  <r>
    <n v="8"/>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Administrativa y Financiera"/>
    <s v="Porcentaje"/>
    <s v="Avance en la actualización, implementación y seguimiento de las actividades de MIPG"/>
    <s v="Producto"/>
    <n v="1"/>
    <n v="0"/>
    <n v="0"/>
    <n v="0.5"/>
    <n v="0.5"/>
    <n v="0"/>
    <s v="Esta actividad se desarrollara en los siguientes trimestres"/>
    <n v="0"/>
    <s v="Esta actividad será desarrollada a partir del tercer trimestre"/>
    <n v="0"/>
    <s v="Se realizó cronograma de actualización dela documentacion del SGI"/>
    <m/>
    <m/>
    <d v="2021-04-10T00:00:00"/>
    <d v="2021-07-07T00:00:00"/>
    <d v="2021-10-13T00:00:00"/>
    <m/>
    <n v="0"/>
    <s v=""/>
    <s v=""/>
    <n v="0"/>
    <s v=" "/>
    <s v="Sin meta asignada en el periodo"/>
    <s v="Sin meta asignada en el periodo"/>
    <s v="Concepto No Favorable"/>
    <m/>
    <s v="esta actividad se desarrollara en los siguientes periodos"/>
    <s v="sin meta asignada para el periodo"/>
    <s v="Sin avance para el periodo "/>
    <m/>
    <x v="1"/>
    <x v="1"/>
    <x v="2"/>
    <x v="0"/>
    <s v="Sin meta asignada para el trimestre y sin evidencias de ejecución de la misma."/>
    <s v="Sin meta asignada para el trimestre y sin evidencias de ejecución de la misma."/>
    <s v="No se presentan evidencias que demuestren el avance de la actividad."/>
    <m/>
  </r>
  <r>
    <n v="9"/>
    <x v="4"/>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Subdirección Administrativa y Financiera"/>
    <s v="Porcentaje"/>
    <s v="Avance en la actualización, implementación y seguimiento de las actividades de MIPG"/>
    <s v="Producto"/>
    <n v="1"/>
    <n v="0"/>
    <n v="0.3"/>
    <n v="0.3"/>
    <n v="0.4"/>
    <n v="1"/>
    <s v="El GIT realizó el seguimiento a las actividades del PAAC"/>
    <n v="0.3"/>
    <s v="El GIT realizó el seguimiento a las actividades del PAAC"/>
    <n v="0.3"/>
    <s v="El GIT realizó el seguimiento a las actividades del PAAC"/>
    <m/>
    <m/>
    <d v="2021-04-10T00:00:00"/>
    <d v="2021-07-07T00:00:00"/>
    <d v="2021-10-11T00:00:00"/>
    <m/>
    <n v="1"/>
    <s v=""/>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 electronico, plan anticorrupción con seguimiento, al ser coincidentes se aprueba el seguimiento."/>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s v="Teniendo en cuenta los soportes suministrados se observa que el GIT de Gestión Contractual realiza seguimiento a las actividades contempladas en el Plan de Anticorrupción y Atención al Ciudadano."/>
    <s v="De acuerdo con los soportes suministrados, correo electrónico del 14 de octubre se observa envío del seguimiento realizado al PLan Anticorrupción y Atención al Ciudadano."/>
    <m/>
  </r>
  <r>
    <n v="10"/>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Subdirección Administrativa y Financiera"/>
    <s v="Porcentaje"/>
    <s v="Avance en la actualización, implementación y seguimiento de las actividades de MIPG"/>
    <s v="Producto"/>
    <n v="1"/>
    <n v="0"/>
    <n v="0"/>
    <n v="1"/>
    <n v="0"/>
    <n v="0"/>
    <s v="Esta actividad se desarrollara en los siguientes trimestres"/>
    <n v="0"/>
    <s v="Esta actividad se desarrollará a partir del tercer trimestre"/>
    <n v="1"/>
    <s v="En el mes de septiembre se realizó la reunión con la OAP para identificar las acciones de mejora respecto al FURAG"/>
    <m/>
    <m/>
    <d v="2021-04-10T00:00:00"/>
    <d v="2021-07-07T00:00:00"/>
    <d v="2021-10-11T00:00:00"/>
    <m/>
    <n v="1"/>
    <s v=""/>
    <s v=""/>
    <n v="1"/>
    <s v=" "/>
    <s v="Sin meta asignada en el periodo"/>
    <s v="Sin meta asignada en el periodo"/>
    <s v="Concepto Favorable"/>
    <m/>
    <s v="esta actividad se desarrolla en los siguientes periodos"/>
    <s v="se inicia en el tercer trimestre"/>
    <s v="Se verifica la información y la evidencia aportada: archivos preparación FURAG, al ser coincidentes se aprueba el seguimiento."/>
    <m/>
    <x v="1"/>
    <x v="1"/>
    <x v="0"/>
    <x v="0"/>
    <s v="Sin meta asignada para el trimestre y sin evidencias de su ejecución."/>
    <s v="Sin meta asignada en el trimestre y sin evidencias de ejecución de la misma."/>
    <s v="De acuerdo con los soportes suministrados, &quot;Preparación FURAG 2021 y correo electrónico de fecha 29 de septiembre&quot; se realiza revisión de fechas de cumplimiento y responsables para el proceso de gestión contractual."/>
    <m/>
  </r>
  <r>
    <n v="11"/>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Subdirección Administrativa y Financiera"/>
    <s v="Porcentaje"/>
    <s v="Avance en la actualización, implementación y seguimiento de las actividades de MIPG"/>
    <s v="Producto"/>
    <n v="1"/>
    <n v="0"/>
    <n v="0"/>
    <n v="0.45"/>
    <n v="0.55000000000000004"/>
    <n v="0"/>
    <s v="Esta actividad se desarrollara en los siguientes trimestres"/>
    <n v="0"/>
    <s v="Esta actividad se desarrollará a partir del tercer trimestre"/>
    <n v="0.45"/>
    <s v="Desde la reunión de la identificación de las acciones de mejora, se esta realizando control a las mismas para generar el efectivo cumplimiento"/>
    <m/>
    <m/>
    <d v="2021-04-10T00:00:00"/>
    <d v="2021-07-07T00:00:00"/>
    <d v="2021-10-11T00:00:00"/>
    <m/>
    <n v="0.45"/>
    <s v=""/>
    <s v=""/>
    <n v="1"/>
    <s v=" "/>
    <s v="Sin meta asignada en el periodo"/>
    <s v="Sin meta asignada en el periodo"/>
    <s v="Concepto Favorable"/>
    <m/>
    <s v="esta actividad se desarrolla en los siguientes periodos"/>
    <s v="se desarrolla a partir del tercer trimestre"/>
    <s v="Se verifica la información y la evidencia aportada: Documentos FURAG, al ser coincidentes se aprueba el seguimiento."/>
    <m/>
    <x v="1"/>
    <x v="1"/>
    <x v="0"/>
    <x v="0"/>
    <s v="Sin meta asignada para el trimestre y sin evidencias de su ejecución."/>
    <s v="Sin meta asignada  para el trimestre y sin evidencias de su ejecución."/>
    <s v="De acuerdo con los soportes suministrados, &quot;Preparación FURAG 2021 &quot; se diligencia una versión preliminar de las preguntas del formulario FURAG"/>
    <m/>
  </r>
  <r>
    <n v="12"/>
    <x v="4"/>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Administrativa y Financiera"/>
    <s v="Porcentaje"/>
    <s v="Avance en la actualización, implementación y seguimiento de las actividades de MIPG"/>
    <s v="Producto"/>
    <n v="1"/>
    <n v="0"/>
    <n v="0"/>
    <n v="0"/>
    <n v="1"/>
    <n v="0"/>
    <s v="Esta actividad se desarrollara en los siguientes trimestres"/>
    <n v="0"/>
    <s v="Esta actividad se desarrollará a partir del tercer trimestre"/>
    <n v="0"/>
    <s v="Esta actividad se realizará en el cuarto trimestre"/>
    <m/>
    <m/>
    <d v="2021-04-10T00:00:00"/>
    <d v="2021-07-07T00:00:00"/>
    <d v="2021-10-13T00:00:00"/>
    <m/>
    <n v="0"/>
    <s v=""/>
    <s v=""/>
    <s v=""/>
    <s v=" "/>
    <s v="Sin meta asignada en el periodo"/>
    <s v="Sin meta asignada en el periodo"/>
    <s v="Sin meta asignada en el periodo"/>
    <m/>
    <s v="se desarrolla en los periodos siguientes"/>
    <s v="se realia seguimiento en tercer trimestre"/>
    <s v="Sin meta programada para el periodo"/>
    <m/>
    <x v="1"/>
    <x v="1"/>
    <x v="1"/>
    <x v="0"/>
    <s v="Sin meta asignada para el trimestre y sin evidencias de su ejecución."/>
    <s v="Sin meta asignada para el trimestre y sin evidencias de ejecución de la misma."/>
    <s v="Sin meta asignada para el trimestre."/>
    <m/>
  </r>
  <r>
    <n v="1"/>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l Plan Estratégico de Comunicaciones de la entidad. "/>
    <d v="2021-01-01T00:00:00"/>
    <d v="2021-03-31T00:00:00"/>
    <s v="Documento Plan Estratégico de comunicaciones."/>
    <s v="Oficina Asesora de Comunicaciones"/>
    <s v="Número"/>
    <s v="Plan estratégico de comunicaciones formulado. "/>
    <s v="Eficacia"/>
    <n v="1"/>
    <n v="1"/>
    <n v="0"/>
    <n v="0"/>
    <n v="0"/>
    <n v="1"/>
    <s v="El documento Plan Estratégico de Comunicaciones se encuentra publicado en la página web institucional. "/>
    <n v="0"/>
    <s v="Actividad cumplida en el primer trimestre"/>
    <n v="0"/>
    <s v="Actividad cumplida en el primer trimestre"/>
    <m/>
    <m/>
    <d v="2021-04-09T00:00:00"/>
    <d v="2021-07-02T00:00:00"/>
    <d v="2021-10-11T00:00:00"/>
    <m/>
    <n v="1"/>
    <n v="1"/>
    <s v=""/>
    <s v=""/>
    <s v=" "/>
    <s v="Concepto Favorable"/>
    <s v="Sin meta asignada en el periodo"/>
    <s v="Sin meta asignada en el periodo"/>
    <m/>
    <s v="se verificó el cargue de la evidencia y el reporte del avance"/>
    <s v="Sin meta asignada en el periodo"/>
    <s v="Sin meta asignada en el periodo"/>
    <m/>
    <x v="0"/>
    <x v="1"/>
    <x v="1"/>
    <x v="0"/>
    <s v="Se verificó el avance de la actividad con el Diseño del Plan estratégico de comunicaciones 2021con sus contenidos como los pilares, el objetivo, objetivos específicos y las tácticas de comunicación; así como su publicación en la página web de la institución."/>
    <s v="Sin meta asignada en el periodo"/>
    <s v="Sin meta asignada en el periodo"/>
    <m/>
  </r>
  <r>
    <n v="2"/>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Asesora de Comunicaciones"/>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n v="1"/>
    <s v="Se realizó el foro Colombia Tierra de Todos en conjunto con coordinación con Presidencia de la República. "/>
    <n v="3"/>
    <s v="Se realizaron tres (3) foros durante el trimestre: 1. Foro Catastro Multipropósito. Nuevos retos, nuevos profesionales. 2. Catastro Multipropósito: Nuevos retos, nuevas oportunidades. 3. Lanzamiento proyecto de fortalecimiento de capacidades territoriales Boyacá."/>
    <m/>
    <m/>
    <d v="2021-04-09T00:00:00"/>
    <d v="2021-07-02T00:00:00"/>
    <d v="2021-10-11T00:00:00"/>
    <m/>
    <n v="1"/>
    <n v="1"/>
    <s v=""/>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la realización de la actividad con el Foro &quot;Así evoluciona la gestión Catastral en Colombia&quot;, con fecha del 24 de marzode 2021."/>
    <s v="Sin meta para el periodo, sin embargo, se evidencia la  realización del foro Colombia Tierra de Todos en conjunto con coordinación con Presidencia de la República."/>
    <s v="Sin meta para el periodo, sin embargo, se evidencia la  realización del Foro Catastro Multipropósito, Lanzamiento proyecto de fortalecimiento de capacidades territoriales Boyacá."/>
    <m/>
  </r>
  <r>
    <n v="3"/>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omunicados. (Comunicados de prensa, crónicas, crecimiento de seguidores interacciones en redes sociales, boletines, entre otros)."/>
    <s v="Oficina Asesora de Comunicaciones"/>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n v="0.25"/>
    <s v="Durante el segundo trimestre se realizaron 19 publicaciones en la página web y 491 mensajes a través de las redes sociales (Twitter, Facebook e Instagram). "/>
    <n v="0.25"/>
    <s v="Durante el tercer trimestre se realizaron 26 publicaciones en la página web y 453 mensajes a través de las redes sociales (Twitter, Facebook e Instagram).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s v="En el autoseguimiento se reporta la realización de 19 publicaciones en la página web y 491 mensajes a través de las redes sociales (Twitter, Facebook e Instagram)."/>
    <s v="En el autoseguimiento se reporta la realización de 26 publicaciones en la página web y 453 mensajes a través de las redes sociales (Twitter, Facebook e Instagram"/>
    <m/>
  </r>
  <r>
    <n v="4"/>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Asesora de Comunicaciones"/>
    <s v="Número"/>
    <s v="Actividades del plan estratégico de comunicaciones externas implementadas"/>
    <s v="Eficacia"/>
    <n v="2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n v="4"/>
    <s v="Se realizaron los siguientes Facebook Live: Innovación en los análisis de suelos. 2. Fortalecimiento de la ICDE de los colombianos. 3. ¿Cómo sacarle provecho a Colombia en Mapas? 4. Foro Agrología, clave para el ordenamiento integral del territorio."/>
    <n v="2"/>
    <s v="Se realizaron dos (2) Facebook Live: 1. ¿Cómo sacarle provecho a Colombia en Mapas? 2. Foro Catastro Multipropósito. Nuevos retos, nuevos profesionales"/>
    <m/>
    <m/>
    <d v="2021-04-09T00:00:00"/>
    <d v="2021-07-02T00:00:00"/>
    <d v="2021-10-12T00:00:00"/>
    <m/>
    <n v="0.6"/>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durante el periodo  la realización de 6 transmisiones en vivo, lal cual supera la meta programada, que era de 2. "/>
    <s v="Se evidencia la realización Facebook Live en Innovación en los análisis de suelos, Fortalecimiento de la ICDE de los colombianos, ¿Cómo sacarle provecho a Colombia en Mapas, Foro Agrología, clave para el ordenamiento integral del territorio."/>
    <s v="Se evidencia la realización de dos  Facebook Live, el primero fue  Cómo sacarle provecho a Colombia en Mapas? 2. Foro Catastro Multipropósito."/>
    <m/>
  </r>
  <r>
    <n v="5"/>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Asesora de Comunicaciones"/>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n v="5"/>
    <s v="Se diseñaron los planes de medios para: 1. Colombia Tierra de Todos. 2. Plenaria ICDE. 3. Día de la Tierra. 4. El Catastro Multipropósito va por buen camino.  5. Trámites a la mano de los Colombianos’"/>
    <n v="4"/>
    <s v="Se realizaron cuatro (4) planes de medios: 1. El IGAC a la Vanguardia de la Globalización. 2. Taller Colombia en Mapas. 3. Foro Catastro Multipropósito: Nuevos Retos, Nuevos Profesionales. 4. Ventajas y beneficios del Catastro Multipropósito para el país.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el diseño de 4 planes de medios con La rueda de prensa sobre los avances de la política de Catastro Multipropósito, Lanzamiento de Colombia en Mapas, Plan de medios de VIVI, y Plan de medios del foro de gestión catastral. "/>
    <s v="Se evidencia el diseño de planes de medios sobre temas estratégicos para la Entidad."/>
    <s v="Se evidencia la realizacion de 4 planes de medios sobre temas estrategicos para la entidad "/>
    <m/>
  </r>
  <r>
    <n v="6"/>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Asesora de Comunicaciones"/>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n v="149"/>
    <s v="Se formalizaron  149 alianzas estratégicas con los principales medios de comunicación del país y un ahorro para la entidad $92.040.711"/>
    <n v="95"/>
    <s v="Se formalizaron 95 alianzas estratégicas con los principales medios de comunicación del país, lo que trae un ahorro para la entidad de $192.838.105 en Free Press. "/>
    <m/>
    <m/>
    <d v="2021-04-09T00:00:00"/>
    <d v="2021-07-02T00:00:00"/>
    <d v="2021-10-11T00:00:00"/>
    <m/>
    <n v="1"/>
    <n v="1"/>
    <n v="1"/>
    <n v="1"/>
    <s v=" "/>
    <s v="Concepto Favorable"/>
    <s v="Concepto Favorable"/>
    <s v="Concepto Favorable"/>
    <m/>
    <s v="se sugiere validar la pertinencia de evidenciar a través de un indicacor la gestion que se realiza en ahorros para la entidad por publicaciones alcanzadas en medios de comunicacion."/>
    <s v="se verificó el cargue de la evidencia y el reporte del avance"/>
    <s v="se verificó el cargue de la evidencia y el reporte del avance"/>
    <m/>
    <x v="0"/>
    <x v="0"/>
    <x v="0"/>
    <x v="0"/>
    <s v="Se valida la actividad en un número superior al programado (meta=38 - alcanzado=201), y su representación de ahorro en $357.756.767. "/>
    <s v="se evidenció el cargue de la evidencia y el reporte del avance, con los soportes sumnisitrados por el proceso."/>
    <s v="Se evidencia formato donde se formalizaron 95 alianzas estratégicas con los principales medios de comunicación del país"/>
    <m/>
  </r>
  <r>
    <n v="7"/>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Asesora de Comunicaciones"/>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n v="5"/>
    <s v="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_x000a_"/>
    <n v="4"/>
    <s v="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urante el periodo se evidencia la realización de 6 columnas de la directora en dos medios de comunicación, superando la meta programada que fué de 3."/>
    <s v="Se evidencia durante el trimestre la realización de 5 columnas digitales de la Dirección General, en diferentes temas de interés."/>
    <s v="Se evidencia durante el trimestre la realización de 4  columnas digitales de la Dirección General, en diferentes temas de interés para la entidad."/>
    <m/>
  </r>
  <r>
    <n v="8"/>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Asesora de Comunicaciones"/>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n v="3"/>
    <s v="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_x000a_"/>
    <n v="12"/>
    <s v="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el diseño y cargue de la campaña para el producto certificado catastral, en plataforma virtual."/>
    <s v="De acuerdo a lo aportado por el proceso se evidencia el diseño y ejecución de campañas para la promoción de los productos y/o servicios de la Entidad."/>
    <s v="De acuerdo a lo aportado por el proceso se evidencia la realizaron  de 12 campañas para la promoción de los productos y/o servicios de la entidad."/>
    <m/>
  </r>
  <r>
    <n v="9"/>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Asesora de Comunicaciones"/>
    <s v="Porcentaje"/>
    <s v="Actividades del plan estratégico de comunicaciones externas implementadas"/>
    <s v="Eficacia"/>
    <n v="1"/>
    <n v="0.25"/>
    <n v="0.25"/>
    <n v="0.25"/>
    <n v="0.25"/>
    <n v="0.25"/>
    <s v="Se recopilaron y remitieron al área competente 792 mensajes directos de los ciudadanos recibidos a través de las redes sociales.  "/>
    <n v="0.25"/>
    <s v="Se recopilaron y remitieron al área competente 753 mensajes directos de los ciudadanos recibidos a través de las redes sociales.  "/>
    <n v="0.25"/>
    <s v="Se recopilaron y remitieron al área competente 844 mensajes directos de los ciudadanos recibidos a través de las redes sociale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recopilación y remisión mediante documento soporte de 792 mensajes de los ciudadanos recicibidos a través de las redes sociales."/>
    <s v="Se evidencia la compilación y remición  a las áreas competente las solicitudes allegadas de los ciudadanos a través de las redes sociales en el periodo. "/>
    <s v="Se evidencia la compilación y remición  a las áreas competente las solicitudes allegadas de los ciudadanos a través de las redes sociales en e tercer  periodo. "/>
    <m/>
  </r>
  <r>
    <n v="10"/>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ónicos enviados, publicación en campañas e intranet.  "/>
    <s v="Oficina Asesora de Comunicaciones"/>
    <s v="Número"/>
    <s v="Actividades del plan estratégico de comunicaciones internas implementadas"/>
    <s v="Eficacia"/>
    <n v="4"/>
    <n v="1"/>
    <n v="1"/>
    <n v="1"/>
    <n v="1"/>
    <n v="2"/>
    <s v="Se diseñaron y ejecutaron las campañas internas: 1. Yo Soy IGAC y 2. Juntos Avanzamos. "/>
    <n v="1"/>
    <s v="Se diseñaron y ejecutaron las campañas internas: 1. Diseño y ejecución de la campaña interna CheckList IGAC, cuyo propósito es dar a conocer la nueva herramienta de comunicación e información a los planes de Talento Humano. "/>
    <n v="4"/>
    <s v="Se diseñaron y ejecutaron cuatro (4) campañas internas como : La ruta del cambio, Soy cultura IGAC e historias que transcienden."/>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diseño y ejecución de 2 campañas internas, Yo Soy IGAC y Juntos Avanzamos. Se supera lo programado en el periodo."/>
    <s v="Se constató el diseño y ejecución de la campaña interna CheckList IGAC."/>
    <s v="Para el tercer trimestre se evidencia el diseño y ejecucion de 4 campañas internas para el IGAC"/>
    <m/>
  </r>
  <r>
    <n v="11"/>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o el boletín institucional como espacio de participación con el cliente interno. "/>
    <d v="2021-03-01T00:00:00"/>
    <d v="2021-12-31T00:00:00"/>
    <s v="Boletín actualizado y difundido. "/>
    <s v="Oficina Asesora de Comunicaciones"/>
    <s v="Número"/>
    <s v="Actividades del plan estratégico de comunicaciones internas implementadas"/>
    <s v="Eficacia"/>
    <n v="20"/>
    <n v="4"/>
    <n v="6"/>
    <n v="6"/>
    <n v="4"/>
    <n v="4"/>
    <s v="Se realizaron cuatro (4) actualizaciones del boletín institucional IGAC al día durante el trimestre. "/>
    <n v="6"/>
    <s v="Se realizaron 6 actualizaciones del boletín institucional IGAC al día; entre los que se destacan los avances del Instituto frente a los procesos de actualización en el Departamento de Boyacá. "/>
    <n v="6"/>
    <s v="Se realizaron seis (6) actualizaciones del boletín institucional IGAC al día; entre los que se destacan: reconocimiento de pacto global al IGAC, Ibagué se habilita como gestor catastral, agrología y su impacto en la construcción de país. "/>
    <m/>
    <m/>
    <d v="2021-04-09T00:00:00"/>
    <d v="2021-07-02T00:00:00"/>
    <d v="2021-10-11T00:00:00"/>
    <m/>
    <n v="0.8"/>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n las 4  actualizaciones del boletín en el el trimestre; ejecutado igual a lo programado."/>
    <s v="Se constató la realización del diseño y ejecución de las campañas internas, como espacio de participación con el cliente IGAC."/>
    <s v="Se constató la realización  de seis actualizaciones del boletín institucional IGAC al día, actividades que mantienen actualizado el boletin institucional."/>
    <m/>
  </r>
  <r>
    <n v="12"/>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ónicos enviados, publicación en campañas e IGANET. "/>
    <s v="Oficina Asesora de Comunicaciones"/>
    <s v="Porcentaje"/>
    <s v="Actividades del plan estratégico de comunicaciones internas implementadas"/>
    <s v="Eficacia"/>
    <n v="1"/>
    <n v="0.5"/>
    <n v="0.5"/>
    <n v="0"/>
    <n v="0"/>
    <n v="0.5"/>
    <s v="Se divulgó a través de piezas TIPS del protocolo de bioseguridad en pantallas digitales, correos electrónicos e IGANET. "/>
    <n v="0.5"/>
    <s v="Se divulgó a través de piezas TIPS del protocolo de bioseguridad en pantallas digitales, correos electrónicos e IGACNET. "/>
    <n v="0"/>
    <s v="Se continuó divulgando contenido a través de piezas TIPS sobre el protocolo de bioseguridad en pantallas digitales, correos electrónicos e IGANET. "/>
    <m/>
    <m/>
    <d v="2021-04-09T00:00:00"/>
    <d v="2021-07-02T00:00:00"/>
    <d v="2021-10-11T00:00:00"/>
    <m/>
    <n v="1"/>
    <n v="1"/>
    <n v="1"/>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alida la divulgación  de piezas TIPS del protocolo de bioseguridad en los diferentes medios utilizados por el proceso."/>
    <s v="Se verificó el cargue y reporte a través de piezas TIPS del protocolo de bioseguridad en pantallas digitales, correos electrónicos e IGACNET."/>
    <s v="Se valida la divulgación  de contenido a través de piezas TIPS sobre el protocolo de bioseguridad en pantallas digitales, correos electrónicos e IGANET"/>
    <m/>
  </r>
  <r>
    <n v="13"/>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ónicos enviados, publicación en campañas e IGANET. "/>
    <s v="Oficina Asesora de Comunicaciones"/>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n v="0.25"/>
    <s v="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
    <n v="0.25"/>
    <s v="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evidenciado, se cumple con la actividad de realización de campañas internas solicitadas por los diferentes procesos a nivel nacional."/>
    <s v="De acuerdo a lo aportado por el proceso, se evidencia la atención de las solicitudes para realizar campañas internas solicitadas por las diferentes áreas a nivel nacional, en los diferentes canales del instituto."/>
    <s v="De acuerdo a lo aportado por el proceso, se evidencia la realizaron 24 campañas  por las diferentes áreas a nivel nacional, en los diferentes canales del instituto."/>
    <m/>
  </r>
  <r>
    <n v="14"/>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Asesora de Comunicaciones"/>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n v="3"/>
    <s v="Se realizaron 2 emisiones para la implementación del programa juntos avanzamos. "/>
    <n v="3"/>
    <s v="Se realizaron tres (3) emisiones para la implementación del programa Juntos Avanzamos. "/>
    <m/>
    <m/>
    <d v="2021-04-09T00:00:00"/>
    <d v="2021-07-02T00:00:00"/>
    <d v="2021-10-11T00:00:00"/>
    <m/>
    <n v="0.72727272727272729"/>
    <n v="1"/>
    <n v="1"/>
    <n v="1"/>
    <s v=" "/>
    <s v="Concepto Favorable"/>
    <s v="Concepto Favorable"/>
    <s v="Concepto No Favorable"/>
    <m/>
    <s v="se verificó el cargue de la evidencia y el reporte del avance"/>
    <s v="se verificó el cargue de la evidencia y el reporte del avance"/>
    <s v="se verificó el cargue de la evidencia y el reporte del avance"/>
    <m/>
    <x v="0"/>
    <x v="0"/>
    <x v="0"/>
    <x v="0"/>
    <s v="Se evidencia durante el trimestre, el cargue de 2 emisiones para la implementación  del programa &quot;Juntos Avanzamos&quot;. "/>
    <s v="Se constató la realización de 2 emisiones para la implementación del programa juntos avanzamos. "/>
    <s v="Se constató la realización de 3 emisiones para la implementación del programa juntos avanzamos"/>
    <m/>
  </r>
  <r>
    <n v="15"/>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ctrónicos)."/>
    <s v="Oficina Asesora de Comunicaciones"/>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n v="0.25"/>
    <s v="La información dirigida a los servidores durante el trimestre fue publicada en cada uno de los diferentes canales institucionales: Correo, IGACNET, pantallas digitales.  "/>
    <n v="0.25"/>
    <s v="La información dirigida a los servidores durante el trimestre fue publicada en cada uno de los diferentes canales institucionales: Correo, IGACNET, pantallas digitale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Mantenimiento y  actualización de  la información institucional en los medios de comunicación internos."/>
    <s v="Con los soportes del proceso se evidencia la realización de la actividad en el mantenimiento actualizado de la información institucional en correos, IGACNET y pantallas digitales."/>
    <s v="Con los soportes del proceso se evidencia la realización de la actividad en el mantenimiento actualizado de la información institucional en correos, IGACNET y pantallas digitales."/>
    <m/>
  </r>
  <r>
    <n v="16"/>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Asesora de Comunicaciones"/>
    <s v="Porcentaje"/>
    <s v="Actividades del plan estratégico de comunicaciones internas implementadas"/>
    <s v="Eficacia"/>
    <n v="1"/>
    <n v="0"/>
    <n v="0.3"/>
    <n v="0.4"/>
    <n v="0.3"/>
    <n v="0"/>
    <s v="Sin meta asociada para el presente trimestre"/>
    <n v="0.3"/>
    <s v="Formulación, diseño y difusión de los documentos de autodiagnóstico y autoevaluación de la rendición de cuentas, solicitados por el equipo de Servicio al Ciudadano."/>
    <n v="0.4"/>
    <s v="Se apoyaron las solicitudes como: Socialización oferta institucional del SNARIV. "/>
    <m/>
    <m/>
    <d v="2021-04-09T00:00:00"/>
    <d v="2021-07-02T00:00:00"/>
    <d v="2021-10-11T00:00:00"/>
    <m/>
    <n v="0.7"/>
    <s v=""/>
    <n v="1"/>
    <n v="1"/>
    <s v=" "/>
    <s v="Sin meta asignada en el periodo"/>
    <s v="Concepto Favorable"/>
    <s v="Concepto Favorable"/>
    <m/>
    <s v="Sin meta asignada en el periodo"/>
    <s v="se verificó el cargue de la evidencia y el reporte del avance"/>
    <s v="se verificó el cargue de la evidencia y el reporte del avance"/>
    <m/>
    <x v="1"/>
    <x v="0"/>
    <x v="0"/>
    <x v="0"/>
    <s v="Sin meta asignada para el periodo."/>
    <s v="Se verificó el cargue de la evidencia y el reporte del avance de Formulación, diseño y difusión de los documentos de autodiagnóstico y autoevaluación de la rendición de cuentas, solicitados por Servicio al Ciudadano."/>
    <s v="Se verificó el cargue de la evidencia y el reporte del avance con la socialización de  oferta  institucional del SNARIV"/>
    <m/>
  </r>
  <r>
    <n v="17"/>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participación en eventos internos de la entidad."/>
    <d v="2021-03-01T00:00:00"/>
    <d v="2021-12-31T00:00:00"/>
    <s v="Fotografías, videos, listas de asistencia. "/>
    <s v="Oficina Asesora de Comunicaciones"/>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n v="0.25"/>
    <s v="Difusión de la invitación y socialización del foro virtual ‘Colombia tierra de todos’ articulado y organizado por la Presidencia de la Republica.  En este espacio, el IGAC en representación de nuestra Directora General, moderó el primer panel sobre Catastro Multipropósito."/>
    <n v="0.25"/>
    <s v="Se apoyaron las solicitudes de participación en eventos internos de la entidad como: Cumpleaños número 86 del IGAC y día del empleado público entre otro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evidencia el desarrollo de la actividad."/>
    <s v="Se verifica el Apoyo a las solicitudes de participacion en eventos internos de la entidad como Difusión de la invitación y socialización del foro virtual ‘Colombia tierra de todos’ articulado y organizado por la Presidencia de la Republica."/>
    <s v="Se verifica el Apoyo a las solicitudes de participacion en eventos internos de la entidad como la celebracion del cumpleaños del IGAC  y dia del empleado publico."/>
    <m/>
  </r>
  <r>
    <n v="18"/>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Asesora de Comunicaciones"/>
    <s v="Número"/>
    <s v="Medición de la  percepción de las comunicaciones internas. "/>
    <s v="Eficacia"/>
    <n v="2"/>
    <n v="0"/>
    <n v="1"/>
    <n v="0"/>
    <n v="1"/>
    <n v="0"/>
    <n v="0"/>
    <n v="1"/>
    <s v="Se realizó la primera encuesta de satisfacción sobre las comunicaciones internas evidenciando que el 91,4% de satisfacción. "/>
    <n v="0"/>
    <s v="Sin meta para el trimestre"/>
    <m/>
    <m/>
    <d v="2021-04-09T00:00:00"/>
    <d v="2021-07-02T00:00:00"/>
    <d v="2021-10-11T00:00:00"/>
    <m/>
    <n v="0.5"/>
    <s v=""/>
    <n v="1"/>
    <s v=""/>
    <s v=" "/>
    <s v="Sin meta asignada en el periodo"/>
    <s v="Concepto Favorable"/>
    <s v="Sin meta asignada en el periodo"/>
    <m/>
    <s v="Sin meta asignada en el periodo"/>
    <s v="se verificó el cargue de la evidencia y el reporte del avance"/>
    <s v="Sin meta asignada en el periodo"/>
    <m/>
    <x v="1"/>
    <x v="0"/>
    <x v="1"/>
    <x v="0"/>
    <s v="Sin meta asignada en el periodo"/>
    <s v="Se constat la realización de la primera encuesta de satisfacción sobre las comunicaciones internas. "/>
    <s v="Sin meta asignada en el periodo "/>
    <m/>
  </r>
  <r>
    <n v="19"/>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ón actualizada del proceso. "/>
    <s v="Oficina Asesora de Comunicaciones"/>
    <s v="Porcentaje"/>
    <s v="Índice de Desempeño Institucional (IDI)"/>
    <s v="Eficacia"/>
    <n v="1"/>
    <n v="0"/>
    <n v="0"/>
    <n v="0.5"/>
    <n v="0.5"/>
    <n v="0"/>
    <s v="Sin meta asociada para el presente trimestre"/>
    <n v="0"/>
    <s v="Esta actividad se reprogramó para el siguiente trimestre. "/>
    <n v="0.5"/>
    <s v="El pasado 17 de septiembre se llevó a cabo reunión con el Responsable del proceso de Gestión de Comunicaciones y la Oficina Asesora de Planeación para establecer el cronograma de actualización documental, el cual se adjunta."/>
    <m/>
    <m/>
    <d v="2021-04-09T00:00:00"/>
    <d v="2021-07-02T00:00:00"/>
    <d v="2021-10-05T00:00:00"/>
    <m/>
    <n v="0.5"/>
    <s v=""/>
    <s v=""/>
    <n v="1"/>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en el periodo"/>
    <s v="Como soporte se observa reunion de actualizacion documental."/>
    <m/>
  </r>
  <r>
    <n v="20"/>
    <x v="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imiento, actas, correos, documento de implementación del plan anticorrupción."/>
    <s v="Oficina Asesora de Comunicaciones"/>
    <s v="Porcentaje"/>
    <s v="Índice de Desempeño Institucional (IDI)"/>
    <s v="Eficacia"/>
    <n v="1"/>
    <n v="0.25"/>
    <n v="0.25"/>
    <n v="0.25"/>
    <n v="0.25"/>
    <n v="0.25"/>
    <s v="Se realizaron las acciones contempladas en el Plan Anticorrupción durante el trimestre. "/>
    <n v="0.25"/>
    <s v="Se realizaron las acciones contempladas en el Plan Anticorrupción durante el trimestre. "/>
    <n v="0.25"/>
    <s v="Se realizaron las acciones contempladas en el PAA y el PAAC durante el trimestre. "/>
    <m/>
    <m/>
    <d v="2021-04-09T00:00:00"/>
    <d v="2021-07-02T00:00:00"/>
    <d v="2021-10-05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Para el periodo, se evidencia el cargue y el reporte de la acciones contempladas en el Plan Anticorrupción."/>
    <s v="Se verificó la realización de las acciones contempladas en el Plan Anticorrupción durante periodo."/>
    <s v="Conforme a lo manifestado en el autoseguimiento se realizaron acciones contempladas en el PAA  y el PAAC"/>
    <m/>
  </r>
  <r>
    <n v="21"/>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Asesora de Comunicaciones"/>
    <s v="Porcentaje"/>
    <s v="Índice de Desempeño Institucional (IDI)"/>
    <s v="Eficacia"/>
    <n v="1"/>
    <n v="0"/>
    <n v="1"/>
    <n v="0"/>
    <n v="0"/>
    <n v="0"/>
    <s v="Sin meta asociada para el presente trimestre"/>
    <n v="0"/>
    <s v="Esta actividad se reprogramó para el siguiente trimestre. "/>
    <n v="1"/>
    <s v="Durante el trimestre se realizó la identificación de las acciones de mejora relacionadas al cumplimiento del FURAG que aplican al proceso, se adjunta el reporte."/>
    <m/>
    <m/>
    <d v="2021-04-09T00:00:00"/>
    <d v="2021-07-02T00:00:00"/>
    <d v="2021-10-05T00:00:00"/>
    <m/>
    <n v="1"/>
    <s v=""/>
    <n v="0"/>
    <s v=""/>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En el autoseguimiento se hace la anotación que la actividad, se corrió para el siguiente semestre. Favor reflejar en Metas y ejecución por trimestre."/>
    <s v="se verifico el cargue de la evidenca y se observa reporte de las acciones de mejora relacionadas al cumplimiento del FURAG."/>
    <m/>
  </r>
  <r>
    <n v="22"/>
    <x v="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Asesora de Comunicaciones"/>
    <s v="Porcentaje"/>
    <s v="Índice de Desempeño Institucional (IDI)"/>
    <s v="Eficacia"/>
    <n v="1"/>
    <n v="0"/>
    <n v="0"/>
    <n v="0"/>
    <n v="1"/>
    <n v="0"/>
    <s v="Sin meta asociada para el presente trimestre"/>
    <n v="0"/>
    <s v="Sin meta asociada para el presente trimestre. "/>
    <n v="0"/>
    <s v="Sin meta asociada para el presente trimestre"/>
    <m/>
    <m/>
    <d v="2021-04-09T00:00:00"/>
    <d v="2021-07-02T00:00:00"/>
    <d v="2021-10-05T00:00:00"/>
    <m/>
    <n v="0"/>
    <s v=""/>
    <s v=""/>
    <s v=""/>
    <s v=" "/>
    <s v="Sin meta asignada en el periodo"/>
    <s v="Sin meta asignada en el periodo"/>
    <s v="Sin meta asignada en el periodo"/>
    <m/>
    <s v="Sin meta asignada en el periodo"/>
    <s v="Sin meta asociada para el presente trimestre. "/>
    <s v="Sin meta asignada en el periodo"/>
    <m/>
    <x v="1"/>
    <x v="1"/>
    <x v="1"/>
    <x v="0"/>
    <s v="Sin meta asignada en el periodo"/>
    <s v="Sin meta asignada para el trimestre. "/>
    <s v="Sin meta en el periodo "/>
    <m/>
  </r>
  <r>
    <n v="1"/>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Subdirección de Agrología"/>
    <s v="Porcentaje"/>
    <s v="Hectáreas AHT elaboradas y actualizadas "/>
    <s v="Producto"/>
    <n v="1"/>
    <n v="0.15"/>
    <n v="0.3"/>
    <n v="0.3"/>
    <n v="0.25"/>
    <n v="2.7040000000000002E-2"/>
    <s v="Se actualizaron 13 municipios"/>
    <n v="0.35"/>
    <s v="Se actualizaron 1.002.197 has de AHT, con un avance del 35%, por encima de lo programado del 30%"/>
    <n v="0.24"/>
    <s v="Se actualizaron 7.290.600 ha de AHT, para un avance del 243%, muy por encima de lo programado del 30%, esto debido  a los requerimientos de la Subdirección de Catastro con relación al proceso de Catastro Multipropósito"/>
    <m/>
    <m/>
    <d v="2021-04-09T00:00:00"/>
    <d v="2021-07-02T00:00:00"/>
    <d v="2021-10-10T00:00:00"/>
    <m/>
    <n v="0.61704000000000003"/>
    <n v="0.18026666666666669"/>
    <n v="1"/>
    <n v="1"/>
    <s v=" "/>
    <s v="Concepto No Favorable"/>
    <s v="Concepto Favorable"/>
    <s v="Concepto No Favorable"/>
    <m/>
    <s v="No se cumplió la meta programada para el trimestre, por lo que se sugiere para próximos reportes describir los motivos por los cuales no fue posible alcanzar la meta programada."/>
    <s v="Si se dió cumplimiento a la meta programada en el periodo. Las evidencias deben reflejar el desarrollo de la actividad."/>
    <s v="No hay consistencia entre el valor reportado de 0,24% y la observación en la cual se reporta avance acumulado de 234% lo anterior dado que en ningun período se reportado ese margen de cumplimiento por encima de lo programado."/>
    <m/>
    <x v="2"/>
    <x v="0"/>
    <x v="2"/>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s v="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
    <s v="De acuerdo a las evidencias suministradas por el área se observa la actualización de AHT, para 30 municipios, lo que corresponde a un total de área de 7’290.608,30 ha, sin embargo, no se cumple con la meta programada para el tercer trimestre. Se recomienda validar la información suministrada de acuerdo al avance que describen en el autoseguimiento de un 243%.  "/>
    <m/>
  </r>
  <r>
    <n v="2"/>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Subdirección de Agrología"/>
    <s v="Porcentaje"/>
    <s v="Hectáreas AHT elaboradas y actualizadas "/>
    <s v="Producto"/>
    <n v="1"/>
    <n v="0.15"/>
    <n v="0.3"/>
    <n v="0.3"/>
    <n v="0.25"/>
    <n v="1.4999999999999999E-2"/>
    <s v="Se atendieron todas las solicitudes recibidas"/>
    <n v="0.33"/>
    <s v="Fueron atentidas todas las solicitudes recibidas"/>
    <n v="0.3"/>
    <s v="Se atendieron todas las solicitudes recibidas dentro de los tiempos establecidos"/>
    <m/>
    <m/>
    <d v="2021-04-09T00:00:00"/>
    <d v="2021-07-02T00:00:00"/>
    <d v="2021-10-10T00:00:00"/>
    <m/>
    <n v="0.64500000000000002"/>
    <n v="0.1"/>
    <n v="1"/>
    <n v="1"/>
    <s v=" "/>
    <s v="Concepto No Favorable"/>
    <s v="Concepto Favorable"/>
    <s v="Concepto Favorable"/>
    <m/>
    <s v="No se cumplió la meta programada para el trimestre, por lo que se sugiere para próximos reportes describir los motivos por los cuales no fue posible alcanzar la meta programada."/>
    <s v="Si se dió cumplimiento a la meta programada en el periodo. "/>
    <s v="Se dío cumplimiento con lo programado en el período. "/>
    <m/>
    <x v="2"/>
    <x v="2"/>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s v="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
    <s v="Se revisa el informe suministrado por el área donde se describe que para este trimestre del año se han atendido diez (10) solicitudes de asesoría agrológica de usuarios externos y veinticuatro (24) de información de clases agrológicas.  Dando cumplimiento a la meta programada. "/>
    <m/>
  </r>
  <r>
    <n v="3"/>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Subdirección de Agrología"/>
    <s v="Porcentaje"/>
    <s v="Hectáreas AHT elaboradas y actualizadas "/>
    <s v="Producto"/>
    <n v="1"/>
    <n v="0.15"/>
    <n v="0.3"/>
    <n v="0.3"/>
    <n v="0.25"/>
    <n v="0.13"/>
    <s v="Se realizó la estructuración 9 municipios"/>
    <n v="0.44"/>
    <s v="Se estructuraron AHT en un área de 1.124.410,72 ha, con un avance del 44% yel 14% por encima de o progamado, debido a que se ha avanzado en la actualizacion de AHT."/>
    <n v="0.17"/>
    <s v="Se estructuro un área de  5.089.200 ha para un avance del 169,64%, frente a lo programado de 30%, debido a los requerimientos del Catastro Multipropósito .y del área actualizada de AHT."/>
    <m/>
    <m/>
    <d v="2021-04-09T00:00:00"/>
    <d v="2021-07-02T00:00:00"/>
    <d v="2021-10-10T00:00:00"/>
    <m/>
    <n v="0.7400000000000001"/>
    <n v="0.8666666666666667"/>
    <n v="1"/>
    <n v="1"/>
    <s v=" "/>
    <s v="Concepto No Favorable"/>
    <s v="Concepto Favorable"/>
    <s v="Concepto No Favorable"/>
    <m/>
    <s v="No se cumplió la meta programada para el trimestre, por lo que se sugiere para próximos reportes describir los motivos por los cuales no fue posible alcanzar la meta programada."/>
    <s v="Se dió cumplimiento a la meta programada, sin embargo, se solicita revisar el soporte el cual debe ser exclusivo para esta actividad."/>
    <s v="Aunque se reporta avance por debajo del esperado en la observacion se reporta avance del 169,64% por lo que no hay consistencia en la información reportada."/>
    <m/>
    <x v="2"/>
    <x v="0"/>
    <x v="2"/>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s v="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
    <s v="De acuerdo al informe suministrado se evidencia que para julio y agosto se realizó la estructuración del control de calidad y correlación digital de la información de áreas homogéneas producidas por el GIT de Levantamientos y Aplicaciones, para los municipios de Popayán – Cauca y Rioblanco – Tolima, en la misma cantidad de área.  No es claro si repitió la información, por lo tanto, se recomienda hacer la descripción de forma entendible y colocar el valor total de área en ha estructurado.  Adicional se evidencia que no se cumplió con la meta programada para el tercer trimestre del año 2021. "/>
    <m/>
  </r>
  <r>
    <n v="4"/>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Subdirección de Agrología"/>
    <s v="Porcentaje"/>
    <s v="Hectáreas AHT elaboradas y actualizadas "/>
    <s v="Producto"/>
    <n v="1"/>
    <n v="0.15"/>
    <n v="0.3"/>
    <n v="0.3"/>
    <n v="0.25"/>
    <n v="0.15"/>
    <s v="Se atendieron todas solicitudes "/>
    <n v="0.3"/>
    <s v="Fueron atendidas todas ls solicitudes"/>
    <n v="0.17"/>
    <s v="Fueron atendidas todas las solicitudes requeridas, las cuales han estado por encima de los históricos por los requerimientos del Catastro Multipropósito."/>
    <m/>
    <m/>
    <d v="2021-04-09T00:00:00"/>
    <d v="2021-07-02T00:00:00"/>
    <d v="2021-10-10T00:00:00"/>
    <m/>
    <n v="0.62"/>
    <n v="1"/>
    <n v="1"/>
    <n v="1"/>
    <s v=" "/>
    <s v="Concepto Favorable"/>
    <s v="Concepto Favorable"/>
    <s v="Concepto No Favorable"/>
    <m/>
    <s v="Se dió cumplimiento a la meta programada"/>
    <s v="Se dió cumplimiento a la meta programada, se solicita soportar la actividad con evidencias que demuestren el desarrollo de la actividad."/>
    <s v="A pesar de que el avance esta por debajo de lo esperado en el período, se reporta cumplimiento satisfactorio en la observacion por lo que no esta de acuerdo el avance cuantitativo con el cualitativo"/>
    <m/>
    <x v="0"/>
    <x v="0"/>
    <x v="2"/>
    <x v="0"/>
    <s v="Según el reporte suministrado por la Subdirección del 31/03/2021 se describe que fueron atendidas todas las solicitudes allegadas. "/>
    <s v="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
    <s v="Se observa que para el tercer trimestre del año se generaron y entregaron los insumos correspondientes a 30 municipios, para un total de avance en área de 5’076.036,04 ha. Sin embargo, se evidencia que no se cumplió con la meta programada.  Se recomienda revisar la información suministrada de acuerdo a los avances cualitativos y cuantitativos ya que no son coherentes. "/>
    <m/>
  </r>
  <r>
    <n v="5"/>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Subdirección de Agrología"/>
    <s v="Porcentaje"/>
    <s v="Áreas de estudio de suelos realizados, como insumo para el ordenamiento del territorio. "/>
    <s v="Producto"/>
    <n v="1"/>
    <n v="0.1"/>
    <n v="0.4"/>
    <n v="0.3"/>
    <n v="0.2"/>
    <n v="0.15"/>
    <s v="Se interpretacion interpetraron 133.000 has"/>
    <n v="0.35"/>
    <s v="Se interpretaron 328.799 ha en Geomorfología, para un avance del 35% frente al 40% programado, pero visto desde el totl que seria del 50% se esta acorde"/>
    <n v="0.35"/>
    <s v="De Geomorfología se interpretaron 313.830 ha en los departamentos del Cauca, Putumayo y los municipios de Pereira y Tumaco, para una ejecución del 34,87% por encima de lo programado del 30%, debido a los compromisos que ha asumido la Subdirección."/>
    <m/>
    <m/>
    <d v="2021-04-09T00:00:00"/>
    <d v="2021-07-02T00:00:00"/>
    <d v="2021-10-10T00:00:00"/>
    <m/>
    <n v="0.85"/>
    <n v="1"/>
    <n v="1"/>
    <n v="1"/>
    <s v=" "/>
    <s v="Concepto Favorable"/>
    <s v="Concepto Favorable"/>
    <s v="Concepto Favorable"/>
    <m/>
    <s v="Se cumplió la meta programada y se superó por un pequeño margen."/>
    <s v="Se cumple con el avance acumulado programado para el periodo. Se solcita revisar el soporte, el cual debe ser especifico para esta actividad y demostrar el desarrollo de la misma."/>
    <s v="Se reporta cumpliiento de lo programado, se recomienda revisar redacción de la observación."/>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s v="De acuerdo al avance suministrado por la Subdirección del 30/06/2021 se observa que se interpretaron 317.533 ha en Geomorfología para un avance del 35.28 % frente a un meta programado del 40%.  Sin embargo, se evidencia que para el semestre se ha cumplido con el avance del 50%."/>
    <s v="Se observa que se cumplió con la meta programada para este periodo, elaborando la interpretación de geomorfología aplicada a los Levantamientos de Suelos para 313.968 ha , lo que corresponde a un avance del 34,88%. "/>
    <m/>
  </r>
  <r>
    <n v="6"/>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Subdirección de Agrología"/>
    <s v="Porcentaje"/>
    <s v="Áreas de estudio de suelos realizados, como insumo para el ordenamiento del territorio. "/>
    <s v="Producto"/>
    <n v="1"/>
    <n v="0.1"/>
    <n v="0.4"/>
    <n v="0.3"/>
    <n v="0.2"/>
    <n v="4.2500000000000003E-2"/>
    <s v="Se avanzó en un área de "/>
    <n v="0.38"/>
    <s v="Se ejecutaron 342.180 has de levantamientos de suelos equivalente al 38% de avance, e 2% por debajo de lo programao, esto debido a la disponibilidad de la información básica"/>
    <n v="0.37"/>
    <s v="El área de Levantamientos de Suelos ejecutada es de 335.160 ha, equivalente al 37,24% que está por encima del 30% programado, debido a que dentro del proceso se ha podido realizar salidas y avanzar."/>
    <m/>
    <m/>
    <d v="2021-04-09T00:00:00"/>
    <d v="2021-07-02T00:00:00"/>
    <d v="2021-10-10T00:00:00"/>
    <m/>
    <n v="0.79249999999999998"/>
    <n v="0.42499999999999999"/>
    <n v="0.99249999999999994"/>
    <n v="1"/>
    <s v=" "/>
    <s v="Concepto No Favorable"/>
    <s v="Concepto No Favorable"/>
    <s v="Concepto Favorable"/>
    <m/>
    <s v="No se cumplió la meta programada para el trimestre, por lo que se sugiere para próximos reportes describir los motivos por los cuales no fue posible alcanzar la meta programada.  La observación esta inconclusa."/>
    <s v="No se dió cumplimiento a la meta programada. Se espera que se compense en periodo posteriores. Revisar el soporte de la actividad el cual debe ser específico para actividad y dar evidencia del desarrollo de la misma."/>
    <s v="Se dió cumplimiento al avance programado en el período."/>
    <m/>
    <x v="2"/>
    <x v="2"/>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s v="Según el reporte de avance del 30/06/2021 se evidencia que se ejecutaron 342.180 ha de levantamiento de suelos.  Sin embargo, no se alcanza a cumplir con la meta programa para el segundo trimestre del año. "/>
    <s v="Se observa el cumplimiento de la meta programada para el periodo evaluado, donde se evidencia que la actividad de Levantamiento de suelos se desarrollo para dos (2) proyectos:_x000d__x000a_1._x0009_Estudio multitemporal de las coberturas y uso de la tierra y levantamiento de suelos a escala 1:10.000 en las áreas de páramo de la jurisdicción CAR._x000d__x000a_2._x0009_Información agrológica básica como insumo para el ordenamiento integral del territorio. Departamentos de Cesar y Magdalena."/>
    <m/>
  </r>
  <r>
    <n v="7"/>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Subdirección de Agrología"/>
    <s v="Porcentaje"/>
    <s v="Áreas de estudio de suelos realizados, como insumo para el ordenamiento del territorio. "/>
    <s v="Producto"/>
    <n v="1"/>
    <n v="0.1"/>
    <n v="0.36"/>
    <n v="0.3"/>
    <n v="0.24"/>
    <n v="0"/>
    <s v="Sin observación"/>
    <n v="0.21"/>
    <s v="Se interpretaron e Cobertura y Uso de las Tierras 152.190 has, encontrandose el 15% por debajo de lo programado, esto debido a la disponibilidad de información de imagenes "/>
    <n v="0.27"/>
    <s v="En Cobertura y Uso del Suelo se avanzó en un 27,42%, lo que equivale a 246.780 ha, algo menor de lo programado del 30%, porque ya se está realizando el control de calidad del proyecto CAR para ser entregado."/>
    <m/>
    <m/>
    <d v="2021-04-09T00:00:00"/>
    <d v="2021-07-02T00:00:00"/>
    <d v="2021-10-10T00:00:00"/>
    <m/>
    <n v="0.48"/>
    <n v="0"/>
    <n v="0.58333333333333337"/>
    <n v="1"/>
    <s v=" "/>
    <s v="Concepto No Favorable"/>
    <s v="Concepto No Favorable"/>
    <s v="Concepto N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a la meta programada para el periodo. Se solicita verificar que el soporte evidencia las actividades desarrolladas y los documentos de verificación cumplan con su proposito."/>
    <s v="Se avanza en el período, no obstante,  el reporte no posee un rezago significativo para el periodo, pero si para el valor acumulado esperado a la fecha."/>
    <m/>
    <x v="2"/>
    <x v="2"/>
    <x v="2"/>
    <x v="0"/>
    <s v="No se cumplió con la meta programada, se recomienda entregar reporte del porqué no se cumplió con la meta."/>
    <s v="Para esta actividad se observa un significativo avance. Sin embargo, no se cumplió con la meta programada para el segundo trimestre del año."/>
    <s v="Se realizó la interpretación de coberturas y usos de la tierra para 246.780 ha, lo que corresponde a un 27,42%.  De acuerdo a lo anterior, se evidencia que no alcanzó a cumplir con la meta programada para el periodo evaluado. Se recomienda tomar las medidas necesarias para dar cumplimiento total en próximo periodo hacer evaluado. "/>
    <m/>
  </r>
  <r>
    <n v="8"/>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Subdirección de Agrología"/>
    <s v="Porcentaje"/>
    <s v="Áreas de estudio de suelos realizados, como insumo para el ordenamiento del territorio. "/>
    <s v="Producto"/>
    <n v="1"/>
    <n v="0.1"/>
    <n v="0.36"/>
    <n v="0.3"/>
    <n v="0.24"/>
    <n v="0"/>
    <s v="Sin observación"/>
    <n v="0.34"/>
    <s v="Se desarrollaron 307.800 has en Capacidad y Uso de las Tierras, equivalente al 34% de avance por debajo de lo programado, para el proximo perido se podra contar con un avance mayor que subsana los retrasos"/>
    <n v="0.4"/>
    <s v="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
    <m/>
    <m/>
    <d v="2021-04-09T00:00:00"/>
    <d v="2021-07-02T00:00:00"/>
    <d v="2021-10-10T00:00:00"/>
    <m/>
    <n v="0.74"/>
    <n v="0"/>
    <n v="0.94444444444444453"/>
    <n v="1"/>
    <s v=" "/>
    <s v="Concepto No Favorable"/>
    <s v="Concepto No Favorable"/>
    <s v="Concept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con la meta programada para el periodo. Verificar que el soporte sea especifio para la actividad y evidecie el desarrollo de la misma. Los documentos de verificación deben estar disponibles."/>
    <s v="Se da cumplimiento a lo programado y se hace aporte al cumplimiento acumulado de la meta el cual tenía un rezago."/>
    <m/>
    <x v="2"/>
    <x v="2"/>
    <x v="0"/>
    <x v="0"/>
    <s v="Sin embargo, no se cumplió con la meta programada, se recomienda entregar reporte del porqué no se cumplió con la meta."/>
    <s v="Para esta actividad no se da cumplimiento a la meta programada, por favor entregar los soportes más claros, donde se pueda evidenciar que se desarrollaron las 307.800 has descritas en el autoseguimiento."/>
    <s v="De acuerdo a la información suministrada por el área evaluada se observa que se superó el porcentaje de avance para el tercer trimestre del año 2021 evaluado, lo que corresponde a 362.970 ha.  Dando así cumplimiento a la fecha para esta actividad. "/>
    <m/>
  </r>
  <r>
    <n v="9"/>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ímica"/>
    <d v="2021-01-01T00:00:00"/>
    <d v="2021-12-31T00:00:00"/>
    <s v="Pendiente"/>
    <s v="Subdirección de Agrología"/>
    <s v="Porcentaje"/>
    <s v=" Indicador de oportunidad de respuesta"/>
    <s v="Producto"/>
    <n v="3.6"/>
    <n v="0.9"/>
    <n v="0.9"/>
    <n v="0.9"/>
    <n v="0.9"/>
    <n v="0"/>
    <s v="Sin observación"/>
    <n v="0.9"/>
    <s v="Se dió cumplimiento a la oportunidad para los resultados del tema de química"/>
    <n v="0.98"/>
    <s v="El tema de Química entregó dentro de los tiempos estipulados los resultados al cliente llegando al 100% de oportunidad en la entrega de resultados, pero por la baja en el personal de analistas esto puede no continuar."/>
    <m/>
    <m/>
    <d v="2021-04-09T00:00:00"/>
    <d v="2021-07-02T00:00:00"/>
    <d v="2021-10-10T00:00:00"/>
    <m/>
    <n v="0.52222222222222214"/>
    <n v="0"/>
    <n v="1"/>
    <n v="1"/>
    <s v=" "/>
    <s v="Concepto No Favorable"/>
    <s v="Concepto Favorable"/>
    <s v="Concepto Favorable"/>
    <m/>
    <s v="Para el mes de marzo el área química aumentó en el indicador de oportunidad en el 9.85.  Sin embargo, no se evidencia diligenciamiento de autoseguimiento."/>
    <s v="Se dió cumplimiento con la meta programada, sin embargo se debe alcanzar el valor acumulado esperado. Se debe contar con soportes del desarrollo de la actividad y evidencias."/>
    <s v="Se sugiere ser mas claros en la redacción de la observación."/>
    <m/>
    <x v="2"/>
    <x v="0"/>
    <x v="0"/>
    <x v="0"/>
    <s v="Para el mes de marzo el área química aumentó en el indicador de oportunidad en el 9.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observa que, para las muestras en el tema de química, se entregó la información dentro de los tiempos estipulados al cliente.  Dando cumplimiento a la meta programada en el periodo evaluado. "/>
    <m/>
  </r>
  <r>
    <n v="10"/>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ísica"/>
    <d v="2021-01-01T00:00:00"/>
    <d v="2021-12-31T00:00:00"/>
    <s v="Pendiente"/>
    <s v="Subdirección de Agrología"/>
    <s v="Porcentaje"/>
    <s v=" Indicador de oportunidad de respuesta"/>
    <s v="Producto"/>
    <n v="3.6"/>
    <n v="0.9"/>
    <n v="0.9"/>
    <n v="0.9"/>
    <n v="0.9"/>
    <n v="0"/>
    <s v="Sin observación"/>
    <n v="0.98"/>
    <s v="Se cumplio con la oportunidad de respuesta en l tema de Física con un 8% por encima de lo requeido, lo que indica que fue menos el tiempo para el proceso"/>
    <n v="1"/>
    <s v="El tema de Física entrego oportunamente resultados al cliente alcanzando el 100%. "/>
    <m/>
    <m/>
    <d v="2021-04-09T00:00:00"/>
    <d v="2021-07-02T00:00:00"/>
    <d v="2021-10-10T00:00:00"/>
    <m/>
    <n v="0.54999999999999993"/>
    <n v="0"/>
    <n v="1"/>
    <n v="1"/>
    <s v=" "/>
    <s v="Concepto No Favorable"/>
    <s v="Concepto Favorable"/>
    <s v="Concepto Favorable"/>
    <m/>
    <s v="Para el área física se aumentó en el indicador de oportunidad en el 8%.  Sin embargo, no se evidencia diligenciamiento de autoseguimiento. "/>
    <s v="Se dió cumplimiento con la meta programada, sin embargo se debe alcanzar el valor acumulado esperado. Se debe contar con soportes del desarrollo de la actividad y evidencias."/>
    <s v="Se dió cumplimiento a lo programado en el período y se aporta al rezago de la meta."/>
    <m/>
    <x v="2"/>
    <x v="0"/>
    <x v="0"/>
    <x v="0"/>
    <s v="Para el área física se aumentó en el indicador de oportunidad en el 8%.  Sin embargo, no se evidencia diligenciamiento de autoseguimiento. "/>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evidencia que se dio cumplimiento a esta actividad para el tercer trimestre del año, observando que se entregó la información correspondiente a las muestras tema de física en los tiempos establecidos al cliente. "/>
    <m/>
  </r>
  <r>
    <n v="11"/>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ía"/>
    <d v="2021-01-01T00:00:00"/>
    <d v="2021-12-31T00:00:00"/>
    <s v="Pendiente"/>
    <s v="Subdirección de Agrología"/>
    <s v="Porcentaje"/>
    <s v=" Indicador de oportunidad de respuesta"/>
    <s v="Producto"/>
    <n v="3.6"/>
    <n v="0.9"/>
    <n v="0.9"/>
    <n v="0.9"/>
    <n v="0.9"/>
    <n v="0"/>
    <s v="Sin observación"/>
    <n v="0.89"/>
    <s v="El cumplimiento se vió afectado por la disponibilidad de equipos ya que se requirio mantemimiento"/>
    <n v="0.67"/>
    <s v="Para el tema de Mineralogía la oportunidad se encuentra en un 66,67% ya  que no se cuenta con personal capacitado en todas las determinaciones lo cual incide directamente en el tiempo de entrega. "/>
    <m/>
    <m/>
    <d v="2021-04-09T00:00:00"/>
    <d v="2021-07-02T00:00:00"/>
    <d v="2021-10-10T00:00:00"/>
    <m/>
    <n v="0.43333333333333335"/>
    <n v="0"/>
    <n v="0.98888888888888893"/>
    <n v="1"/>
    <s v=" "/>
    <s v="Concepto No Favorable"/>
    <s v="Concepto Favorable"/>
    <s v="Concepto No Favorable"/>
    <m/>
    <s v="Para el área de mineralogía se evidencia un decrecimiento en el indicador de oportunidad pasando del 100% al 85%.  Sin embargo, no se evidencia diligenciamiento de autoseguimiento."/>
    <s v="Se dió cumplimiento con la meta programada, sin embargo se debe alcanzar el valor acumulado esperado. Se debe contar con soportes del desarrollo de la actividad y evidencias."/>
    <s v="No se da cumplimiento al avance programado de la meta"/>
    <m/>
    <x v="2"/>
    <x v="0"/>
    <x v="2"/>
    <x v="0"/>
    <s v="Para el área de mineralogía se evidencia un decrecimiento en el indicador de oportunidad pasando del 100% al 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De acuerdo al informe suministrado por el área se observa que se NO se dio cumplimiento a esta actividad dado a la falta de personal capacitado en el tema de mineralogía.  Se recomienda describir de forma más clara los avance para cada una de las muestras en los informes presentados. "/>
    <m/>
  </r>
  <r>
    <n v="12"/>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ía"/>
    <d v="2021-01-01T00:00:00"/>
    <d v="2021-12-31T00:00:00"/>
    <s v="Pendiente"/>
    <s v="Subdirección de Agrología"/>
    <s v="Porcentaje"/>
    <s v=" Indicador de oportunidad de respuesta"/>
    <s v="Producto"/>
    <n v="3.6"/>
    <n v="0.9"/>
    <n v="0.9"/>
    <n v="0.9"/>
    <n v="0.9"/>
    <n v="0"/>
    <s v="Sin observación"/>
    <n v="0.89"/>
    <s v="El cumplimiento de oportunidad se vió afectado por la cantidad de solicitudes recibidas"/>
    <n v="0.9"/>
    <s v="La oportunidad de entrega en el tema de Biología presento cumplimiento del 90,47%, bajando debido a que no se cuenta con personal."/>
    <m/>
    <m/>
    <d v="2021-04-09T00:00:00"/>
    <d v="2021-07-02T00:00:00"/>
    <d v="2021-10-10T00:00:00"/>
    <m/>
    <n v="0.49722222222222223"/>
    <n v="0"/>
    <n v="0.98888888888888893"/>
    <n v="1"/>
    <s v=" "/>
    <s v="Concepto No Favorable"/>
    <s v="Concepto Favorable"/>
    <s v="Concepto Favorable"/>
    <m/>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Se dió cumplimiento con la meta programada, sin embargo se debe alcanzar el valor acumulado esperado. Se debe contar con soportes del desarrollo de la actividad y evidencias."/>
    <s v="Se cumplió con lo programado apra el periodo, sin embargo en la observación se menciona que hay limitaciones. "/>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evidencia que se dio cumplimiento a la meta programada para este trimestre del año.  De acuerdo al informe presentado por el área responsable que describe que se entrego a tiempo al cliente la información correspondiente a las muestras en el tema de biología. "/>
    <m/>
  </r>
  <r>
    <n v="13"/>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Subdirección de Cartografía y Geodesia"/>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n v="52727"/>
    <s v="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
    <n v="567448"/>
    <s v="Durante el tercer trimestre se generaron 567.448,39ha de productos cartográficos del área rural correspondientes a los municipios de: Arauquita (Arauca), Popayán (Cauca), Chaparral (Tolima) y María La Baja (Bolívar)."/>
    <m/>
    <m/>
    <d v="2021-04-09T00:00:00"/>
    <d v="2021-07-02T00:00:00"/>
    <d v="2021-10-14T00:00:00"/>
    <m/>
    <n v="0.52312000000000003"/>
    <n v="0.82252499999999995"/>
    <n v="1"/>
    <n v="1"/>
    <s v=" "/>
    <s v="Concepto Favorable"/>
    <s v="Concepto Favorable"/>
    <s v="Concepto Favorable"/>
    <m/>
    <s v="Avance y evidencias acordes"/>
    <s v="Avance y evidencia acordes "/>
    <s v="Evidencias acorde al avance. "/>
    <m/>
    <x v="2"/>
    <x v="2"/>
    <x v="0"/>
    <x v="0"/>
    <s v="Se presentan 3 planos correspondientes a los departamentos del Meta y Tolima a escala 1:10.000 y 1:5.000, pero se evidencia que no se cumplió con la meta programada para el primer trimestre."/>
    <s v="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
    <s v="Se presentan cuatro (4) planos correspondientes a los departamentos de Tolima (Municipio de Chaparral); Arauca (Municipio de Arauquita); Bolívar (Municipio de María La Baja) y del Departamento de Cauca (Municipio de Popayán) a escala 1:10.000, dando un total de 567.448,39 ha de productos cartográficos generados y/o actualizados, para el tercer trimestre del año.  Superando así la meta programada para el periodo evaluado. "/>
    <m/>
  </r>
  <r>
    <n v="14"/>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Subdirección de Cartografía y Geodesia"/>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n v="12040"/>
    <s v="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
    <n v="3198"/>
    <s v="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
    <m/>
    <m/>
    <d v="2021-04-09T00:00:00"/>
    <d v="2021-07-02T00:00:00"/>
    <d v="2021-10-14T00:00:00"/>
    <m/>
    <n v="1"/>
    <n v="1"/>
    <n v="1"/>
    <n v="1"/>
    <s v=" "/>
    <s v="Concepto Favorable"/>
    <s v="Concepto Favorable"/>
    <s v="Concepto Favorable"/>
    <m/>
    <s v="Evidencias y avance acordes"/>
    <s v="Avance y evidencia acordes "/>
    <s v="Evidencias acorde al avance. "/>
    <m/>
    <x v="0"/>
    <x v="0"/>
    <x v="0"/>
    <x v="0"/>
    <s v="Se evidencia el producto cartográfico correspondiente a la Cabecera municipal de Fuente de Oro (Depto. Meta) a escala 1:5.000 con un área de cubrimiento de 157 ha. Tener en cuenta para el próximo reporte la escala de la actividad debe corresponde a 1:2.000"/>
    <s v="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
    <s v="Se evidencia que, para el tercer trimestre del año 2021, se generaron 3.198,37 ha de productos cartográficos de la zona urbana correspondiente a los Municipios: Colombia (Huila), Cubarral (Meta), Montecristo (Bolívar), Paz de Río (Boyacá), San Carlos y Valencia (Córdoba), Trinidad (Casanare), Ricaurte (Cundinamarca), Santa Rosalía (Vichada), Sardinata (Norte de Santander).  Por lo tanto, se observa el cumplimiento de la meta establecida para este trimestre. "/>
    <m/>
  </r>
  <r>
    <n v="15"/>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Subdirección de Cartografía y Geodesia"/>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n v="4074962"/>
    <s v="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
    <n v="4198574"/>
    <s v="Durante el tercer trimestre se generaron 4.198.574ha correspondientes a Modelos Digitales de elevación de los municipios de: La Pedrera, Puerto Arica, Puerto Santander, La Chorrera, Tarapacá, Leticia y Puerto Nariño (Amazonas), La Guadalupe, Puerto Colombia y San Felipe (Guainía)._x000d__x000a__x000d__x000a_"/>
    <m/>
    <m/>
    <d v="2021-04-09T00:00:00"/>
    <d v="2021-07-02T00:00:00"/>
    <d v="2021-10-14T00:00:00"/>
    <m/>
    <n v="0.86509760000000002"/>
    <n v="0.37744"/>
    <n v="1"/>
    <n v="1"/>
    <s v=" "/>
    <s v="Concepto Favorable"/>
    <s v="Concepto Favorable"/>
    <s v="Concepto Favorable"/>
    <m/>
    <s v="Avance y evidencias acordes"/>
    <s v="Avance y evidencia acordes "/>
    <s v="Evidencias acorde al avance. "/>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s v="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
    <s v="Se soportan los archivos correspondientes al avance realizado por el GIT en el convenio TREx 2021 para los meses de julio, agosto y septiembre por Geoceldas de los municipios de Mirití – Paraná, Puerto Santander, Puerto Arica, Puerto Colombia, San Felipe, La Guadalupe, Venezuela, Brasil, Tarapacá, Puerto Nariño, Leticia, para un total de 4’198.573,794 ha generadas correspondientes a Modelos Digitales de Elevación. "/>
    <m/>
  </r>
  <r>
    <n v="16"/>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Subdirección de Cartografía y Geodesia"/>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n v="17798"/>
    <s v="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
    <n v="380544"/>
    <s v="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
    <m/>
    <m/>
    <d v="2021-04-09T00:00:00"/>
    <d v="2021-07-02T00:00:00"/>
    <d v="2021-10-14T00:00:00"/>
    <m/>
    <n v="0.19917099999999999"/>
    <n v="0"/>
    <n v="2.9663333333333333E-2"/>
    <n v="1"/>
    <s v=" "/>
    <s v="Concepto Favorable"/>
    <s v="Concepto Favorable"/>
    <s v="Concepto Favorable"/>
    <m/>
    <s v="Avance y evidencias acordes"/>
    <s v="Avance y evidencia acordes "/>
    <s v="Evidencias acorde al avance. "/>
    <m/>
    <x v="0"/>
    <x v="2"/>
    <x v="2"/>
    <x v="0"/>
    <s v="Se evidencia que para este trimestre se gestionaron las imágenes correspondientes a los municipios de: Arauquita, Sardinata, Carmen de Bolívar, Tumaco y un área de 426023 ha correspondientes a los páramos CAR."/>
    <s v="Para el segundo trimestre del año se gestionó la imagen correspondiente al municipio de El Reten (Magdalena), con un área de 17.798,00 ha a escala 1:35.000. Sin embargo, se observa que no se cumplió con la meta programada para el periodo evaluado."/>
    <s v="Para el tercer trimestre del año se generaron 280.544 ha de mosaicos de ortoimágenes gestionadas para escala 1:25.000.  Sin embargo, se observa que no se cumplió con la meta programada para el periodo evaluado. "/>
    <m/>
  </r>
  <r>
    <n v="17"/>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Subdirección de Cartografía y Geodesia"/>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n v="612221"/>
    <s v="Durante el segundo trimestre, se capturaron  y adquirieron 347.238,68 ha imágenes y se gestionaron con terceros 264.982,5ha (Sensor Skysat), para un total del 612.221 ha."/>
    <n v="4911346"/>
    <s v="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
    <m/>
    <m/>
    <d v="2021-04-09T00:00:00"/>
    <d v="2021-07-02T00:00:00"/>
    <d v="2021-10-14T00:00:00"/>
    <m/>
    <n v="1"/>
    <n v="1"/>
    <n v="1"/>
    <n v="1"/>
    <s v=" "/>
    <s v="Concepto Favorable"/>
    <s v="Concepto Favorable"/>
    <s v="Concepto Favorable"/>
    <m/>
    <s v="Avance y evidencias acordes"/>
    <s v="Avance y evidencia acordes "/>
    <s v="Evidencias acorde al avance. "/>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s v="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
    <s v="El GIT proporciona como insumos soportes los productos cartográficos correspondientes a la toma de aerofotográfica del municipio de Paz del Río, San Carlos, Venecia, Arbeláez, Cabrera entre otros.  De igual manera se observan las imágenes satelitales adquiridas por el IGAC para el Territorio Nacional, correspondiente a 18.662,19 ha de imágenes capturadas y se gestionaron 4’892.683,94 ha, dando cumplimiento a la meta programada para el periodo.  Adicional se observa que para esta actividad ya se cumplió con la meta programada para el año 2021.  Se recomienda cargar los insumos correspondientes a cada periodo (esto dado a que se evidencia para este trimestre información correspondiente al mes de junio). "/>
    <m/>
  </r>
  <r>
    <n v="18"/>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Subdirección de Cartografía y Geodesia"/>
    <s v="Número"/>
    <s v="Mapas disponibles"/>
    <s v="Eficacia"/>
    <n v="2"/>
    <n v="0"/>
    <n v="0"/>
    <n v="1"/>
    <n v="1"/>
    <n v="1"/>
    <s v="Durante el primer trimestre se generó y publicó uno de los mapas en formato vector tile.  Ver la siguiente ruta:_x000d__x000a_https://tiles.arcgis.com/tiles/RVvWzU3lgJISqdke/arcgis/rest/services/VTPK05KGeoCartoIGAC/VectorTileServer?f=jsapi&amp;cacheKey=b260969bdcdc6138"/>
    <n v="0"/>
    <s v="Durante el segundo trimestre, se realizó la actualización del mapa base vectorial con información catastral, así mismo, se avanzó en la generación del mapa híbrido con imágenes PlanetScope de 4.8 metros. _x000d__x000a__x000d__x000a_Por otro lado, se realizó la actualización de los mapas físicos y de entidades territoriales conforme a las dinámicas de los procesos de deslindes, los cuales se encuentran publicados en Colombia en Mapas."/>
    <n v="1"/>
    <s v="Durante el tercer trimestre, se logró la configuración y publicación del mapa físico de Colombia, dispuesto en https://tiles.arcgis.com/tiles/RVvWzU3lgJISqdke/arcgis/rest/services/Mapa_base_fisico_vector/VectorTileServer"/>
    <m/>
    <m/>
    <d v="2021-04-09T00:00:00"/>
    <d v="2021-07-02T00:00:00"/>
    <d v="2021-10-14T00:00:00"/>
    <m/>
    <n v="1"/>
    <s v=""/>
    <s v=""/>
    <n v="1"/>
    <s v=" "/>
    <s v="Concepto Favorable"/>
    <s v="Concepto Favorable"/>
    <s v="Concepto Favorable"/>
    <m/>
    <s v="Evidencia acorde con el avance "/>
    <s v="Avance y evidencia acordes "/>
    <s v="Evidencias acorde al avance. "/>
    <m/>
    <x v="0"/>
    <x v="0"/>
    <x v="0"/>
    <x v="0"/>
    <s v="Se evidencia que se tienen en funcionamiento los servicios GeoCartoIGAC y VTPK05KGeoCartoIGAC, donde se encuentran dispuestos los productos cartográficos del país."/>
    <s v="Para el segundo trimestre, se soportan mapas que evidencian la actualización del mapa base vectorial con información catastral, de igual manera se observa el avance en la generación del mapa híbrido. "/>
    <s v="Para el tercer trimestre, se suministra una imagen donde se indica la URL, informando que el mapa físico de Colombia se encuentra allí dispuesto.  Dado lo anterior se avala el cumplimiento para el este periodo evaluado. "/>
    <m/>
  </r>
  <r>
    <n v="19"/>
    <x v="6"/>
    <s v="Gestión Cartográfica"/>
    <s v="Información cartográfica producida por terceros, oficializada de 25.5 millones de ha del país."/>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Subdirección de Cartografía y Geodesia"/>
    <s v="Número"/>
    <s v="Información cartográfica producida por terceros, oficializada "/>
    <s v="Eficacia"/>
    <n v="1"/>
    <n v="0"/>
    <n v="0"/>
    <n v="1"/>
    <n v="0"/>
    <n v="0"/>
    <s v="Durante el primer trimestre, se elaboró la versión preliminar de la resolución de validación de productos cartográficos"/>
    <n v="0"/>
    <s v="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
    <n v="1"/>
    <s v="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
    <m/>
    <m/>
    <d v="2021-04-09T00:00:00"/>
    <d v="2021-07-02T00:00:00"/>
    <d v="2021-10-14T00:00:00"/>
    <m/>
    <n v="1"/>
    <s v=""/>
    <s v=""/>
    <n v="1"/>
    <s v=" "/>
    <s v="Concepto Favorable"/>
    <s v="Concepto Favorable"/>
    <s v="Concepto Favorable"/>
    <m/>
    <s v="Avance y evidencia acordes "/>
    <s v="Avance y evidencia acordes "/>
    <s v="Evidencias acorde al avance. "/>
    <m/>
    <x v="1"/>
    <x v="0"/>
    <x v="0"/>
    <x v="0"/>
    <s v="Se presenta un documento borrador sobre la Resolución “Por la cual se reglamenta la validación y oficialización de productos cartográficos”. Se avala el avance a esta actividad. Sin embargo no se programó meta para este trimestre."/>
    <s v="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
    <s v="Se soporta la Resolución No. 1421/2021 “Por la cual se establecen las condiciones de validación técnica y oficialización de productos cartográficos básicos y se dictan otras disposiciones”.  La cual se encuentra publicada en el espacio de Transparencia y acceso a la información pública/proyectos para comentar, dando cumplimiento a la meta programada para el tercer trimestre del año. "/>
    <m/>
  </r>
  <r>
    <n v="20"/>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Subdirección de Cartografía y Geodesia"/>
    <s v="Número"/>
    <s v="Información cartográfica producida por terceros, oficializada "/>
    <s v="Eficacia"/>
    <n v="3000000"/>
    <n v="0"/>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n v="6503000"/>
    <s v="Durante el segundo trimestre, se validó los Modelos Digitales de Terreno adquiridos para  6.503.000 ha correspondiente a 62 municipios del país, en el marco del contrato 24118 de 2020, logrando con ello cumplir la meta establecida."/>
    <n v="63322"/>
    <s v="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
    <m/>
    <m/>
    <d v="2021-04-09T00:00:00"/>
    <d v="2021-07-02T00:00:00"/>
    <d v="2021-10-14T00:00:00"/>
    <m/>
    <n v="1"/>
    <s v=""/>
    <n v="1"/>
    <n v="1"/>
    <s v=" "/>
    <s v="Concepto Favorable"/>
    <s v="Concepto Favorable"/>
    <s v="Concepto Favorable"/>
    <m/>
    <s v="Evidencia y avance acordes"/>
    <s v="Avance y evidencia acordes "/>
    <s v="Evidencias acorde al avance. "/>
    <m/>
    <x v="0"/>
    <x v="0"/>
    <x v="0"/>
    <x v="0"/>
    <s v="Se presenta el producto cartográfico del departamento de Risaralda, correspondiente a los municipios de La Virginia y Pereira – Dosquebradas. Sin embargo se valida el avance pero se aclara que aún no se han aprobados los productos."/>
    <s v="Se observa que para el segundo trimestre del año se cumplió con la meta propuesta, ya que se han realizado y validado los Modelos Digitales de Terreno para diferentes municipios del país."/>
    <s v="Para este trimestre del año se observa que se oficializaron e integraron 63.322 ha de información cartográfica producida.  A pesar de observar que no se dio cumplimiento a la meta programada para este periodo evaluado, se evidencia que esta actividad ya cumplió con la meta programada para el año 2021 así, meta programada (3’000.000 ha), meta ejecutada (6’566.322 ha).  Dado lo anterior, se avala el cumplimiento.  "/>
    <m/>
  </r>
  <r>
    <n v="21"/>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Cartografía y Geodesia"/>
    <s v="Número"/>
    <s v="Información cartográfica producida por terceros, oficializada "/>
    <s v="Eficacia"/>
    <n v="2"/>
    <n v="1"/>
    <n v="1"/>
    <n v="0"/>
    <n v="0"/>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n v="1"/>
    <s v="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_x000a_Así mismo, se realizó algoritmo para la evaluación semi-automática de imágenes de diferentes sensores, sobre el cual se realizaron las respectivas pruebas y documentación."/>
    <n v="0"/>
    <s v="Durante el tercer trimestre se terminó el ajuste y actualización de la documentación relacionada a automatizar procesos de validación de productos de ortoimágenes y generar nueva versión de bases de datos cartográficas, así como realizar su documentación."/>
    <m/>
    <m/>
    <d v="2021-04-09T00:00:00"/>
    <d v="2021-07-02T00:00:00"/>
    <d v="2021-10-14T00:00:00"/>
    <m/>
    <n v="1"/>
    <n v="1"/>
    <n v="1"/>
    <s v=""/>
    <s v=" "/>
    <s v="Concepto Favorable"/>
    <s v="Concepto Favorable"/>
    <s v="Concepto Favorable"/>
    <m/>
    <s v="Avance y evidencia acordes"/>
    <s v="Avance y evidencia acordes "/>
    <s v="Evidencias acorde al avance. "/>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s v="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
    <s v="Se observan los documentos correspondientes a la preparación de aplicativos y validación técnica de BD. Los cuales se terminaron de justar y actualización. A pesar que para este periodo no existe una meta programada, se avala avance a la actividad. "/>
    <m/>
  </r>
  <r>
    <n v="22"/>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Subdirección de Cartografía y Geodesia"/>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n v="0.2"/>
    <s v="Durante el segundo trimestre, se inició con el ajuste de la resolución de adopción del Plan Nacional de Cartografía, con base en los documentos elaborados."/>
    <n v="0"/>
    <s v="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
    <m/>
    <m/>
    <d v="2021-04-09T00:00:00"/>
    <d v="2021-07-02T00:00:00"/>
    <d v="2021-10-14T00:00:00"/>
    <m/>
    <n v="0.30000000000000004"/>
    <n v="1"/>
    <n v="0.76666666666666672"/>
    <n v="0.30000000000000004"/>
    <s v=" "/>
    <s v="Concepto Favorable"/>
    <s v="Concepto Favorable"/>
    <s v="Concepto Favorable"/>
    <m/>
    <s v="Avance y evidencia acordes "/>
    <s v="Avance y evidencia acordes "/>
    <s v="Evidencias y avances acordes,"/>
    <m/>
    <x v="0"/>
    <x v="0"/>
    <x v="2"/>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s v="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
    <s v="Se observa que aún se encuentra en trámite el documento borrador de la Resolución “Por la cual se adopta el Plan Nacional de Cartografía Básica de Colombia”.  De igual manera se evidencia que se inicio con la actualización y análisis de información cuantitativa, en lo relacionado a cruces de información de municipios financiados, cuadros de áreas y costos 2021.  Sin embargo, no se da cumplimiento a la meta programada para el periodo evaluado. "/>
    <m/>
  </r>
  <r>
    <n v="23"/>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Subdirección de Cartografía y Geodesia"/>
    <s v="Porcentaje"/>
    <s v="Solicitudes atendidas"/>
    <s v="Eficiencia"/>
    <n v="1"/>
    <n v="0.25"/>
    <n v="0.25"/>
    <n v="0.25"/>
    <n v="0.25"/>
    <n v="0.25"/>
    <s v="Durante el primer trimestre se atendieron 94 solicitudes de información cartográfica, geodésica y geográfica, correspondientes a 3224 productos"/>
    <n v="0.25"/>
    <s v="Durante el segundo trimestre se atendieron 277 solicitudes de información cartográfica, geodésica y geográfica, correspondientes a 14.150 productos."/>
    <n v="0.25"/>
    <s v="Durante el tercer trimestre, se gestionaron y controlaron 149 solicitudes de información cartográfica, geodésica y geográfica, y se entregaron 11.179 productos."/>
    <m/>
    <m/>
    <d v="2021-04-09T00:00:00"/>
    <d v="2021-07-02T00:00:00"/>
    <d v="2021-10-14T00:00:00"/>
    <m/>
    <n v="0.75"/>
    <n v="1"/>
    <n v="1"/>
    <n v="1"/>
    <s v=" "/>
    <s v="Concepto Favorable"/>
    <s v="Concepto Favorable"/>
    <s v="Concepto Favorable"/>
    <m/>
    <s v="Evidencia y avance acordes. "/>
    <s v="Avance y evidencia acordes "/>
    <s v="Evidencias acorde al avance. "/>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s v="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
    <s v="Se observan que para el tercer trimestre del año se recibieron 149 solicitudes de información cartográfica, geodésica y geográfica las cuales corresponden a 4.919 productos para el mes de julio, 4.122 productos para el mes de agosto y 4.919 para el mes de septiembre, para un total de 11.179 productos.  Por lo anterior se avala el avance de la actividad."/>
    <m/>
  </r>
  <r>
    <n v="24"/>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único de información geográfica, cartográfica y geodésica"/>
    <s v="Subdirección de Cartografía y Geodesi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n v="20735682"/>
    <s v="Durante el segundo trimestre, se organizaron y catalogaron 60.478.772,16 ha de 1.855 productos, de los cuales se dispusieron 20.735.682ha de 106 servicios, logrando el cumplimiento de la meta debido a la implementación de herramientas de automatización de actividades."/>
    <n v="13071871"/>
    <s v="Durante el tercer tremestre se organizaron y catalogaron 103.550.844,7ha y se dispusieron 13.071.871ha de productos cartográficos, geográficos y geodésicos para su migración al Sistema único de información geográfica, cartográfica y geodésica."/>
    <m/>
    <m/>
    <d v="2021-04-09T00:00:00"/>
    <d v="2021-07-02T00:00:00"/>
    <d v="2021-10-14T00:00:00"/>
    <m/>
    <n v="1"/>
    <n v="0.1216308"/>
    <n v="1"/>
    <n v="1"/>
    <s v=" "/>
    <s v="Concepto Favorable"/>
    <s v="Concepto Favorable"/>
    <s v="Concepto Favorable"/>
    <m/>
    <s v="Avance y evidencias acordes"/>
    <s v="Avance y evidencia acordes "/>
    <s v="Evidencias acorde al avance. "/>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s v="En los informes suministrados se observa el reporte donde se describe que se catalogaron 60’475.772,16 ha de 1.855 productos para los meses de abril, mayo y junio. Cumpliendo con la meta propuesta para este trimestre del año."/>
    <s v="En los informes suministrados se observa el reporte donde se describe que se catalogaron 13’071.870,76 ha de 2.100 productos para los meses de julio, agosto y septiembre. Cumpliendo con la meta propuesta para este trimestre del año. "/>
    <m/>
  </r>
  <r>
    <n v="25"/>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Subdirección de Cartografía y Geodesia"/>
    <s v="Número"/>
    <s v="Productos disponibles"/>
    <s v="Eficacia"/>
    <n v="22000"/>
    <n v="2200"/>
    <n v="6600"/>
    <n v="6600"/>
    <n v="6600"/>
    <n v="0"/>
    <s v="Durante el primer trimestre se gestionó la contratación para el desarrollo de esta actividad"/>
    <n v="3238"/>
    <s v="Durante el segundo trimestre, se dispusieron en el archivo histórico 3.238 elementos escaneados de los rollos de negativos de película de fotografía aérea."/>
    <n v="10126"/>
    <s v="Durante el tercer tremestre se preservaron y dispusieron 10.126 elementos del archivo histórico de rollos de negativos de película de fotografía áerea. "/>
    <m/>
    <m/>
    <d v="2021-04-09T00:00:00"/>
    <d v="2021-07-02T00:00:00"/>
    <d v="2021-10-14T00:00:00"/>
    <m/>
    <n v="0.60745454545454547"/>
    <n v="0"/>
    <n v="0.4906060606060606"/>
    <n v="1"/>
    <s v=" "/>
    <s v="Concepto Favorable"/>
    <s v="Concepto Favorable"/>
    <s v="Concepto Favorable"/>
    <m/>
    <s v="Avance y evidencia acordes"/>
    <s v="Avance y evidencia acordes "/>
    <s v="Evidencias acorde al avance. "/>
    <m/>
    <x v="0"/>
    <x v="2"/>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s v="Se observa que para el segundo trimestre del año se dispusieron 3.238 elementos escaneados de los rollos de negativos de película de fotografía aérea.  Sin embargo, no se cumplió con la meta establecida para este periodo del año."/>
    <s v="Se observa que para el tercer trimestre del año se dispusieron 10.126 elementos del archivo histórico de los rollos de negativos de película de fotografía aérea.  Dando cumplimiento a la meta programada para el periodo evaluado."/>
    <m/>
  </r>
  <r>
    <n v="26"/>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Cartografía y Geodesia"/>
    <s v="Número"/>
    <s v="Productos disponibles"/>
    <s v="Eficacia"/>
    <n v="1"/>
    <n v="0"/>
    <n v="1"/>
    <n v="0"/>
    <n v="0"/>
    <n v="0"/>
    <s v="En el primer trimestre, se avanzó en la generación de la nueva versión del mapa 3D de Colombia."/>
    <n v="0"/>
    <s v="Durante el segundo trimestre, se realizó la entrega del mapa 3D final a la Subdirección para aprobación, es decir, que el avance de la meta se encuentra en el 80%."/>
    <n v="1"/>
    <s v="Durante el tercer trimestre, se terminó la generación del mapa 3D de Colombia y este fue aprobado."/>
    <m/>
    <m/>
    <d v="2021-04-09T00:00:00"/>
    <d v="2021-07-02T00:00:00"/>
    <d v="2021-10-14T00:00:00"/>
    <m/>
    <n v="1"/>
    <s v=""/>
    <n v="0"/>
    <s v=""/>
    <s v=" "/>
    <s v="Concepto Favorable"/>
    <s v="Concepto Favorable"/>
    <s v="Concepto Favorable"/>
    <m/>
    <s v="Avance y evidencia acorde. "/>
    <s v="Avance y evidencia acordes "/>
    <s v="Evidencias acorde al avance. "/>
    <m/>
    <x v="0"/>
    <x v="0"/>
    <x v="0"/>
    <x v="0"/>
    <s v="Para esta actividad se evidencia como insumo por parte del área respectiva el Mapa de la República de Colomba a escala 1:2’500.000."/>
    <s v="Se observan los productos sobre la realización del mapa 3D final.  Por lo anterior se avala el avance para este segundo trimestre del año 2021."/>
    <s v="Para este trimestre del año el área correspondiente culminó la generación del mapa 3D de Colombia, el cual se encuentra aprobado.  De igual manera, se observa el correo electrónico del 09/09/2021 donde se hace envió de la última versión del Mapa 3D, a la entidad de Parques Nacionales con el fin de que sea analizado y se realice la retroalimentación, conociendo la opinión acerca de las áreas de la jurisdicción.  Por lo anterior se avala el avance para este trimestre del año 2021."/>
    <m/>
  </r>
  <r>
    <n v="27"/>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Subdirección de Cartografía y Geodesi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n v="28"/>
    <s v="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n v="27"/>
    <s v="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
    <m/>
    <m/>
    <d v="2021-04-09T00:00:00"/>
    <d v="2021-07-02T00:00:00"/>
    <d v="2021-10-14T00:00:00"/>
    <m/>
    <n v="1"/>
    <n v="1"/>
    <n v="1"/>
    <n v="1"/>
    <s v=" "/>
    <s v="Concepto Favorable"/>
    <s v="Concepto Favorable"/>
    <s v="Concepto Favorable"/>
    <m/>
    <s v="Avance y evidencias acordes"/>
    <s v="Avance y evidencia acordes "/>
    <s v="Evidencias acorde al avance. "/>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s v="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s v="Se observa que, para el tercer trimestre del año 2021, se generaron varios documentos de diagnósticos de los municipios de Valledupar (Cesar), Buenos Aires, Caldono, Caloto, Corinto, Guachené, Jambaló, Miranda, Padilla, Puerto Tejada, Santander de Quilichao, Suárez, Toribió y Villa Rica (Cauca), Trujillo, la Cumbre, Calima y El Darién (Valle del Cauca), El peñón, Florián, Guavatá, Güepsa, San Benito y Vélez (Santander), Ibagué (Tolima), Manizales (Caldas), Gachetá (Cundinamarca), Sincelejo (Sucre), Chiquinquirá (Boyacá), Lloró (Chocó), Sabanalarga (Atlántico), Carurú y Mitú (Vaupés), Distrito Turístico y Cultural Cartagena de Indias (Bolívar), Florencia (Caquetá), Catatumbo Provincia de Ocaña (Norte de Santander) y Sur del Cesar (Cesar).  Cumpliendo así con la meta programada."/>
    <m/>
  </r>
  <r>
    <n v="28"/>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Subdirección de Cartografía y Geodesia"/>
    <s v="Número"/>
    <s v="Aplicaciones temáticas disponibles"/>
    <s v="Eficacia"/>
    <n v="3"/>
    <n v="0"/>
    <n v="1"/>
    <n v="1"/>
    <n v="1"/>
    <n v="0"/>
    <s v="Se realizó la exploración y búsqueda de archivos digitales para su estructuración y disposición de aplicaciones temáticas"/>
    <n v="0"/>
    <s v="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_x000a_y se generó el inventario de dicha información."/>
    <n v="2"/>
    <s v="Durante el tercer trimestre se avanzó en la configuración de: Story Map del departamento del Putumayo al 50% (https://storymaps.arcgis.com/stories/ba7fcb31eaea4d9fbaf9c7ca39b01056). Se avanzó en la consulta catastral (http://igac.azurewebsites.net/) y en hojas cartográficas. "/>
    <m/>
    <m/>
    <d v="2021-04-09T00:00:00"/>
    <d v="2021-07-02T00:00:00"/>
    <d v="2021-10-14T00:00:00"/>
    <m/>
    <n v="0.66666666666666663"/>
    <s v=""/>
    <n v="0"/>
    <n v="1"/>
    <s v=" "/>
    <s v="Concepto Favorable"/>
    <s v="Concepto Favorable"/>
    <s v="Concepto Favorable"/>
    <m/>
    <s v="Avance y evidencias acordes"/>
    <s v="Avance y evidencia acordes "/>
    <s v="Evidencias acorde al avance. "/>
    <m/>
    <x v="0"/>
    <x v="0"/>
    <x v="0"/>
    <x v="0"/>
    <s v="Se observa documento con la estructura de las carpetas donde se dispone la información digital de cada uno de los productos cartográficos según la temática.  Por lo anterior se valida avance de esta actividad para este trimestre."/>
    <s v="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
    <s v="Se observa que para este trimestre del año el área responsable de la actividad avanzó en la configuración de: Story Map del departamento del Putumayo al 50%, y en la consulta catastral y hojas cartográficas.  Dando cumplimiento a la meta programada.  "/>
    <m/>
  </r>
  <r>
    <n v="29"/>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Cartografía y Geodesia"/>
    <s v="Número"/>
    <s v="Servicios"/>
    <s v="Eficacia"/>
    <n v="1"/>
    <n v="0"/>
    <n v="0"/>
    <n v="1"/>
    <n v="0"/>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n v="0"/>
    <s v="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
    <n v="1"/>
    <s v="Durante el tercer trimestre, se completó la implementación y se realizó la puesta en producción de la funcionalidad de &quot;Coordenadas&quot; en &quot;Colombia en Mapas&quot;, la cual permite la consultar la jurisdicción, altura y coordenada de una ubicación específica."/>
    <m/>
    <m/>
    <d v="2021-04-09T00:00:00"/>
    <d v="2021-07-02T00:00:00"/>
    <d v="2021-10-14T00:00:00"/>
    <m/>
    <n v="1"/>
    <s v=""/>
    <s v=""/>
    <n v="1"/>
    <s v=" "/>
    <s v="Concepto Favorable"/>
    <s v="Concepto Favorable"/>
    <s v="Concepto Favorable"/>
    <m/>
    <s v="Avance y evidencia acordes"/>
    <s v="Avance y evidencia acordes "/>
    <s v="Evidencias acorde al avance. "/>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s v="Se observa el avance correspondiente al segundo trimestre del año, cumpliendo con la meta establecida para esta actividad. Se observan pantallazos de la aplicación Colombia en Mapas realizando la búsqueda de los diferentes municipios para obtener la respectiva información."/>
    <s v="Se observa imagen de donde se evidencia que se completó la implementación de la puesta en producción de la funcionalidad &quot;Coordenadas&quot; en &quot;Colombia en Mapas&quot;.  Dando cumplimiento a la meta programada para el periodo evaluado.  "/>
    <m/>
  </r>
  <r>
    <n v="30"/>
    <x v="6"/>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2-01T00:00:00"/>
    <d v="2021-12-31T00:00:00"/>
    <s v="Evidencias de la actualización de los documentos"/>
    <s v="Dirección de Gestión de Información Geográfica"/>
    <s v="Porcentaje"/>
    <s v="Información documentada vigente del proceso "/>
    <s v="Eficacia"/>
    <n v="1"/>
    <n v="0.1"/>
    <n v="0.22"/>
    <n v="0.18"/>
    <n v="0.5"/>
    <n v="0.1"/>
    <s v="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
    <n v="0.22"/>
    <s v="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_x000a_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
    <n v="0.23"/>
    <s v="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
    <m/>
    <m/>
    <d v="2021-04-09T00:00:00"/>
    <d v="2021-07-02T00:00:00"/>
    <d v="2021-10-14T00:00:00"/>
    <m/>
    <n v="0.55000000000000004"/>
    <n v="1"/>
    <n v="1"/>
    <n v="1"/>
    <s v=" "/>
    <s v="Concepto Favorable"/>
    <s v="Concepto Favorable"/>
    <s v="Concepto Favorable"/>
    <m/>
    <s v="Avance y evidencia acordes "/>
    <s v="Avance y evidencia acordes "/>
    <s v="Evidencias acorde al avance. "/>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
    <s v="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
    <s v="Para el cumplimiento de esta actividad se evidencia la comunicación interna enviada a los funcionarios y/o contratistas del IGAC, el 09/09/2021, con el fin de invitarlos a consultar la documentación y procedimientos actualizados correspondientes al Proceso de Gestión de Información Geográfica."/>
    <m/>
  </r>
  <r>
    <n v="31"/>
    <x v="6"/>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s no conformes"/>
    <d v="2021-01-01T00:00:00"/>
    <d v="2021-12-30T00:00:00"/>
    <s v="Formato de identificación y control de PTS"/>
    <s v="Dirección de Gestión de Información Geográfica"/>
    <s v="Número"/>
    <s v="Índice de Desempeño Institucional (IDI)"/>
    <s v="Producto"/>
    <n v="12"/>
    <n v="3"/>
    <n v="3"/>
    <n v="3"/>
    <n v="3"/>
    <n v="0"/>
    <s v="Durenate el primer trimestre del año, no se presentarion casos de Porducto No Conforme."/>
    <n v="0"/>
    <s v="Durante el segundo trimestre no se presentaron productos no conformes"/>
    <n v="0"/>
    <s v="Durante el tercer trimestre no se presentaron productos no conformes"/>
    <m/>
    <m/>
    <d v="2021-04-09T00:00:00"/>
    <d v="2021-07-02T00:00:00"/>
    <d v="2021-10-14T00:00:00"/>
    <m/>
    <n v="0"/>
    <n v="0"/>
    <n v="0"/>
    <n v="0"/>
    <s v=" "/>
    <s v="Concepto Favorable"/>
    <s v="Concepto Favorable"/>
    <s v="Concepto Favorable"/>
    <m/>
    <s v="No se presentaron casos de producto no conforme"/>
    <s v="Avance y evidencia acordes "/>
    <s v="Evidencias acorde al avance. "/>
    <m/>
    <x v="0"/>
    <x v="0"/>
    <x v="0"/>
    <x v="0"/>
    <s v="Se reporta por parte del área correspondiente que para el primer trimestre del año no se encontraron productos NO Conformes en el proceso de certificados de punto señalado por el usuario."/>
    <s v="Para el segundo trimestre del año no se encontraron productos no conformes en el proceso de certificados de punto señalado por el usuario. "/>
    <s v="Se evidencia que, para este trimestre del año 2021, no se presentaron productos no conformes.  Sin embargo, se debe revisar las evidencias cargadas en esta actividad ya que no corresponden, las cuales se encuentran dispuestas en la actividad 34.  "/>
    <m/>
  </r>
  <r>
    <n v="32"/>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Gestión de Información Geográfica"/>
    <s v="Número"/>
    <s v="Índice de desempeño institucional"/>
    <s v="Producto"/>
    <n v="2"/>
    <n v="0"/>
    <n v="0"/>
    <n v="0"/>
    <n v="2"/>
    <n v="0"/>
    <s v="Esta actividad se programó a partir del cuarto trimestre."/>
    <n v="0"/>
    <s v="Esta actividad se programó a partir del cuarto trimestre."/>
    <n v="0"/>
    <s v="Esta actividad se programó a partir del cuarto trimestre."/>
    <m/>
    <m/>
    <d v="2021-04-09T00:00:00"/>
    <d v="2021-07-02T00:00:00"/>
    <d v="2021-10-14T00:00:00"/>
    <m/>
    <n v="0"/>
    <s v=""/>
    <s v=""/>
    <s v=""/>
    <s v=" "/>
    <s v="Sin meta asignada en el periodo"/>
    <s v="Sin meta asignada en el periodo"/>
    <s v="Concepto Favorable"/>
    <m/>
    <s v="No hay meta programada "/>
    <s v="No tiene meta contemplada para este trimestre "/>
    <s v="No se tiene meta contemplada para este trimestre "/>
    <m/>
    <x v="1"/>
    <x v="1"/>
    <x v="1"/>
    <x v="0"/>
    <s v="No se evidencia meta programada para este trimestre del año."/>
    <s v="No se evidencia meta programada para este trimestre del año."/>
    <s v="Sin meta programada para el tercer trimestre del año."/>
    <m/>
  </r>
  <r>
    <n v="33"/>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Gestión de Información Geográfica"/>
    <s v="Número"/>
    <s v="Í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2"/>
    <s v="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
    <n v="2"/>
    <s v="Durante el tercer trimestre se solicitó a la Oficina Asesora Jurídica incluir la normatividad que se encuentra relacionada en el procedimiento &quot;&quot;GESTIÓN DE INFORMACIÓN DE ORDENAMIENTO TERRITORIAL&quot;&quot;, el cual, se requiere oficializar ante el Sistema de Gestión integrado del IGAC._x000d__x000a__x000d__x000a_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
    <m/>
    <m/>
    <d v="2021-04-09T00:00:00"/>
    <d v="2021-07-02T00:00:00"/>
    <d v="2021-10-14T00:00:00"/>
    <m/>
    <n v="1"/>
    <s v=""/>
    <n v="1"/>
    <n v="1"/>
    <s v=" "/>
    <s v="Concepto Favorable"/>
    <s v="Concepto Favorable"/>
    <s v="Concepto Favorable"/>
    <m/>
    <s v="Avance y evidencias acordes "/>
    <s v="Avance y evidencia acordes "/>
    <s v="Evidencias acorde al avance. "/>
    <m/>
    <x v="0"/>
    <x v="0"/>
    <x v="0"/>
    <x v="0"/>
    <s v="Se evidencia documento donde se encuentran preguntas las cuales fueron respondidas por el área respectiva, enviadas a la Oficina Asesora de Planeación."/>
    <s v="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
    <s v="Se observan los reportes de controles de riesgo correspondientes a los meses de julio, agosto y septiembre de 2021.  "/>
    <m/>
  </r>
  <r>
    <n v="34"/>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Formato de identificación y control de PTS"/>
    <s v="Dirección de Gestión de Información Geográfica"/>
    <s v="Número"/>
    <s v="Índice de Desempeño Institucional (IDI)"/>
    <s v="Producto"/>
    <n v="12"/>
    <n v="3"/>
    <n v="3"/>
    <n v="3"/>
    <n v="3"/>
    <n v="0"/>
    <s v="Sin observación"/>
    <n v="0"/>
    <s v="Sin observación"/>
    <n v="9"/>
    <s v="Durante el tercer trimestre, se adelantaron las actividades que permitirán el cumplimiento de las metas establecidas en el PAA y en el PAAC a cargo de los procesos, como lo muestran las evidencias de todas las actividades del Plan de Acción Anual. "/>
    <m/>
    <m/>
    <d v="2021-04-09T00:00:00"/>
    <d v="2021-07-02T00:00:00"/>
    <d v="2021-10-14T00:00:00"/>
    <m/>
    <n v="0.75"/>
    <n v="0"/>
    <n v="0"/>
    <n v="1"/>
    <s v=" "/>
    <s v="Concepto No Favorable"/>
    <s v="Concepto No Favorable"/>
    <s v="Concepto Favorable"/>
    <m/>
    <s v="No se dió cumplimiento a la meta programada."/>
    <s v="No se dió cumplimiento a la meta programada."/>
    <s v="Evidencias acorde al avance. "/>
    <m/>
    <x v="2"/>
    <x v="2"/>
    <x v="0"/>
    <x v="0"/>
    <s v="No se evidencian insumos para validar esta actividad, de hecho, no se cumplió con la meta programada para el primer trimestre del año 2021"/>
    <s v="No se evidencian insumos que den cumplimiento a esta actividad."/>
    <s v="Se evidencia correo electrónico del 28/09/2021, informando que para el tercer trimestre del año (julio, agosto y septiembre), no se encontraron productos no conformes en el proceso de certificados de punto señalizados por los usuario.  Lo que demuestra que las evidencias se encuentran trucadas con la actividad 31, por favor revisar y organizarla.  "/>
    <m/>
  </r>
  <r>
    <n v="35"/>
    <x v="6"/>
    <s v="Gestión Geodésica"/>
    <s v="Datos de gravedad actualizados, procesados y dispuestos"/>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Subdirección Cartográfica y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n v="0"/>
    <s v="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
    <n v="0"/>
    <s v="Durante el tercer trimestre, se lograron determinar obsevaciones gravimétricas sobre 369 puntos de control de la red geodésica nacional y 20 sobre puntos intermedios sin materializar."/>
    <m/>
    <m/>
    <d v="2021-04-09T00:00:00"/>
    <d v="2021-07-02T00:00:00"/>
    <d v="2021-10-14T00:00:00"/>
    <m/>
    <n v="0"/>
    <n v="0"/>
    <n v="0"/>
    <n v="0"/>
    <s v=" "/>
    <s v="Concepto Favorable"/>
    <s v="Concepto Favorable"/>
    <s v="Concepto Favorable"/>
    <m/>
    <s v="Avance y evidencias acorde"/>
    <s v="Avances y evidencias acordes"/>
    <s v="Evidencias acorde al avance. "/>
    <m/>
    <x v="0"/>
    <x v="0"/>
    <x v="0"/>
    <x v="0"/>
    <s v="Para esta actividad el área respectiva presenta el Convenio de Cooperación Internacional entre la Universidad del Estado de OHIO (Estados Unidos de América) y el IGAC.  A pesar que no se ejecutó meta se avala avance con el convenio firmado."/>
    <s v="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
    <s v="De acuerdo a los informes suministrados por el proceso se evidencia que para el mes de julio se lograron determinar observaciones gravimétricas sobre 90 puntos de control de la red geodésica Nacional, para el mes de agosto también se determinaron 90 puntos de control y para septiembre 180, es decir que en total para este trimestre evaluado se lograron determinar observaciones gravimétricas sobre 369 puntos de control de la red geodésica nacional y 20 sobre puntos intermedios sin materializar.  Se recomienda actualizar la información en la meta ejecutada para cada trimestre.  "/>
    <m/>
  </r>
  <r>
    <n v="36"/>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Subdirección Cartográfica y Geodésica"/>
    <s v="Número"/>
    <s v="Estaciones de operación continua "/>
    <s v="Eficacia"/>
    <n v="23"/>
    <n v="2"/>
    <n v="7"/>
    <n v="7"/>
    <n v="7"/>
    <n v="3"/>
    <s v="Durante el primer trimestre, se materializaron tres estaciones continuas en los municipios de Arauquita, Arauca (2) y en Santa Rosalía, Vichada (1) "/>
    <n v="3"/>
    <s v="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
    <n v="1"/>
    <s v="Durante el tercer trimestre, se materializó 1 estación de funcionamiento continuo (01 CORS-GNSS) en el municipio de Tibú (Norte de Santander). A su vez, se realizaron exploraciones en Huila, Nariño, Meta y Casanare."/>
    <m/>
    <m/>
    <d v="2021-04-09T00:00:00"/>
    <d v="2021-07-02T00:00:00"/>
    <d v="2021-10-14T00:00:00"/>
    <m/>
    <n v="0.30434782608695654"/>
    <n v="1"/>
    <n v="1"/>
    <n v="1"/>
    <s v=" "/>
    <s v="Concepto Favorable"/>
    <s v="Concepto Favorable"/>
    <s v="Concepto Favorable"/>
    <m/>
    <s v="Avance y evidencia acordes "/>
    <s v="Avance y evidencia acordes "/>
    <s v="Evidencias acorde al avance. "/>
    <m/>
    <x v="0"/>
    <x v="0"/>
    <x v="2"/>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s v="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
    <s v="Se observa documento Acta de entrega Sistema de Comunicación de la Estación de Funcionamiento continuo GNSS en el municipio de Tibú – Norte de Santander, la cual se materializó la estación de funcionamiento continuo (01 CORS-GNSS).  Sin embargo, se evidencia que no se cumplió con la meta programada para este trimestre del año"/>
    <m/>
  </r>
  <r>
    <n v="37"/>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Subdirección Cartográfica y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n v="6"/>
    <s v="Durante el segundo trimestre, se finalizó la integración tecnológica de las estaciones del Servicio Geológico Colombiano en la plataforma Colombia en Mapas, logrando así el cumplimiento de la meta._x000d__x000a_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
    <n v="0"/>
    <s v="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
    <m/>
    <m/>
    <d v="2021-04-09T00:00:00"/>
    <d v="2021-07-02T00:00:00"/>
    <d v="2021-10-14T00:00:00"/>
    <m/>
    <n v="1"/>
    <n v="0"/>
    <n v="1"/>
    <n v="1"/>
    <s v=" "/>
    <s v="Concepto Favorable"/>
    <s v="Concepto Favorable"/>
    <s v="Concepto Favorable"/>
    <m/>
    <s v="Avances y evidencias acordes"/>
    <s v="Avance y evidencia acordes "/>
    <s v="Evidencias acorde al avance. "/>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s v="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
    <s v="Se avala el cumplimiento de la actividad de acuerdo a los documentos suministrados por el proceso responsable.  Se recomienda realizar la actualización de la meta ejecutada en el periodo evaluado.  "/>
    <m/>
  </r>
  <r>
    <n v="38"/>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Subdirección Cartográfica y Geodésica"/>
    <s v="Número"/>
    <s v="Estaciones de operación continua"/>
    <s v="Eficacia"/>
    <n v="18"/>
    <n v="2"/>
    <n v="5"/>
    <n v="5"/>
    <n v="6"/>
    <n v="5"/>
    <s v="Durante el primer trimestre, se realizó el mantenimiento de cinco estaciones continuas ubicadas en los municipios de Socha, Planadas, Chaparral, Arauca y  Yopal."/>
    <n v="11"/>
    <s v="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
    <n v="10"/>
    <s v="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
    <m/>
    <m/>
    <d v="2021-04-09T00:00:00"/>
    <d v="2021-07-02T00:00:00"/>
    <d v="2021-10-14T00:00:00"/>
    <m/>
    <n v="1"/>
    <n v="1"/>
    <n v="1"/>
    <n v="1"/>
    <s v=" "/>
    <s v="Concepto Favorable"/>
    <s v="Concepto Favorable"/>
    <s v="Concepto Favorable"/>
    <m/>
    <s v="Avance y evidencia acordes "/>
    <s v="Avance y evidencia acordes "/>
    <s v="Evidencias acorde al avance. "/>
    <m/>
    <x v="0"/>
    <x v="0"/>
    <x v="0"/>
    <x v="0"/>
    <s v="Se evidencian informes sobre visitas a estaciones para el Mantenimiento correctivo a las estaciones: AECH, YOPA, ARCA, SOCB y AEPL."/>
    <s v="Se observa que para el segundo trimestre del año 2021 se realizó el mantenimiento de las estaciones continuas las cuales se encuentran en los municipios de Cúcuta, Becerril, Bucaramanga, Taraza, Bosconia, Aguachica, Fúquene, Puerto Lleras, Pamplona, Villavicencio y Bogotá."/>
    <s v="De acuerdo a los documentos suministrados se observa que se realizó para el tercer trimestre del año el mantenimiento de 10 estaciones CORS para diferentes municipios en donde se encuentra (Garagoa, Tumaco, Silvia, Santa Rosalía, entre otros.  De acuerdo a lo anterior se avala el cumplimiento de esta actividad.  "/>
    <m/>
  </r>
  <r>
    <n v="39"/>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Subdirección Cartográfica y Geodésica"/>
    <s v="Número"/>
    <s v="Archivos rinex procesados"/>
    <s v="Eficacia"/>
    <n v="14400"/>
    <n v="1440"/>
    <n v="4320"/>
    <n v="4320"/>
    <n v="4320"/>
    <n v="3301"/>
    <s v="Durante el primer trimestre, se procesaron y dispusieron 3.301 archivos rinex de las estaciones de operación continua administradas e integradas por el IGAC."/>
    <n v="4331"/>
    <s v="Durante el segundo trimestre, se procesaron y dispusieron 4.331 archivos rinex de las estaciones de operación continua administradas e integradas por el IGAC."/>
    <n v="4809"/>
    <s v="Durante el tercer trimestre, se generaron 4.809 archivos rinex de las estaciones de operación continua y administradas e integradas por el IGAC."/>
    <m/>
    <m/>
    <d v="2021-04-09T00:00:00"/>
    <d v="2021-07-02T00:00:00"/>
    <d v="2021-10-14T00:00:00"/>
    <m/>
    <n v="0.86395833333333338"/>
    <n v="1"/>
    <n v="1"/>
    <n v="1"/>
    <s v=" "/>
    <s v="Concepto Favorable"/>
    <s v="Concepto Favorable"/>
    <s v="Concepto Favorable"/>
    <m/>
    <s v="Avance y evidencias acordes"/>
    <s v="Avance y evidencia acordes "/>
    <s v="Evidencias acorde al avance. "/>
    <m/>
    <x v="0"/>
    <x v="0"/>
    <x v="0"/>
    <x v="0"/>
    <s v="Se observa los archivos rinex de las estaciones de operación continua para los meses de enero, febrero y marzo.  Por lo tanto, se avala el avance a esta actividad."/>
    <s v="Para el segundo trimestre del año 2021, se observan los archivos rinex de las estaciones de operación continua, donde se procesaron y dispusieron 4.331 archivos."/>
    <s v="Se observa la generación de 4.809 archivos rinex de las estaciones de operación continua para el tercer trimestre del año, dando cumplimiento a la meta programada.  "/>
    <m/>
  </r>
  <r>
    <n v="40"/>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Subdirección Cartográfica y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n v="13"/>
    <s v="Durante el segundo trimestre, se procesaron y dispusieron las coordenadas de estaciones activas del centro de procesamiento IGA del Sistema de Referencia Geocéntrico para las Américas (SIRGAS) correspondiente a 13 semanas comprendidas desde abril a junio."/>
    <n v="12"/>
    <s v="Durante el tercer trimestre, se procesaron y dispusieron las coordenadas de estaciones activas del centro de procesamiento IGA del Sistema de Referencia Geocéntrico para las Américas (SIRGAS) correspondiente a 12 semanas."/>
    <m/>
    <m/>
    <d v="2021-04-09T00:00:00"/>
    <d v="2021-07-02T00:00:00"/>
    <d v="2021-10-14T00:00:00"/>
    <m/>
    <n v="0.73076923076923073"/>
    <n v="1"/>
    <n v="1"/>
    <n v="1"/>
    <s v=" "/>
    <s v="Concepto Favorable"/>
    <s v="Concepto Favorable"/>
    <s v="Concepto Favorable"/>
    <m/>
    <s v="Avance y evidencias acordes"/>
    <s v="Avance y evidencia acordes "/>
    <s v="Evidencias acorde al avance. "/>
    <m/>
    <x v="0"/>
    <x v="0"/>
    <x v="0"/>
    <x v="0"/>
    <s v="Se evidencia el archivo de Estaciones procesadas por el Centro de Procesamiento IGA – IGAC, para SIRGAS para el primer trimestre del año 2021."/>
    <s v="Para los meses de abril, mayo y junio se procesaron y dispusieron las coordenadas de estaciones activas del centro de procesamiento IGA, las cuales corresponden a 13 semanas."/>
    <s v="Se observa que para el tercer trimestre del año se procesaron y dispusieron las coordenadas de estaciones activas del centro de procesamiento IGA del Sistema de Referencia Geocéntrico para las Américas (SIRGAS) correspondiente a 12 semanas.  Aunque se evidencia que no se cumplió con la meta programada, se avala el cumplimiento.  "/>
    <m/>
  </r>
  <r>
    <n v="41"/>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Subdirección Cartográfica y Geodésica"/>
    <s v="Número"/>
    <s v="Vértices geodésicos "/>
    <s v="Eficacia"/>
    <n v="27"/>
    <n v="3"/>
    <n v="8"/>
    <n v="8"/>
    <n v="8"/>
    <n v="10"/>
    <s v="Durante el primer trimestre, se densificaron puntos en los municipios de Arauquita, Arauca, diez vértices para la red pasiva geodésica nacional. Se tomó el vértice antiguo GPS-D-AR-001 para su verificación en los cálculos posteriormente."/>
    <n v="0"/>
    <s v="Durante el segundo trimestre, se realizó la integración de la información validada de las redes de los municipios de Dosquebradas y la Virginia del contrato interadministrativo 5251 de 2020, entre el IGAC y AMCO, permitiendo adicionar 49 vértices  a la red pasiva del país."/>
    <n v="13"/>
    <s v="Durante el tercer trimestre, se materializaron 13 vértices geodésicas, densificando la red geodésica nacional, en los municipios: (2) Cabuyaro (Meta), (2) Covarachia, (2) Topaga, (2) Gameza (Boyacá), (2) Topaipi (Cundinamarca), (2) Popayán (Cauca) y Urumita (La Guajira)."/>
    <m/>
    <m/>
    <d v="2021-04-09T00:00:00"/>
    <d v="2021-07-02T00:00:00"/>
    <d v="2021-10-14T00:00:00"/>
    <m/>
    <n v="0.85185185185185186"/>
    <n v="1"/>
    <n v="1"/>
    <n v="1"/>
    <s v=" "/>
    <s v="Concepto Favorable"/>
    <s v="Concepto Favorable"/>
    <s v="Concepto Favorable"/>
    <m/>
    <s v="Avance y evidencias acordes"/>
    <s v="Avance y evidencia acordes "/>
    <s v="Evidencias acorde al avance. "/>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s v="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
    <s v="De acuerdo a los documentos suministrados se evidencia que se materializaron 13 vértices geodésicas, superando el cumplimiento de la meta programada para el tercer trimestre del año 2021.  "/>
    <m/>
  </r>
  <r>
    <n v="42"/>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Subdirección Cartográfica y Geodésica"/>
    <s v="Porcentaje"/>
    <s v="Centro de control de la red"/>
    <s v="Eficiencia"/>
    <n v="1"/>
    <n v="0"/>
    <n v="0.3"/>
    <n v="0.3"/>
    <n v="0.4"/>
    <n v="0"/>
    <s v="El avance de la actividad iniciará a partir del segundo trimestre."/>
    <n v="0.05"/>
    <s v="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
    <n v="0.25"/>
    <s v="Durante el tercer trimestre, en el marco del contrato 24695 suscrito con IGN-FI, se dio inicio al diseño del centro de control de la Red Geodésica, la cual contemplará la disposición de servicios VRS/NTRIP."/>
    <m/>
    <m/>
    <d v="2021-04-09T00:00:00"/>
    <d v="2021-07-02T00:00:00"/>
    <d v="2021-10-14T00:00:00"/>
    <m/>
    <n v="0.3"/>
    <s v=""/>
    <n v="0.16666666666666669"/>
    <n v="0.88333333333333341"/>
    <s v=" "/>
    <s v="Concepto Favorable"/>
    <s v="Concepto Favorable"/>
    <s v="Concepto Favorable"/>
    <m/>
    <s v="No tiene meta programada para el primer trimestre"/>
    <s v="Avance y evidencia acordes "/>
    <s v="Evidencias acorde al avance. "/>
    <m/>
    <x v="1"/>
    <x v="0"/>
    <x v="0"/>
    <x v="0"/>
    <s v="No se programó meta para este trimestre del año."/>
    <s v="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
    <s v="De acuerdo a la meta programada para este trimestre del año, se evidencia que no se cumplió, sin embargo, se avala de acuerdo a la documentación soportada para esta actividad.  Se recomienda tomar las medidas necesarias para culminar con el proceso al final del año.  "/>
    <m/>
  </r>
  <r>
    <n v="43"/>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Subdirección Cartográfica y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n v="3549"/>
    <s v="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
    <n v="3693"/>
    <s v="Durante el tercer trimestre, se depuraron 3.693 vértices con alturas geométricas, para actualizar la red de nivelación geodésica, conforme a la estructuración de los datos capturados en años anteriores."/>
    <m/>
    <m/>
    <d v="2021-04-09T00:00:00"/>
    <d v="2021-07-02T00:00:00"/>
    <d v="2021-10-14T00:00:00"/>
    <m/>
    <n v="0.85333333333333339"/>
    <n v="0.9993333333333333"/>
    <n v="1"/>
    <n v="1"/>
    <s v=" "/>
    <s v="Concepto Favorable"/>
    <s v="Concepto Favorable"/>
    <s v="Concepto Favorable"/>
    <m/>
    <s v="Avance y evidencias acordes"/>
    <s v="Avance y evidencia acordes "/>
    <s v="Evidencias acorde al avance. "/>
    <m/>
    <x v="0"/>
    <x v="0"/>
    <x v="0"/>
    <x v="0"/>
    <s v="Se evidencia archivo sobre las alturas de cada vértice para diferentes años. A pesar de no cumplir con la meta programada se valida el avance tenido a la fecha para este trimestre."/>
    <s v="Para el segundo trimestre del año 2021, se evidencian los archivos donde se encuentran descritas las depuraciones a 3.549 vértices con alturas geométricas. "/>
    <s v="Se observa que para esta actividad no se suministró ningún soporte, sin embargo, al hacer la revisión en las siguiente actividad (drive actividad 10) se evidencia que los documentos están allí.  Por favor tener presente disponer la información en las actividades y que sea coherente con lo trabajado, para que no se preste a confusiones.  De acuerdo a la revisión para esta actividad se depuraron 1.006 vértices con alturas geométrica para el mes de julio, 1.256 para agosto y 1.431 en septiembre, dando en total 3.693 vértices depurados, para actualizar la red de nivelación geodésica.  "/>
    <m/>
  </r>
  <r>
    <n v="44"/>
    <x v="6"/>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Subdirección Cartográfica y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n v="0"/>
    <s v="Durante el segundo trimestre, se procesó el 72% de datos del observatorio geomagnético para su disposición, correspondiente a actividades de escalonamiento de datos, determinación del índice de actividad magnética, obtención de factores de escala y deltas."/>
    <n v="1"/>
    <s v="Durante el tercer trimestre, el avance para la consolidación de la base de datos con la información obtenida por el Observatorio de Fúquene durante el 2018-2019 es del 100%, completando la labor."/>
    <m/>
    <m/>
    <d v="2021-04-09T00:00:00"/>
    <d v="2021-07-02T00:00:00"/>
    <d v="2021-10-14T00:00:00"/>
    <m/>
    <n v="1"/>
    <s v=""/>
    <s v=""/>
    <s v=""/>
    <s v=" "/>
    <s v="Concepto Favorable"/>
    <s v="Concepto Favorable"/>
    <s v="Concepto Favorable"/>
    <m/>
    <s v="Avance y evidencias acordes"/>
    <s v="Avance y evidencia acordes "/>
    <s v="Evidencias acorde al avance. "/>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s v="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
    <s v="Para el cumplimiento de esta actividad se disponen los informes de los meses de (julio, agosto y septiembre), con sus respectivos productos, donde se observa el avance para la consolidación de la base de datos con la información obtenida por el Observatorio de Fúquene durante el 2018 – 2019.  "/>
    <m/>
  </r>
  <r>
    <n v="45"/>
    <x v="6"/>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Subdirección Cartográfica y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n v="1925"/>
    <s v="Durante el segundo trimestre, se revisaron 1.925 datos para completar la revisión al 100% de los datos históricos, para un total de cumplimiento de la meta de 4.668 datos"/>
    <n v="0"/>
    <s v="La tarea de realizar el control de calidad y validación de los históricos base de geomagnetismo, así como realizar análisis espacial y disponer los datos, se completó en el segundo trimestre."/>
    <m/>
    <m/>
    <d v="2021-04-09T00:00:00"/>
    <d v="2021-07-02T00:00:00"/>
    <d v="2021-10-14T00:00:00"/>
    <m/>
    <n v="1"/>
    <n v="1"/>
    <n v="1"/>
    <n v="1"/>
    <s v=" "/>
    <s v="Concepto Favorable"/>
    <s v="Concepto Favorable"/>
    <s v="Concepto Favorable"/>
    <m/>
    <s v="Avance y evidencias acordes"/>
    <s v="Avance y evidencia acordes "/>
    <s v="Evidencias acorde al avance. "/>
    <m/>
    <x v="0"/>
    <x v="0"/>
    <x v="0"/>
    <x v="0"/>
    <s v="Se observa documento sobre las estaciones repetición 300321 y el documento sobre el avance de revisión de datos de estaciones de repetición geomagnéticos enviado al coordinador GIT Gestión Geodésica."/>
    <s v="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
    <s v="Se evidencia que esta actividad se completó en el segundo trimestre del año"/>
    <m/>
  </r>
  <r>
    <n v="46"/>
    <x v="6"/>
    <s v="Gestión Geodésica"/>
    <s v="Regulación de información gesodés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Subdirección Cartográfica y Geodésica"/>
    <s v="Número"/>
    <s v="Regulación de información geodésica"/>
    <s v="Eficacia"/>
    <n v="3"/>
    <n v="0"/>
    <n v="1"/>
    <n v="1"/>
    <n v="1"/>
    <n v="0"/>
    <s v="Durante el primer trimestre, se generó versión preliminar de actualización de la resolución 1562 de 2018."/>
    <n v="1"/>
    <s v="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
    <n v="0"/>
    <s v="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quot;&quot;, la cual fue socializada, discutida y afinada en una mesa de trabajo y se encuentra en revisión técnica."/>
    <m/>
    <m/>
    <d v="2021-04-09T00:00:00"/>
    <d v="2021-07-02T00:00:00"/>
    <d v="2021-10-14T00:00:00"/>
    <m/>
    <n v="0.33333333333333331"/>
    <s v=""/>
    <n v="1"/>
    <n v="1"/>
    <s v=" "/>
    <s v="Concepto Favorable"/>
    <s v="Concepto Favorable"/>
    <s v="Concepto Favorable"/>
    <m/>
    <s v="Avance y evidencias acordes"/>
    <s v="Avance y evidencia acordes "/>
    <s v="Evidencias acorde al avance. "/>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s v="Se observa que se actualizó y publicó el documento Resolución No. 370 del 16/06/2021 “Por medio de la cual se establece el sistema de proyección cartográfica oficial para Colombia”, de igual manera se realizó el ajuste a la Resolución 643 de 2018 &quot;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
    <s v="Para esta actividad no se suministró ningún soporte, sin embargo, al hacer la revisión en las siguiente actividad (drive actividad 13) se evidencia que los documentos están allí.  Por favor tener presente disponer la información en las actividades y que sea coherente con lo trabajado, para que no se preste a confusiones.  Para el cumplimiento de esta actividad el proceso realizó los documentos borradores de Resoluciones “Por la cual se adoptan los lineamientos para la validación, conservación y calidad de productos geodésicos” y “Por medio de la cual se establecen los lineamientos técnicos mínimos requeridos en la materialización, medición y administración de vértices geodésicos para su integración a la Red Geodésica Nacional de la República de Colombia”.  Se encuentran en revisión."/>
    <m/>
  </r>
  <r>
    <n v="47"/>
    <x v="6"/>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Subdirección de Geografía"/>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n v="2809430"/>
    <s v="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
    <n v="12708236"/>
    <s v="Durante el tercer trimestre se elaboraron 9 documentos de caracterización territorial, de los municipios: Puerto Leguizamo (Putumayo), Cartagena del Chaira, Puerto Rico, Solano (Caquetá), San José del Guaviavre (Guaviare), Mapiripán, San Juan de Arama (Meta), Montecristo (Bolívar) y Trinidad (Casanare)."/>
    <m/>
    <m/>
    <d v="2021-04-09T00:00:00"/>
    <d v="2021-07-02T00:00:00"/>
    <d v="2021-10-14T00:00:00"/>
    <m/>
    <n v="1"/>
    <n v="0.33896647504051758"/>
    <n v="1"/>
    <n v="1"/>
    <s v=" "/>
    <s v="Concepto Favorable"/>
    <s v="Concepto Favorable"/>
    <s v="Concepto Favorable"/>
    <m/>
    <s v="Avance y evidencias acordes"/>
    <s v="Avance y evidencias acordes"/>
    <s v="Evidencias acorde al avance. "/>
    <m/>
    <x v="0"/>
    <x v="0"/>
    <x v="0"/>
    <x v="0"/>
    <s v="Se evidencia la caracterización de Villavicencio, Arauquita y Popayán correspondiente a un área 464.099,55ha"/>
    <s v="Se evidencia los documentos de las 15 caracterizaciones territoriales que suman un area 2.809.430 has."/>
    <s v="Se evidencian los documentos de nueve (9) caracterizaciones territoriales de los municipios de Trinidad, Leguízamo, Cartagena del Chairá, Solano, Puerto Rico, San Juan de Arama, Montecristo, Mapiripán y San José de Guaviare, sumando 12’708.236 ha, dando cumplimiento a la meta programada para el tercer trimestre del año 2021. "/>
    <m/>
  </r>
  <r>
    <n v="48"/>
    <x v="6"/>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Subdirección de Geografía"/>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n v="15"/>
    <s v="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n v="9"/>
    <s v="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
    <m/>
    <m/>
    <d v="2021-04-09T00:00:00"/>
    <d v="2021-07-02T00:00:00"/>
    <d v="2021-10-14T00:00:00"/>
    <m/>
    <n v="0.9"/>
    <n v="1"/>
    <n v="1"/>
    <n v="1"/>
    <s v=" "/>
    <s v="Concepto Favorable"/>
    <s v="Concepto Favorable"/>
    <s v="Concepto Favorable"/>
    <m/>
    <s v="Avance y evidencias acordes"/>
    <s v="Avances y evidencias acordes "/>
    <s v="Evidencias acorde al avance. "/>
    <m/>
    <x v="0"/>
    <x v="0"/>
    <x v="0"/>
    <x v="0"/>
    <s v="Se evidencia la mapas de intervencion municipal de Villavicencio, Arauquita y Popayán."/>
    <s v="Se evidencia los mapas de intervención de 15 municipios."/>
    <s v="Para este trimestre de da cumplimiento a la meta programada, evidenciando la generación de nueve (9) mapas de síntesis territorial, unidades de intervención y base de datos geográfica.  "/>
    <m/>
  </r>
  <r>
    <n v="49"/>
    <x v="6"/>
    <s v="Gestión Geográfica"/>
    <s v="Atlas actualizado y disponible "/>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Subdirección de Geografía"/>
    <s v="Número"/>
    <s v="Estudio de investigación geográfica elaborado"/>
    <s v="Eficacia"/>
    <n v="1"/>
    <n v="0"/>
    <n v="0"/>
    <n v="0"/>
    <n v="1"/>
    <n v="0"/>
    <s v="Se elaboró la propuesta de estructura temática a nivel de capítulos y determinación de los mapas esperados."/>
    <n v="0"/>
    <s v="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
    <n v="0"/>
    <s v="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
    <m/>
    <m/>
    <d v="2021-04-09T00:00:00"/>
    <d v="2021-07-02T00:00:00"/>
    <d v="2021-10-14T00:00:00"/>
    <m/>
    <n v="0"/>
    <s v=""/>
    <s v=""/>
    <s v=""/>
    <s v=" "/>
    <s v="Concepto Favorable"/>
    <s v="Concepto Favorable"/>
    <s v="Concepto Favorable"/>
    <m/>
    <s v="Avance y evidencia acordes"/>
    <s v="Avances y evidencias acordes"/>
    <s v="Evidencias acorde al avance. "/>
    <m/>
    <x v="1"/>
    <x v="1"/>
    <x v="1"/>
    <x v="0"/>
    <s v="Para este periodo no existe meta asignada."/>
    <s v="Para este periodo no existe meta asignada."/>
    <s v="Se evidencia que se suministraron los documentos sobre el Capítulo 1: Generalidades y Capítulos 2: Conformación del Estado Nacional Colombiano, para ser incluidos en el Atlas de Colombia.  Sin embargo, para este trimestre no se programó ninguna meta."/>
    <m/>
  </r>
  <r>
    <n v="50"/>
    <x v="6"/>
    <s v="Gestión Geográfica"/>
    <s v="Dos instrumentos  para el fortalecimiento de los procesos de ordenamiento territorial"/>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Subdirección de Geografía"/>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n v="0"/>
    <s v="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
    <n v="0"/>
    <s v="Durante el tercer trimestre se avanzó en la actualizaciónde las especificaciones técnicas para la generación de cartografía para el ordenamiento territorial, ajustando la versión de proyecto de resolución &quot;Por medio de la cual se establecen las especificaciones técnicas mínimas para la generación de cartografía asociada a los procesos de ordenamiento territorial&quot;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
    <m/>
    <m/>
    <d v="2021-04-09T00:00:00"/>
    <d v="2021-07-02T00:00:00"/>
    <d v="2021-10-14T00:00:00"/>
    <m/>
    <n v="0"/>
    <s v=""/>
    <s v=""/>
    <s v=""/>
    <s v=" "/>
    <s v="Concepto Favorable"/>
    <s v="Concepto Favorable"/>
    <s v="Concepto Favorable"/>
    <m/>
    <s v="Avance y evidencias acordes"/>
    <s v="Avance y evidencias acordes"/>
    <s v="Evidencias acorde al avance. "/>
    <m/>
    <x v="1"/>
    <x v="1"/>
    <x v="1"/>
    <x v="0"/>
    <s v="Se evidencia versión preliminar del documento legal (circular) sobre especificaciones técnicas para la generación de cartografía para el ordenamiento territorial. Nota: Para este periodo no existe meta asignada."/>
    <s v=" Se evidencia documento preliminar de referencias para las Especificaciones Técnicas-ET y el documento en borrador Lineamientos básicos para la cartografía oficial de los Planes de Ordenamiento Territorial. Nota: Para este periodo no existe meta asignada."/>
    <s v="Se soportaron los documentos borradores a ser incluidos en la Resolución “Por medio de la cual se establecen las especificaciones técnicas mínimas para la generación de cartografía asociada los planes de Ordenamiento Territorial”.  Sin embargo, para este trimestre no se programó ninguna meta. "/>
    <m/>
  </r>
  <r>
    <n v="51"/>
    <x v="6"/>
    <s v="Gestión Geográfica"/>
    <s v="Dos instrumentos  para el fortalecimiento de los procesos de ordenamiento territori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Subdirección de Geografía"/>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n v="0.6"/>
    <s v="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
    <n v="0.4"/>
    <s v="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
    <m/>
    <m/>
    <d v="2021-04-09T00:00:00"/>
    <d v="2021-07-02T00:00:00"/>
    <d v="2021-10-14T00:00:00"/>
    <m/>
    <n v="1"/>
    <s v=""/>
    <n v="1"/>
    <s v=""/>
    <s v=" "/>
    <s v="Concepto Favorable"/>
    <s v="Concepto Favorable"/>
    <s v="Concepto Favorable"/>
    <m/>
    <s v="Avance y evidencias acordes "/>
    <s v="Evidencias y avances acordes"/>
    <s v="Evidencias acorde al avance. "/>
    <m/>
    <x v="1"/>
    <x v="0"/>
    <x v="1"/>
    <x v="0"/>
    <s v="Para este periodo no existe meta asignada."/>
    <s v="Se evidencia varios documentos para el diseño y puesta en funcionamiento el repositorio de planes de ordenamiento territorial."/>
    <s v="Se observa que durante el trimestre se ha avanzado en el diseño del repositorio de planes de Ordenamiento Territorial.  Sin embargo, para este trimestre no se programó ninguna meta.  "/>
    <m/>
  </r>
  <r>
    <n v="52"/>
    <x v="6"/>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Subdirección de Geografía"/>
    <s v="Número"/>
    <s v="Nombres geográficos recolectados, actualizados y/o integrados"/>
    <s v="Eficacia"/>
    <n v="50000"/>
    <n v="5000"/>
    <n v="15000"/>
    <n v="15000"/>
    <n v="15000"/>
    <n v="0"/>
    <s v="Durante el primer trimestre, se avanzó con la gestión contractual para el desarrollo de esta actividad."/>
    <n v="0"/>
    <s v="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quot; "/>
    <n v="11980"/>
    <s v="Se gestionó e integró la información de 1.790 registros de nombres geográficos asociados a Parques Naturales, así como 190 de la Fundación GAIA asociada a grupos étnicos y 10.000 nombres de la base de datos de topónimos urbanos del DANE."/>
    <m/>
    <m/>
    <d v="2021-04-09T00:00:00"/>
    <d v="2021-07-02T00:00:00"/>
    <d v="2021-10-14T00:00:00"/>
    <m/>
    <n v="0.23960000000000001"/>
    <n v="0"/>
    <n v="0"/>
    <n v="0.79866666666666664"/>
    <s v=" "/>
    <s v="Concepto Favorable"/>
    <s v="Concepto Favorable"/>
    <s v="Concepto Favorable"/>
    <m/>
    <s v="Avance y evidencias acordes"/>
    <s v="Avances y evidencias acordes"/>
    <s v="Evidencias acorde al avance. "/>
    <m/>
    <x v="2"/>
    <x v="2"/>
    <x v="2"/>
    <x v="0"/>
    <s v="La evidencia aportada no corresponde al producto esperado."/>
    <s v="No se evidencia avance en la meta propuesta."/>
    <s v="Se evidencia en documento por medio del cual se va avanzando en robustecer los nombres geográficos en le Base Nacional, sin embargo, se observa que no se dio cumplimiento a la meta programada para el tercer trimestre del año.  "/>
    <m/>
  </r>
  <r>
    <n v="53"/>
    <x v="6"/>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Subdirección de Geografía"/>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n v="1"/>
    <s v="Durante el segundo trimestre, se realizó la migración de los datos y se implementó una nueva interfaz web del diccionario geográfico de Colombia.  http://igac.azurewebsites.net/diccionario/"/>
    <n v="0"/>
    <s v="La nueva versión de diccionario geográfico de Colombia integrado con Colombia en Mapas se cumplió en el segundo trimestre, sin embargo continua en mejoramiento con la integración de nuevos términos y la base geográfica de nombres o topónimos."/>
    <m/>
    <m/>
    <d v="2021-04-09T00:00:00"/>
    <d v="2021-07-02T00:00:00"/>
    <d v="2021-10-14T00:00:00"/>
    <m/>
    <n v="1"/>
    <s v=""/>
    <s v=""/>
    <n v="1"/>
    <s v=" "/>
    <s v="Concepto Favorable"/>
    <s v="Concepto Favorable"/>
    <s v="Concepto Favorable"/>
    <m/>
    <s v="Avance y evidencias acordes "/>
    <s v="Avances y evidencias acordes "/>
    <s v="Evidencias acorde al avance. "/>
    <m/>
    <x v="1"/>
    <x v="0"/>
    <x v="0"/>
    <x v="0"/>
    <s v="Se evidencia documento técnico benchmarking, nueva página web, con lo cual se avanza en los requerimientos, para la Base Nacional de Nombres Geográficos. Nota: Para este periodo no existe meta asignada."/>
    <s v="Se evidencia la implementación de una nueva interfaz web del diccionario geográfico de Colombia.  http://igac.azurewebsites.net/diccionario/"/>
    <s v="Esta actividad se cumplió en el segundo trimestre del año, actualmente se continua con el mejoramiento de la integración de nuevos términos y la base geográfica de nombres o topónimos.  "/>
    <m/>
  </r>
  <r>
    <n v="54"/>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Subdirección de Geografía"/>
    <s v="Número"/>
    <s v="Usuarios de Colombia en Mapas"/>
    <s v="Eficacia"/>
    <n v="30"/>
    <n v="6"/>
    <n v="9"/>
    <n v="9"/>
    <n v="6"/>
    <n v="0"/>
    <s v="Durante el primer trimestre, se avanzó con la gestión contractual para el desarrollo de esta actividad."/>
    <n v="7"/>
    <s v="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
    <n v="9"/>
    <s v="&quo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demás, Se dispuso en la plataforma de Colombia en Mapas otros seis (9) servicios: _x000d__x000a_-Vigencia y tipo de plan de ordenamiento territorial (POT) por municipio. (https://mapas.igac.gov.co/server/rest/services/ordenamientoterritorial/datosnacionalespot/MapServer) _x000d__x000a_-Subregiones funcionales de Colombia: (https://mapas.igac.gov.co/server/rest/services/ordenamientoterritorial/subregionesfuncionales/MapServer) _x000d__x000a_-Clasificación del suelo según POT: https://mapas.igac.gov.co/server/rest/service"/>
    <m/>
    <m/>
    <d v="2021-04-09T00:00:00"/>
    <d v="2021-07-02T00:00:00"/>
    <d v="2021-10-14T00:00:00"/>
    <m/>
    <n v="0.53333333333333333"/>
    <n v="0"/>
    <n v="0.77777777777777779"/>
    <n v="1"/>
    <s v=" "/>
    <s v="Concepto Favorable"/>
    <s v="Concepto Favorable"/>
    <s v="Concepto Favorable"/>
    <m/>
    <s v="Avance y evidencia acordes"/>
    <s v="Avances y evidencias acordes"/>
    <s v="Evidencias acorde al avance. "/>
    <m/>
    <x v="2"/>
    <x v="0"/>
    <x v="0"/>
    <x v="0"/>
    <s v="La evidencia aportada no corresponde al producto esperado."/>
    <s v="Se evidencia las capas de clasificación del suelo, suelos de protección, zonificación de usos urbanos y rurales de los POT de los municipio de Valencia(Córdoba) y Villavicencio (Meta), obteniendo como resultado 7 capas temáticas."/>
    <s v="Se observan los documentos correspondientes a la validación y disposición de OT, para los meses de julio, agosto y septiembre de 2021.  "/>
    <m/>
  </r>
  <r>
    <n v="55"/>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Subdirección de Geografí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n v="3"/>
    <s v="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
    <n v="1"/>
    <s v="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
    <m/>
    <m/>
    <d v="2021-04-09T00:00:00"/>
    <d v="2021-07-02T00:00:00"/>
    <d v="2021-10-14T00:00:00"/>
    <m/>
    <n v="1"/>
    <s v=""/>
    <n v="1"/>
    <s v=""/>
    <s v=" "/>
    <s v="Concepto Favorable"/>
    <s v="Concepto Favorable"/>
    <s v="Concepto Favorable"/>
    <m/>
    <s v="Avance y evidencias acordes"/>
    <s v="Avances y evidencias acordes"/>
    <s v="Evidencias acorde al avance. "/>
    <m/>
    <x v="0"/>
    <x v="0"/>
    <x v="0"/>
    <x v="0"/>
    <s v="Se evidencia la incorporación de información dentro de la estructura de GDB, de la capa de Ríos Fronterizos de Colombia, la capa de islas fronterizas y el Límite Provisional de Caquetá - Meta y se modificó los puntos trifinios."/>
    <s v="Se evidencia la actualización de la base de datos límites de Entidades Territoriales y límites municipales; Se observa que se integró la capa de clasificación del suelo."/>
    <s v="Se observa que para el tercer trimestre del año se actualizaron 26 registros de límites departamentales, 44 registros de límites municipales y no hubo actualizaciones en límites fronterizos, ni cartografía temática.  Adicional se actualizó la normatividad del municipio de Barrancominas, lo anterior dispuesto en la plataforma de Colombia en Mapas.  Sin embargo, no se programó meta para este trimestre del año.  "/>
    <m/>
  </r>
  <r>
    <n v="56"/>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Subdirección de Geografí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n v="17207"/>
    <s v="Durante el segundo timestre, se lograron 17.207 usuarios más en la página de  Colombia en Mapas."/>
    <n v="155210"/>
    <s v="Durante el tercer trimestre, Colombia en Mapas registró 155.210 usuarios. Para un total acumulado a la fecha de 201.364 usuarios."/>
    <m/>
    <m/>
    <d v="2021-04-09T00:00:00"/>
    <d v="2021-07-02T00:00:00"/>
    <d v="2021-10-14T00:00:00"/>
    <m/>
    <n v="0.20136399999999999"/>
    <n v="0.28947000000000001"/>
    <n v="1"/>
    <n v="1"/>
    <s v=" "/>
    <s v="Concepto Favorable"/>
    <s v="Concepto Favorable"/>
    <s v="Concepto Favorable"/>
    <m/>
    <s v="Avance y evidencias acordes"/>
    <s v="Avances y evidencias acordes"/>
    <s v="Evidencias acorde al avance. "/>
    <m/>
    <x v="0"/>
    <x v="0"/>
    <x v="0"/>
    <x v="0"/>
    <s v="Se evidencia reporte trimestral Google Analytics, donde accedieron 28947 usuarios."/>
    <s v="Se evidencia reportes de Google Analytics con 17.207 nuevos usuarios."/>
    <s v="Se evidencia reportes de Google Analytics donde se observa el registro de 155.210 nuevos usuarios.  Se recomienda tomar las medidas necesarias para dar cumplimiento a esta actividad al culminar el año 2021.  "/>
    <m/>
  </r>
  <r>
    <n v="57"/>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Subdirección de Geografía"/>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n v="16"/>
    <s v="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
    <n v="33"/>
    <s v="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
    <m/>
    <m/>
    <d v="2021-04-09T00:00:00"/>
    <d v="2021-07-02T00:00:00"/>
    <d v="2021-10-14T00:00:00"/>
    <m/>
    <n v="0.64"/>
    <n v="1"/>
    <n v="1"/>
    <n v="1"/>
    <s v=" "/>
    <s v="Concepto Favorable"/>
    <s v="Concepto Favorable"/>
    <s v="Concepto Favorable"/>
    <m/>
    <s v="Avance y evidencias acordes"/>
    <s v="Avances y evidencias acordes"/>
    <s v="Evidencias acorde al avance. "/>
    <m/>
    <x v="0"/>
    <x v="2"/>
    <x v="0"/>
    <x v="0"/>
    <s v="Se evidencia 15 estudios de límites de entidades territoriales."/>
    <s v="Se evidencia 16 estudios de límites de entidades territoriales.Nota:no se cumple con la meta."/>
    <s v="En el repositorio se evidencian 25 documentos de diagnósticos de límites de entidades territoriales para diferentes municipios.  "/>
    <m/>
  </r>
  <r>
    <n v="58"/>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Subdirección de Geografía"/>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n v="5"/>
    <s v="Durante el segundo trimestre,  se finalizó el proceso de deslinde Vijes - Yumbo y se avanzó en cinco operaciones de los siguientes procesos de deslindes: _x000d__x000a_1. Atlántico-Bolívar, 2. Segovia-Remedios, 3. Fredonia - Venecia (antioquia), 4. Norte de Santander-Santander "/>
    <n v="4"/>
    <s v="Durante el tercer trimestre se finalizaron los procesos administrativos de Santa Rosalía – La Primavera, Campamento – Guadalupe, El Retiro –Envigado (Antioquia) y Fredonia - Venecia (Antioquia)."/>
    <m/>
    <m/>
    <d v="2021-04-09T00:00:00"/>
    <d v="2021-07-02T00:00:00"/>
    <d v="2021-10-14T00:00:00"/>
    <m/>
    <n v="0.95"/>
    <n v="1"/>
    <n v="1"/>
    <n v="1"/>
    <s v=" "/>
    <s v="Concepto Favorable"/>
    <s v="Concepto Favorable"/>
    <s v="Concepto Favorable"/>
    <m/>
    <s v="Avance y evidencias acordes"/>
    <s v="Avances y evidencias acordes"/>
    <s v="Evidencias acorde al avance. "/>
    <m/>
    <x v="0"/>
    <x v="0"/>
    <x v="0"/>
    <x v="0"/>
    <s v="Se evidencia reportes de avances de operaciones de deslinde y/o amojonamiento municipales y departamentales."/>
    <s v="Se evidencia reportes de avances de operaciones de deslinde y/o amojonamiento municipales y departamentales."/>
    <s v="Se observan las actas de sesión de deslindes de entidades territoriales de apertura con su informe técnico.  "/>
    <m/>
  </r>
  <r>
    <n v="59"/>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Subdirección de Geografía"/>
    <s v="Número"/>
    <s v="Documentos de  Estudios Técnicos de Entidades Territoriales elaborados"/>
    <s v="Eficacia"/>
    <n v="3"/>
    <n v="0"/>
    <n v="0"/>
    <n v="0"/>
    <n v="3"/>
    <n v="1"/>
    <s v="Durante el primer trimestre, se aperturó el proceso de deslinde de Bogotá D.C. - La Calera con Resolución 187 de 23 de marzo de 2021."/>
    <n v="2"/>
    <s v="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
    <n v="0"/>
    <s v="Esta actividad se completó en el segundo trimestre y durante el tercer trimestre no se reportan nuevas aperturas."/>
    <m/>
    <m/>
    <d v="2021-04-09T00:00:00"/>
    <d v="2021-07-02T00:00:00"/>
    <d v="2021-10-14T00:00:00"/>
    <m/>
    <n v="1"/>
    <s v=""/>
    <s v=""/>
    <s v=""/>
    <s v=" "/>
    <s v="Concepto Favorable"/>
    <s v="Concepto Favorable"/>
    <s v="Concepto Favorable"/>
    <m/>
    <s v="Avance y evidencias acordes"/>
    <s v="Avances y evidencias acordes"/>
    <s v="Evidencias acorde al avance. "/>
    <m/>
    <x v="0"/>
    <x v="0"/>
    <x v="1"/>
    <x v="0"/>
    <s v="Se evidencia apertura del proceso de deslinde de Bogotá D.C. - La Calera con Resolución 187 de 23 de marzo de 2021."/>
    <s v="Se evidencia documentos técnicos y resoluciones de deslindes."/>
    <s v="Se evidencia que esta actividad se cumplió en el segundo trimestre.  Adicional para el tercer trimestre del año no se programó ninguna meta.  "/>
    <m/>
  </r>
  <r>
    <n v="60"/>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Subdirección de Geografía"/>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n v="1"/>
    <s v="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
    <n v="0"/>
    <s v="Esta actividad se completó en el segundo trimestre y durante el tercer trimestre no se reportan nuevos listados."/>
    <m/>
    <m/>
    <d v="2021-04-09T00:00:00"/>
    <d v="2021-07-02T00:00:00"/>
    <d v="2021-10-14T00:00:00"/>
    <m/>
    <n v="1"/>
    <s v=""/>
    <n v="1"/>
    <s v=""/>
    <s v=" "/>
    <s v="Concepto Favorable"/>
    <s v="Concepto Favorable"/>
    <s v="Concepto Favorable"/>
    <m/>
    <s v="Avance y evidencias acordes"/>
    <s v="Avances y evidencias acordes"/>
    <s v="Evidencias acorde al avance. "/>
    <m/>
    <x v="0"/>
    <x v="0"/>
    <x v="1"/>
    <x v="0"/>
    <s v="Se evidencia listado oficial de las Entidades Territoriales."/>
    <s v="Se evidencia que se realizó presentación y socialización de la actualización de las áreas oficiales de las entidades territoriales con el Departamento Nacional de Planeación."/>
    <s v="Esta actividad se culminó en el segundo trimestre del año.  Adicional para el tercer trimestre del año no se programó ninguna meta.  "/>
    <m/>
  </r>
  <r>
    <n v="61"/>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Subdirección de Geografía"/>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n v="0"/>
    <s v="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
    <n v="65"/>
    <s v="Durante el tercer trimestre, se avanzó en la definición de los lineamientos técnicos para la delimitación de entidades territoriales a escalas 1:10.000, alcanzando el 65% de la elaboración del documento. "/>
    <m/>
    <m/>
    <d v="2021-04-09T00:00:00"/>
    <d v="2021-07-02T00:00:00"/>
    <d v="2021-10-14T00:00:00"/>
    <m/>
    <n v="1"/>
    <s v=""/>
    <s v=""/>
    <s v=""/>
    <s v=" "/>
    <s v="Concepto Favorable"/>
    <s v="Concepto Favorable"/>
    <s v="Concepto Favorable"/>
    <m/>
    <s v="Avance y evidencias acordes"/>
    <s v="Avances y evideencias acordes"/>
    <s v="Evidencias acorde al avance. "/>
    <m/>
    <x v="0"/>
    <x v="1"/>
    <x v="1"/>
    <x v="0"/>
    <s v="Se evidencia el listado de los límites con su relación de escala. Nota: Para este periodo no existe meta asignada."/>
    <s v="Se evidencia el flujograma de trabajo del proceso de precisión de líneas limítrofes a escala 1:10.000. Nota: Para este periodo no existe meta asignada."/>
    <s v="Se observa el avance de los documentos “Metodologías para precisar límites” y “Lineamientos para precisar límites”, a escala 1:10.000.  Sin embargo, para este trimestre no se programó ninguna meta.  "/>
    <m/>
  </r>
  <r>
    <n v="62"/>
    <x v="6"/>
    <s v="Gestión Geográfica"/>
    <s v="Servicio de apoyo técnico a las solicitudes recibidas  en temas fronteriz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Subdirección de Geografía"/>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n v="0.25"/>
    <s v="Durante el segundo trimestre, se han atendido 56 solicitudes, sobre cartografía binacional, cuencas hidrográficas internacionales, demarcación y asuntos fronterizos marítimos, zona fronteriza marítima y terrestre."/>
    <n v="0.25"/>
    <s v="Durante el tercer trimestre, se han atendido 24 solicitudes, sobre: asuntos étnicos y fronteras internacionales."/>
    <m/>
    <m/>
    <d v="2021-04-09T00:00:00"/>
    <d v="2021-07-02T00:00:00"/>
    <d v="2021-10-14T00:00:00"/>
    <m/>
    <n v="0.75"/>
    <n v="1"/>
    <n v="1"/>
    <n v="1"/>
    <s v=" "/>
    <s v="Concepto Favorable"/>
    <s v="Concepto Favorable"/>
    <s v="Concepto Favorable"/>
    <m/>
    <s v="Avance y evidencias acordes"/>
    <s v="Avances y evidencias acordes"/>
    <s v="Evidencias acorde al avance. "/>
    <m/>
    <x v="0"/>
    <x v="0"/>
    <x v="0"/>
    <x v="0"/>
    <s v="Se evidencia informe de gestión técnico de apoyo de solicitudes en temas fronterizos."/>
    <s v="Se evidencia documentos de las 56 solicitudes atendidas."/>
    <s v="Se observa que, para el tercer trimestre del año 2021, el proceso apoyó técnicamente las solicitudes del Ministerio de Relaciones Exteriores, generando informes técnicos en Fronteras según las solicitudes recibidas.  "/>
    <m/>
  </r>
  <r>
    <n v="63"/>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Subdirección de Geografía"/>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n v="0.3"/>
    <s v="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_x000a_"/>
    <n v="0.3"/>
    <s v="Durante el tercer trimestre, se atendieron 47 solicitudes de requerimientos relacionados con asuntos étnicos. Igualmente, se participó en 21 espacios relacionados a asuntos étnicos, convocados por entidades externas y el IGAC."/>
    <m/>
    <m/>
    <d v="2021-04-09T00:00:00"/>
    <d v="2021-07-02T00:00:00"/>
    <d v="2021-10-14T00:00:00"/>
    <m/>
    <n v="0.8"/>
    <n v="1"/>
    <n v="1"/>
    <n v="1"/>
    <s v=" "/>
    <s v="Concepto Favorable"/>
    <s v="Concepto Favorable"/>
    <s v="Concepto Favorable"/>
    <m/>
    <s v="Avance y evidencia acordes"/>
    <s v="Avance y evidencia acordes"/>
    <s v="Evidencias acorde al avance. "/>
    <m/>
    <x v="0"/>
    <x v="0"/>
    <x v="0"/>
    <x v="0"/>
    <s v="Se evidencia informe de atención de requerimientos relacionados con asuntos étnicos, 10 fueron recibidos y estos atendidos.Se evidencia informe de atención de requerimientos relacionados con asuntos étnicos, 10 fueron recibidos y estos atendidos."/>
    <s v="Se evidencia listado de las 20 solicitudes recibidas y atendidas ."/>
    <s v="Se evidencia que se atendieron 47 solicitudes de requerimientos allegadas al área, además se participó en espacios relacionados a asuntos étnicos.  "/>
    <m/>
  </r>
  <r>
    <n v="64"/>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Subdirección de Geografía"/>
    <s v="Porcentaje"/>
    <s v="Asuntos Étnicos coordinados"/>
    <s v="Eficiencia "/>
    <n v="1"/>
    <n v="0.2"/>
    <n v="0.3"/>
    <n v="0.3"/>
    <n v="0.2"/>
    <n v="0.2"/>
    <s v="Durante el primer trimestre, se asesoró en siete procesos de Resguardos Indígenas: 4 Constitución y 3 de ampliación."/>
    <n v="0.3"/>
    <s v="Durante el segundo trimestre, se atendieron 5 solicitudes relacionadas con  asesoría técnica emitidos para la Agencia Nacional de Tierras."/>
    <n v="0.3"/>
    <s v="Durante el tercer trimestre, se emitieron 17 informes de asesoría técnica relacionados con resguardos indígenas y comunidades negras. Igualmente, se participó en 8 mesas de trabajo técnicas y sesiones correspondientes."/>
    <m/>
    <m/>
    <d v="2021-04-09T00:00:00"/>
    <d v="2021-07-02T00:00:00"/>
    <d v="2021-10-14T00:00:00"/>
    <m/>
    <n v="0.8"/>
    <n v="1"/>
    <n v="1"/>
    <n v="1"/>
    <s v=" "/>
    <s v="Concepto Favorable"/>
    <s v="Concepto Favorable"/>
    <s v="Concepto Favorable"/>
    <m/>
    <s v="Avance y evidencia acordes"/>
    <s v="Avance y evidencia acordes"/>
    <s v="Evidencias acorde al avance. "/>
    <m/>
    <x v="0"/>
    <x v="0"/>
    <x v="0"/>
    <x v="0"/>
    <s v="Se evidencia informes de asesoría en siete procesos de Resguardos Indígenas: 4 Constitución y 3 de ampliación."/>
    <s v="Se evidencia listado de 5 solicitudes atendidas."/>
    <s v="Para este periodo evaluado se generaron 17 informes de asesoría técnica correspondiente a Resguardo Indígenas y Comunidades Negras, además se contó con la participación de mesas de trabajo técnicas.  "/>
    <m/>
  </r>
  <r>
    <n v="65"/>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Subdirección de Geografía"/>
    <s v="Porcentaje"/>
    <s v="Asuntos Étnicos coordinados"/>
    <s v="Eficiencia "/>
    <n v="1"/>
    <n v="0.2"/>
    <n v="0.3"/>
    <n v="0.3"/>
    <n v="0.2"/>
    <n v="0.2"/>
    <s v="Durante el primer trimestre, se realizaron los ajustes a las especificaciones - Resguardos Indígenas y validación de la base de datos de Comunidades Étnicas."/>
    <n v="0.3"/>
    <s v="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
    <n v="0.3"/>
    <s v="Durante el tercer trimestre, se finalizó el informe de revisión e integración de la información cartográfica de Territorios Colectivos y se emitieron dos informes de uniformidad de la información de Comunidades Étnicas, con base en la información de ANT."/>
    <m/>
    <m/>
    <d v="2021-04-09T00:00:00"/>
    <d v="2021-07-02T00:00:00"/>
    <d v="2021-10-14T00:00:00"/>
    <m/>
    <n v="0.8"/>
    <n v="1"/>
    <n v="1"/>
    <n v="1"/>
    <s v=" "/>
    <s v="Concepto Favorable"/>
    <s v="Concepto Favorable"/>
    <s v="Concepto Favorable"/>
    <m/>
    <s v="Avance y evidencias acordes"/>
    <s v="Avance y evidencia acordes"/>
    <s v="Evidencias acorde al avance. "/>
    <m/>
    <x v="0"/>
    <x v="0"/>
    <x v="0"/>
    <x v="0"/>
    <s v="Se evidencia documentos de ajuste de especificaciones técnicas e informes con los reportes de calidad."/>
    <s v="Se evidencia reportes de calidad."/>
    <s v="Para el tercer trimestre del año 2021 se culminó con el informe de Revisión e Integración de la Información Cartográfica de Territorios Colectivos, adicional se observan los documentos sobre los informes de Uniformidades de la Información de Comunidades Étnicas.  "/>
    <m/>
  </r>
  <r>
    <n v="66"/>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Subdirección de Geografía"/>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n v="0.5"/>
    <s v="Durante el segundo trimestre, se realizó la sesión ordinaria No 9 de la mesa técnica de asuntos étnicos titulada &quot;Estado actual de temas étnicos coyunturales&quot;,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
    <n v="0"/>
    <s v="Durante el tercer trimestre, no se realizó convocatoria o sesión ordinaria de la mesa de asuntos étnicos."/>
    <m/>
    <m/>
    <d v="2021-04-09T00:00:00"/>
    <d v="2021-07-02T00:00:00"/>
    <d v="2021-10-14T00:00:00"/>
    <m/>
    <n v="0.5"/>
    <n v="0"/>
    <n v="1"/>
    <n v="0.5"/>
    <s v=" "/>
    <s v="Concepto Favorable"/>
    <s v="Concepto Favorable"/>
    <s v="Concepto Favorable"/>
    <m/>
    <s v="Avance acorde"/>
    <s v="Avance y evidencia acordes"/>
    <s v="Evidencias acorde al avance. "/>
    <m/>
    <x v="0"/>
    <x v="0"/>
    <x v="0"/>
    <x v="0"/>
    <s v="No se realiza para este trimestre mesa de asuntos etnicos."/>
    <s v="Se evidencia acta de reunión de la 9 sesión de la mesa de asuntos étnicos realizada el 16 de junio de 2021 y se observa presentación de la mesa de asuntos étnicos."/>
    <s v="Para este trimestre no se realizaron sesiones ordinarias de asuntos étnicos.  "/>
    <m/>
  </r>
  <r>
    <n v="1"/>
    <x v="7"/>
    <s v="Habilitación"/>
    <s v="Gestores habilitados en el marco de lo definido en el Plan Nacional de Desarrollo 2019-2022"/>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Dirección de Regulación y Habilitación"/>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n v="2"/>
    <s v="Abril: Durante el mes de abril se habilitó como gestor catastral el municipio de Sabaneta por medio de las resoluciones 214 del 9 de abril 2021. _x000d__x000a_Mayo: Durante el mes de mayo se habilito como gestor catastral el municipio de Neiva, mediante la resolución 249 del 3 de mayo 2021. _x000d__x000a_Junio: Durante el mes de junio se dio inicio al trámite de Habilitación de los municipios de Valledupar e Ibagué mediante Res. 341 del 10 de junio y Res. 430 del 18 de junio respectivamente._x000d__x000a_"/>
    <n v="6"/>
    <s v="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_x000a_"/>
    <m/>
    <m/>
    <d v="2021-04-09T00:00:00"/>
    <d v="2021-07-02T00:00:00"/>
    <d v="2021-10-11T00:00:00"/>
    <m/>
    <n v="1"/>
    <n v="1"/>
    <n v="1"/>
    <n v="1"/>
    <s v=" "/>
    <s v="Concepto Favorable"/>
    <s v="Concepto Favorable"/>
    <s v="Concepto Favorable"/>
    <m/>
    <s v="Sobrepasaron la meta para el trimestre"/>
    <s v="Registran las resoluciones de habilitacion"/>
    <s v="Se evidencia la habilitación de gestores a nivel nacional"/>
    <m/>
    <x v="0"/>
    <x v="0"/>
    <x v="0"/>
    <x v="0"/>
    <s v="Se evidencia las resoluciones en las cuales se habilitan como gestores catastrales los municipios de Zipaquirá, Envigado, Jamundí y Armenia."/>
    <s v="Se evidencia las resoluciones en las cuales se habilitan como gestores catastrales los municipios de Sabaneta, Neiva, Valledupar e Ibagué."/>
    <s v="Se evidencia las resoluciones en las cuales se habilitan como gestores catastrales los municipios de Valledupar, Ibagué, Asomunicipios Catatumbo Ocaña y Sur del Cesar mediante, Sabanalarga Girardot y Sahagun."/>
    <m/>
  </r>
  <r>
    <n v="2"/>
    <x v="7"/>
    <s v="Regulación"/>
    <s v="Documentos de Regulación"/>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Dirección de Regulación y Habilitación"/>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n v="0.3"/>
    <s v="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
    <n v="0.3"/>
    <s v="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
    <m/>
    <m/>
    <d v="2021-04-09T00:00:00"/>
    <d v="2021-07-02T00:00:00"/>
    <d v="2021-10-13T00:00:00"/>
    <m/>
    <n v="0.8"/>
    <n v="1"/>
    <n v="1"/>
    <n v="1"/>
    <s v=" "/>
    <s v="Concepto Favorable"/>
    <s v="Concepto Favorable"/>
    <s v="Concepto Favorable"/>
    <m/>
    <s v="Se verifica realización de la actividad a través de correos electrónicos enviados con lineamientos y con envío de material complementario a la socialización."/>
    <s v="Se icomprueba la impementacion de la actividad con tres correos electronicos remisorios de lineamientos, donde se socializa y se remite el  procedimiento de regulación."/>
    <s v="Se evidencia con , 3 PDF que soportan las reuniones y las socializaciones del procedimiento de regulación."/>
    <m/>
    <x v="0"/>
    <x v="0"/>
    <x v="0"/>
    <x v="0"/>
    <s v="Se evidencia correos electrónicos a las diferentes áreas, donde se realiza la socialización y se les envía el documento de procedimientos de regulación."/>
    <s v="Se evidencia correos electrónicos a las diferentes áreas, donde se realiza la socialización y se les envía el documento de procedimientos de regulación."/>
    <s v="Se evidencia reuniones y socializaciones del procedimiento de regulación."/>
    <m/>
  </r>
  <r>
    <n v="3"/>
    <x v="7"/>
    <s v="Regulación"/>
    <s v="Documentos de Regulación"/>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Dirección de Regulación y Habilitación"/>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n v="0.3"/>
    <s v="La Oficina Asesora Juridica llevo a cabo la proyeccion de conceptos de regulacion entre los meses de abril, mayo y junio de 2021. Como evidencia, se adjuntan tres archivos en los que se encuentran correos electronicos estableciendo conceptos juridicos de regulacion."/>
    <n v="0.3"/>
    <s v="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
    <m/>
    <m/>
    <d v="2021-04-09T00:00:00"/>
    <d v="2021-07-02T00:00:00"/>
    <d v="2021-10-11T00:00:00"/>
    <m/>
    <n v="0.8"/>
    <n v="1"/>
    <n v="1"/>
    <n v="1"/>
    <s v=" "/>
    <s v="Concepto Favorable"/>
    <s v="Concepto Favorable"/>
    <s v="Concepto Favorable"/>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s v="Se comprueba el cumplimiento de la meta con correos electronicos estableciendo conceptos juridicos de regulacion."/>
    <s v="Se evidencia con  3 PDF que soportan las reuniones y las socializaciones del procedimiento de regulación."/>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s v="Se evidencia tres correos electrónicos donde envían los conceptos emitidos a las respectivas áreas."/>
    <s v="Se evidencia correos electrónicos estableciendo conceptos jurídicos de regulación, y soporte de reuniones llevadas a cabo para socializar concepto"/>
    <m/>
  </r>
  <r>
    <n v="4"/>
    <x v="7"/>
    <s v="Regulación"/>
    <s v="Servicios del proceso de regulación"/>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Dirección de Regulación y Habilitación"/>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n v="0.3"/>
    <s v="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
    <n v="0.3"/>
    <s v="Se llevaron a cabo reuniones tendientes a socializar el procedimiento de regulación. Como soporte, 3 PDF de convocatorias a reuniones virtuales de socialización y correos electrónicos socializando el procedimiento."/>
    <m/>
    <m/>
    <d v="2021-04-09T00:00:00"/>
    <d v="2021-07-02T00:00:00"/>
    <d v="2021-10-11T00:00:00"/>
    <m/>
    <n v="0.8"/>
    <n v="1"/>
    <n v="1"/>
    <n v="1"/>
    <s v=" "/>
    <s v="Concepto Favorable"/>
    <s v="Concepto Favorable"/>
    <s v="Concepto Favorable"/>
    <m/>
    <s v="Se Verifica realización de la actividad teniendo en cuenta las dos convocatorias socializaciones del procedimiento de regulacion "/>
    <s v="Se comprueba el cumplimiento de lo programado con la realización de 3 socializaciones, 2 correos de solicitudes de publicación de regulación, 3 convocatorias de reuniones."/>
    <s v="3 PDF de convocatorias a reuniones virtuales de socialización y correos electrónicos socializando el procedimiento."/>
    <m/>
    <x v="0"/>
    <x v="0"/>
    <x v="0"/>
    <x v="0"/>
    <s v="Se evidencian pantallazos de dos socializaciones virtuales de los procesos de regulación."/>
    <s v="Se evidencia correos electrónicos donde se socializa el proceso de regulación."/>
    <s v="Se evidencia reuniones y socializaciones del procedimiento de regulación."/>
    <m/>
  </r>
  <r>
    <n v="5"/>
    <x v="7"/>
    <s v="Regulación"/>
    <s v="Servicios del proceso de regulación"/>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Dirección de Regulación y Habilitación"/>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n v="0.3"/>
    <s v="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
    <n v="0.3"/>
    <s v="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
    <m/>
    <m/>
    <d v="2021-04-09T00:00:00"/>
    <d v="2021-07-02T00:00:00"/>
    <d v="2021-10-11T00:00:00"/>
    <m/>
    <n v="0.8"/>
    <n v="1"/>
    <n v="1"/>
    <n v="1"/>
    <s v=" "/>
    <s v="Concepto Favorable"/>
    <s v="Concepto Favorable"/>
    <s v="Concepto Favorable"/>
    <m/>
    <s v="Se realizo acompañamiento y asesoria a los proyectos de actos administrativos de regulacion a la Subdireccion de Arologia,  Catasto y Cartografia."/>
    <s v="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
    <s v="Se comprobaron las evidencas aportadas"/>
    <m/>
    <x v="0"/>
    <x v="0"/>
    <x v="0"/>
    <x v="0"/>
    <s v="Se evidencia correos electrónicos donde se realizó acompañamiento y asesoría a los proyectos de actos administrativos de regulación a la Subdirección de Agrología,  Catastro y Cartografía."/>
    <s v="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
    <s v="Se evidencia correos electrónicos y reuniones virtuales donde se realiza acompañamiento a las áreas misionales en la elaboración de actos administrativos."/>
    <m/>
  </r>
  <r>
    <n v="6"/>
    <x v="7"/>
    <s v="Regulación"/>
    <s v="Servicios del proceso de regulación"/>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Dirección de Regulación y Habilitación"/>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n v="0.3"/>
    <s v=" Se llevó a cabo la revisión y soporte en la publicación de un acto administrativo de regulación para comentarios de la ciudadanía. Como soporte, información contenida y publicada en el link https://www.igac.gov.co/es/transparencia-y-acceso-a-la-informacion-publica/proyectos-para-comentar "/>
    <n v="0.3"/>
    <s v="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
    <m/>
    <m/>
    <d v="2021-04-09T00:00:00"/>
    <d v="2021-07-02T00:00:00"/>
    <d v="2021-10-13T00:00:00"/>
    <m/>
    <n v="0.8"/>
    <n v="1"/>
    <n v="1"/>
    <n v="1"/>
    <s v=" "/>
    <s v="Sin meta asignada en el periodo"/>
    <s v="Concepto Favorable"/>
    <s v="Concepto Favorable"/>
    <m/>
    <s v="al no  recibir requerimientos  no hubo que publicarse para la participación de la Ciudadania "/>
    <s v="Con la información contenida y publicada en el link https://www.igac.gov.co/es/transparencia-y-acceso-a-la-informacion-publica/proyectos-para-comentar,se da cumplimiento a la actividad programada"/>
    <s v="Se aportan 13 PDF con la asesoría y la información contenida y publicada en el link https://www.igac.gov.co/es/transparencia-y-acceso-a-la-informacion-publica/proyectos-para-comentar "/>
    <m/>
    <x v="0"/>
    <x v="0"/>
    <x v="0"/>
    <x v="0"/>
    <s v="No se presentan solicitudes en el primer trimestre."/>
    <s v="Se evidencia la publicación de un acto administrativo de regulación para comentarios de la ciudadanía, esta se encuentra ubicada en el link https://www.igac.gov.co/es/transparencia-y-acceso-a-la-informacion-publica/proyectos-para-comentar."/>
    <s v="Se evidencia correos electrónicos con los proyectos de resoluciones finales enviados por las diferentes áreas, también dentro el link https://www.igac.gov.co/es/transparencia-y-acceso-a-la-informacion-publica/proyectos-para-comentar se pueden ver las resoluciones para comentar."/>
    <m/>
  </r>
  <r>
    <n v="7"/>
    <x v="7"/>
    <s v="Regulación"/>
    <s v="Servicios del proceso de regulación"/>
    <s v="Fortalecer al IGAC como máxima autoridad reguladora en los temas de su competencia"/>
    <s v="Máxima autoridad reguladora"/>
    <s v="Gestión con Valores para Resultados"/>
    <s v="Mejora Normativa"/>
    <s v="Definir agenda regulatoria "/>
    <d v="2021-02-01T00:00:00"/>
    <d v="2021-12-31T00:00:00"/>
    <s v="Pendiente"/>
    <s v="Dirección de Regulación y Habilitación"/>
    <s v="Número"/>
    <s v="Definición agenda regulatori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s v=" "/>
    <s v="Sin meta asignada en el periodo"/>
    <s v="Sin meta asignada en el periodo"/>
    <s v="Sin meta asignada en el periodo"/>
    <m/>
    <s v="No esta programada actividad para este trimestre."/>
    <s v="No tiene meta programada para este trimestre"/>
    <s v="Programado para cumplimiento desde 4 trimestre de 2021."/>
    <m/>
    <x v="1"/>
    <x v="1"/>
    <x v="1"/>
    <x v="0"/>
    <s v="Para este periodo no existe meta asignada."/>
    <s v="Para este periodo no existe meta asignada."/>
    <s v="Para este periodo no existe meta asignada."/>
    <m/>
  </r>
  <r>
    <n v="8"/>
    <x v="7"/>
    <s v="Regulación"/>
    <s v="Servicios del proceso de regulación"/>
    <s v="Fortalecer al IGAC como máxima autoridad reguladora en los temas de su competencia"/>
    <s v="Máxima autoridad reguladora"/>
    <s v="Gestión con Valores para Resultados"/>
    <s v="Mejora Normativa"/>
    <s v="Ejecutar agenda regulatoria definida"/>
    <d v="2021-02-01T00:00:00"/>
    <d v="2021-12-31T00:00:00"/>
    <s v="Pendiente"/>
    <s v="Dirección de Regulación y Habilitación"/>
    <s v="Porcentaje"/>
    <s v="Porcentaje de ejecución agenda regulatoria definid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s v=" "/>
    <s v="Sin meta asignada en el periodo"/>
    <s v="Sin meta asignada en el periodo"/>
    <s v="Sin meta asignada en el periodo"/>
    <m/>
    <s v="No se tiene proramada actividad para este periodo"/>
    <s v="No esta programada actividad para este trimestre."/>
    <s v="Programado para cumplimiento desde 4 trimestre de 2021."/>
    <m/>
    <x v="1"/>
    <x v="1"/>
    <x v="1"/>
    <x v="0"/>
    <s v="Para este periodo no existe meta asignada."/>
    <s v="Para este periodo no existe meta asignada."/>
    <s v="Para este periodo no existe meta asignada."/>
    <m/>
  </r>
  <r>
    <n v="9"/>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Regulación y Habilitación"/>
    <s v="Porcentaje"/>
    <s v="Índice de desempeño institucional"/>
    <s v="Producto"/>
    <n v="1"/>
    <n v="0"/>
    <n v="0"/>
    <n v="0.5"/>
    <n v="0.5"/>
    <n v="0"/>
    <s v="Programado para cumplimiento desde 3 trimestre de 2021."/>
    <n v="0.5"/>
    <s v="Se llevó a cabo el cumplimiento del cronograma establecido para actualización de documentación del procedimiento de regulación. Como soporte, 1 excel con cronograma establecido, 2 PDF con cumplimiento de cronograma, 1 word con proyecto de procedimiento de regulación."/>
    <n v="0.5"/>
    <s v="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
    <m/>
    <m/>
    <d v="2021-04-09T00:00:00"/>
    <d v="2021-07-02T00:00:00"/>
    <d v="2021-10-11T00:00:00"/>
    <m/>
    <n v="1"/>
    <s v=""/>
    <s v=""/>
    <n v="1"/>
    <s v=" "/>
    <s v="Sin meta asignada en el periodo"/>
    <s v="Concepto Favorable"/>
    <s v="Concepto Favorable"/>
    <m/>
    <s v="Actividad progamada para el tercer trimestre"/>
    <s v="Se da cumplimiento al cronograma y a mesas de trabajo, se evidencia en convocatorias y en procedimiento PROPUETA"/>
    <s v="Se e idencia con 1 excel con cronograma establecido, 5 word con política de mejora normativa, caracterización del proceso, proyecto de procedimiento de regulación y formatos asociados."/>
    <m/>
    <x v="1"/>
    <x v="0"/>
    <x v="0"/>
    <x v="0"/>
    <s v="Para este periodo no existe meta asignada."/>
    <s v="Se evidencia dos reuniones en las cuales se revisó y ajusto el procedimiento de regulación, se observa documento proyecto de procedimiento de regulación."/>
    <s v="Se evidencia cronograma de actualización de documentos y cinco documentos que son:  memoria justificativa, caracterización del proceso, proyecto de procedimiento de regulación y formatos"/>
    <m/>
  </r>
  <r>
    <n v="10"/>
    <x v="7"/>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Regulación y Habilitación"/>
    <s v="Número"/>
    <s v="Í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n v="1"/>
    <s v="Se realiza el seguimiento a los controles del proceso mediante el diligenciamiento de la herramienta PLANIGAC Regulacion a 30 de junio de 2021. Como evidencia, herramienta PLANIGAC regulacion diligenciada y sus correspondientes soportes cargados en DRIVE."/>
    <n v="1"/>
    <s v="Se realiza el seguimiento a los controles del proceso mediante el diligenciamiento de la herramienta PLANIGAC Regulación y Habilitación a 30 de septiembre de 2021. Como evidencia, herramienta PLANIGAC regulación diligenciada y sus correspondientes soportes cargados en DRIVE."/>
    <m/>
    <m/>
    <d v="2021-04-09T00:00:00"/>
    <d v="2021-07-02T00:00:00"/>
    <d v="2021-10-11T00:00:00"/>
    <m/>
    <n v="0.75"/>
    <n v="1"/>
    <n v="1"/>
    <n v="1"/>
    <s v=" "/>
    <s v="Concepto Favorable"/>
    <s v="Concepto Favorable"/>
    <s v="Concepto Favorable"/>
    <m/>
    <s v="Se realiza el seguimmiento a los riesos del proceso evidenciandose Herramienta Planigac"/>
    <s v="Se evidencias el cumplimiento de la actividad en el el mapa de riesgos en PLANIGAC con su diligenciamiento"/>
    <s v="evidencia, herramienta PLANIGAC regulación diligenciada y sus correspondientes soportes cargados en DRIVE."/>
    <m/>
    <x v="0"/>
    <x v="0"/>
    <x v="0"/>
    <x v="0"/>
    <s v="Se observa diligenciamiento y cargue de evidencias del mapa de riesgos en PLANIGAC."/>
    <s v="Se observa diligenciamiento y cargue de evidencias del mapa de riesgos en PLANIGAC."/>
    <s v="Se observa diligenciamiento y cargue de evidencias del mapa de riesgos en PLANIGAC."/>
    <m/>
  </r>
  <r>
    <n v="11"/>
    <x v="7"/>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Regulación y Habilitación"/>
    <s v="Número"/>
    <s v="Índice de desempeño institucional"/>
    <s v="Producto"/>
    <n v="1"/>
    <n v="0"/>
    <n v="0"/>
    <n v="0"/>
    <n v="1"/>
    <n v="0"/>
    <s v="Actividad programada para cumplimiento desde cuarto trimestre 2021."/>
    <n v="0"/>
    <s v="Actividad programada para cumplimiento desde cuarto trimestre 2021."/>
    <n v="0"/>
    <s v="Actividad programada para cumplimiento desde cuarto trimestre 2021."/>
    <m/>
    <m/>
    <d v="2021-04-09T00:00:00"/>
    <d v="2021-07-02T00:00:00"/>
    <d v="2021-10-11T00:00:00"/>
    <m/>
    <n v="0"/>
    <s v=""/>
    <s v=""/>
    <s v=""/>
    <s v=" "/>
    <s v="Sin meta asignada en el periodo"/>
    <s v="Sin meta asignada en el periodo"/>
    <s v="Sin meta asignada en el periodo"/>
    <m/>
    <s v="Para este periodo no se tiene programada la realizacion de actividad"/>
    <s v="En este periodo no tiene meta asignada."/>
    <s v="Actividad programada para cumplimiento desde cuarto trimestre 2021."/>
    <m/>
    <x v="1"/>
    <x v="1"/>
    <x v="1"/>
    <x v="0"/>
    <s v="Para este periodo no existe meta asignada."/>
    <s v="Para este periodo no existe meta asignada."/>
    <s v="Para este periodo no existe meta asignada."/>
    <m/>
  </r>
  <r>
    <n v="12"/>
    <x v="7"/>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Regulación y Habilitación"/>
    <s v="Número"/>
    <s v="Í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n v="1"/>
    <s v="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
    <n v="1"/>
    <s v="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
    <m/>
    <m/>
    <d v="2021-04-09T00:00:00"/>
    <d v="2021-07-02T00:00:00"/>
    <d v="2021-10-11T00:00:00"/>
    <m/>
    <n v="0.75"/>
    <n v="1"/>
    <n v="1"/>
    <n v="1"/>
    <s v=" "/>
    <s v="Concepto Favorable"/>
    <s v="Concepto Favorable"/>
    <s v="Concepto Favorable"/>
    <m/>
    <s v="Se realiza el seguimiento al plan de accion a al PAAC en herramienta PLANIGAC Regulacion y la matriz PAAC diligenciada"/>
    <s v="Se comprueba la  realizacion del  seguimiento al plan de accion a al PAAC en herramienta PLANIGAC Regulacion y la matriz PAAC diligenciada"/>
    <s v="evidencia, herramienta PLANIGAC regulación diligenciada y matriz PAAC diligenciada, y sus correspondientes soportes cargados en DRIVE."/>
    <m/>
    <x v="0"/>
    <x v="0"/>
    <x v="0"/>
    <x v="0"/>
    <s v="Se evidencia diligenciamiento y seguimiento al PAA y Mapa de riesgos en PLANIGAC."/>
    <s v="Se evidencia diligenciamiento y seguimiento al PAA y Mapa de riesgos en PLANIGAC.Se evidencia diligenciamiento y seguimiento al PAA y Mapa de riesgos en PLANIGAC."/>
    <s v="Se evidencia diligenciamiento y seguimiento al PAA y Mapa de riesgos en PLANIGAC y PAAC."/>
    <m/>
  </r>
  <r>
    <n v="13"/>
    <x v="7"/>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Regulación y Habilitación"/>
    <s v="Número"/>
    <s v="Índice de desempeño institucional"/>
    <s v="Producto"/>
    <n v="2"/>
    <n v="0"/>
    <n v="0"/>
    <n v="0"/>
    <n v="2"/>
    <n v="0"/>
    <s v="Seguimiento de meta desde 4 trimestre."/>
    <n v="0"/>
    <s v="Seguimiento de meta desde 4 trimestre."/>
    <n v="0"/>
    <s v="Seguimiento de meta desde 4 trimestre."/>
    <m/>
    <m/>
    <d v="2021-04-09T00:00:00"/>
    <d v="2021-07-02T00:00:00"/>
    <d v="2021-10-11T00:00:00"/>
    <m/>
    <n v="0"/>
    <s v=""/>
    <s v=""/>
    <s v=""/>
    <s v=" "/>
    <s v="Sin meta asignada en el periodo"/>
    <s v="Sin meta asignada en el periodo"/>
    <s v="Sin meta asignada en el periodo"/>
    <m/>
    <s v="No se tiene programada actividad para este timestre."/>
    <s v="Para este trimestre no se cuenta con meta programada"/>
    <s v="Seguimiento de meta desde 4 trimestre."/>
    <m/>
    <x v="1"/>
    <x v="1"/>
    <x v="1"/>
    <x v="0"/>
    <s v="Para este periodo no existe meta asignada."/>
    <s v="Para este periodo no existe meta asignada."/>
    <s v="Para este periodo no existe meta asignada."/>
    <m/>
  </r>
  <r>
    <n v="14"/>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Regulación y Habilitación"/>
    <s v="Número"/>
    <s v="Índice de desempeño institucional"/>
    <s v="Producto"/>
    <n v="4"/>
    <n v="0"/>
    <n v="2"/>
    <n v="1"/>
    <n v="1"/>
    <n v="0"/>
    <s v="Seguimiento de cumplimiento de meta desde 2 trimestre 2021."/>
    <n v="2"/>
    <s v="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
    <n v="1"/>
    <s v="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
    <m/>
    <m/>
    <d v="2021-04-09T00:00:00"/>
    <d v="2021-07-02T00:00:00"/>
    <d v="2021-10-11T00:00:00"/>
    <m/>
    <n v="0.75"/>
    <s v=""/>
    <n v="1"/>
    <n v="1"/>
    <s v=" "/>
    <s v="Sin meta asignada en el periodo"/>
    <s v="Concepto Favorable"/>
    <s v="Concepto Favorable"/>
    <m/>
    <s v="No se tiene programada actividad para este timestre"/>
    <s v="Con cronograma de actividades y su avance en actividades de mejora en el tema de regulación - FURAC, se evidencia la implemetación dela actividad"/>
    <s v="Se evidencia con cronograma con cumplimiento de actividades."/>
    <m/>
    <x v="1"/>
    <x v="0"/>
    <x v="0"/>
    <x v="0"/>
    <s v="Para este periodo no existe meta asignada."/>
    <s v="Se evidencia cronograma de actividades y su avance en actividades de mejora en el tema de regulación – FURAC."/>
    <s v="Se evidencia con cronograma con cumplimiento de actividades."/>
    <m/>
  </r>
  <r>
    <n v="1"/>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Elaborar estrategia de servicio al ciudadano e implementarla."/>
    <d v="2021-01-01T00:00:00"/>
    <d v="2021-10-31T00:00:00"/>
    <s v="Estrategia de Servicio y seguimiento del mismo"/>
    <s v="Oficina de Relación con el Ciudadano"/>
    <s v="Porcentaje"/>
    <s v="Porcentaje de avance en la implementación de la estrategia  de servicio al ciudadano."/>
    <s v="Eficiencia"/>
    <n v="1"/>
    <n v="0"/>
    <n v="0.6"/>
    <n v="0.2"/>
    <n v="0.2"/>
    <n v="0"/>
    <s v="La actividad está programada para el siguiente trimestre"/>
    <n v="0.4"/>
    <s v="Durante el segundo trimestre se realiza un avance en la estrategia de servicio al ciudadano"/>
    <n v="0.2"/>
    <s v="Durante el tercer trimestre se realiza diseño de la estrategia de servicio al ciudadano."/>
    <m/>
    <m/>
    <d v="2021-04-09T00:00:00"/>
    <d v="2021-07-02T00:00:00"/>
    <d v="2021-10-14T00:00:00"/>
    <m/>
    <n v="0.60000000000000009"/>
    <s v=""/>
    <n v="0.66666666666666674"/>
    <n v="1"/>
    <s v=" "/>
    <s v="Sin meta asignada en el periodo"/>
    <s v="Concepto Favorable"/>
    <s v="Concepto Favorable"/>
    <m/>
    <s v="Sin meta asignada en el periodo"/>
    <s v="Se evidencia avance en la elaboración del documento de Estrategia de Servicio al Ciudadano "/>
    <s v="De acuerdo con las evidencias, se observa que durante el tercer trimestre se realizó la estrategia de servicio al ciudadano"/>
    <m/>
    <x v="1"/>
    <x v="0"/>
    <x v="0"/>
    <x v="0"/>
    <s v="Sin meta asignada en el periodo"/>
    <s v="Se evidencia con el Informe &quot;Estrategia de Servicio al Ciudadano 2021&quot;_x000d__x000a__x000d__x000a_Grupo Interno de Trabajo Servicio al Ciudadano_x000d__x000a__x000d__x000a_2021"/>
    <s v="De acuerdo al soporte entregado se evidencia que el avance reportado"/>
    <m/>
  </r>
  <r>
    <n v="2"/>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Llevar a cabo dos ferias de Servicio al ciudadano."/>
    <d v="2021-04-01T00:00:00"/>
    <d v="2021-11-30T00:00:00"/>
    <s v="Asistencia, imágenes, pieza de las ferias"/>
    <s v="Oficina de Relación con el Ciudadano"/>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n v="1"/>
    <s v="Se ha asistido a la feria los días 29 y 30 en Corrales Boyacá, ademas se realizó el acompañamiento de las piezas comunicativas para este feria "/>
    <n v="0"/>
    <s v="Se realiza inscripción a la feria acércate de Dibulla, en el departamento de la Guajira la cual se realizará los días 14 y 15 de octubre. Se adjunta listado de entidades participantes en el evento, volantes diseñados para la publicidad y pieza comunicativa"/>
    <m/>
    <m/>
    <d v="2021-04-09T00:00:00"/>
    <d v="2021-07-02T00:00:00"/>
    <d v="2021-10-13T00:00:00"/>
    <m/>
    <n v="0.5"/>
    <s v=""/>
    <n v="1"/>
    <s v=""/>
    <s v=" "/>
    <s v="Sin meta asignada en el periodo"/>
    <s v="Concepto Favorable"/>
    <s v="Sin meta asignada en el periodo"/>
    <m/>
    <s v="Sin meta asignada en el periodo"/>
    <s v="Se evidencia documentos que dan cuenta de la planeación, programación y realización de la feria de servicio al ciudadano en Corrales Boyacá."/>
    <s v="Se observan evidencias referentes a la feria acércate de Dibulla - La Guajira, a pesar de que no tiene meta asignada en el período,"/>
    <m/>
    <x v="1"/>
    <x v="0"/>
    <x v="1"/>
    <x v="0"/>
    <s v="Sin meta asignada en el periodo"/>
    <s v="Se evidencia con la asistencia a la feria los días 29 y 30 en Corrales Boyacá."/>
    <s v="De acuerdo al soporte entregado se evidencia el avance reportado de la participación en el evento Feria Acércate a Dibulla."/>
    <m/>
  </r>
  <r>
    <n v="3"/>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Implementar mecanismo de medición en el canal telefónico y a partir de los resultados, tomar decisiones en el servicio."/>
    <d v="2021-01-01T00:00:00"/>
    <d v="2021-12-31T00:00:00"/>
    <s v="Documento de seguimiento "/>
    <s v="Oficina de Relación con el Ciudadano"/>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n v="1"/>
    <s v="Desde el GIT de Servicio al Ciudadano se ha implementado el seguimiento al canal telefónico y se ha entregado informes."/>
    <n v="1"/>
    <s v="Durante el tercer trimestre se realizó informe de medición del canal telefónico con los resultados del III trimestre y la decisión del Call Center"/>
    <m/>
    <m/>
    <d v="2021-04-09T00:00:00"/>
    <d v="2021-07-02T00:00:00"/>
    <d v="2021-10-13T00:00:00"/>
    <m/>
    <n v="0.75"/>
    <n v="1"/>
    <n v="1"/>
    <n v="1"/>
    <s v=" "/>
    <s v="Concepto Favorable"/>
    <s v="Concepto Favorable"/>
    <s v="Concepto Favorable"/>
    <m/>
    <s v="Se observa que desde el GIT de Servicio al Ciudadano se ha implementado un mecanismo de seguimiento al canal telefónico "/>
    <s v="Para el segundo trimestre de 2021, se evidencian documentos que dan cuenta de  la implementación de un mecanismo de seguimiento al canal de atención telefónico."/>
    <s v="De acuerdo con las evidencias, se observa que durante el tercer trimestre trimestre se realizó informe de medición del canal telefónico con los resultados del II trimestre y la decisión del Call Center"/>
    <m/>
    <x v="0"/>
    <x v="0"/>
    <x v="0"/>
    <x v="0"/>
    <s v="Se evidencia con  mecanismo de seguimiento al canal telefónico "/>
    <s v="Se evidencia con implementación al canal telefónico, mediante informes protocolo atención-respuesta, correo del 2 de junio de 2021."/>
    <s v="De acuerdo al soporte entregado, informe sobre las llamadas recibidas y su gestión,  se evidencia el avance reportado."/>
    <m/>
  </r>
  <r>
    <n v="4"/>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Oficina de Relación con el Ciudadano"/>
    <s v="Número"/>
    <s v="Porcentaje de avance en la implementación de la estrategia  de servicio al ciudadano."/>
    <s v="Eficiencia"/>
    <n v="1"/>
    <n v="0"/>
    <n v="1"/>
    <n v="0"/>
    <n v="0"/>
    <n v="0"/>
    <s v="La actividad está programada para el siguiente trimestre"/>
    <n v="1"/>
    <s v="Se elaboró el documento de Diagnóstico de la funcionalidad de los asignadores de turno "/>
    <n v="0"/>
    <s v="Esta actividad se desarrollo en el segundo trimestre"/>
    <m/>
    <m/>
    <d v="2021-04-09T00:00:00"/>
    <d v="2021-07-02T00:00:00"/>
    <d v="2021-10-13T00:00:00"/>
    <m/>
    <n v="1"/>
    <s v=""/>
    <n v="1"/>
    <s v=""/>
    <s v=" "/>
    <s v="Sin meta asignada en el periodo"/>
    <s v="Concepto Favorable"/>
    <s v="Sin meta asignada en el periodo"/>
    <m/>
    <s v="Sin meta asignada en el periodo"/>
    <s v="Se evidencian documentos que dan cuenta de la elaboración de Diagnóstico de la funcionalidad de asignación de turnos, en los cuales se relacionan los elementos con los que cuenta cada territorial y las correspondientes observaciones frente a su funcionamiento. "/>
    <s v="Sin meta para este periodo."/>
    <m/>
    <x v="1"/>
    <x v="0"/>
    <x v="1"/>
    <x v="0"/>
    <s v="Sin meta asignada en el periodo"/>
    <s v="Se evidenciacon informe digiturno de abril de 2021."/>
    <s v="Sin meta para el periodo"/>
    <m/>
  </r>
  <r>
    <n v="5"/>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Construcción ficha técnica para realizar ejercicio de cliente incógnito telefónico y aplicarla en el IGAC"/>
    <d v="2021-01-01T00:00:00"/>
    <d v="2021-12-31T00:00:00"/>
    <s v="Ficha técnica para realizar ejercicio de cliente incógnito telefónico"/>
    <s v="Oficina de Relación con el Ciudadano"/>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n v="0.2"/>
    <s v="Los días 28, 29 y 30 de junio se realizó el ejercicio de Cliente Incognito"/>
    <n v="0.2"/>
    <s v="Se realiza informe con el ejercicio de cliente incognito realizado el 27 de septiembre."/>
    <m/>
    <m/>
    <d v="2021-04-09T00:00:00"/>
    <d v="2021-07-02T00:00:00"/>
    <d v="2021-10-13T00:00:00"/>
    <m/>
    <n v="0.8"/>
    <n v="1"/>
    <n v="1"/>
    <n v="1"/>
    <s v=" "/>
    <s v="Concepto Favorable"/>
    <s v="Concepto Favorable"/>
    <s v="Concepto Favorable"/>
    <m/>
    <s v="Se observa que se estableció la ficha técnica para realizar ejercicio de cliente incógnito telefónico "/>
    <s v="Se evidencia informe de la realización de ejercicio de cliente oculto durante los días 28, 29 y 30 de junio de 2021."/>
    <s v="De acuerdo con las evidencias, se observa que el 27 de septiembre se realizó ejercicio de cliente incognito telefónico"/>
    <m/>
    <x v="0"/>
    <x v="0"/>
    <x v="0"/>
    <x v="0"/>
    <s v="se evidencia mediante ficha técnica de marzo para realizar ejercicio de cliente incógnito telefónico "/>
    <s v="Se evidencia ejercicio cliente incógnito realizado el 28, 29 y 30 de junio del corriente año."/>
    <s v="De acuerdo al soporte entregado, informe cliente incógnito telefónico,  ejercicio realizado el 27 de septiembre, se evidencia el avance reportado."/>
    <m/>
  </r>
  <r>
    <n v="6"/>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Caracterización de grupos de valor y/o grupos de interés. "/>
    <d v="2021-01-01T00:00:00"/>
    <d v="2021-10-31T00:00:00"/>
    <s v="Caracterización de grupos de valor y/o grupos de interés."/>
    <s v="Oficina de Relación con el Ciudadano"/>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n v="0"/>
    <s v="La actividad está programada para el cuarto trimestre, pero el GIT de Servicio al Ciudadano ha empezado a realizar reuniones y generar propuestas para la caracterización del año 2021"/>
    <n v="0"/>
    <s v="Esta actividad está programada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Sin meta asignada para este periodo"/>
    <m/>
  </r>
  <r>
    <n v="7"/>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Realizar el 4to encuentro nacional de servicio al ciudadano del IGAC"/>
    <d v="2021-08-01T00:00:00"/>
    <d v="2021-08-31T00:00:00"/>
    <s v="Asistencia, imágenes, pieza del encuentro"/>
    <s v="Oficina de Relación con el Ciudadano"/>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n v="0"/>
    <s v="Aunque la actividad esta para desarrollarse en el tercer trimestre el GIT de Servicio al ciudadano ha desarrollado diferentes reuniones internas para realizar la planeación del 4° Encuentro nacional de servicio al ciudadano del IGAC"/>
    <n v="1"/>
    <s v="Se realizó el 4to Encuentro Nacional de Servicio al Ciudadano los días 9 y 10 de septiembre"/>
    <m/>
    <m/>
    <d v="2021-04-09T00:00:00"/>
    <d v="2021-07-02T00:00:00"/>
    <d v="2021-10-13T00:00:00"/>
    <m/>
    <n v="1"/>
    <s v=""/>
    <s v=""/>
    <n v="1"/>
    <s v=" "/>
    <s v="Sin meta asignada en el periodo"/>
    <s v="Sin meta asignada en el periodo"/>
    <s v="Concepto Favorable"/>
    <m/>
    <s v="Sin meta asignada en el periodo"/>
    <s v="Sin meta asignada en el periodo"/>
    <s v="De acuerdo con las evidencias, se observa que los días 9 y 10 de septiembre se realizó el 4to Encuentro Nacional de Servicio al Ciudadano. "/>
    <m/>
    <x v="1"/>
    <x v="1"/>
    <x v="0"/>
    <x v="0"/>
    <s v="Sin meta asignada en el periodo"/>
    <s v="Sin meta asignada en el periodo"/>
    <s v="De acuerdo al soporte entregado, Cuarto Encuentro Nacional de Servicio al Ciudadano, realizado el 9 y 10 de septiembre, se evidencia el avance reportado."/>
    <m/>
  </r>
  <r>
    <n v="8"/>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Oficina de Relación con el Ciudadano"/>
    <s v="Porcentaje"/>
    <s v="Número de cursos y/o talleres fomentados para la participación de los servidores"/>
    <s v="Eficacia"/>
    <n v="1"/>
    <n v="0.25"/>
    <n v="0.25"/>
    <n v="0.25"/>
    <n v="0.25"/>
    <n v="0.25"/>
    <s v="EL GIT de Servicio al Ciudadano promovio la participación del curso de lenguaje claro."/>
    <n v="0.25"/>
    <s v="EL GIT de Servicio al Ciudadano promovio la participación de los cursos generados para este segundo trimestre"/>
    <n v="0.25"/>
    <s v="La Oficina de Relación con el Ciudadano durante el tercer trimestre reenvió a los Directores Territoriales la invitación a participar en el curs de lenguaje claro."/>
    <m/>
    <m/>
    <d v="2021-04-09T00:00:00"/>
    <d v="2021-07-02T00:00:00"/>
    <d v="2021-10-13T00:00:00"/>
    <m/>
    <n v="0.75"/>
    <n v="1"/>
    <n v="1"/>
    <n v="1"/>
    <s v=" "/>
    <s v="Concepto Favorable"/>
    <s v="Concepto Favorable"/>
    <s v="Concepto Favorable"/>
    <m/>
    <s v="Se observa que eL GIT de Servicio al Ciudadano promovió la participación del curso de lenguaje claro."/>
    <s v="Se observa que eL GIT de Servicio al Ciudadano promovió la participación del curso de lenguaje claro y consolidó la información de la realización de dicho curso por parte de las diferentes territoriales del IGAC."/>
    <s v="De acuerdo con las evidencias, se observa que durante el tercer trimestre se reenvió a los Directores Territoriales la invitación a participar en el curso de lenguaje claro."/>
    <m/>
    <x v="0"/>
    <x v="0"/>
    <x v="0"/>
    <x v="0"/>
    <s v="Se evidencia mediante &quot;INFORME DE ACTIVIDADES DESARROLLADAS DURANTE EL PERIODO COMPRENDIDO ENTRE EL 18 AL 31 DE ENERO DE 2021_1&quot;_x000d__x000a_A"/>
    <s v="Se evidencia con  tip de promoción del cuarso de lenguaje claro y realización de éste. "/>
    <s v="De acuerdo los soportes entregados, se evidencia el avance reportado."/>
    <m/>
  </r>
  <r>
    <n v="9"/>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
    <d v="2021-04-01T00:00:00"/>
    <d v="2021-12-31T00:00:00"/>
    <s v="Correos electrónicos solicitando las piezas publicitarias, las piezas publicitarias"/>
    <s v="Oficina de Relación con el Ciudadano"/>
    <s v="Número"/>
    <s v="Número de cursos y/o talleres fomentados para la participación de los servidores"/>
    <s v="Eficiencia"/>
    <n v="3"/>
    <n v="0"/>
    <n v="1"/>
    <n v="1"/>
    <n v="1"/>
    <n v="0"/>
    <s v="La actividad está programada para el siguiente trimestre"/>
    <n v="1"/>
    <s v="El GIT de Servicio al Ciudadano con la compañia de la OAJ realizaron afiche sobre la protección de datos"/>
    <n v="2"/>
    <s v="Se envía mediante correo electrónico a todos los servidores públicos del IGAC pieza el día 14 de septiembre ¿sabías que podemos expresar fácilmente nuestro estado de ánimo en una llamada? Y el 13 de septiembre se construye pieza &quot;Construye una conexión con el ciudadano&quot; "/>
    <m/>
    <m/>
    <d v="2021-04-09T00:00:00"/>
    <d v="2021-07-02T00:00:00"/>
    <d v="2021-10-13T00:00:00"/>
    <m/>
    <n v="1"/>
    <s v=""/>
    <n v="1"/>
    <n v="1"/>
    <s v=" "/>
    <s v="Sin meta asignada en el periodo"/>
    <s v="Concepto Favorable"/>
    <s v="Concepto Favorable"/>
    <m/>
    <s v="Sin meta asignada en el periodo"/>
    <s v="Se evidencia la elaboración de piezas de comunicación relacionada con  Tratamiento de Datos Personales y con los trámites y servicios del instituto."/>
    <s v="De acuerdo con las evidencias, se observa que 14 de septiembre se envía correo electrónico a los servidores &quot;¿sabías que podemos expresar fácilmente nuestro estado de ánimo en una llamada Y el 13 de septiembre se construye pieza &quot;Construye una conexión con el ciudadano&quot; "/>
    <m/>
    <x v="0"/>
    <x v="0"/>
    <x v="0"/>
    <x v="0"/>
    <s v="Sin meta asignada en el periodo"/>
    <s v="Se valida con afiche de protección de datos"/>
    <s v="De acuerdo los soportes entregados, pieza “¿sabías que podemos expresar fácilmente nuestro estado de ánimo en una llamada?” y  “¡Se empático con los ciudadanos!, se evidencia el avance reportado."/>
    <m/>
  </r>
  <r>
    <n v="10"/>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Oficina de Relación con el Ciudadano"/>
    <s v="Número"/>
    <s v="Número de cursos y/o talleres fomentados para la participación de los servidores"/>
    <s v="Eficiencia"/>
    <n v="1"/>
    <n v="0"/>
    <n v="1"/>
    <n v="0"/>
    <n v="0"/>
    <n v="0"/>
    <s v="La actividad está programada para el siguiente trimestre"/>
    <n v="1"/>
    <s v="Durante el segundo trimeste de 2021 se realizó la herramento de consulta que permite unificar la información que se entrega a la ciudadania "/>
    <n v="0"/>
    <s v="Esta actividad fue desarrollada en el segundo trimestre"/>
    <m/>
    <m/>
    <d v="2021-04-09T00:00:00"/>
    <d v="2021-07-02T00:00:00"/>
    <d v="2021-10-13T00:00:00"/>
    <m/>
    <n v="1"/>
    <s v=""/>
    <n v="1"/>
    <s v=""/>
    <s v=" "/>
    <s v="Sin meta asignada en el periodo"/>
    <s v="Concepto Favorable"/>
    <s v="Sin meta asignada en el periodo"/>
    <m/>
    <s v="Sin meta asignada en el periodo"/>
    <s v="Se observa la elaboración del documento &quot;Guía de de Atención al Ciudadano&quot; la cual se definió como herramienta de consulta que permite unificar la información que se entrega a la_x000d__x000a_ciudadanía, a través de los diferentes canales de atención."/>
    <s v="Sin meta para este periodo."/>
    <m/>
    <x v="1"/>
    <x v="0"/>
    <x v="1"/>
    <x v="0"/>
    <s v="Sin meta asignada en el periodo"/>
    <s v="Se evidencia con correo del 4 de junio de 2021, Guía atención al ciudadano."/>
    <s v="No hay meta programada para este trimestre"/>
    <m/>
  </r>
  <r>
    <n v="11"/>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ublicar y difundir en la pagina web e igacnet la Caracterización de grupos de valor y/o grupos de interés"/>
    <d v="2021-11-01T00:00:00"/>
    <d v="2021-12-31T00:00:00"/>
    <s v="Link Caracterización de grupos de valor y/o grupos de interés."/>
    <s v="Oficina de Relación con el Ciudadano"/>
    <s v="Número"/>
    <s v="Número de cursos y/o talleres fomentados para la participación de los servidores"/>
    <s v="Eficiencia"/>
    <n v="1"/>
    <n v="0"/>
    <n v="0"/>
    <n v="0"/>
    <n v="1"/>
    <n v="0"/>
    <s v="La actividad está programada para el cuarto trimestre."/>
    <n v="0"/>
    <s v="La actividad está programada para el cuarto trimestre."/>
    <n v="0"/>
    <s v="La actividad está programada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rogramada para este trimestre"/>
    <m/>
  </r>
  <r>
    <n v="12"/>
    <x v="8"/>
    <s v="Gestión de Atención al Ciudadano"/>
    <s v="Trámites y OPAS "/>
    <s v="Garantizar una atención eficiente y oportuna a los ciudadanos y partes interesadas"/>
    <s v="Mejoramiento en la prestación del servicio a la ciudadanía"/>
    <s v="Gestión con Valores para Resultados"/>
    <s v="Servicio al ciudadano"/>
    <s v="Mantener actualizado los trámites y OPAS de cara al ciudadano en el Sistema Único de Trámites SUIT"/>
    <d v="2021-01-01T00:00:00"/>
    <d v="2021-12-31T00:00:00"/>
    <s v="Archivo con las OPAS"/>
    <s v="Oficina de Relación con el Ciudadano"/>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n v="0.25"/>
    <s v="El GIT de Servicio al Ciudadano y la OAP han mantenido actualizado los tramites y OPAS de cara al ciudadano en el Sistema Único de Trámites SUIT durante este trimestre."/>
    <n v="0.25"/>
    <s v="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
    <m/>
    <m/>
    <d v="2021-04-09T00:00:00"/>
    <d v="2021-07-02T00:00:00"/>
    <d v="2021-10-14T00:00:00"/>
    <m/>
    <n v="0.75"/>
    <n v="1"/>
    <n v="1"/>
    <n v="1"/>
    <s v=" "/>
    <s v="Concepto Favorable"/>
    <s v="Concepto Favorable"/>
    <s v="Concepto Favorable"/>
    <m/>
    <s v="Se valida que el GIT de Servicio al Ciudadano  mantiene actualizados los formatos integrados de los trámites y OPAS de cara al ciudadano en el Sistema Único de Trámites SUIT "/>
    <s v="Se valida que el GIT de Servicio al Ciudadano  mantiene actualizados los formatos integrados de los trámites y OPAS de cara al ciudadano en el Sistema Único de Trámites SUIT "/>
    <s v="De acuerdo con las evidencias, se observa que durante el tercer trimestre se adelantaron actividades para mantener actualizado los trámites y OPAS de cara al ciudadano en el Sistema Único de Trámites SUIT"/>
    <m/>
    <x v="0"/>
    <x v="0"/>
    <x v="0"/>
    <x v="0"/>
    <s v="Se evidencia actualizados los formatos integrados de los trámites y OPAS, en el Sistema Único de Trámites SUIT "/>
    <s v="Se evidencia con cuadro control de OPAS.Registro datos de operación SUIT en excel. "/>
    <s v="De acuerdo los soportes entregados, seguimiento a la actualización de los tramites y OPAS en el SUIT, se evidencia el avance reportado."/>
    <m/>
  </r>
  <r>
    <n v="13"/>
    <x v="8"/>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seguimiento al indicador de oportunidad de respuesta a las PQRDS en Sede Central y Direcciones Territoriales."/>
    <d v="2021-01-01T00:00:00"/>
    <d v="2021-12-31T00:00:00"/>
    <s v="Seguimiento a las PQRS"/>
    <s v="Oficina de Relación con el Ciudadano"/>
    <s v="Número"/>
    <s v="(Número) Porcentaje de PQRD atendidas con oportunidad"/>
    <s v="Eficiencia"/>
    <n v="12"/>
    <n v="3"/>
    <n v="3"/>
    <n v="3"/>
    <n v="3"/>
    <n v="3"/>
    <s v="Durante el primer trimestre del año el GIT de servicio al Ciudadano ha realizado reportes mensuales del estado y/o respuesta a PQRDS."/>
    <n v="3"/>
    <s v="Durante el segundo trimestre del año el GIT de servicio al Ciudadano ha realizado reportes mensuales del estado y/o respuesta a PQRDS."/>
    <n v="3"/>
    <s v="Durante el tercer trimestre del año la Ofician de Relación con el Ciudadano ha realizado reportes mensuales del estado y/o respuesta a PQRDS."/>
    <m/>
    <m/>
    <d v="2021-04-09T00:00:00"/>
    <d v="2021-07-02T00:00:00"/>
    <d v="2021-10-13T00:00:00"/>
    <m/>
    <n v="0.75"/>
    <n v="1"/>
    <n v="1"/>
    <n v="1"/>
    <s v=" "/>
    <s v="Concepto Favorable"/>
    <s v="Concepto Favorable"/>
    <s v="Concepto Favorable"/>
    <m/>
    <s v="Se observa que el GIT de servicio al Ciudadano ha realizado reportes mensuales del estado y/o respuesta a PQRDS."/>
    <s v="Se evidencia la existencia de reportes mensuales que dan cuenta del seguimiento realizado al estado y/o respuesta a PQRDS"/>
    <s v="De acuerdo con las evidencias, se observa que durante el tercer trimestre se realizaron reportes mensuales del estado y/o respuesta a PQRDS."/>
    <m/>
    <x v="0"/>
    <x v="0"/>
    <x v="0"/>
    <x v="0"/>
    <s v="Se evidencia con relación de peticiones virtuales de febrero de 2020 y correo electrónico del 8 de enero de 2021 en la cual se realiza seguimiento a las PQRDS de la Dirección territorial de Boyacá."/>
    <s v="Se evidencia con reportes de abril, mayo y junio del corriente año de PQRDS. "/>
    <s v="De acuerdo los soportes entregados, reportes mensuales del estado PQRDS, se evidencia el avance reportado."/>
    <m/>
  </r>
  <r>
    <n v="14"/>
    <x v="8"/>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reporte mensual del estado y/o respuesta a  PQRDS para entregar a Dirección General  o cualquier otra instancia que lo necesite"/>
    <d v="2021-01-01T00:00:00"/>
    <d v="2021-12-31T00:00:00"/>
    <s v="Informe del reporte mensual"/>
    <s v="Oficina de Relación con el Ciudadano"/>
    <s v="Número"/>
    <s v="(Número) Porcentaje de PQRD atendidas con oportunidad"/>
    <s v="Eficiencia"/>
    <n v="12"/>
    <n v="3"/>
    <n v="3"/>
    <n v="3"/>
    <n v="3"/>
    <n v="3"/>
    <s v="Durante el primer trimestre del año el GIT de servicio al Ciudadano ha realizado reporte mensual del estado y/o respuesta a PQRDS para entregar a Dirección General."/>
    <n v="3"/>
    <s v="Durante el segundo trimestre del año el GIT de servicio al Ciudadano ha realizado reporte mensual del estado y/o respuesta a PQRDS para entregar a Dirección General."/>
    <n v="3"/>
    <s v="Durante el tercer trimestre del año la Oficina de Relación con el  Ciudadano ha realizado reporte mensual del estado y/o respuesta a PQRDS para entregar a Dirección General."/>
    <m/>
    <m/>
    <d v="2021-04-09T00:00:00"/>
    <d v="2021-07-02T00:00:00"/>
    <d v="2021-10-13T00:00:00"/>
    <m/>
    <n v="0.75"/>
    <n v="1"/>
    <n v="1"/>
    <n v="1"/>
    <s v=" "/>
    <s v="Concepto Favorable"/>
    <s v="Concepto Favorable"/>
    <s v="Concepto Favorable"/>
    <m/>
    <s v="Se observa que el GIT de servicio al Ciudadano ha realizado reporte mensual del estado y/o respuesta a PQRDS para entregar a Dirección General."/>
    <s v="Se evidencia que el GIT de servicio al Ciudadano ha realizado reporte mensual del estado y/o respuesta a PQRDS para entregar a Dirección General."/>
    <s v="De acuerdo con las evidencias, se observa que durante el tercer trimestre se realizó el reporte mensual del estado y/o respuesta a PQRDS para entregar a Dirección General"/>
    <m/>
    <x v="0"/>
    <x v="0"/>
    <x v="0"/>
    <x v="0"/>
    <s v="Se evidencia con correo electrónico del 19 de marzo de 2020, mediante el cual se realia seguimiento a las PQRDS  de la Dirección territorial de Boyacá. "/>
    <s v="Se evidencia con cuadro control en excel del estado y respuesta de las PQRD, correo electrónico del 9 de junio de 2021."/>
    <s v="De acuerdo los soportes entregados, reportes mensuales para Dirección General del estado PQRDS, se evidencia el avance reportado."/>
    <m/>
  </r>
  <r>
    <n v="15"/>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Oficina de Relación con el Ciudadano"/>
    <s v="Número"/>
    <s v="Porcentaje de avance implementado del Plan de participación ciudadana."/>
    <s v="Eficiencia"/>
    <n v="1"/>
    <n v="1"/>
    <n v="0"/>
    <n v="0"/>
    <n v="0"/>
    <n v="1"/>
    <s v="Se realizó la identificación de los espacios de participación ciudadana y rendición de cuentas "/>
    <n v="0"/>
    <s v="Esta actividad ya fue realizada en el primer trimestre"/>
    <n v="0"/>
    <s v="Esta actividad ya fue realizada en el primer trimestre"/>
    <m/>
    <m/>
    <d v="2021-04-09T00:00:00"/>
    <d v="2021-07-02T00:00:00"/>
    <d v="2021-10-13T00:00:00"/>
    <m/>
    <n v="1"/>
    <n v="1"/>
    <s v=""/>
    <s v=""/>
    <s v=" "/>
    <s v="Concepto Favorable"/>
    <s v="Sin meta asignada en el periodo"/>
    <s v="Sin meta asignada en el periodo"/>
    <m/>
    <s v="Se observa que se realizó la identificación de los espacios de participación ciudadana y rendición de cuentas "/>
    <s v="Sin meta asignada en el periodo"/>
    <s v="Sin meta para este periodo."/>
    <m/>
    <x v="0"/>
    <x v="1"/>
    <x v="1"/>
    <x v="0"/>
    <s v="Se evidencia con preserntación en power point de &quot;CONFORMACIÓN EQUIPO LÍDER _x000d__x000a_PARTICIPACIÓN CIUDADANA&quot;_x000d__x000a_Y RENDICIÓN DE CUENTAS_x000d__x000a_"/>
    <s v="Sin meta asignada en el periodo"/>
    <s v="No hay meta para este trimestre"/>
    <m/>
  </r>
  <r>
    <n v="16"/>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Oficina de Relación con el Ciudadano"/>
    <s v="Número"/>
    <s v="Porcentaje de avance implementado del Plan de participación ciudadana."/>
    <s v="Eficiencia"/>
    <n v="1"/>
    <n v="0"/>
    <n v="1"/>
    <n v="0"/>
    <n v="0"/>
    <n v="0"/>
    <s v="La actividad está programada para el siguiente trimestre"/>
    <n v="0"/>
    <s v="El cronograma de participación ciudadana y rendición de cuentas se encuentra en aprobación del equipo líder de participación y rendición de cuentas por lo tanto no ha podido ser publicada"/>
    <n v="1"/>
    <s v="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
    <m/>
    <m/>
    <d v="2021-04-09T00:00:00"/>
    <d v="2021-07-02T00:00:00"/>
    <d v="2021-10-13T00:00:00"/>
    <m/>
    <n v="1"/>
    <s v=""/>
    <n v="0"/>
    <s v=""/>
    <s v=" "/>
    <s v="Sin meta asignada en el periodo"/>
    <s v="Concepto No Favorable"/>
    <s v="Concepto Favorable"/>
    <m/>
    <s v="Sin meta asignada en el periodo"/>
    <s v="No se evidencia el cumplimiento de esta actividad."/>
    <s v="De acuerdo con los enlaces citados se observa que se publicaron a consulta ciudadana el cronograma de rendición de cuentas y la estrategia de participación ciudadana. "/>
    <m/>
    <x v="1"/>
    <x v="2"/>
    <x v="0"/>
    <x v="0"/>
    <s v="Sin meta asignada en el periodo"/>
    <s v="No se evidencia el cumplimiento de esta actividad."/>
    <s v="De acuerdo los soportes entregados, enlaces donde se publicó para consulta ciudadana el cronograma de rendición de cuentas y estrategia de participación ciudadana, se evidencia el avance reportado."/>
    <m/>
  </r>
  <r>
    <n v="17"/>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Oficina de Relación con el Ciudadano"/>
    <s v="Número"/>
    <s v="Porcentaje de avance implementado del Plan de participación ciudadana."/>
    <s v="Eficiencia"/>
    <n v="3"/>
    <n v="0"/>
    <n v="1"/>
    <n v="1"/>
    <n v="1"/>
    <n v="0"/>
    <s v="La actividad está programada para el siguiente trimestre"/>
    <n v="1"/>
    <s v="Durante el segundo trimestre se realizá informe del avance  del cronograma de participación ciudadana y rendición de cuentas del IGAC "/>
    <n v="1"/>
    <s v="Se realiza informe del periodo julio- septiembre de participación ciudadana y Rendición de cuentas."/>
    <m/>
    <m/>
    <d v="2021-04-09T00:00:00"/>
    <d v="2021-07-02T00:00:00"/>
    <d v="2021-10-13T00:00:00"/>
    <m/>
    <n v="0.66666666666666663"/>
    <s v=""/>
    <n v="1"/>
    <n v="1"/>
    <s v=" "/>
    <s v="Sin meta asignada en el periodo"/>
    <s v="Concepto Favorable"/>
    <s v="Concepto Favorable"/>
    <m/>
    <s v="Sin meta asignada en el periodo"/>
    <s v="Se evidencia la elaboración y validación de informe del avance  del cronograma de participación ciudadana y rendición de cuentas del IGAC "/>
    <s v="De acuerdo con las evidencias, se observa que se realizó informe del periodo julio- septiembre de participación ciudadana y Rendición de cuentas"/>
    <m/>
    <x v="1"/>
    <x v="0"/>
    <x v="0"/>
    <x v="0"/>
    <s v="Sin meta asignada en el periodo"/>
    <s v="Se evidencia con el informe del avance  del cronograma de participación ciudadana y rendición de cuentas del IGAC "/>
    <s v="De acuerdo los soportes entregados, Segundo Informe de participación Ciudadana y Rendición de Cuentas periodo julio – septiembre de 2021, se evidencia el avance reportado."/>
    <m/>
  </r>
  <r>
    <n v="18"/>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Oficina de Relación con el Ciudadano"/>
    <s v="Número"/>
    <s v="Porcentaje de avance implementado del Plan de participación ciudadana."/>
    <s v="Eficiencia"/>
    <n v="3"/>
    <n v="0"/>
    <n v="1"/>
    <n v="1"/>
    <n v="1"/>
    <n v="0"/>
    <s v="La actividad está programada para el siguiente trimestre"/>
    <n v="1"/>
    <s v="Se realizó la publicación del informe (https://www.igac.gov.co/sites/igac.gov.co/files/informe_validado_avance_cronograma_participacion_y_rendicion_de_cuentas.pdf)"/>
    <n v="1"/>
    <s v="En el mes de julio se publicó el informe del I semestre del avance de Participación Ciudadana y Rendición de Cuentas  en la pagina web. https://www.igac.gov.co/sites/igac.gov.co/files/informe_validado_avance_cronograma_participacion_y_rendicion_de_cuentas.pdf"/>
    <m/>
    <m/>
    <d v="2021-04-09T00:00:00"/>
    <d v="2021-07-02T00:00:00"/>
    <d v="2021-10-13T00:00:00"/>
    <m/>
    <n v="0.66666666666666663"/>
    <s v=""/>
    <n v="1"/>
    <n v="1"/>
    <s v=" "/>
    <s v="Sin meta asignada en el periodo"/>
    <s v="Concepto Favorable"/>
    <s v="Concepto Favorable"/>
    <m/>
    <s v="Sin meta asignada en el periodo"/>
    <s v="Se evidencia publicación del infrome 3 Informes de avance del cronograma del participación ciudadana y rendición de cuentas del IGAC en el espacio de participación ciudadana de la página Web del IGAC."/>
    <s v="Revisado el enlace citado, se observa que aparece  publicado el informe del I semestre del avance de Participación Ciudadana y Rendición de Cuentas  en la pagina web. "/>
    <m/>
    <x v="1"/>
    <x v="0"/>
    <x v="0"/>
    <x v="0"/>
    <s v="Sin meta asignada en el periodo"/>
    <s v="Se evidencias 3 informes del avance del cronograma de participación ciudadana en la pagina web del Instituto. "/>
    <s v="De acuerdo al soporte entregado, y revisado el enlace donde se publicó el informe del I semestre del avance de participación ciudadana y rendición de cuentas, se evidencia el avance reportado."/>
    <m/>
  </r>
  <r>
    <n v="19"/>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7-01T00:00:00"/>
    <d v="2021-09-30T00:00:00"/>
    <s v="Pendiente"/>
    <s v="Oficina de Relación con el Ciudadano"/>
    <s v="Porcentaje"/>
    <s v="Avance en la actualización, implementación y seguimiento de las actividades de MIPG"/>
    <s v="Producto"/>
    <n v="1"/>
    <n v="0"/>
    <n v="0"/>
    <n v="0.5"/>
    <n v="0.5"/>
    <n v="0"/>
    <s v="La actividad está programada para el tercer trimestre"/>
    <n v="0"/>
    <s v="La actividad está programada para el tercer trimestre"/>
    <n v="0.5"/>
    <s v="En el mes de septiembre se llevó acabo una mesa de trabajo con la OAP en la cual se denifió el cronograma de actualización de  la información documentada del SGI del proceso. "/>
    <m/>
    <m/>
    <d v="2021-04-09T00:00:00"/>
    <d v="2021-07-02T00:00:00"/>
    <d v="2021-10-13T00:00:00"/>
    <m/>
    <n v="0.5"/>
    <s v=""/>
    <s v=""/>
    <n v="1"/>
    <s v=" "/>
    <s v="Sin meta asignada en el periodo"/>
    <s v="Sin meta asignada en el periodo"/>
    <s v="Concepto Favorable"/>
    <m/>
    <s v="Sin meta asignada en el periodo"/>
    <s v="Sin meta asignada en el periodo"/>
    <s v="De acuerdo con las evidencias, se observa que en el mes de septiembre se llevó a cabo una mesa de trabajo con la OAP en la cual se denifió el cronograma de actualización de  la información documentada del SGI del proceso. _x000d__x000a_"/>
    <m/>
    <x v="1"/>
    <x v="1"/>
    <x v="0"/>
    <x v="0"/>
    <s v="Sin meta asignada en el periodo"/>
    <s v="Sin meta asignada en el periodo"/>
    <s v="De acuerdo al soporte entregado, registro asistencia a la reunión con la Oficina Asesora de Planeación, se evidencia el avance reportado."/>
    <m/>
  </r>
  <r>
    <n v="20"/>
    <x v="8"/>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Oficina de Relación con el Ciudadano"/>
    <s v="Número"/>
    <s v="Avance en la actualización, implementación y seguimiento de las actividades de MIPG"/>
    <s v="Producto"/>
    <n v="4"/>
    <n v="1"/>
    <n v="1"/>
    <n v="1"/>
    <n v="1"/>
    <n v="1"/>
    <s v="Se desarrollaron las actividades contempladas en el plan anticorrupción a cargo del proceso. "/>
    <n v="1"/>
    <s v="Se desarrollaron las actividades contempladas en el plan anticorrupción a cargo del proceso. "/>
    <n v="1"/>
    <s v="Se desarrollaron las actividades contempladas en el plan anticorrupción y las actividaes del Plan de Acción Anual del tercere trimestre, a cargo del proceso. "/>
    <m/>
    <m/>
    <d v="2021-04-09T00:00:00"/>
    <d v="2021-07-02T00:00:00"/>
    <d v="2021-10-14T00:00:00"/>
    <m/>
    <n v="0.75"/>
    <n v="1"/>
    <n v="1"/>
    <n v="1"/>
    <s v=" "/>
    <s v="Concepto Favorable"/>
    <s v="Concepto Favorable"/>
    <s v="Concepto Favorable"/>
    <m/>
    <s v="Se observa que se desarrollaron las actividades contempladas en el plan anticorrupción a cargo del proceso"/>
    <s v="De acuerdo con la evidencia aportada y con la consulta realizada a la página web del IGAC se observa que se desarrollaron las actividades contempladas en el plan anticorrupción a cargo del proceso."/>
    <s v="De acuerdo con las evidencias, se observa que durante el tercer trimestre se desarrollaron las actividades contempladas en el plan anticorrupción y el  Plan de Acción Anual _x000a_"/>
    <m/>
    <x v="0"/>
    <x v="0"/>
    <x v="0"/>
    <x v="0"/>
    <s v="Se evidencia con reporte correo del 14 de abril de 2021, meidante el cua envían el Seguimiento al Plan anticorrupción y de atención al ciudadano - 1er trimestre 2021"/>
    <s v="Se evidencia con Plan Anticorrupción página web Instituto. "/>
    <s v="De acuerdo a los soportes entregados, actividades desarrolladas, se evidencia el avance reportado."/>
    <m/>
  </r>
  <r>
    <n v="21"/>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Oficina de Relación con el Ciudadano"/>
    <s v="Porcentaje"/>
    <s v="Avance en la actualización, implementación y seguimiento de las actividades de MIPG"/>
    <s v="Producto"/>
    <n v="1"/>
    <n v="0"/>
    <n v="0"/>
    <n v="1"/>
    <n v="0"/>
    <n v="0"/>
    <s v="La actividad está programada para el tercer trimestre"/>
    <n v="1"/>
    <s v="Los días 16,23 y 24 se participó en reuniones con la OAP para validar los resultados del FURAG y evaluar las acciones de mejora del FURAG"/>
    <n v="0"/>
    <s v="Esta actividad se llevó acabo en el segundo trimestre "/>
    <m/>
    <m/>
    <d v="2021-04-09T00:00:00"/>
    <d v="2021-07-02T00:00:00"/>
    <d v="2021-10-13T00:00:00"/>
    <m/>
    <n v="1"/>
    <s v=""/>
    <s v=""/>
    <n v="1"/>
    <s v=" "/>
    <s v="Sin meta asignada en el periodo"/>
    <s v="Concepto Favorable"/>
    <s v="Sin meta asignada en el periodo"/>
    <m/>
    <s v="Sin meta asignada en el periodo"/>
    <s v="Se evidencia registros que dan cuenta de la realización de reuniones con la OAP en la que se realizó retroalimentación frente a los resultados del Índice de Desarrollo Institucional del FURAG y identificaron acciones de mejora relacionadas con dicha medición. "/>
    <s v="Sin meta para este periodo."/>
    <m/>
    <x v="1"/>
    <x v="0"/>
    <x v="1"/>
    <x v="0"/>
    <s v="Sin meta asignada en el periodo"/>
    <s v="Se evidencia con resultados en FURAG a nivel Institucional en la página web del Instituto. "/>
    <s v="Sin meta para este trimestre"/>
    <m/>
  </r>
  <r>
    <n v="22"/>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Oficina de Relación con el Ciudadano"/>
    <s v="Porcentaje"/>
    <s v="Avance en la actualización, implementación y seguimiento de las actividades de MIPG"/>
    <s v="Producto"/>
    <n v="1"/>
    <n v="0"/>
    <n v="0"/>
    <n v="0.4"/>
    <n v="0.6"/>
    <n v="0"/>
    <s v="La actividad está programada para el tercer trimestre"/>
    <n v="0"/>
    <s v="Se implementarán desde el tercer trimestre"/>
    <n v="0.4"/>
    <s v="Durante el tercer trimestre se han venido desarrollando las oportunidades de mejora relacionadas al cumplimiento del FURAG que apliquen al proceso."/>
    <m/>
    <m/>
    <d v="2021-04-09T00:00:00"/>
    <d v="2021-07-02T00:00:00"/>
    <d v="2021-10-13T00:00:00"/>
    <m/>
    <n v="0.4"/>
    <s v=""/>
    <s v=""/>
    <n v="1"/>
    <s v=" "/>
    <s v="Sin meta asignada en el periodo"/>
    <s v="Sin meta asignada en el periodo"/>
    <s v="Concepto Favorable"/>
    <m/>
    <s v="Sin meta asignada en el periodo"/>
    <s v="Sin meta asignada en el periodo"/>
    <s v="De acuerdo con las evidencias, se observa que durante el tercer trimestre se realizó seguimiento a las oportunidades de mejora relacionadas al cumplimiento del FURAG que aplican al proceso"/>
    <m/>
    <x v="1"/>
    <x v="1"/>
    <x v="0"/>
    <x v="0"/>
    <s v="Sin meta asignada en el periodo"/>
    <s v="Sin meta asignada en el periodo"/>
    <s v="De acuerdo a los soportes entregados, seguimiento a las oportunidades de mejoras con relación al cumplimiento del FURAC, se evidencia el avance reportado."/>
    <m/>
  </r>
  <r>
    <n v="23"/>
    <x v="8"/>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Oficina de Relación con el Ciudadano"/>
    <s v="Porcentaje"/>
    <s v="Avance en la actualización, implementación y seguimiento de las actividades de MIPG"/>
    <s v="Producto"/>
    <n v="1"/>
    <n v="0"/>
    <n v="0"/>
    <n v="0"/>
    <n v="1"/>
    <n v="0"/>
    <s v="La actividad está programada para el tercer trimestre"/>
    <n v="0"/>
    <s v="La actividad está programada para el tercer trimestre"/>
    <n v="0"/>
    <s v="Esta actividad es reprogramada por la OAP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ónicos"/>
    <s v="Subdirección de Infraestructura Tecnológica"/>
    <s v="Número"/>
    <s v="Porcentaje de implementación del marco estratégico de TI"/>
    <s v="Eficacia"/>
    <n v="10"/>
    <n v="2"/>
    <n v="3"/>
    <n v="3"/>
    <n v="2"/>
    <n v="2"/>
    <s v="Se realizaron dos sensibilizaciones a través de correos electrónicos del 17/02/2021 y del 24/3/2021:  Tip de seguridad suplantación de identidad y Tip de seguridad: Participación Jornada Seguridad Digital."/>
    <n v="3"/>
    <s v="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_x000a_"/>
    <n v="3"/>
    <s v="Se realizan tres actividades de remisión de tips e información de seguridad: 1.Charla que es la Ciberseguridad 2. Sensibilización en Buenas Prácticas en Seguridad de la Información. 3. Se remite un tip de seguridad: Alerta de seguridad de la información - No caigas en la trampa"/>
    <m/>
    <m/>
    <d v="2021-04-09T00:00:00"/>
    <d v="2021-07-02T00:00:00"/>
    <d v="2021-10-14T00:00:00"/>
    <m/>
    <n v="0.8"/>
    <n v="1"/>
    <n v="1"/>
    <n v="1"/>
    <s v=" "/>
    <s v="Concepto Favorable"/>
    <s v="Concepto Favorable"/>
    <s v="Concepto Favorable"/>
    <m/>
    <s v="Se verifica el seguimiento y la evidencia aportada, al ser coincidentes se aprueba el seguimiento"/>
    <s v="Se valida el seguimiento y la evidencia aportada: correos y material de la socialización, al ser coincidentes se aprueba el seguimiento."/>
    <s v="Se valida el seguimiento y la evidencia aportada: correos de la socialización, al ser coincidentes se aprueba el seguimiento."/>
    <m/>
    <x v="0"/>
    <x v="0"/>
    <x v="0"/>
    <x v="0"/>
    <s v="Se evidencia correos en los que se evidencia la realización de dos sensibilizaciones el 17/02/2021 y el 24/3/2021:  Tip de seguridad suplantación de identidad y Tip de seguridad: Participación Jornada Seguridad Digital."/>
    <s v="Se evidencia actividades de remisión de tips e información de seguridad tales como 1. Boletín informativo alerta de malware 2. Piensa antes de dar click. 3. Se socializan al interior de la Oficina de Informática y Telecomunicaciones, se valida el seguimiento "/>
    <s v="Se evidencia actividades de remisión de tips e información de seguridad por medio de correos de las socializaciones, se valida el seguimiento"/>
    <m/>
  </r>
  <r>
    <n v="2"/>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ítica de seguridad de la información actualizada"/>
    <s v="Subdirección de Infraestructura Tecnológica"/>
    <s v="Número"/>
    <s v="Porcentaje de implementación del marco estratégico de TI"/>
    <s v="Eficacia"/>
    <n v="1"/>
    <n v="0"/>
    <n v="0"/>
    <n v="1"/>
    <n v="0"/>
    <n v="1"/>
    <s v="Se realizó actualización  a la política de Seguridad de la Información  alineada a la pólitica del Sistema de Gestión Integrada "/>
    <n v="0"/>
    <s v="La actividad se realizó en el primer trimestre"/>
    <n v="1"/>
    <s v="La actividad se realizó en el primer trimestre, no obstante con la modernización de la entidad  se tiene pendiente actualizar la política con la nueva cadena de valor, actividad que se realizará  en el último trimestre."/>
    <m/>
    <m/>
    <d v="2021-04-09T00:00:00"/>
    <d v="2021-07-02T00:00:00"/>
    <d v="2021-10-14T00:00:00"/>
    <m/>
    <n v="1"/>
    <s v=""/>
    <s v=""/>
    <n v="1"/>
    <s v=" "/>
    <s v="Concepto Favorable"/>
    <s v="Sin meta asignada en el periodo"/>
    <s v="Sin meta asignada en el periodo"/>
    <m/>
    <s v="Se verifica el seguimiento y la evidencia aportada, al ser coincidentes se aprueba el seguimiento"/>
    <s v="Sin meta programada"/>
    <s v="La actividad se cumplio en el primer trimestre"/>
    <m/>
    <x v="0"/>
    <x v="1"/>
    <x v="1"/>
    <x v="0"/>
    <s v="Se evidencia política de Seguridad de la Información  actualizada y alineada a la pólitica del Sistema de Gestión Integrado."/>
    <s v="Sin meta programada "/>
    <s v="Sin meta asignada "/>
    <m/>
  </r>
  <r>
    <n v="3"/>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ítica de Seguridad de la Información "/>
    <d v="2021-02-01T00:00:00"/>
    <d v="2021-11-30T00:00:00"/>
    <s v="Registros de asistencia y/o correos electrónicos"/>
    <s v="Subdirección de Infraestructura Tecnológica"/>
    <s v="Número"/>
    <s v="Porcentaje de implementación del marco estraté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n v="3"/>
    <s v="Se realizan tres  jornadas de uso y apropiación de la política de protección de datos personales que hace parte de la política de seguridad de la información: _x000d__x000a_1._x0009_Apropiación de plan de trabajo para implementar la Ley 1581 de Protección de Datos Personales 2021, reunión realizada el día 5/25/2021 con el GIT Gestión Documental _x000d__x000a_2._x0009_Apropiación de plan de trabajo para implementar la Ley 1581 de Protección de Datos Personales 2021, reunión realizada el día 5/25/2021 con el GIT Gestión de Comunicaciones y Mercadeo_x000d__x000a_3._x0009_Apropiación de plan de trabajo para implementar la Ley 1581 de Protección de Datos Personales 2021, reunión realizada el día 6/02/2021 con el GIT Servicio al Ciudadano _x000d__x000a__x000d__x000a_"/>
    <n v="3"/>
    <s v="Se realizan tres  jornadas de uso y apropiación de la política de protección de datos personales que hace parte de la política de seguridad de la información: _x000d__x000a_1. Tendencias, aseguramiento y riesgo._x000d__x000a_2. Charlas tendencias en seguridad y privacidad de la información IGAC Alta Dirección_x000d__x000a_3. Sensibilización en Buenas Prácticas en Seguridad de la Información_x000d__x000a_"/>
    <m/>
    <m/>
    <d v="2021-04-09T00:00:00"/>
    <d v="2021-07-02T00:00:00"/>
    <d v="2021-10-14T00:00:00"/>
    <m/>
    <n v="0.72727272727272729"/>
    <n v="1"/>
    <n v="1"/>
    <n v="1"/>
    <s v=" "/>
    <s v="Concepto Favorable"/>
    <s v="Concepto Favorable"/>
    <s v="Concepto Favorable"/>
    <m/>
    <s v="Se verifica el seguimiento y la evidencia aportada, al ser coincidentes se aprueba el seguimiento"/>
    <s v="Se valida la evidencia aportada: Correos electrónicos de las reuniones para socialización de la política de tratamiento de datos personales, al ser coincidentes se aprueba el seguimiento"/>
    <s v="Se valida el seguimiento y la evidencia aportada: Correos de socialización y material de socialización al ser coincidentes se aprueba el seguimiento"/>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s v="Se evidencia correos electrónicos de las reuniones para socialización de la política de tratamiento de datos personales, se valida la evidencia aportada.No se evidencia observaciones de autoseguimiento por parte el proceso "/>
    <s v="Se evidencia correos de socialización y material de socialización, se valida la evidencia aportada."/>
    <m/>
  </r>
  <r>
    <n v="4"/>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Subdirección de Infraestructura Tecnológica"/>
    <s v="Número"/>
    <s v="Porcentaje de implementación del marco estratégico de TI"/>
    <s v="Eficacia"/>
    <n v="12"/>
    <n v="0"/>
    <n v="0"/>
    <n v="6"/>
    <n v="6"/>
    <n v="0"/>
    <s v="Sin meta programada"/>
    <n v="0"/>
    <s v="Sin meta programada para este periodo "/>
    <n v="6"/>
    <s v="Se inicia la identificación de riesgos de seguridad digital con base en la identificación y clas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_x000d__x000a_"/>
    <m/>
    <m/>
    <d v="2021-04-09T00:00:00"/>
    <d v="2021-07-02T00:00:00"/>
    <d v="2021-10-14T00:00:00"/>
    <m/>
    <n v="0.5"/>
    <s v=""/>
    <s v=""/>
    <n v="1"/>
    <s v=" "/>
    <s v="Concepto Favorable"/>
    <s v="Sin meta asignada en el periodo"/>
    <s v="Concepto Favorable"/>
    <m/>
    <s v="Sin meta programada para este periodo "/>
    <s v="Sin meta programada para el periodo"/>
    <s v="Se verifica la información con la evidencia aportada: Matrices de activos de información, al ser coincidentes se valida el seguimiento. "/>
    <m/>
    <x v="1"/>
    <x v="1"/>
    <x v="0"/>
    <x v="0"/>
    <s v="No hay meta programada para el trimestre"/>
    <s v="Sin meta programada para el periodo "/>
    <s v="Conforme con la evidencia aportada se observa matrices de archivos de informacion y la identificación de riesgos de seguridad digital con base en la identificación y clasificación de los activos de información."/>
    <m/>
  </r>
  <r>
    <n v="5"/>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Subdirección de Infraestructura Tecnológica"/>
    <s v="Número"/>
    <s v="Porcentaje de implementación del marco estratégico de TI"/>
    <s v="Eficacia"/>
    <n v="12"/>
    <n v="0"/>
    <n v="0"/>
    <n v="6"/>
    <n v="6"/>
    <n v="0"/>
    <s v="Sin meta programada"/>
    <n v="0"/>
    <s v="Sin meta programada para este periodo "/>
    <n v="6"/>
    <s v="Se realiza la ident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
    <m/>
    <m/>
    <d v="2021-04-09T00:00:00"/>
    <d v="2021-07-02T00:00:00"/>
    <d v="2021-10-14T00:00:00"/>
    <m/>
    <n v="0.5"/>
    <s v=""/>
    <s v=""/>
    <n v="1"/>
    <s v=" "/>
    <s v="Sin meta asignada en el periodo"/>
    <s v="Sin meta asignada en el periodo"/>
    <s v="Concepto Favorable"/>
    <m/>
    <s v="Sin meta programada para este periodo"/>
    <s v="Sin meta programada para el periodo"/>
    <s v="Se verifica la información con la evidencia aportada: Matrices de activos de información, al ser coincidentes se valida el seguimiento"/>
    <m/>
    <x v="1"/>
    <x v="1"/>
    <x v="0"/>
    <x v="0"/>
    <s v="Sin meta programada para este periodo"/>
    <s v="Sin meta programada para el periodo "/>
    <s v="Se evidencia matrices de activos de informacion, se valida el seguimiento"/>
    <m/>
  </r>
  <r>
    <n v="6"/>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Subdirección de Infraestructura Tecnológica"/>
    <s v="Número"/>
    <s v="Porcentaje de implementación del marco estratégico de TI"/>
    <s v="Eficacia"/>
    <n v="5"/>
    <n v="0"/>
    <n v="1"/>
    <n v="2"/>
    <n v="2"/>
    <n v="0"/>
    <s v="Sin meta programada"/>
    <n v="1"/>
    <s v="Se realiza la implementación del control : Control A.11.2.4 Mantenimiento de equipos_x000d__x000a_"/>
    <n v="2"/>
    <s v="Se realiza la implementación de los controles: _x000d__x000a_Control A.10.1.1  y A.10.1.2 Definir e implementar estándares para la aplicación de controles criptográficos._x000d__x000a_"/>
    <m/>
    <m/>
    <d v="2021-04-09T00:00:00"/>
    <d v="2021-07-02T00:00:00"/>
    <d v="2021-10-14T00:00:00"/>
    <m/>
    <n v="0.6"/>
    <s v=""/>
    <n v="1"/>
    <n v="1"/>
    <s v=" "/>
    <s v="Sin meta asignada en el periodo"/>
    <s v="Concepto Favorable"/>
    <s v="Concepto No Favorable"/>
    <m/>
    <s v="Sin meta programada para este periodo"/>
    <s v="Se valida el seguimiento y la evidencia aportada: Check list de mantenimiento, registro de los mantenimientos realizados, socializaciones de los mantenimientos. Al ser coincidentes se aprueba el seguimiento. "/>
    <s v="Se aporta como evidencia entrega de un instructivo que no cuenta con aprobación por tanto no se puede evidenciar la implementación de los controles mencionados. "/>
    <m/>
    <x v="1"/>
    <x v="0"/>
    <x v="2"/>
    <x v="0"/>
    <s v="Sin meta programada para este periodo"/>
    <s v="Se evidencia Check list de mantenimiento, registro de los mantenimientos realizados, socializaciones de los mantenimientos, se valida la evidencia aportada."/>
    <s v="Se evidencia el instructivo para la utilizacion de controles criptograficos para la implementacion de controles de la informacion , sien embargo no se observa la aprobacion."/>
    <m/>
  </r>
  <r>
    <n v="7"/>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Dirección de Tecnologías de la Información y Comunicaciones"/>
    <s v="Número"/>
    <s v="Porcentaje de implementación del marco estratégico de TI"/>
    <s v="Eficacia"/>
    <n v="1"/>
    <n v="0"/>
    <n v="0"/>
    <n v="0"/>
    <n v="1"/>
    <n v="0"/>
    <s v="Sin meta programada"/>
    <n v="0"/>
    <s v="Sin meta programada para este periodo"/>
    <n v="0"/>
    <s v="Sin  meta programada "/>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Sin meta programada para este periodo"/>
    <s v="Sin meta asignada "/>
    <s v="Sin meta para el periodo "/>
    <m/>
  </r>
  <r>
    <n v="8"/>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ortafolio Servicios Tecnológicos "/>
    <d v="2021-03-01T00:00:00"/>
    <d v="2021-09-30T00:00:00"/>
    <s v="Portafolio de servicios tecnológicos"/>
    <s v="Dirección de Tecnologías de la Información y Comunicaciones"/>
    <s v="Número"/>
    <s v="Porcentaje de implementación del marco estratégico de TI"/>
    <s v="Eficacia"/>
    <n v="1"/>
    <n v="0"/>
    <n v="0"/>
    <n v="1"/>
    <n v="0"/>
    <n v="0"/>
    <s v="Sin meta programada"/>
    <n v="0"/>
    <s v="Sin meta programda para este periodo "/>
    <n v="0"/>
    <s v="Esta actividad se realizará el próximo trimestre. "/>
    <m/>
    <m/>
    <d v="2021-04-09T00:00:00"/>
    <d v="2021-07-02T00:00:00"/>
    <d v="2021-10-14T00:00:00"/>
    <m/>
    <n v="0"/>
    <s v=""/>
    <s v=""/>
    <n v="0"/>
    <s v=" "/>
    <s v="Sin meta asignada en el periodo"/>
    <s v="Sin meta asignada en el periodo"/>
    <s v="Concepto No Favorable"/>
    <m/>
    <s v="Sin meta programada para este periodo"/>
    <s v="Sin meta programada para el periodo"/>
    <s v="Actividad re programada para el proximo trimestre"/>
    <m/>
    <x v="1"/>
    <x v="1"/>
    <x v="2"/>
    <x v="0"/>
    <s v="Sin meta programada para este periodo"/>
    <s v="Sin meta asignada "/>
    <s v="Sin evidencias que acrediten  la meta "/>
    <m/>
  </r>
  <r>
    <n v="9"/>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Subdirección de Infraestructura Tecnológica"/>
    <s v="Número"/>
    <s v="Porcentaje de implementación del marco estratégico de TI"/>
    <s v="Eficacia"/>
    <n v="2"/>
    <n v="0"/>
    <n v="1"/>
    <n v="0"/>
    <n v="1"/>
    <n v="0"/>
    <s v="Sin meta programada"/>
    <n v="1"/>
    <s v="Para el correcto funcionamiento  de la  interoperabilidad fue necesario la actualización  de la versión a 6.25 proceso que finalizó con éxito en los ambientes de pruebas, preproducción y producción "/>
    <n v="0"/>
    <s v="Sin  meta programada "/>
    <m/>
    <m/>
    <d v="2021-04-09T00:00:00"/>
    <d v="2021-07-02T00:00:00"/>
    <d v="2021-10-14T00:00:00"/>
    <m/>
    <n v="0.5"/>
    <s v=""/>
    <n v="1"/>
    <s v=""/>
    <s v=" "/>
    <s v="Sin meta asignada en el periodo"/>
    <s v="Concepto Favorable"/>
    <s v="Sin meta asignada en el periodo"/>
    <m/>
    <s v="Sin meta programada para este periodo"/>
    <s v="Se valida el seguimiento y la evidencia aportada: pantallazo de servicio de interoperabilidad, al ser coincidentes se aprueba el seguimiento."/>
    <s v="Sin meta programada para este periodo "/>
    <m/>
    <x v="1"/>
    <x v="0"/>
    <x v="1"/>
    <x v="0"/>
    <s v="Sin meta programada para este periodo"/>
    <s v="Como evidencia para este trimestre se aporta pantallazo de servicio de interoperabilidad, se valida la evidencia aportada."/>
    <s v="Sin meta programada"/>
    <m/>
  </r>
  <r>
    <n v="10"/>
    <x v="9"/>
    <s v="Gestión de Tecnologías de Información"/>
    <s v="Marco estratégico de 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Subdirección de Información "/>
    <s v="Porcentaje"/>
    <s v="Porcentaje de implementación del marco estratégico de TI"/>
    <s v="Eficacia"/>
    <n v="1"/>
    <n v="0"/>
    <n v="0"/>
    <n v="0"/>
    <n v="1"/>
    <n v="0"/>
    <s v="Sin meta programada"/>
    <n v="0"/>
    <s v="Sin meta programada para este periodo."/>
    <n v="0"/>
    <s v="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_x000a_La Dirección TIC, a través de la Subdirección de Información se encuentra en proceso de contratación de un consultor para el desarrollo de la estrategia de datos abiertos. Se espera iniciar dicha labor en el mes de noviembre._x000d__x000a_"/>
    <m/>
    <m/>
    <d v="2021-04-09T00:00:00"/>
    <d v="2021-07-02T00:00:00"/>
    <d v="2021-10-14T00:00:00"/>
    <m/>
    <n v="0"/>
    <s v=""/>
    <s v=""/>
    <s v=""/>
    <s v=" "/>
    <s v="Sin meta asignada en el periodo"/>
    <s v="Sin meta asignada en el periodo"/>
    <s v="Concepto Favorable"/>
    <m/>
    <s v="Sin meta programada para este periodo"/>
    <s v="Sin meta programada para este periodo"/>
    <s v="Se valida el seguimiento y la evidencia aportada: Términos de referencia y plan de apertura de datos. Al ser coincidentes se aprueba el seguimiento. "/>
    <m/>
    <x v="1"/>
    <x v="1"/>
    <x v="0"/>
    <x v="0"/>
    <s v="Sin meta programada para este periodo"/>
    <s v="Sin meta programada para este periodo"/>
    <s v="Como evidencia para este trimestre se observa los  términos de referencia y plan de apertura de datos, se valida el seguimiento"/>
    <m/>
  </r>
  <r>
    <n v="11"/>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Subdirección de Información "/>
    <s v="Número"/>
    <s v="Porcentaje de implementación del marco estratégico de TI"/>
    <s v="Eficacia"/>
    <n v="1"/>
    <n v="0"/>
    <n v="0"/>
    <n v="0"/>
    <n v="1"/>
    <n v="0"/>
    <s v="Sin meta programada"/>
    <n v="0"/>
    <s v="Sin meta programada para este periodo."/>
    <n v="0"/>
    <s v="Sin meta programada"/>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
    <m/>
    <x v="1"/>
    <x v="1"/>
    <x v="1"/>
    <x v="0"/>
    <s v="Sin meta programada para este periodo"/>
    <s v="Sin meta programada para este periodo"/>
    <s v="Sin meta programada para este periodo "/>
    <m/>
  </r>
  <r>
    <n v="12"/>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tallazo del código fuente que se encuentra  versionado en el GITLAB."/>
    <s v="Subdirección de Sistemas de Información"/>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n v="0"/>
    <s v="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
    <n v="0"/>
    <s v="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_x000a__x000d__x000a_Se dio por terminado  el proceso de estructuración de los términos de Referencia (TDR) para la  selección y contratación de los consultores individuales, los cuales desarrollarán actividades previas y/o complementarias a la llegada de la Fábrica de Software.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estudio de mercado para la contratación de la fabrica de software y detalles de las reuniones realizadas. Al ser coincidentes se valida el seguimiento "/>
    <s v="Se verifica la información con la evidencia aportada: Términos de referencia, al ser coincidentes se aprueba el seguimiento. "/>
    <m/>
    <x v="1"/>
    <x v="1"/>
    <x v="0"/>
    <x v="0"/>
    <s v="Aunque no hay meta asignada para el trimestre, se reporta la realización de reuniones con  los Gestores Castastrales, SNR y DNP;  con el propósito de definir el alcance del  SINIC."/>
    <s v="Como evidencia para este trimestre se aporta estudio de mercado para la contratación de la fábrica de software y detalles de las reuniones realizadas, sin embargo no se evidencia meta para este periodo "/>
    <s v="Como evidencia para este tercer trimestre se aporta los términos de Referencia (TDR) como actividades previas y/o complementarias a la llegada de la Fábrica de Software. "/>
    <m/>
  </r>
  <r>
    <n v="13"/>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Subdirección de Sistemas de Información"/>
    <s v="Número"/>
    <s v="Porcentaje implementación SINIC"/>
    <s v="Eficacia"/>
    <n v="1"/>
    <n v="0"/>
    <n v="0"/>
    <n v="0"/>
    <n v="1"/>
    <n v="0"/>
    <s v="Sin meta programada"/>
    <n v="0"/>
    <s v="Sin meta programada para este periodo."/>
    <n v="0"/>
    <s v="Sin meta programa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Sin meta programada para este periodo"/>
    <s v="Sin meta programada para este periodo"/>
    <s v="Sin meta asignada en el periodo "/>
    <m/>
  </r>
  <r>
    <n v="14"/>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Subdirección de Sistemas de Información"/>
    <s v="Número"/>
    <s v="Porcentaje implementación SINIC"/>
    <s v="Eficacia"/>
    <n v="1"/>
    <n v="0"/>
    <n v="0"/>
    <n v="0"/>
    <n v="1"/>
    <n v="0"/>
    <s v="Se realizó el análisis y  las especificaciones funcionales en su primera versión para el repositorio de Datos maestros."/>
    <n v="0"/>
    <s v="Se encuentran pendientes las especificaciones técnicas del Repositorio de Datos Maestros - RDM , las cuales deben ser entregadas  por parte del Departamento Nacional de Planeación al Instituto Geográfico Agustín Codazzi"/>
    <n v="0"/>
    <s v="Se desarrolló la entrega oficial  de los documentos de arquitectura (5 documentos) preparados por el DNP, dichos documentos componen la arquitectura de alto nivel para “El Repositorio de Datos Maestros” – RDM y el SINIC."/>
    <m/>
    <m/>
    <d v="2021-04-09T00:00:00"/>
    <d v="2021-07-02T00:00:00"/>
    <d v="2021-10-14T00:00:00"/>
    <m/>
    <n v="0"/>
    <s v=""/>
    <s v=""/>
    <s v=""/>
    <s v=" "/>
    <s v="Concepto Favorable"/>
    <s v="Sin meta asignada en el periodo"/>
    <s v="Concepto Favorable"/>
    <m/>
    <s v="Se verifica el seguimiento y la evidencia aportada, al ser coincidentes se aprueba el seguimiento"/>
    <s v="Sin meta programada para este periodo"/>
    <s v="Se verifica el seguimiento con la evidencia aportada: Documentos de arquitectura, al ser coincidentes se aprueba el seguimiento. "/>
    <m/>
    <x v="1"/>
    <x v="1"/>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s v="Sin meta programada "/>
    <s v="Se evidencia los  documentos de arquitectura para el El Repositorio de Datos Maestros” – RDM y el SINIC, se valida  el seguimiento "/>
    <m/>
  </r>
  <r>
    <n v="15"/>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Publicación y verificación del repositorio de datos maestros en ambiente controlado de acuerdo a las entregas del DNP"/>
    <d v="2021-10-01T00:00:00"/>
    <d v="2021-12-31T00:00:00"/>
    <s v="Aplicación desplegada en ambiente productivo (Enlace)"/>
    <s v="Subdirección de Sistemas de Información"/>
    <s v="Porcentaje"/>
    <s v="Porcentaje implementación SINIC"/>
    <s v="Eficacia"/>
    <n v="1"/>
    <n v="0"/>
    <n v="0"/>
    <n v="0"/>
    <n v="1"/>
    <n v="0"/>
    <s v="Sin meta programada"/>
    <n v="0"/>
    <s v="Sin meta programada para este periodo."/>
    <n v="0"/>
    <s v="Sin meta programa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programada para este periodo"/>
    <s v="Sin meta asignada para este periodo "/>
    <m/>
  </r>
  <r>
    <n v="16"/>
    <x v="9"/>
    <s v="Diseño y Desarrollo de Sistemas de Información"/>
    <s v="Funcionalidades de software implementadas"/>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tallazo del código fuente que se encuentra  versionado en el GITLAB."/>
    <s v="Subdirección de Sistemas de Información"/>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n v="0"/>
    <s v="Se cuenta con historias de Usuario revisadas   y definición de los procesos ETL"/>
    <n v="0"/>
    <s v="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ETL, documento de pruebas. Al ser coincidentes se valida el seguimiento. "/>
    <s v="Se verifica la información con la evidencia aportada: Pantallazos del sistema al ser coincidentes se aprueba el seguimiento. "/>
    <m/>
    <x v="1"/>
    <x v="1"/>
    <x v="1"/>
    <x v="0"/>
    <s v="No hay meta programada para el trimestre. Se informa que se están definiendo  las especificaciones funcionales "/>
    <s v="Se evidencia documentos:  epica metodo autodeclarativo ,homologacion de variables, propotipo, mape y protopipo ETL , sin embargo para este peridodo no se registra meta. "/>
    <s v="No hay meta programada para el trimestre, sin embargo se evidencia pantallazos del sistema Sistema Nacional Catastral bajo el estándar LADM-COL . "/>
    <m/>
  </r>
  <r>
    <n v="17"/>
    <x v="9"/>
    <s v="Diseño y Desarrollo de Sistemas de Información"/>
    <s v="Funcionalidades de software implementadas"/>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Subdirección de Sistemas de Información"/>
    <s v="Porcentaje"/>
    <s v="Porcentaje de Direcciones territoriales migradas a SNC"/>
    <s v="Eficacia"/>
    <n v="1"/>
    <n v="0"/>
    <n v="0"/>
    <n v="0"/>
    <n v="1"/>
    <n v="0"/>
    <s v="Se realizó el cronograma, el cual se encuentra para aprobación"/>
    <n v="0"/>
    <s v="Se migró el departamento de Amazonas, el municipio de Popayán y está en proceso de migración las territoriales Bolivar, Tolima y Cundinamarca "/>
    <n v="0"/>
    <s v="Se construyó un nuevo plan de trabajo, mediante  el cual se permite abordar los municipios pendientes por migración.  (Se anexa  cuadro resumen de municipios pendientes  y cronograma)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Actas de migración al ser coincidentes se valida el seguimiento. "/>
    <s v="Se verifica la información con la evidencia aportada: Cronograma de trabajo, al ser coincidentes se aprueba el seguimiento. "/>
    <m/>
    <x v="1"/>
    <x v="1"/>
    <x v="1"/>
    <x v="0"/>
    <s v="No hay meta asignada para el periodo. Se evidencia cronograma para migración al SNC"/>
    <s v="No hay meta asignada para el periodo, se evidencia actas de migracion "/>
    <s v="Sin meta asignada en el periodo, sin embargo se observa cronograma de trabajo para la migracion de la informacion "/>
    <m/>
  </r>
  <r>
    <n v="18"/>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tallazo del código fuente que se encuentra  versionado en el GITLAB."/>
    <s v="Subdirección de Infraestructura Tecnológica"/>
    <s v="Número"/>
    <s v="Porcentaje de implementación de las funcionalidades"/>
    <s v="Eficacia"/>
    <n v="1"/>
    <n v="0"/>
    <n v="0"/>
    <n v="1"/>
    <n v="0"/>
    <n v="0"/>
    <s v="Sin meta programada"/>
    <n v="0"/>
    <s v="Sin meta programada para este periodo"/>
    <n v="1"/>
    <s v="Se activaron las licencias de Power Virtual Agent. para el chatbot con una disponibilidad de 2000 sesiones al mes. Se anexa pantallazo del Chatbot en teams listo para pruebas "/>
    <m/>
    <m/>
    <d v="2021-04-09T00:00:00"/>
    <d v="2021-07-02T00:00:00"/>
    <d v="2021-10-14T00:00:00"/>
    <m/>
    <n v="1"/>
    <s v=""/>
    <s v=""/>
    <n v="1"/>
    <s v=" "/>
    <s v="Sin meta asignada en el periodo"/>
    <s v="Sin meta asignada en el periodo"/>
    <s v="Concepto Favorable"/>
    <m/>
    <s v="Sin meta programada para este periodo"/>
    <s v="Sin meta programada para este periodo"/>
    <s v="Se verifica la información con la evidencia aportada: Pantallazos del chat bot, al ser coincidentes se aprueba el seguimiento. "/>
    <m/>
    <x v="1"/>
    <x v="1"/>
    <x v="0"/>
    <x v="0"/>
    <s v="No hay meta programada para el periodo"/>
    <s v="No hay meta asignada para el periodo"/>
    <s v="Se evidencia pantallazo del Chatbot en teams listo para pruebas como desarrollo a la implementacion, se valida el seguimiento "/>
    <m/>
  </r>
  <r>
    <n v="19"/>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Subdirección de Infraestructura Tecnológica"/>
    <s v="Número"/>
    <s v="Porcentaje de implementación de las funcionalidades"/>
    <s v="Eficacia"/>
    <n v="1"/>
    <n v="0"/>
    <n v="0"/>
    <n v="0"/>
    <n v="1"/>
    <n v="0"/>
    <s v="Sin meta programada"/>
    <n v="0"/>
    <s v="Sin meta programada para este periodo"/>
    <n v="0"/>
    <s v="Sin meta programada para este periodo "/>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No hay meta programada para el periodo"/>
    <s v="No hay meta asignada para el periodo"/>
    <s v="Sin meta asignada para el periodo "/>
    <m/>
  </r>
  <r>
    <n v="20"/>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ntra  versionado en el GITLAB._x000a__x000a_Pantallazo del código fuente versionado en GIT Lab "/>
    <s v="Subdirección de Sistemas de Información"/>
    <s v="Número"/>
    <s v="Porcentaje de implementación de las funcionalidades"/>
    <s v="Eficacia"/>
    <n v="1"/>
    <n v="0"/>
    <n v="0"/>
    <n v="0"/>
    <n v="1"/>
    <n v="0"/>
    <s v="Definición de  las especificaciones funcionales "/>
    <n v="0"/>
    <s v="Sin meta programada para este periodo"/>
    <n v="0"/>
    <s v="Sin meta programada para este periodo "/>
    <m/>
    <m/>
    <d v="2021-04-09T00:00:00"/>
    <d v="2021-07-02T00:00:00"/>
    <d v="2021-10-14T00:00:00"/>
    <m/>
    <n v="0"/>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l periodo"/>
    <m/>
    <x v="1"/>
    <x v="1"/>
    <x v="1"/>
    <x v="0"/>
    <s v="No hay meta asignada para el periodo. Se informa que se defieron las especificaciones funcionales "/>
    <s v="No hay meta asignada para el periodo"/>
    <s v="Sin meta asignada para el periodo "/>
    <m/>
  </r>
  <r>
    <n v="21"/>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ón de los componentes de la entidad"/>
    <d v="2021-01-01T00:00:00"/>
    <d v="2021-06-30T00:00:00"/>
    <s v="sistema de autenticación instalado, autenticado"/>
    <s v="Subdirección de Sistemas de Información"/>
    <s v="Número"/>
    <s v="Porcentaje de implementación de las funcionalidades"/>
    <s v="Eficacia"/>
    <n v="1"/>
    <n v="0"/>
    <n v="1"/>
    <n v="0"/>
    <n v="0"/>
    <n v="1"/>
    <s v="Se realizó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s v="Sin meta asignada para el periodo"/>
    <s v="Sin meta asignada para el periodo "/>
    <m/>
  </r>
  <r>
    <n v="22"/>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ón de los componentes de la entidad"/>
    <d v="2021-03-01T00:00:00"/>
    <d v="2021-06-30T00:00:00"/>
    <s v="Aplicación desplegada en ambiente productivo (Enlace)"/>
    <s v="Subdirección de Sistemas de Información"/>
    <s v="Número"/>
    <s v="Porcentaje de implementación de las funcionalidades"/>
    <s v="Eficacia"/>
    <n v="1"/>
    <n v="0"/>
    <n v="1"/>
    <n v="0"/>
    <n v="0"/>
    <n v="1"/>
    <s v="Se llevó a cabo  la puesta en producción de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Se reporta la puesta en producción de la Implementación de único punto de acceso para la autenticación de los componentes de la entidad. Se evidencia URL e impresion de pantalla de la funcionalidad"/>
    <s v="Sin  meta asignada para el periodo"/>
    <s v="Sin meta asignada para el periodo "/>
    <m/>
  </r>
  <r>
    <n v="23"/>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tallazo del código fuente que se encuentra  versionado en el GITLAB."/>
    <s v="Subdirección de Sistemas de Información"/>
    <s v="Número"/>
    <s v="Porcentaje implementación SINIC"/>
    <s v="Eficacia"/>
    <n v="1"/>
    <n v="0"/>
    <n v="0"/>
    <n v="0"/>
    <n v="1"/>
    <n v="1"/>
    <s v="Se realizó  la  Implementación Ventanilla de Trámites - Simplificación de trámites"/>
    <n v="0"/>
    <s v="La actividad se realizó en el primer trimestre"/>
    <n v="0"/>
    <s v="La actividad se realizó en el primer trimestre "/>
    <m/>
    <m/>
    <d v="2021-04-09T00:00:00"/>
    <d v="2021-07-02T00:00:00"/>
    <d v="2021-10-14T00:00:00"/>
    <m/>
    <n v="1"/>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Se informa que se hizo la Implementación Ventanilla de Trámites - Simplificación de trámites. Se evidencian documentos Diseño Técnico Servicio Ciudadano de Autenticación Digital - IGAC, Textos de ventanilla e Historia de usuario."/>
    <s v="No hay meta asignada para el periodo"/>
    <s v="Sin meta asignada en el periodo "/>
    <m/>
  </r>
  <r>
    <n v="24"/>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tallazo del código fuente que se encuentra  versionado en el GITLAB."/>
    <s v="Subdirección de Sistemas de Información"/>
    <s v="Número"/>
    <s v="Porcentaje implementación SINIC"/>
    <s v="Eficacia"/>
    <n v="1"/>
    <n v="0"/>
    <n v="0"/>
    <n v="0"/>
    <n v="1"/>
    <n v="1"/>
    <s v="Se llevó a cabo la puesta en producción Ventanilla de Trámites - Simplificación de trámites"/>
    <n v="0"/>
    <s v="La actividad se realizó en el primer trimestre"/>
    <n v="0"/>
    <s v="La actividad se realizó en el primer trimestre "/>
    <m/>
    <m/>
    <d v="2021-04-09T00:00:00"/>
    <d v="2021-07-02T00:00:00"/>
    <d v="2021-10-14T00:00:00"/>
    <m/>
    <n v="1"/>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s v="No hay meta asignada para el periodo"/>
    <s v="Sin meta asignada en el periodo "/>
    <m/>
  </r>
  <r>
    <n v="25"/>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Tecnologías de la Información y Comunicaciones"/>
    <s v="Porcentaje"/>
    <s v="Índice de desempeño institucional"/>
    <s v="Producto"/>
    <n v="1"/>
    <n v="0"/>
    <n v="0"/>
    <n v="0.5"/>
    <n v="0.5"/>
    <n v="0"/>
    <s v="Sin meta programada"/>
    <n v="0"/>
    <s v="Sin meta programada para este periodo"/>
    <n v="0"/>
    <s v="Se llevó a cabo con la Oficina Asesora de Planeación la reunión para establecler el cronograma de la actualización documental."/>
    <m/>
    <m/>
    <d v="2021-04-09T00:00:00"/>
    <d v="2021-07-02T00:00:00"/>
    <d v="2021-10-14T00:00:00"/>
    <m/>
    <n v="0"/>
    <s v=""/>
    <s v=""/>
    <n v="0"/>
    <s v=" "/>
    <s v="Sin meta asignada en el periodo"/>
    <s v="Sin meta asignada en el periodo"/>
    <s v="Concepto No Favorable"/>
    <m/>
    <s v="Sin meta programada para este periodo"/>
    <s v="Sin meta programada para este periodo"/>
    <s v="No se presenta avance en cuanto a la meta"/>
    <m/>
    <x v="1"/>
    <x v="1"/>
    <x v="2"/>
    <x v="0"/>
    <s v="Sin meta para el periodo"/>
    <s v="Sin meta asignada para el periodo "/>
    <s v="No se observan cargue de evidencias para esta actividad."/>
    <m/>
  </r>
  <r>
    <n v="26"/>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Tecnologías de la Información y Comunicaciones"/>
    <s v="Número"/>
    <s v="Índice de desempeño institucional"/>
    <s v="Producto"/>
    <n v="4"/>
    <n v="1"/>
    <n v="1"/>
    <n v="1"/>
    <n v="1"/>
    <n v="1"/>
    <s v="Se realizó el seguimiento a los controles de los riesgos del proceso "/>
    <n v="1"/>
    <s v="Se realizó  seguimiento a los controles de los riesgos,  las evidencias  se encuentran en el respectivo OneDrive."/>
    <n v="1"/>
    <s v="Se realizó  seguimiento a los controles de los riesgos,  las evidencias  se encuentran en el respectivo OneDrive."/>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con la evidencia aportada: Planigac diligenciado, al ser coincidentes se aprueba el seguimiento. "/>
    <m/>
    <x v="0"/>
    <x v="0"/>
    <x v="0"/>
    <x v="0"/>
    <s v="Se evidencia archivo Planigac con seguimiento a los controles de los riesgos del proceso gestión informática de soporte correspondiente al primer trimestre de 2021"/>
    <s v="Se evidencia como soporte la  herramienta planigac, se valida el seguimiento"/>
    <s v="Se evidencia como soporte Planigac dilingeciado, se valida el seguimiento "/>
    <m/>
  </r>
  <r>
    <n v="27"/>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Tecnologías de la Información y Comunicaciones"/>
    <s v="Número"/>
    <s v="Índice de desempeño institucional"/>
    <s v="Producto"/>
    <n v="1"/>
    <n v="0"/>
    <n v="0"/>
    <n v="0"/>
    <n v="1"/>
    <n v="0"/>
    <s v="Sin meta programada"/>
    <n v="0"/>
    <s v="Sin meta programada para este periodo"/>
    <n v="0"/>
    <s v="Sin meta programada"/>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asignada para el periodo"/>
    <s v="Sin meta asignada en el periodo "/>
    <m/>
  </r>
  <r>
    <n v="28"/>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Tecnologías de la Información y Comunicaciones"/>
    <s v="Número"/>
    <s v="Índice de desempeño institucional"/>
    <s v="Producto"/>
    <n v="4"/>
    <n v="1"/>
    <n v="1"/>
    <n v="1"/>
    <n v="1"/>
    <n v="1"/>
    <s v="Realizó  las actividades contempladas en el plan de acción anual y en el plan anticorrupción."/>
    <n v="1"/>
    <s v="Se realizó  las actividades contempladas en el plan de acción anual y en el plan anticorrupción,  las evidencias se encuentran en el respectivo OneDrive."/>
    <n v="1"/>
    <s v="Se realizó  las actividades contempladas en el plan de acción anual y en el plan anticorrupción,  las evidencias se encuentran en el respectivo OneDrive."/>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y la evidencia aportada: Plan de acción con seguimiento y plan anticorrupción, al ser coincidentes se aprueba el seguimiento. "/>
    <m/>
    <x v="0"/>
    <x v="0"/>
    <x v="0"/>
    <x v="0"/>
    <s v="Se evidencia archivo Planigac con seguimiento a las actividades del plan de acción anual del proceso gestión informática de soporte, correspondiente al primer trimestre de 2021"/>
    <s v="Se evidencia como soporte herramienta planigac, se valida el segumiento "/>
    <s v="Se evidencia como soporte Plan de accion con seguimiento y plan anticorrupcion, se valida el seguimiento"/>
    <m/>
  </r>
  <r>
    <n v="29"/>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Tecnologías de la Información y Comunicaciones"/>
    <s v="Número"/>
    <s v="Índice de desempeño institucional"/>
    <s v="Producto"/>
    <n v="2"/>
    <n v="0"/>
    <n v="0"/>
    <n v="0"/>
    <n v="2"/>
    <n v="0"/>
    <s v="Sin meta programada "/>
    <n v="0"/>
    <s v="Sin meta programada para este periodo"/>
    <n v="0"/>
    <s v="Sin meta program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asignada para el periodo"/>
    <s v="Sin meta asignada en el periodo "/>
    <m/>
  </r>
  <r>
    <n v="30"/>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Tecnologías de la Información y Comunicaciones"/>
    <s v="Número"/>
    <s v="Índice de desempeño institucional"/>
    <s v="Producto"/>
    <n v="4"/>
    <n v="0"/>
    <n v="2"/>
    <n v="1"/>
    <n v="1"/>
    <n v="0"/>
    <s v="Sin meta programada"/>
    <n v="2"/>
    <s v="Se realizaron dos actividades para identificar e implementar oportunidades de mejora relacionadas al cumplimiento del FURAG que apliquen al proceso."/>
    <n v="1"/>
    <s v="Se realizó  seguimiento   y se evidenció el avance en la implementación de las oportunidades de mejora relacionadas con el cumplimiento del FURAG que aplican al proceso"/>
    <m/>
    <m/>
    <d v="2021-04-09T00:00:00"/>
    <d v="2021-07-02T00:00:00"/>
    <d v="2021-10-14T00:00:00"/>
    <m/>
    <n v="0.75"/>
    <s v=""/>
    <n v="1"/>
    <n v="1"/>
    <s v=" "/>
    <s v="Sin meta asignada en el periodo"/>
    <s v="Concepto Favorable"/>
    <s v="Concepto Favorable"/>
    <m/>
    <s v="Sin meta programada para este periodo"/>
    <s v="Se valida el seguimiento y la evidencia aportada: formulario FURAG, correo electrónico, detalle de la reunión realizada, al ser coincidentes se aprueba el seguimiento."/>
    <s v="Se verifica la información y evidencia aportada: Matriz de seguimiento FURAG al ser coincidentes se aprueba el seguimiento. "/>
    <m/>
    <x v="1"/>
    <x v="0"/>
    <x v="0"/>
    <x v="0"/>
    <s v="No hay meta programada para el periodo"/>
    <s v="Para este trimestre se evidencia : formulario FURAG, correo electrónico y   reunión , se valida el seguimiento "/>
    <s v="Para este tercer trimestre se evidencia la matriz de seguimiento FURAG, se valida el seguimiento"/>
    <m/>
  </r>
  <r>
    <n v="31"/>
    <x v="9"/>
    <s v="Diseño y Desarrollo de Sistemas de Información"/>
    <s v="Colombia en mapas con funcionalidades y servicios disponible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Subdirección de Sistemas de Información"/>
    <s v="Número"/>
    <s v="Funcionalidades disponibles"/>
    <s v="Eficacia"/>
    <n v="3"/>
    <n v="0"/>
    <n v="0"/>
    <n v="2"/>
    <n v="1"/>
    <n v="0"/>
    <s v="Esta actividad se encuentra programada para iniciar en el mes de abril."/>
    <n v="1"/>
    <s v="Se realizó la configuración del servicio de geocodificación de direcciones a nivel público para su integración con Colombia en Mapas, el servicio se encuentra en producción y a la espera de su integración por parte de la Subdirección de Cartografía."/>
    <n v="2"/>
    <s v="Se realizó el diseño e implementación de tres funcionalidades:_x000d__x000a_1.Servicio de Geocodificación._x000d__x000a_2.Buscador de texto abierto._x000d__x000a_3.Consulta/Descarga de Hojas Cartográficas_x000d__x000a_"/>
    <m/>
    <m/>
    <d v="2021-04-09T00:00:00"/>
    <d v="2021-07-02T00:00:00"/>
    <d v="2021-10-14T00:00:00"/>
    <m/>
    <n v="1"/>
    <s v=""/>
    <s v=""/>
    <n v="1"/>
    <s v=" "/>
    <s v="Sin meta asignada en el periodo"/>
    <s v="Concepto Favorable"/>
    <s v="Concepto Favorable"/>
    <m/>
    <s v="Actividad programada para el mes de abril "/>
    <s v="Se valida el seguimiento y la evidencia aportada: Manual de usuario del servicio de geocodificación, al ser coincidentes se aprueba el seguimiento. "/>
    <s v="Se verifica la información con la evidencia aportada: Documentos de funcionalidades desarrolladas, al ser coincidentes se aprueba el seguimiento. "/>
    <m/>
    <x v="1"/>
    <x v="0"/>
    <x v="0"/>
    <x v="0"/>
    <s v="Sin meta programada para este periodo"/>
    <s v="Se verifica ejecución de la actividad mediante el Manual de Servicio de Geocodificación IGAC Versión 1.0, que será integrado con Colombia en Mapas."/>
    <s v="Se verifica ejecución de la actividad con los documentos de funcionalidades desarrollada, se valida el seguimiento "/>
    <m/>
  </r>
  <r>
    <n v="32"/>
    <x v="9"/>
    <s v="Gestión de Tecnologías de Información"/>
    <s v="Niveles de información dispuestos a través de Geoservicio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Subdirección de Información "/>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n v="93"/>
    <s v="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
    <n v="64"/>
    <s v="Se realizó el monitoreo automático de 465 geoservicios los cuales se encuentran operando plenamente, se restableció la conexión de 10 geoservicios y se  realizó la gestión e incorporación de 64 nuevos geoservicios.  En total se tienen 539 geoservicios publicados y disponibles."/>
    <m/>
    <m/>
    <d v="2021-04-09T00:00:00"/>
    <d v="2021-07-02T00:00:00"/>
    <d v="2021-10-14T00:00:00"/>
    <m/>
    <n v="1"/>
    <s v=""/>
    <n v="1"/>
    <n v="1"/>
    <s v=" "/>
    <s v="Concepto Favorable"/>
    <s v="Concepto Favorable"/>
    <s v="Concepto Favorable"/>
    <m/>
    <s v="Se verifica el seguimiento y la evidencia aportada, al ser coincidentes se aprueba el seguimiento"/>
    <s v="Se valida el seguimiento y la evidencia aportada: reporte de monitoreo de servicios, al ser coincidentes se aprueba el seguimiento."/>
    <s v="Se verifica la información con la evidencia aportada: Documentos de monitoreo de geoservicios, al ser coincidentes se aprueba el seguimiento. "/>
    <m/>
    <x v="1"/>
    <x v="0"/>
    <x v="0"/>
    <x v="0"/>
    <s v="Aunque no se reporta avance cuantitativo para el trimestre, Sí se reporta avance en el autoseguimiento. Se evidencia reporte de monitoreo de los geoservicios mediante la herramienta HeoHealthCheck de 372 geoservicios."/>
    <s v="Se observa ejecución de la actividad mediante excel monitoreo de geoservicios adelantado en el segundo trimestre 2021. Se incorporan 93 nuevos geoservicios y se monitorearon los 372 que se tenian publicados, para un total de 465 disponibles.  "/>
    <s v="Se observa ejecución de la actividad mediante monitoreo de  geoservicios los cuales se encuentran operando plenamente.  En total se tienen 539 geoservicios publicados y disponibles. Se valida el seguimiento"/>
    <m/>
  </r>
  <r>
    <n v="33"/>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Subdirección de Información "/>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n v="0.2"/>
    <s v="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_x000a_Se inició el diseño de la nueva plataforma tecnológica con parte del equipo de consultores de tecnología. Se avanza en la captura de requerimientos mediante talleres. (Metodología Tanques de Pensamiento)."/>
    <n v="0.4"/>
    <s v="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
    <m/>
    <m/>
    <d v="2021-04-09T00:00:00"/>
    <d v="2021-07-02T00:00:00"/>
    <d v="2021-10-14T00:00:00"/>
    <m/>
    <n v="0.60000000000000009"/>
    <s v=""/>
    <n v="1"/>
    <n v="1"/>
    <s v=" "/>
    <s v="Sin meta asignada en el periodo"/>
    <s v="Concepto Favorable"/>
    <s v="Concepto Favorable"/>
    <m/>
    <s v="Actividad programada para el mes de abril "/>
    <s v="Se valida el seguimiento y la evidencia aportada: términos de referencia de los consultores y documentos de avances del proyecto, al ser coincidentes se aprueba el seguimiento."/>
    <s v="Se verifica la información y la evidencia aportada: Correo de lanzamiento de la plataforma ICDE al ser coincidentes se aprueba el seguimiento. "/>
    <m/>
    <x v="1"/>
    <x v="0"/>
    <x v="0"/>
    <x v="0"/>
    <s v="Sin meta programada para este periodo"/>
    <s v="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
    <s v="Se observa ejecución de la actividad mediante el  Correo de lanzamiento de la plataforma ICDE , se valida el seguimiento"/>
    <m/>
  </r>
  <r>
    <n v="34"/>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Subdirección de Información "/>
    <s v="Porcentaje"/>
    <s v="Servicios tecnológicos para la optimización de la operación catastral diseñados y puestos en operación"/>
    <s v="Eficacia"/>
    <n v="1"/>
    <n v="0"/>
    <n v="0.2"/>
    <n v="0.4"/>
    <n v="0.4"/>
    <n v="0"/>
    <s v="Esta actividad iniciara a partir del mes de abril."/>
    <n v="0.2"/>
    <s v="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
    <n v="0.4"/>
    <s v="Se desarrolló y puso a disposición el servicio tecnológico de geocodificación de direcciones en su versión 1.0."/>
    <m/>
    <m/>
    <d v="2021-04-09T00:00:00"/>
    <d v="2021-07-02T00:00:00"/>
    <d v="2021-10-14T00:00:00"/>
    <m/>
    <n v="0.60000000000000009"/>
    <s v=""/>
    <n v="1"/>
    <n v="1"/>
    <s v=" "/>
    <s v="Sin meta asignada en el periodo"/>
    <s v="Concepto Favorable"/>
    <s v="Concepto Favorable"/>
    <m/>
    <s v="Actividad programada para el mes de abril "/>
    <s v="Se valida el seguimiento y la evidencia aportada: documento técnico del desarrollo del servicio, correos electrónicos de avance y términos de referencia del consultor para desarrollar el proyecto, al ser coincidentes se aprueba el seguimiento."/>
    <s v="Se verifica la información y la evidencia aportada: Documento con el link de ubicación del servicio, al ser coincidentes se aprueba el seguimiento. "/>
    <m/>
    <x v="1"/>
    <x v="0"/>
    <x v="0"/>
    <x v="0"/>
    <s v="Sin meta programada para este periodo"/>
    <s v="Se verifica ejecución de la actividad con Informe de Evaluación CO-IGAC-221831-CS-INDV, Informe de Evaluación 3 H.V. CO-IGAC-223157-CS-INDV, Documento 26/04/2021 Servicio Geocodificaciön Versión 1.0 y Terminos de Referencia. "/>
    <s v="Se verifica ejecución de la actividad con  documento con el link de ubicación del servicio, se valida el seguimiento"/>
    <m/>
  </r>
  <r>
    <n v="35"/>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ntación del catastro  multipropósito, la administración del territorio."/>
    <d v="2021-03-01T00:00:00"/>
    <d v="2021-12-30T00:00:00"/>
    <s v="Conjuntos de datos fundamentales dispuestos de la matriz de insumos."/>
    <s v="Subdirección de Información "/>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n v="0"/>
    <s v="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
    <n v="0"/>
    <s v="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_x000a__x000d__x000a_El objeto territorial Zonas de Protección Patrimonial Geológica y Paleontológica del Servicio Geológico Colombiano (SGC) se encuentra en proceso de revisión conjunta de los atributos que harán parte del modelo._x000d__x000a__x000d__x000a_Se inició gestión con DNP para iniciar sesiones temáticas con otras entidades como ANM, ANH, ANT, UPME y DIMAR._x000d__x000a_"/>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lineamientos del modelo de objetos territoriales, lineamientos del inventario de objetos territoriales, documento de presentación al DANE, al ser coincidentes se aprueba el seguimiento."/>
    <s v="Se verifica la información y la evidencia aportada: Documento modelo de paramos, al ser coincidentes se aprueba el seguimiento."/>
    <m/>
    <x v="1"/>
    <x v="0"/>
    <x v="0"/>
    <x v="0"/>
    <s v="No se reporta avance cuantitativo. Se informa de avances en el modelamiento LADM de algunos objetos y de Entidades territoriales."/>
    <s v="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
    <s v="Se observa ejecución de la actividad mediante evidencia aportada Documento modelo de paramos, se valida el seguimiento"/>
    <m/>
  </r>
  <r>
    <n v="36"/>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Subdirección de Información "/>
    <s v="Número"/>
    <s v="Número de conjuntos de datos dispuestos  como apoyo al catastro multipropósito y a la administración del territorio"/>
    <s v="Eficacia"/>
    <n v="45"/>
    <n v="0"/>
    <n v="5"/>
    <n v="15"/>
    <n v="25"/>
    <n v="0"/>
    <s v="Esta actividad iniciara a partir del mes de abril."/>
    <n v="0"/>
    <s v="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
    <n v="41"/>
    <s v="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
    <m/>
    <m/>
    <d v="2021-04-09T00:00:00"/>
    <d v="2021-07-02T00:00:00"/>
    <d v="2021-10-14T00:00:00"/>
    <m/>
    <n v="0.91111111111111109"/>
    <s v=""/>
    <n v="0"/>
    <n v="1"/>
    <s v=" "/>
    <s v="Sin meta asignada en el periodo"/>
    <s v="Concepto No Favorable"/>
    <s v="Concepto Favorable"/>
    <m/>
    <s v="Actividad programada para el mes de abril"/>
    <s v="No se cumplió la meta "/>
    <s v="Se verifica la información y evidencia aportada: Documento con link de acceso a los datos fundamentales, al ser coincidentes se aprueba el seguimiento. "/>
    <m/>
    <x v="1"/>
    <x v="2"/>
    <x v="0"/>
    <x v="0"/>
    <s v="Sin meta programada para este periodo"/>
    <s v="Se incumplió la meta."/>
    <s v="Como soporte de evidencia para el seguimiento se observa Documentos con link de acceso a datos fundamentales de las entidades  de Ministerio de Ambiente y Desarrollo Sostenible , Dirección General Marítima (DIMAR), Instituto Geográfico Agustín Codazzi (IGAC) y DANE , se valida el seguimiento"/>
    <m/>
  </r>
  <r>
    <n v="37"/>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Subdirección de Información "/>
    <s v="Número"/>
    <s v="Número de conjuntos de datos dispuestos  como apoyo al catastro multipropósito y a la administración del territorio"/>
    <s v="Eficacia"/>
    <n v="1"/>
    <n v="0"/>
    <n v="0"/>
    <n v="0"/>
    <n v="1"/>
    <n v="0"/>
    <s v="Esta actividad iniciara a partir del mes de abril."/>
    <n v="0"/>
    <s v="Se elaboró términos de referencia para la contratación de dos consultores en gestión de datos geográficos. Se realizó sesión de trabajo con proveedores de tecnologías de observación de la tierra para explorar el estado del arte del mercado (ocho empresas)."/>
    <n v="0"/>
    <s v="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
    <m/>
    <m/>
    <d v="2021-04-09T00:00:00"/>
    <d v="2021-07-02T00:00:00"/>
    <d v="2021-10-14T00:00:00"/>
    <m/>
    <n v="0"/>
    <s v=""/>
    <s v=""/>
    <s v=""/>
    <s v=" "/>
    <s v="Sin meta asignada en el periodo"/>
    <s v="Concepto Favorable"/>
    <s v="Concepto Favorable"/>
    <m/>
    <s v="Actividad programada para el mes de abril"/>
    <s v="Se valida el seguimiento y la evidencia aportada: términos de referencia y correos de exploración de mercado, al ser coincidentes se aprueba el seguimiento."/>
    <s v="Se verifica la información y la evidencia aportada: Documentos de contratación, al ser coincidentes se aprueba el seguimiento. "/>
    <m/>
    <x v="1"/>
    <x v="0"/>
    <x v="0"/>
    <x v="0"/>
    <s v="Sin meta programada para este periodo"/>
    <s v="Se observa ejecución de la actividad a través de la evidencia aportada (Excel contactos empresariales, correo de exploración mercado junio 2021, invitación 17/06/2021, Términos de referencia Gestión Información-1y2-BID 02/06/2021). "/>
    <s v="Se observa ejecución de la actividad a través de la evidencia aportada como documentos del proceso de  contratacion, se valida el seguimiento"/>
    <m/>
  </r>
  <r>
    <n v="38"/>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Subdirección de Información "/>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n v="0"/>
    <s v="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
    <n v="1"/>
    <s v="Con el lanzamiento de la Plataforma ICDE, se actualizó y publicó el nuevo Marco de Referencia Geoespacial, al presente corte se da por cumplida la meta."/>
    <m/>
    <m/>
    <d v="2021-04-09T00:00:00"/>
    <d v="2021-07-02T00:00:00"/>
    <d v="2021-10-14T00:00:00"/>
    <m/>
    <n v="1"/>
    <s v=""/>
    <s v=""/>
    <s v=""/>
    <s v=" "/>
    <s v="Concepto Favorable"/>
    <s v="Concepto Favorable"/>
    <s v="Concepto Favorable"/>
    <m/>
    <s v="Se verifica el seguimiento y la evidencia aportada, al ser coincidentes se aprueba el seguimiento"/>
    <s v="Se valida el seguimiento y la evidencia aportada: plenaria de la ICDE, actas de reunión, registros de asistencia y presentaciones, al ser coincidentes se aprueba el seguimiento."/>
    <s v="Se verifica la información y la evidencia aportada: Documento con link al marco de referencia de la ICDE, al ser coincidentes se aprueba el seguimiento. "/>
    <m/>
    <x v="1"/>
    <x v="0"/>
    <x v="0"/>
    <x v="0"/>
    <s v="No se reporta avance cuantitativo. Se evidencia documento de lineamientos del marco de referencia geoespacial para siete rutas estratégicas "/>
    <s v="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
    <s v="Se verifica ejecución de la actividad mediante el lanzamiento de la Plataforma y  el nuevo Marco de Referencia Geoespacial, se valida el seguimiento"/>
    <m/>
  </r>
  <r>
    <n v="39"/>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Subdirección de Información "/>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n v="0"/>
    <s v="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
    <n v="1"/>
    <s v="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
    <m/>
    <m/>
    <d v="2021-04-09T00:00:00"/>
    <d v="2021-07-02T00:00:00"/>
    <d v="2021-10-14T00:00:00"/>
    <m/>
    <n v="0.33333333333333331"/>
    <s v=""/>
    <n v="0"/>
    <n v="1"/>
    <s v=" "/>
    <s v="Concepto Favorable"/>
    <s v="Concepto No Favorable"/>
    <s v="Concepto Favorable"/>
    <m/>
    <s v="Se verifica el seguimiento y la evidencia aportada, al ser coincidentes se aprueba el seguimiento"/>
    <s v="No se cumplió la meta "/>
    <s v="Se verifica la información y la evidencia aportada: Informe de seguimiento, al ser coincidentes se aprueba el seguimiento. "/>
    <m/>
    <x v="1"/>
    <x v="2"/>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s v="No se cumplió la meta."/>
    <s v="Se verifica ejecución de la actividad mediante el  Informe de seguimiento para fortalecimiento en el uso y aprovechamiento de la información geoespacial dispuesta a través de la ICDE, se valida el seguimiento"/>
    <m/>
  </r>
  <r>
    <n v="40"/>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Subdirección de Infraestructura Tecnológica"/>
    <s v="Porcentaje"/>
    <s v="Solicitudes de TI atendidas"/>
    <s v="Eficacia"/>
    <n v="1"/>
    <n v="0.25"/>
    <n v="0.25"/>
    <n v="0.25"/>
    <n v="0.25"/>
    <n v="0.25"/>
    <s v="Se atendieron 700 solicitudes (Requerimientos 651 e Incidencias 49), de los cuales se resolvieron 654 casos, atendiendo en un  93%  los casos registrados por los usuarios"/>
    <n v="0.25"/>
    <s v="Se atendieron 784 solicitudes (Requerimientos 704 e Incidencias 80), de los cuales se resolvieron 730 casos, atendiendo en un  92%  los casos registrados por los usuarios"/>
    <n v="0.25"/>
    <s v="Se atendieron 925 solicitudes (Requerimientos 808  e Incidencias 117), de los cuales se resolvieron 834 casos, atendiendo en un  90%  los casos registrados por los usuarios"/>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s de solicitudes atendidas, al ser coincidentes se aprueba el seguimiento"/>
    <s v="Se verifica la información y la evidencia aportada: Reportes de solicitudes atendidas, al ser coincidentes se aprueba el seguimiento. "/>
    <m/>
    <x v="0"/>
    <x v="0"/>
    <x v="0"/>
    <x v="0"/>
    <s v="Se evidencian archivos Excel con la relación de casos atendudis en la herramienta GLPI durante el primer trimestre del año 2021"/>
    <s v="Para este trimestre se evidencia los reportes de solicitudes atendidas , se valida el seguimiento "/>
    <s v="Se evidencian archivos Excel con la relación de casos atendidos  en la herramienta GLPI durante el tercer trimestre del año 2021"/>
    <m/>
  </r>
  <r>
    <n v="41"/>
    <x v="9"/>
    <s v="Diseño y Desarrollo de Sistemas de Información"/>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Subdirección de Sistemas de Información"/>
    <s v="Porcentaje"/>
    <s v="Solicitudes de TI atendidas"/>
    <s v="Eficacia"/>
    <n v="1"/>
    <n v="0.25"/>
    <n v="0.25"/>
    <n v="0.25"/>
    <n v="0.25"/>
    <n v="0.25"/>
    <s v="Se resolvieron 1235 de 1558 de solicitudes, donde se evidencia un índice de cumplimiento del 81%"/>
    <n v="0.25"/>
    <s v="Se resolvieron 2084 de 2239 de solicitudes, donde se evidencia un índice de cumplimiento del 93%"/>
    <n v="0.25"/>
    <s v="Se resolvieron 2839 de 3051 de solicitudes, donde se evidencia un índice de cumplimiento del 93%"/>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 de las solicitudes relacionadas con sistemas de información atendidas"/>
    <s v="Se verifica la información y la evidencia aportada: Reportes de atención de solicitudes, al ser coincidentes se aprueba el seguimiento. "/>
    <m/>
    <x v="0"/>
    <x v="0"/>
    <x v="0"/>
    <x v="0"/>
    <s v="Se evidencian archivos con la relación de requerimientos del SNC atendidos en GLPI "/>
    <s v="Se evidencia el reporte de las solicitudes relacionadas con sistemas de información atendidas, se valida el seguimiento "/>
    <s v="Se evidencia el reporte de las solicitudes relacionadas con sistemas de información atendidas, se valida el seguimiento "/>
    <m/>
  </r>
  <r>
    <n v="42"/>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Subdirección de Infraestructura Tecnológica"/>
    <s v="Porcentaje"/>
    <s v="Solicitudes de TI atendidas"/>
    <s v="Eficacia"/>
    <n v="1"/>
    <n v="0.25"/>
    <n v="0.25"/>
    <n v="0.25"/>
    <n v="0.25"/>
    <n v="0.25"/>
    <s v="Se atendieron 1601 solicitudes (Requerimientos 1459 e Incidencias 142), de los cuales se resolvieron 1462 casos, atendiendo en un  91%  los casos registrados por los usuarios"/>
    <n v="0.25"/>
    <s v="Se atendieron 1776  solicitudes (Requerimientos 1627 e Incidencias 149), de los cuales se resolvieron 1568 casos, atendiendo en un  89%  los casos registrados por los usuarios"/>
    <n v="0.25"/>
    <s v="Se atendieron 2460 solicitudes (Requerimientos 2190 e Incidencias 270), de los cuales se resolvieron 2327 casos, atendiendo en un  95%  los casos registrados por los usuarios"/>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s de solicitudes atendidas de TI, al ser coincidentes se aprueba el seguimiento"/>
    <s v="Se verifica la información y la evidencia aportada: Reportes de atención de solicitudes, al ser coincidentes se aprueba el seguimiento. "/>
    <m/>
    <x v="0"/>
    <x v="0"/>
    <x v="0"/>
    <x v="0"/>
    <s v="Se evidencia registro de atención de incidencias y requerimientos por parte de la mesa de servicios TI"/>
    <s v="Para este trimestre se evidencia los reportes de solicitudes atendidas de TI, se valida el seguimiento "/>
    <s v="Para este tercer  trimestre se evidencia los reportes de solicitudes atendidas de TI, se valida el seguimiento "/>
    <m/>
  </r>
  <r>
    <n v="43"/>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Estudio de Mercado)"/>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networking, al ser coincidentes se aprueba el seguimiento."/>
    <s v="Se verifica la información y la evidencia aportada: Documento de publicación en SECOP, al ser coincidentes se aprueba el seguimiento. "/>
    <m/>
    <x v="1"/>
    <x v="1"/>
    <x v="0"/>
    <x v="0"/>
    <s v="Sin meta para el periodo"/>
    <s v="Se evidencia el  estudio de mercado y justificación de vigencias futuras para networking, sin embargo para este periodo no se registra meta "/>
    <s v="Se evidencia para el tercer trimestre documento de publicacion en el SECOP,  se valida el seguimiento "/>
    <m/>
  </r>
  <r>
    <n v="44"/>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 Elaboración Ficha Técnica)"/>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la automatización de copias de respaldo, al ser coincidentes se aprueba el seguimiento. "/>
    <s v="Se verifica la información y la evidencia aportada: Pantallazo publicación SECOP, al ser coincidentes se aprueba el seguimiento. "/>
    <m/>
    <x v="1"/>
    <x v="1"/>
    <x v="0"/>
    <x v="0"/>
    <s v="Sin meta para el periodo"/>
    <s v="Se evidencia el  estudio de mercado y justificación de vigencias futuras para la automatización de copias de respaldo, sin embargo para este trimestre no hay asignacion de meta."/>
    <s v="Se evidencia para el tercer trimestre pantallazos de publicacion en el SECOP, se valida el seguimiento"/>
    <m/>
  </r>
  <r>
    <n v="45"/>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Subdirección de Infraestructura Tecnológica"/>
    <s v="Número"/>
    <s v="índice de capacidad en la prestación de servicios de tecnología"/>
    <s v="Eficacia"/>
    <n v="2"/>
    <n v="0"/>
    <n v="1"/>
    <n v="0"/>
    <n v="1"/>
    <n v="0"/>
    <s v="Se finalizó  la Implementación  de la plagtaforma  para llevar a cabo la estrategias de Seguridad y Monitoreo de servicios Web y Nube "/>
    <n v="1"/>
    <s v="Se finalizó  la Implementación  de la plagtaforma  para llevar a cabo la estrategias de Seguridad y Monitoreo de servicios Web y Nube "/>
    <n v="0"/>
    <s v="Esta actividad se cumplió en el segundo trimestre. "/>
    <m/>
    <m/>
    <d v="2021-04-09T00:00:00"/>
    <d v="2021-07-02T00:00:00"/>
    <d v="2021-10-14T00:00:00"/>
    <m/>
    <n v="0.5"/>
    <s v=""/>
    <n v="1"/>
    <s v=""/>
    <s v=" "/>
    <s v="Concepto Favorable"/>
    <s v="Concepto Favorable"/>
    <s v="Sin meta asignada en el periodo"/>
    <m/>
    <s v="Se verifica el seguimiento y la evidencia aportada, al ser coincidentes se aprueba el seguimiento"/>
    <s v="Se valida el seguimiento y la evidencia aportada: Informe de seguimiento de la implementación de la estrategia de seguridad y monitoreo de servicios web y nube, al ser coincidentes se aprueba el seguimiento"/>
    <s v="Sin meta asignada para el periodo"/>
    <m/>
    <x v="1"/>
    <x v="0"/>
    <x v="1"/>
    <x v="0"/>
    <s v="No se reporta avance cuantitativo. Se informa que se realizó la implementación  de la plagtaforma  para llevar a cabo la estrategias de Seguridad y Monitoreo de servicios Web y Nube "/>
    <s v="Se evidencia el  informe de seguimiento de la implementación de la estrategia de seguridad y monitoreo de servicios web y nube, se valida el seguimiento "/>
    <s v="Sin meta asignada en el periodo "/>
    <m/>
  </r>
  <r>
    <n v="46"/>
    <x v="9"/>
    <s v="Gestión de la Infraestructura"/>
    <s v="Servicios Tecnológicos"/>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Subdirección de Infraestructura Tecnológica"/>
    <s v="Porcentaje"/>
    <s v="índice de capacidad en la prestación de servicios de tecnología"/>
    <s v="Eficacia"/>
    <n v="1"/>
    <n v="0"/>
    <n v="0"/>
    <n v="0"/>
    <n v="1"/>
    <n v="0"/>
    <s v="se realizó Compra de materiales locales , UPS se encuentran en el centro de datos "/>
    <n v="0"/>
    <s v="Sin meta programada para este periodo"/>
    <n v="1"/>
    <s v="Se culminó la instalación de la UPS y Aire acondicionado y se continúa  con los mantenimientos de rutina establecidos dentro del contrato."/>
    <m/>
    <m/>
    <d v="2021-04-09T00:00:00"/>
    <d v="2021-07-02T00:00:00"/>
    <d v="2021-10-14T00:00:00"/>
    <m/>
    <n v="1"/>
    <s v=""/>
    <s v=""/>
    <s v=""/>
    <s v=" "/>
    <s v="Concepto Favorable"/>
    <s v="Sin meta asignada en el periodo"/>
    <s v="Concepto Favorable"/>
    <m/>
    <s v="Se verifica el seguimiento y la evidencia aportada, al ser coincidentes se aprueba el seguimiento"/>
    <s v="Sin meta programada para este periodo"/>
    <s v="Se verifica la información y la evidencia aportada: Informe de instalación de equipos, al ser coincidentes se aprueba el seguimiento. "/>
    <m/>
    <x v="1"/>
    <x v="1"/>
    <x v="0"/>
    <x v="0"/>
    <s v="Se evidencia contrato para Realizar la adecuación, soporte y mantenimiento de los componentes eléctricos, sistemas auxiliares y aires acondicionados requeridos para el correcto funcionamiento del centro de datos del instituto. "/>
    <s v="Sin meta asignada para el periodo "/>
    <s v="Se evidencia para el tercer trimestre informe de instacion de equipos, sevalida el seguimiento"/>
    <m/>
  </r>
  <r>
    <n v="1"/>
    <x v="10"/>
    <s v="Provisión de Empleo y Compensación"/>
    <s v="Rediseño y modernización institucional"/>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tapa de rediseño"/>
    <s v="Subdirección de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n v="0"/>
    <s v="Durante el segundo trimestre se han desarrollado mesas de trabajo con DAFP y Presidencia para generar los decretos de estructura y de planta finales"/>
    <n v="0.5"/>
    <s v="Durante el tercer trimestre se han realizado 13 actividades de 26 programads para la implementaciòn del rediseño y modernización"/>
    <m/>
    <m/>
    <d v="2021-04-09T00:00:00"/>
    <d v="2021-07-02T00:00:00"/>
    <d v="2021-10-13T00:00:00"/>
    <m/>
    <n v="0.5"/>
    <s v=""/>
    <s v=""/>
    <s v=""/>
    <s v=" "/>
    <s v="Sin meta asignada en el periodo"/>
    <s v="Sin meta asignada en el periodo"/>
    <s v="Concepto Favorable"/>
    <m/>
    <s v="No se programo meta para este periodo, aunque se realizaron actividades en ppro de la meta."/>
    <s v="Lla meta esta programada para  el cuarto trimestre "/>
    <s v="Se evidencia plan de trabajo modernización"/>
    <m/>
    <x v="1"/>
    <x v="1"/>
    <x v="0"/>
    <x v="0"/>
    <s v="Sin meta asignada para el periodo, sin embargo no se encuentran evidencias de las actividades desarrolladas."/>
    <s v="Sin meta asignada para el trimestre y sin evidencias de ejecución de la misma."/>
    <s v="Se verifica avance en la ejecución de la actividad a través del Plan de Trabajo Modernización."/>
    <m/>
  </r>
  <r>
    <n v="2"/>
    <x v="10"/>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Subdirección de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Anual de Vacantes,  Res. No. 99 de 2021,  y  Comunicación Interna el 17 de febrero de 2021 se evidencia el cumplimento  de la meta."/>
    <s v="Ya se ejecuto la actividad y se logro la meta en el primer trimetre"/>
    <s v="Esta actividad fue ejecutada en el primer trimestre"/>
    <m/>
    <x v="0"/>
    <x v="1"/>
    <x v="1"/>
    <x v="0"/>
    <s v="El plan anual de Vacantes fue aprobado y adoptado mediante la Resolución 99 de 2021, así mismo fue comunicado mediante correo electrónico del 17 de febrero de 2021, por lo tanto se observa la ejecución de la actividad."/>
    <s v="Actividad ejecutada en el primer trimestre de la vigencia."/>
    <s v="La actividad se adelantó en el primer trimeste."/>
    <m/>
  </r>
  <r>
    <n v="3"/>
    <x v="10"/>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Subdirección de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n v="17"/>
    <s v="De 18 actividades programadas para el trimestre, se dio cumplimiento a 16 actividades, quedando pendiente &quot;Realizar las acciones correspondientes con la Comisión Nacional del Servicio Civil para estructurar el concurso abierto y el concurso de ascenso&quot;, esto debido a que se encuentra sujeto a rediseño institucional (correspondiente al mes de abril y junio).                                                        _x000d__x000a_Adicionalmente en este  trimestre se reporta una actividad  pendiente del primer trimestre:  &quot; Realizar las acciones correspondientes para la provisión de las vacantes definitivas de carrera administrativa(encargos y nombramientos&quot;.  _x000d__x000a_"/>
    <n v="19"/>
    <s v="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
    <m/>
    <m/>
    <d v="2021-04-09T00:00:00"/>
    <d v="2021-07-02T00:00:00"/>
    <d v="2021-10-12T00:00:00"/>
    <m/>
    <n v="0.72881355932203384"/>
    <n v="0.77777777777777779"/>
    <n v="1"/>
    <n v="1"/>
    <s v=" "/>
    <s v="Concepto Favorable"/>
    <s v="Concepto Favorable"/>
    <m/>
    <m/>
    <s v="Se evidencia el cumplimiento de 7 actividades de 9 las dos faltantes dependen del rediseño Institucional"/>
    <s v="De 18 actividades programadas se falta por ejecuatarse las que  se encuentra sujeto a rediseño institucional , se evidencia ejecución de actividad entre otros,  informe de seguimiento mensual al plan."/>
    <m/>
    <m/>
    <x v="1"/>
    <x v="0"/>
    <x v="0"/>
    <x v="0"/>
    <s v="El plan anual de vacantes ha desarrollado algunas actividades, sin embargo otras no se han podido ejecutar debido a que se encuentran sujetas a la reestructuración Institucional."/>
    <s v="De acuerdo con las evidencias suministradas se observa la ejecución del plan anual de vacantes para el año 2021, en donde a junio Se ofertaron 139 vacantes de empleos de carrera administrativa, de las cuales:_x000d__x000a_68 corresponden a vacantes definitivas._x000d__x000a_71 corresponden a vacantes temporales._x000d__x000a_De las vacantes ofertadas, 32 funcionarios fueron encargados de los cuales 10  empleos corresponden a vacancias definitivas y se proyectaron los actos administrativos._x000d__x000a_Durante junio de 2021 se proyectaron 62 actos administrativos para nombramientos provisionales, de los cuales 36 corresponden a nombramientos en empleos en vacancia definitiva._x000d__x000a_"/>
    <s v="Se observan Informes mensuales de seguimiento Plan de Vacantes de julio, agosto y septiembre de 2021 y sus evidencias. "/>
    <m/>
  </r>
  <r>
    <n v="4"/>
    <x v="10"/>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Subdirección de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Anual de Vacantes,  Res. No. 99 de 2021,  y  Comunicación Interna el 17 de febrero de 2021 se evidencia el cumplimento  de la meta."/>
    <s v="La actividad  fue implementada en el primer periodo"/>
    <s v="Esta actividad fue ejecutada en el primer trimestre"/>
    <m/>
    <x v="0"/>
    <x v="1"/>
    <x v="1"/>
    <x v="0"/>
    <s v="El plan de previsión de Recursos Humanos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realizada en el primer trimestre."/>
    <m/>
  </r>
  <r>
    <n v="5"/>
    <x v="10"/>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Subdirección de Talento Humano"/>
    <s v="Número"/>
    <s v="Cumplimiento de Actividades propuestas"/>
    <s v="Eficiencia"/>
    <n v="32"/>
    <n v="5"/>
    <n v="9"/>
    <n v="9"/>
    <n v="9"/>
    <n v="5"/>
    <s v="Durante el primer trimestre se ejecutaron las 5 actividades programadas en el plan de trabajo."/>
    <n v="9"/>
    <s v="Durante el segundo trimestre se ejecutaron las 9 actividades programadas en el plan de trabajo."/>
    <n v="9"/>
    <s v="Durante el tercer trimestre se ejecutaron las 9 actividades programadas en el plan de trabajo."/>
    <m/>
    <m/>
    <d v="2021-04-09T00:00:00"/>
    <d v="2021-07-02T00:00:00"/>
    <d v="2021-10-12T00:00:00"/>
    <m/>
    <n v="0.71875"/>
    <n v="1"/>
    <n v="1"/>
    <n v="1"/>
    <s v=" "/>
    <s v="Concepto Favorable"/>
    <s v="Concepto Favorable"/>
    <s v="Concepto Favorable"/>
    <m/>
    <s v="Se cumplio la meta programada se evidencia en los informes repportados"/>
    <s v="Las 9 actividades programadas fueron ejecutadas, se evidencia ejecución de actividad con  informe de seguimiento mensual al plan y matriz procesos de calidad."/>
    <s v="Las evidencias aportadas corresponden"/>
    <m/>
    <x v="0"/>
    <x v="0"/>
    <x v="0"/>
    <x v="0"/>
    <s v="De acuerdo con las evidencias suministradas y el documento &quot;Informe de mensual de seguimiento plan de previsión RH&quot; de los meses de enero, febrero y marzo se observa el seguimiento realizado por parte del GIT gestión del Talento Humano."/>
    <s v="De acuerdo con las evidencias suministradas y el documento &quot; Informe mensual de seguimiento plan de previsión RH&quot; a 30 de junio se habian realizado las siguientes gestiones:                                            Empleos provistos en propiedad_x0009_ 483_x0009__x000d__x000a_Vacantes definitivas provistas mediante comisión_x0009_1_x000d__x000a_Vacantes definitivas provistas mediante encargo_x0009_107_x0009__x000d__x000a_Vacantes definitivas provistas mediante nombramiento provisional_x0009_211_x000d__x000a_Vacantes temporales provistas mediante encargo_x0009_49_x0009__x000d__x000a_Vacantes temporales provistas mediante nombramiento provisional_x0009_49_x000d__x000a_Vacantes temporales sin proveer_x0009_79_x0009__x000d__x000a_Vacantes definitivas sin proveer_x0009_75_x000d__x000a_Planta IGAC-provista_x0009_900_x0009__x000d__x000a_Empleos vacantes IGAC sin proveer_x0009_154_x000d__x000a_"/>
    <s v="Se verifica ejecución mediante el Informe mensual de seguimiento Plan de Previsión del RH de julio, agosto y septiembre de 2021 y Matriz procesos de calidad TH Plan de Vacantes-Plan Previsión RH2021. "/>
    <m/>
  </r>
  <r>
    <n v="6"/>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égico de Talento Humano"/>
    <d v="2021-01-01T00:00:00"/>
    <d v="2021-02-28T00:00:00"/>
    <s v="Plan Estratégico del Talento Humano"/>
    <s v="Subdirección de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Estrategico del Talento Humano,  Res. No. 99 de 2021,  y  Comunicación Interna el 17 de febrero de 2021 se evidencia el cumplimento  de la meta."/>
    <s v="Meta programada y ejecutada en el primer trimestre"/>
    <s v="Esta actividad fue ejecutada en el primer trimestre"/>
    <m/>
    <x v="0"/>
    <x v="1"/>
    <x v="1"/>
    <x v="0"/>
    <s v="El estratégico de Talento Humano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realizada en primer trimestre."/>
    <m/>
  </r>
  <r>
    <n v="7"/>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Subdirección de Talento Humano"/>
    <s v="Número"/>
    <s v="Cumplimiento de Actividades propuestas"/>
    <s v="Eficiencia"/>
    <n v="63"/>
    <n v="9"/>
    <n v="18"/>
    <n v="18"/>
    <n v="18"/>
    <n v="9"/>
    <s v="Durante el primer trimestre se ejecutaron las 9 actividades programadas en el plan de trabajo."/>
    <n v="18"/>
    <s v="Durante el segundo trimestre se ejecutaron las 18 actividades programadas en el plan de trabajo."/>
    <n v="18"/>
    <s v="Durante el tercer trimestre se ejecutaron las 18 actividades programadas en el plan de trabajo."/>
    <m/>
    <m/>
    <d v="2021-04-09T00:00:00"/>
    <d v="2021-07-02T00:00:00"/>
    <d v="2021-10-12T00:00:00"/>
    <m/>
    <n v="0.7142857142857143"/>
    <n v="1"/>
    <n v="1"/>
    <n v="1"/>
    <s v=" "/>
    <s v="Concepto Favorable"/>
    <s v="Concepto Favorable"/>
    <s v="Concepto Favorable"/>
    <m/>
    <s v="Se evidencia la ejecución de las 9 actividades programadas repportadas en los informes de enero, febreo y marzo."/>
    <s v="La ejecucion de  las  actividades programadas se evidencian con: capacitaciones, asesorias, plan de mejoramientoy  solicitudes"/>
    <s v="Las evidencias corresponden"/>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s v="De acuerdo con las evidencias suministradas se observa el seguimiento realizado por parte del GIT Gestión del Talento Humano al proceso de evaluación del desempeño, mediante la herramienta EDL, analizando y reportando los casos que presentan inconvenientes."/>
    <s v="Se observa ejecución de la actividad a través de los Informes de Gestión de Evaluación del Desempeño Laboral de julio, agosto y septiembre de 2021 y sus evidencias."/>
    <m/>
  </r>
  <r>
    <n v="8"/>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ón y la evaluación comportamental de los gerentes públicos."/>
    <d v="2021-01-01T00:00:00"/>
    <d v="2021-12-31T00:00:00"/>
    <s v="Informe, listas de asistencias, acuerdos de gestión"/>
    <s v="Subdirección de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n v="0"/>
    <s v="Para este periodo no se cuenta con meta "/>
    <n v="3"/>
    <s v="Durante el tercer trimestre se realizaron las actividades programadas y se terminó de realizar las concertaciones faltantes en el primer trimestre"/>
    <m/>
    <m/>
    <d v="2021-04-09T00:00:00"/>
    <d v="2021-07-02T00:00:00"/>
    <d v="2021-10-12T00:00:00"/>
    <m/>
    <n v="0.88888888888888884"/>
    <n v="0.83333333333333337"/>
    <s v=""/>
    <n v="1"/>
    <s v=" "/>
    <s v="Concepto Favorable"/>
    <s v="Sin meta asignada en el periodo"/>
    <s v="Concepto Favorable"/>
    <m/>
    <s v="DE 6 actividades programadas se realizaron 5, se verifica su ejecucion en los informes de los meses enero, febrero y marzo."/>
    <s v="Para este periodo no sedetermino meta."/>
    <s v="LAs evidencas son corcordantes con las actividades propuestas"/>
    <m/>
    <x v="0"/>
    <x v="1"/>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s v="Sin meta asignada para el periodo, sin evidencias de ejecución de la actividad."/>
    <s v="Se verifica ejecución de la acividad mediante el Informe acuerdos de gestión julio 2021 y correos de envío discriminado calificaciones a Directores Territoriales 06/07/2021. "/>
    <m/>
  </r>
  <r>
    <n v="9"/>
    <x v="10"/>
    <s v="Provisión de Empleo y Compensación"/>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Subdirección de Talento Humano"/>
    <s v="Porcentaje"/>
    <s v="Cumplimiento de Actividades propuestas"/>
    <s v="Eficiencia"/>
    <n v="1"/>
    <n v="0.21"/>
    <n v="0.28999999999999998"/>
    <n v="0.21"/>
    <n v="0.28999999999999998"/>
    <n v="0.21"/>
    <s v="Durante el primer trimestre de 2021 se ha llevado a cabo el proceso de nómina sin novedad."/>
    <n v="0.28999999999999998"/>
    <s v="Durante el segundo trimestre de 2021 se ha llevado a cabo el proceso de nómina sin novedad."/>
    <n v="0.21"/>
    <s v="Durante el tercer trimestre de 2021 se ha llevado a cabo el proceso de nómina sin novedad."/>
    <m/>
    <m/>
    <d v="2021-04-09T00:00:00"/>
    <d v="2021-07-02T00:00:00"/>
    <d v="2021-10-12T00:00:00"/>
    <m/>
    <n v="0.71"/>
    <n v="1"/>
    <n v="1"/>
    <n v="1"/>
    <s v=" "/>
    <s v="Concepto Favorable"/>
    <s v="Concepto Favorable"/>
    <s v="Concepto Favorable"/>
    <m/>
    <s v="Con las evidencias aportadas se evidencia el cumplimiento del proceso de nomina."/>
    <s v="El proceso de nomina para el periodo  ha ejecutado sin contra tiempos y con el respectivo seguimiento elproceso. Evidencia su ejecucion  con registros Ra 10 primas semetrrales, Ra 11 nomina de junio, reporte de junio e  el informe mensual de seguimiento, entre otros"/>
    <s v="Se validan procesos de nomina del trimestre"/>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s v="De acuerdo con las evidencias suministradas se observa que el GIT Gestión del Talento Humano ha realizado seguimiento al proceso de nómina, para los meses de abril, mayo y junio y el documento &quot;Informe mensual de seguimiento proceso nómina&quot; en donde se presenta de forma detallada el proceso realizado."/>
    <s v="Se verifica la ejecución del proceso de nómina mediante Informe mensual de seguimiento proceso de nómina de julio, agosto y septiembre 2021."/>
    <m/>
  </r>
  <r>
    <n v="10"/>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ítica"/>
    <s v="Subdirección de Talento Humano"/>
    <s v="Número"/>
    <s v="Cumplimiento de Actividades propuestas"/>
    <s v="Eficiencia"/>
    <n v="1"/>
    <n v="0"/>
    <n v="1"/>
    <n v="0"/>
    <n v="0"/>
    <n v="0"/>
    <s v="Esta actividad se encuentra programada para el siguiente Trimestre"/>
    <n v="1"/>
    <s v="Se validó que se cuenta con la política de conocimiento e innovación"/>
    <n v="0"/>
    <s v="Esta actividad se ejecutó en el segundo trimestre"/>
    <m/>
    <m/>
    <d v="2021-04-09T00:00:00"/>
    <d v="2021-07-02T00:00:00"/>
    <d v="2021-10-12T00:00:00"/>
    <m/>
    <n v="1"/>
    <s v=""/>
    <n v="1"/>
    <s v=""/>
    <s v=" "/>
    <s v="Sin meta asignada en el periodo"/>
    <s v="Concepto Favorable"/>
    <s v="Concepto Favorable"/>
    <m/>
    <s v="En este periodo no tiene programacion de actividad"/>
    <s v="Con evidencias: Análisis experiencias entidades externas _ Transferencia del Conocimiento. Registro de documentos y páginas  consultadas.  y con   la     PL-DEP-07  GESTION DEL CONOCIMIENTO Y LA INNOVACIÓN se  verifico la existenca de la politica en elIGAC"/>
    <s v="Esta actividad se ejecutó en el segundo trimestre"/>
    <m/>
    <x v="1"/>
    <x v="0"/>
    <x v="1"/>
    <x v="0"/>
    <s v="Sin meta asignada para el trimestre y sin evidencias de ejecución de la actividad."/>
    <s v="De acuerdo con las evidencias suministradas y los documentos: &quot;Análisis experiencias entidades externas _ Transferencia del Conocimiento&quot; y el Código: PL-DEP-07 Gestión del concimiento y la innovación se observa que se establecen lineamientos respecto a la política de gestión del conocimiento."/>
    <s v="Actividad adelantada en segundo trimestre."/>
    <m/>
  </r>
  <r>
    <n v="11"/>
    <x v="10"/>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Subdirección de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Institucional de Capacitación,  Res. No. 99 de 2021,  y  Comunicación Interna el 17 de febrero de 2021 se evidencia el cumplimento  de la meta."/>
    <s v="La meta fue ejecutada en ellprimer periodo"/>
    <s v="Esta actividad fue ejecutada en el primer trimestre"/>
    <m/>
    <x v="0"/>
    <x v="1"/>
    <x v="1"/>
    <x v="0"/>
    <s v="El plan Institucional de Capacitación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ejecutada en el primert trimestre."/>
    <m/>
  </r>
  <r>
    <n v="12"/>
    <x v="10"/>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Subdirección de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n v="31"/>
    <s v="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_x000a_Adicionalmente en este trimestre se reporta dos actividades pendientes del primer trimestre: 1. Normatividad procesos de Talento Humano. 2. Lenguaje Claro._x000d__x000a_"/>
    <n v="28"/>
    <s v="Durante el tercer trimestre se realizaron 26 actividades de las 30 programadas, las actividades programadas pendientes son: Gobierno TI_x000d__x000a__x000d__x000a_Manejo de software que permita la captura, edición, análisis, tratamiento, diseño, publicación e impresión de información geográfica (se cancela)_x000d__x000a__x000d__x000a_Sistema Nacional Catastral (cancelada)_x000d__x000a_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
    <m/>
    <m/>
    <d v="2021-04-09T00:00:00"/>
    <d v="2021-07-02T00:00:00"/>
    <d v="2021-10-13T00:00:00"/>
    <m/>
    <n v="0.60550458715596334"/>
    <n v="0.53846153846153844"/>
    <n v="1"/>
    <n v="1"/>
    <s v=" "/>
    <s v="Concepto Favorable"/>
    <s v="Concepto Favorable"/>
    <s v="Concepto Favorable"/>
    <m/>
    <s v="Con las evidencias cargadas en la carpeta compartida se indican las actividades programadas, ejecutas y pendientes, las cuáles serán reprogramadas para el próximo trimestre. "/>
    <s v="Se evidencia la ejecución de la meta con base de datos PIC, matriz de seguimientos, convocatorias,  y registros  de cada una de las actividades, pudiendose comprobar laimplementación de laactividad"/>
    <s v="La evidencia corresponde"/>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s v="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_x000a_"/>
    <s v="Se verifica su ejecución mediante los Informes de Gestión del Plan Institucional de Capacitación de los meses de julio, agosto y septiembre de 2021."/>
    <m/>
  </r>
  <r>
    <n v="13"/>
    <x v="10"/>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Subdirección de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Incentivos Institucionales,  Res. No. 98 de 2021,  y  Comunicación Interna el 17 de febrero de 2021 se evidencia el cumplimento  de la meta."/>
    <s v="No se cuenta con meta, ya  que la actividad fue ejecutada en su totalidad en el primer periodo"/>
    <s v="Esta actividad fue ejecutada en el primer trimestre"/>
    <m/>
    <x v="0"/>
    <x v="1"/>
    <x v="1"/>
    <x v="0"/>
    <s v="El plan de Incentivos Institucionales 2021 fue aprobado y adoptado mediante la Resolución 99 de 2021, así mismo fue comunicado mediante correo electrónico del 17 de febrero de 2021, por lo tanto se observa la ejecución de la actividad."/>
    <s v="Sin meta asignada para el trimestre"/>
    <s v="Actividad realizada en primer trimestre."/>
    <m/>
  </r>
  <r>
    <n v="14"/>
    <x v="10"/>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Subdirección de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n v="7"/>
    <s v="De 4 actividades programadas para el trimestre, se dio cumplimiento a 3 actividades, quedando pendiente una actividad:  &quot;Mejor gerente público&quot;, debido a la entrega por parte de la oficina de planeación del listado de evaluaciones definitivas del periodo 2020._x000d__x000a_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_x000a_"/>
    <n v="4"/>
    <s v="Durante el tercer trimestre se realizaron 2 actividades de los trimestres anteriores, 1 actividad de este trimestre y 1 actividad del cuarto trimestre. Queda pendiente la actividad: Mejor Gerente Público."/>
    <m/>
    <m/>
    <d v="2021-04-09T00:00:00"/>
    <d v="2021-07-02T00:00:00"/>
    <d v="2021-10-12T00:00:00"/>
    <m/>
    <n v="0.91666666666666663"/>
    <n v="0"/>
    <n v="1"/>
    <n v="1"/>
    <s v=" "/>
    <s v="Concepto Favorable"/>
    <s v="Concepto Favorable"/>
    <s v="Concepto Favorable"/>
    <m/>
    <s v="Se evidencia el cumplimiento parcial el desarrollo de las actividades programadas"/>
    <s v="Con resolucion N° 295 de 2021, convocaatorias,  reporte mejor equipo de trabajo, informe - Incentivos, entre otros, se evidencia elcumplimiento del plan de trabajo"/>
    <s v="Las evidencas corresponden"/>
    <m/>
    <x v="2"/>
    <x v="0"/>
    <x v="0"/>
    <x v="0"/>
    <s v="No se presentan evidencias que den cuenta de la ejecución de las actividades que hacen parte del Plan de Incentivos Institucionales 2021"/>
    <s v="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
    <s v="Se verifica la ejecución de la actividad con los Informes Plan de Incentivos correspondientes a los meses de agosto y septiembre de 2021 y sus evidencias."/>
    <m/>
  </r>
  <r>
    <n v="15"/>
    <x v="10"/>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Subdirección de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de Bienestar Institucional,  Res. No. 98 de 2021,  y  Comunicación Interna el 17 de febrero de 2021 se evidencia el cumplimento  de la meta"/>
    <s v="Meta obtenida en el primer trimestre"/>
    <s v="Esta actividad fue ejecutada en el primer trimestre"/>
    <m/>
    <x v="0"/>
    <x v="1"/>
    <x v="1"/>
    <x v="0"/>
    <s v="El plan de Bienestar Institucional fue aprobado y adoptado mediante la Resolución 99 de 2021, así mismo fue comunicado mediante correo electrónico del 17 de febrero de 2021, por lo tanto se observa la ejecución de la actividad."/>
    <s v="Sin meta asignada para el trimestre"/>
    <s v="Actividad efectuada en el primer trimestre"/>
    <m/>
  </r>
  <r>
    <n v="16"/>
    <x v="10"/>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Subdirección de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n v="29"/>
    <s v="De 29 actividades programadas para el trimestre se dio cumplimiento a 27 actividades, quedan pendiente 2 actividades:  1.  Caminatas. 2. Rincón de la lectura._x000d__x000a_Adicionalmente en este trimestre se reporta dos actividades pendientes del primer trimestre: 1. caminatas. 2. Taller de artesanias._x000d__x000a_"/>
    <n v="23"/>
    <s v="Durante el tercer trimestre se realizaron las 22 actividades programadas, y se realizó una actividad que se tenia pendiente del primer trimestre, queda pendiente la actividad: Olimpiadas"/>
    <m/>
    <m/>
    <d v="2021-04-09T00:00:00"/>
    <d v="2021-07-02T00:00:00"/>
    <d v="2021-10-12T00:00:00"/>
    <m/>
    <n v="0.80487804878048785"/>
    <n v="0.875"/>
    <n v="1"/>
    <n v="1"/>
    <s v=" "/>
    <s v="Concepto Favorable"/>
    <s v="Concepto Favorable"/>
    <s v="Concepto Favorable"/>
    <m/>
    <s v="las 2 activideas no implementadas de 16 no fueron ejecutadas por falta de presupuesto y fueron reproramadas"/>
    <s v="Se evidencia el cumplimiento del  plan de trabaj y de dos actividades pendientes con: convocatorias a los diferentes eventos, reportes de vacantes, solicitudes de cancelación RPCA, informes mensuales de seguimiento, matriz de pprocesos de calidad TH plan, entre otros"/>
    <s v="Se evidencias 22 actividades que dan cumplimiento"/>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s v="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_x000a_"/>
    <s v="Se evidencia ejecución de la actividad mediate los Informes del Plan de Bienestar Laboral de julio, agosto y septiembre de 2021."/>
    <m/>
  </r>
  <r>
    <n v="17"/>
    <x v="10"/>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Subdirección de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de Trabajo Anual en Seguridad y Salud en el Trabajo,  Res. No. 100 de 2021,  y  Comunicación Interna del 17 de febrero de 2021 se evidencia el cumplimento  de la meta."/>
    <s v="Actividadejecutada en el primer trimestre"/>
    <s v="Esta actividad fue ejecutada en el primer trimestre"/>
    <m/>
    <x v="0"/>
    <x v="1"/>
    <x v="1"/>
    <x v="0"/>
    <s v="El plan de trabajo anual en seguridad y salud en el trabajo fue aprobado y adoptado mediante la Resolución 99 de 2021, así mismo fue comunicado mediante correo electrónico del 17 de febrero de 2021, por lo tanto se observa la ejecución de la actividad."/>
    <s v="Sin meta asignada para el Trimestre."/>
    <s v="Actividad realizada en primer trimestre."/>
    <m/>
  </r>
  <r>
    <n v="18"/>
    <x v="10"/>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Subdirección de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n v="60"/>
    <s v="De las  60 actividades programadas para el trimestre se dio cumplimiento a 59 actividades. _x000d__x000a_Adicional se ejectuo de los meses anteriores la actividad: &quot; Ejecutar las inspecciones de botiquines, extintores, camillas de emergencias e infraestructura a nivel nacional, y levantar la matriz de necesidades._x000d__x000a_"/>
    <n v="38"/>
    <s v="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
    <m/>
    <m/>
    <d v="2021-04-09T00:00:00"/>
    <d v="2021-07-02T00:00:00"/>
    <d v="2021-10-12T00:00:00"/>
    <m/>
    <n v="0.71171171171171166"/>
    <n v="0.86956521739130432"/>
    <n v="1"/>
    <n v="1"/>
    <s v=" "/>
    <s v="Concepto Favorable"/>
    <s v="Concepto Favorable"/>
    <s v="Concepto Favorable"/>
    <m/>
    <s v="De 69 actividades programas se ejecutaron 60, lo cual se evidencia en los arcivos en el Drive"/>
    <s v="Aporta evidencias que demuestran  la ejecución del plan(inspecciones de botiquines, extintores, camillas de emergencias e infraestructura a nivel nacional, y levantar la matriz de necesidades.)_x000d__x000a_"/>
    <s v="Se validan las evidencias aportadas"/>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s v="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
    <s v="Se observa avance de la actividad a través de los informes de gestión de Seguridad y Salud en el Trabajo correspondientes a los meses de julio, agosto y septiembre de 2021."/>
    <m/>
  </r>
  <r>
    <n v="19"/>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de Talento Humano"/>
    <s v="Porcentaje"/>
    <s v="Avance en la actualización, implementación y seguimiento de las actividades de MIPG"/>
    <s v="Producto"/>
    <n v="1"/>
    <n v="0"/>
    <n v="0"/>
    <n v="0.5"/>
    <n v="0.5"/>
    <n v="0"/>
    <s v="Esta actividad esta programada para el siguiente trimestre"/>
    <n v="0"/>
    <s v="Esta actividad se desarrollara en el tercer y cuarto trimestre"/>
    <n v="0.5"/>
    <s v="Durante el tercer trimestre se dasarrollo el cronograma de actualización de los documentos del SGI del proceso"/>
    <m/>
    <m/>
    <d v="2021-04-09T00:00:00"/>
    <d v="2021-07-02T00:00:00"/>
    <d v="2021-10-12T00:00:00"/>
    <m/>
    <n v="0.5"/>
    <s v=""/>
    <s v=""/>
    <n v="1"/>
    <s v=" "/>
    <s v="Sin meta asignada en el periodo"/>
    <s v="Sin meta asignada en el periodo"/>
    <s v="Concepto Favorable"/>
    <m/>
    <s v="Para ete periodo no tiene determinada meta"/>
    <s v="Esta actividad fue ejecutada en el primer trimestre"/>
    <s v="Se valida con cronograma"/>
    <m/>
    <x v="1"/>
    <x v="1"/>
    <x v="0"/>
    <x v="0"/>
    <s v="Sin meta asignada para el trimestre, sin evidencias de ejecución de las actividades."/>
    <s v="Sin meta asignada para el trimestre."/>
    <s v="Se verifica la actividad con el Cronograma Documental de Talento Humano."/>
    <m/>
  </r>
  <r>
    <n v="20"/>
    <x v="10"/>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Subdirección de Talento Humano"/>
    <s v="Porcentaje"/>
    <s v="Avance en la actualización, implementación y seguimiento de las actividades de MIPG"/>
    <s v="Producto"/>
    <n v="1"/>
    <n v="0"/>
    <n v="0.3"/>
    <n v="0.3"/>
    <n v="0.4"/>
    <n v="1"/>
    <s v="Se realizó el reporte de las actividades del Plan Anticorrupción"/>
    <n v="1"/>
    <s v="Se realizó el reporte de las actividades del Plan Anticorrupción"/>
    <n v="1"/>
    <s v="Se realizó el reporte de las actividades del Plan Anticorrupción y Plan de Acciòn"/>
    <m/>
    <m/>
    <d v="2021-04-09T00:00:00"/>
    <d v="2021-07-02T00:00:00"/>
    <d v="2021-10-13T00:00:00"/>
    <m/>
    <n v="1"/>
    <s v=""/>
    <n v="1"/>
    <n v="1"/>
    <s v=" "/>
    <s v="Concepto Favorable"/>
    <s v="Concepto Favorable"/>
    <s v="Concepto Favorable"/>
    <m/>
    <s v="Se cumplio  con las actividades determinadas en el plan anticorrupción evidenciandose en reporte, informes y en la herramienta Planigac, seguimiento trimestral al Plan Anticorrupcion"/>
    <s v="Se evidencia la ejecución de la actividad en, reporte e  informes en la herramienta Planigac, seguimiento trimestral al Plan Anticorrupcion"/>
    <s v="Se evidencias las actividades de PAA Y RIESGOS"/>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s v="De acuerdo con las evidencias suministradas se observa seguimiento en el archivo denominado &quot;Seguimiento_segundo_trimestre_Plan_anticorrupcion_y_de_atencion_al_ciudadano_2021_v2&quot;"/>
    <s v="Se evidencia ejecución de actividades en Planigac PAA y Riesgos."/>
    <m/>
  </r>
  <r>
    <n v="21"/>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Subdirección de Talento Humano"/>
    <s v="Porcentaje"/>
    <s v="Avance en la actualización, implementación y seguimiento de las actividades de MIPG"/>
    <s v="Producto"/>
    <n v="1"/>
    <n v="0"/>
    <n v="0"/>
    <n v="1"/>
    <n v="0"/>
    <n v="0"/>
    <s v="Esta actividad esta programada para tercer trimestre"/>
    <n v="0"/>
    <s v="Esta actividad se desarrollará en el tercer trimestre "/>
    <n v="1"/>
    <s v="Durante el trimestre se desarrollo mesa de trabajo con la OAP para identificar las acciones de mejora relaciona al cumplimiento del FURAG"/>
    <m/>
    <m/>
    <d v="2021-04-09T00:00:00"/>
    <d v="2021-07-02T00:00:00"/>
    <d v="2021-10-12T00:00:00"/>
    <m/>
    <n v="1"/>
    <s v=""/>
    <s v=""/>
    <n v="1"/>
    <s v=" "/>
    <s v="Sin meta asignada en el periodo"/>
    <s v="Sin meta asignada en el periodo"/>
    <s v="Concepto Favorable"/>
    <m/>
    <s v="No se determmino meta para el primer trimestre"/>
    <s v="No se determmino meta para el segndo trimestre"/>
    <s v="La evidencia corresponde a la actividad propuesta"/>
    <m/>
    <x v="1"/>
    <x v="1"/>
    <x v="0"/>
    <x v="0"/>
    <s v="Sin meta asignada para el trimestre, sin evidencias de ejecución de las actividades."/>
    <s v="Sin meta asignada para el trimestre, sin evidencias de ejecución de las actividades."/>
    <s v="Se observa ejecución de la actividad mediante correo del 13/07/2021 sobre preparación FURAG remisión formato de preguntas y respuestas. "/>
    <m/>
  </r>
  <r>
    <n v="22"/>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Subdirección de Talento Humano"/>
    <s v="Porcentaje"/>
    <s v="Avance en la actualización, implementación y seguimiento de las actividades de MIPG"/>
    <s v="Producto"/>
    <n v="1"/>
    <n v="0"/>
    <n v="0"/>
    <n v="0.4"/>
    <n v="0.6"/>
    <n v="0"/>
    <s v="Esta actividad esta programada para el tercer trimestre"/>
    <n v="0"/>
    <s v="Esta actividad esta programada para el tercer trimestre"/>
    <n v="0.4"/>
    <s v="Se han realizado la implementación de las acciones de mejora relacionadas al cumplimiento del FURAG"/>
    <m/>
    <m/>
    <d v="2021-04-09T00:00:00"/>
    <d v="2021-07-02T00:00:00"/>
    <d v="2021-10-12T00:00:00"/>
    <m/>
    <n v="0.4"/>
    <s v=""/>
    <s v=""/>
    <n v="1"/>
    <s v=" "/>
    <s v="Sin meta asignada en el periodo"/>
    <s v="Sin meta asignada en el periodo"/>
    <s v="Concepto Favorable"/>
    <m/>
    <s v="No se determmino meta para el primer trimestre"/>
    <s v="Meta pprogramada para el tercer trimestre"/>
    <s v="La evidencia corresponde"/>
    <m/>
    <x v="1"/>
    <x v="1"/>
    <x v="0"/>
    <x v="0"/>
    <s v="Sin meta asignada para el trimestre, sin evidencias de ejecución de las actividades."/>
    <s v="Sin meta asignada para el trimestre, sin evidencias de ejecución de las actividades."/>
    <s v="Se evidencia ejecución de la actividad mediante excel de preparación FURAG que contiene las acciones relacionadas."/>
    <m/>
  </r>
  <r>
    <n v="23"/>
    <x v="10"/>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de Talento Humano"/>
    <s v="Porcentaje"/>
    <s v="Avance en la actualización, implementación y seguimiento de las actividades de MIPG"/>
    <s v="Producto"/>
    <n v="1"/>
    <n v="0"/>
    <n v="0"/>
    <n v="0"/>
    <n v="1"/>
    <n v="0"/>
    <s v="Esta actividad esta programada para el tercer trimestre"/>
    <n v="0"/>
    <s v="Esta actividad esta programada para el tercer trimestre"/>
    <n v="0"/>
    <s v="Esta actividad se reprogramo para el cuarto trimestre"/>
    <m/>
    <m/>
    <d v="2021-04-09T00:00:00"/>
    <d v="2021-07-02T00:00:00"/>
    <d v="2021-10-12T00:00:00"/>
    <m/>
    <n v="0"/>
    <s v=""/>
    <s v=""/>
    <s v=""/>
    <s v=" "/>
    <s v="Sin meta asignada en el periodo"/>
    <s v="Sin meta asignada en el periodo"/>
    <s v="Concepto Favorable"/>
    <m/>
    <s v="No se determmino meta para el primer trimestre"/>
    <s v="Meta programada para el siguiente trimestre"/>
    <s v="Esta actividad se reprogramo para el cuarto trimestre"/>
    <m/>
    <x v="1"/>
    <x v="1"/>
    <x v="1"/>
    <x v="0"/>
    <s v="Sin meta asignada para el trimestre, sin evidencias de ejecución de las actividades."/>
    <s v="Sin meta asignada para el trimestre, sin evidencias de ejecución de las actividades."/>
    <s v="No se programó meta para tercer trimestre."/>
    <m/>
  </r>
  <r>
    <n v="1"/>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Oficina de Control Interno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n v="0.3"/>
    <s v="Durante el segundo trimestre se profirieron los actos administrativos necesarios para impulsar y adoptar decisiones de fondo en curso de los procesos de competencia"/>
    <n v="0.3"/>
    <s v="Durante el tercer trimestre se profirieron los actos administrativos necesarios para impulsar y adoptar decisiones de fondo en curso de los procesos de competencia"/>
    <m/>
    <m/>
    <d v="2021-04-09T00:00:00"/>
    <d v="2021-07-02T00:00:00"/>
    <d v="2021-10-12T00:00:00"/>
    <m/>
    <n v="0.8"/>
    <n v="1"/>
    <n v="1"/>
    <n v="1"/>
    <s v=" "/>
    <s v="Concepto Favorable"/>
    <s v="Concepto Favorable"/>
    <s v="Concepto Favorable"/>
    <m/>
    <s v="Se verifico los archivos “Cuadro resumen de los procesos disciplinarios en curso” de los meses de enero febrero mazo y el informe de estado por proceso."/>
    <s v="se verificaron los archivos: cuadro de procesos, informe general de proceso disciplinarios y relación de autos proferidos junio en cumplimiento del resumen de los procesos disciplinarios en curso"/>
    <s v="se verificó el cargue de la evidencia y el reporte del avance"/>
    <m/>
    <x v="0"/>
    <x v="4"/>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s v="De acuerdo con las evidencias presentadas: &quot;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
    <s v="De acuerdo con las evidencias suministradas, &quot;Autos julio, agosto, septiembre&quot; se observa que durante el trimestre se profireron autos de inicio, pruebas y cierre distribuidos de la siguiente manera 26 en julio, 17 en agosto y 31 en septiembre."/>
    <m/>
  </r>
  <r>
    <n v="2"/>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Oficina de Control Interno Disciplinario"/>
    <s v="Porcentaje"/>
    <s v="Porcentaje procesos disciplinarios tramitados"/>
    <s v="Eficacia"/>
    <n v="1"/>
    <n v="0.2"/>
    <n v="0.3"/>
    <n v="0.3"/>
    <n v="0.2"/>
    <n v="0.2"/>
    <s v="Durante el primer trimestre se practicaron las pruebas y diligencias ordenadas en curso de los procesos de competencia "/>
    <n v="0.3"/>
    <s v="Durante el segundo trimestre se practicaron las pruebas y diligencias ordenadas en curso de los procesos de competencia "/>
    <n v="0.3"/>
    <s v="Durante el tercer trimestre se practicaron las pruebas y diligencias ordenadas en curso de los procesos de competencia "/>
    <m/>
    <m/>
    <d v="2021-04-09T00:00:00"/>
    <d v="2021-07-02T00:00:00"/>
    <d v="2021-10-12T00:00:00"/>
    <m/>
    <n v="0.8"/>
    <n v="1"/>
    <n v="1"/>
    <n v="1"/>
    <s v=" "/>
    <s v="Concepto Favorable"/>
    <s v="Concepto Favorable"/>
    <s v="Concepto Favorable"/>
    <m/>
    <s v="Se verifico el archivo pruebas practicadas primer trimestre."/>
    <s v="se verificaron los archivos: solicitud pruebas 2021 corte abril, solicitud pruebas corte mayo, solicitudes de pruebas a junio en cumplimiento del Cuadro resumen de pruebas practicadas, según el expediente."/>
    <s v="se verificó el cargue de la evidencia y el reporte del avance"/>
    <m/>
    <x v="0"/>
    <x v="0"/>
    <x v="0"/>
    <x v="0"/>
    <s v="De acuerdo con el archivo pruebas practicadas para el primer trimestre se han realizado 55 pruebas tanto a las diferentes territoriales como a la sede central, atendiendo los terminos fijados en la ley."/>
    <s v="De acuerdo con las evidencias suministradas se presenta herramienta de monitoreo y seguimiento denominada&quot;Solicitud pruebas&quot; de los meses de abril, mayo y junio en donde se registra las actividades realizadas  respecto a las pruebas y diligencias de los procesos en curso."/>
    <s v="De acuerdo con las evidencias suministradas,&quot;diligencias practicadas julio-agosto, solicitud pruebas julio-agosto, septiembre&quot; se observa que se realizaron 9 diligencias y se solicitaron pruebas en 68 oportunidades."/>
    <m/>
  </r>
  <r>
    <n v="3"/>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Oficina de Control Interno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n v="3"/>
    <s v="Durante el segundo trimestre se realizó seguimiento vía telefonica y por correo electrónico al impulso dado a los procesos disciplinarios que son adelantados en las Direcciones Territoriales."/>
    <n v="3"/>
    <s v="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
    <m/>
    <m/>
    <d v="2021-04-09T00:00:00"/>
    <d v="2021-07-02T00:00:00"/>
    <d v="2021-10-12T00:00:00"/>
    <m/>
    <n v="0.75"/>
    <n v="1"/>
    <n v="1"/>
    <n v="1"/>
    <s v=" "/>
    <s v="Concepto Favorable"/>
    <s v="Concepto Favorable"/>
    <s v="Concepto Favorable"/>
    <m/>
    <s v="se verificaron 10 archivos con correos enviados a las territoriales con correos electrónicos de seguimiento a los procesos disciplinarios."/>
    <s v="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
    <s v="se verificó el cargue de la evidencia y el reporte del avance"/>
    <m/>
    <x v="0"/>
    <x v="0"/>
    <x v="0"/>
    <x v="0"/>
    <s v="De acuerdo con los soportes emtregados se observan correos de seguimiento a los procesos en curso de las direcciones territoriales : Cundinamarca, Norte de Santander, Risaralda, Cauca, Tolima, los cuales fueron enviados en los meses de febrero y marzo."/>
    <s v="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
    <s v="De acuerdo con las evidencias suministradas,&quot; seguimiento septiembre Norte de Santander, Seguimiento septiembre Tolima&quot; se observa el monitoreo realizado a estas direcciones territoriales ejecutando la actividad."/>
    <m/>
  </r>
  <r>
    <n v="4"/>
    <x v="11"/>
    <s v="No aplica"/>
    <s v="Sensibilizaciones y socializaciones a servidores públicos y contratistas del IGAC sobre normatividad disciplinaria vigente y Código de Integridad"/>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Oficina de Control Interno Disciplinario"/>
    <s v="Número"/>
    <s v="Actividades de socialización y sensibilización"/>
    <s v="Eficacia"/>
    <n v="8"/>
    <n v="2"/>
    <n v="2"/>
    <n v="2"/>
    <n v="2"/>
    <n v="3"/>
    <s v="Durante el primer trimestre se se realizaron 3 piezas de sensibilización a servidores públicos y contratistas vinculados al IGAC "/>
    <n v="3"/>
    <s v="Durante el segundo trimestre se se realizaron 3 piezas de sensibilización a servidores públicos y contratistas vinculados al IGAC "/>
    <n v="0"/>
    <s v="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
    <m/>
    <m/>
    <d v="2021-04-09T00:00:00"/>
    <d v="2021-07-02T00:00:00"/>
    <d v="2021-10-12T00:00:00"/>
    <m/>
    <n v="0.75"/>
    <n v="1"/>
    <n v="1"/>
    <n v="1"/>
    <s v=" "/>
    <s v="Concepto Favorable"/>
    <s v="Concepto Favorable"/>
    <s v="Concepto Favorable"/>
    <m/>
    <s v="Verificado el cargue de evidencias"/>
    <s v="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
    <s v="se verificó que en los trimestres anteriores se realizaron actividades de más. Se recomienda al proceso completar la actividad según la programación establecida."/>
    <m/>
    <x v="0"/>
    <x v="0"/>
    <x v="2"/>
    <x v="0"/>
    <s v="De acuerdo con los soportes se observan 3 piezas de sensibilización remitidas a los servidores de la entidad mediante correos 04 de febrero, 22 de febrero y 01 de marzo."/>
    <s v="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
    <s v="No se presentan evidencias de ejecución de la actividad durante el trimestre"/>
    <m/>
  </r>
  <r>
    <n v="5"/>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Oficina de Control Interno Disciplinario"/>
    <s v="Porcentaje"/>
    <s v="Índice de desempeño institucional"/>
    <s v="Producto"/>
    <n v="1"/>
    <n v="0"/>
    <n v="0"/>
    <n v="0.5"/>
    <n v="0.5"/>
    <n v="0"/>
    <s v="Esta actividad se desarrollará en los siguientes trimestres"/>
    <n v="0"/>
    <s v="Esta actividad se desarrollará en tercer trimestre"/>
    <n v="0.5"/>
    <s v="Mediante mesa de trabajo con la OAP se realizó un cronograma de actualización de la información documentada del SGI del proceso. "/>
    <m/>
    <m/>
    <d v="2021-04-09T00:00:00"/>
    <d v="2021-07-02T00:00:00"/>
    <d v="2021-10-12T00:00:00"/>
    <m/>
    <n v="0.5"/>
    <s v=""/>
    <s v=""/>
    <n v="1"/>
    <s v=" "/>
    <s v="Sin meta asignada en el periodo"/>
    <s v="Sin meta asignada en el periodo"/>
    <s v="Concepto Favorable"/>
    <m/>
    <s v="no programada para el primer trimestre"/>
    <s v="Sin meta asignada en el periodo"/>
    <s v="se verificó el cargue de la evidencia y el reporte del avance"/>
    <m/>
    <x v="1"/>
    <x v="1"/>
    <x v="0"/>
    <x v="0"/>
    <s v="Sin meta asignada para el trimestre, sin evidencias de desarrollo de la actividad."/>
    <s v="Sin meta asignada para el trimestre, sin evidencias de desarrollo de la actividad."/>
    <s v="De acuerdo con las evidencias suministradas, &quot;cronograma de actualización de la documentación del proceso se observar el avance de la actividad."/>
    <m/>
  </r>
  <r>
    <n v="6"/>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de Control Interno Disciplinario"/>
    <s v="Número"/>
    <s v="Índice de desempeño institucional"/>
    <s v="Producto"/>
    <n v="4"/>
    <n v="1"/>
    <n v="1"/>
    <n v="1"/>
    <n v="1"/>
    <n v="1"/>
    <s v="Mediante el diligenciamiento de PLANIGAC para el primer trimestre se realiza el seguimiento a los controles de los riesgos del proceso "/>
    <n v="1"/>
    <s v="Mediante el diligenciamiento de PLANIGAC para el segundo trimestre se realiza el seguimiento a los controles de los riesgos del proceso "/>
    <n v="1"/>
    <s v="Mediante el diligenciamiento de PLANIGAC para el tercer trimestre se realiza el seguimiento a los controles de los riesgos del proceso "/>
    <m/>
    <m/>
    <d v="2021-04-09T00:00:00"/>
    <d v="2021-07-02T00:00:00"/>
    <d v="2021-10-12T00:00:00"/>
    <m/>
    <n v="0.75"/>
    <n v="1"/>
    <n v="1"/>
    <n v="1"/>
    <s v=" "/>
    <s v="Concepto Favorable"/>
    <s v="Concepto Favorable"/>
    <s v="Concepto Favorable"/>
    <m/>
    <s v="Se recibió en los tiempos establecidos la herramienta diligenciada y las evidencias."/>
    <s v="se verifica el archivo: PLANIGAC - Control Disciplinario, en cumplimiento del seguimiento en la Herramienta Planigac"/>
    <s v="se verificó el cargue de la evidencia y el reporte del avance"/>
    <m/>
    <x v="0"/>
    <x v="0"/>
    <x v="0"/>
    <x v="0"/>
    <s v="Se observa el seguimiento a los riesgos del proceso de control disciplinario, mediante la herramienta PLANIGAC, reportada en los tiempos establecidos."/>
    <s v="Se observa el seguimiento a los riesgos del proceso de control disciplinario, mediante la herramienta PLANIGAC."/>
    <s v="De acuerdo con las evidencias suministradas, correo electrónico de fecha 14 de octubre se observa la entrega del seguimiento realizado a los controles de los riesgos del proceso de Gestión Disciplinaria."/>
    <m/>
  </r>
  <r>
    <n v="7"/>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Control Interno Disciplinario"/>
    <s v="Número"/>
    <s v="Índice de desempeño institucional"/>
    <s v="Producto"/>
    <n v="1"/>
    <n v="0"/>
    <n v="0"/>
    <n v="0"/>
    <n v="1"/>
    <n v="0"/>
    <s v="Esta actividad se desarrollará en los siguientes trimestres"/>
    <n v="0"/>
    <s v="Esta actividad se desarrollará en el cuarto trimestre"/>
    <n v="0"/>
    <s v="Esta actividad se desarrollará en el cuarto trimestre"/>
    <m/>
    <m/>
    <d v="2021-04-09T00:00:00"/>
    <d v="2021-07-02T00:00:00"/>
    <d v="2021-10-12T00:00:00"/>
    <m/>
    <n v="0"/>
    <s v=""/>
    <s v=""/>
    <s v=""/>
    <s v=" "/>
    <s v="Sin meta asignada en el periodo"/>
    <s v="Sin meta asignada en el periodo"/>
    <s v="Sin meta asignada en el periodo"/>
    <m/>
    <s v="no programada para el primer trimestre"/>
    <s v="Sin meta asignada en el periodo"/>
    <s v="Sin meta asignada en el periodo"/>
    <m/>
    <x v="1"/>
    <x v="1"/>
    <x v="1"/>
    <x v="0"/>
    <s v="Sin meta asignada para el trimestre, sin evidencias de desarrollo de la actividad."/>
    <s v="Sin meta asignada para el trimestre, sin evidencias de desarrollo de la actividad."/>
    <s v="Sin meta asignada para el trimestre."/>
    <m/>
  </r>
  <r>
    <n v="8"/>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de Control Interno Disciplinario"/>
    <s v="Número"/>
    <s v="Í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n v="1"/>
    <s v="Mediante el diligenciamiento de PLANIGAC para el segundo trimestre se realiza el seguimiento a las actividades contempladas en el plan de acción anual y se envía avance del plan anticorrupción del proceso"/>
    <n v="1"/>
    <s v="Mediante el diligenciamiento de PLANIGAC para el tercer trimestre se realiza el seguimiento a las actividades contempladas en el plan de acción anual y se envía avance del plan anticorrupción del proceso"/>
    <m/>
    <m/>
    <d v="2021-04-09T00:00:00"/>
    <d v="2021-07-02T00:00:00"/>
    <d v="2021-10-12T00:00:00"/>
    <m/>
    <n v="0.75"/>
    <n v="1"/>
    <n v="1"/>
    <n v="1"/>
    <s v=" "/>
    <s v="Concepto Favorable"/>
    <s v="Concepto Favorable"/>
    <s v="Concepto Favorable"/>
    <m/>
    <s v="Se recibió en los tiempos establecidos la herramienta diligenciada y las evidencias."/>
    <s v="se verifica el archivo: PLANIGAC - Control Disciplinario, en cumplimiento de Herramienta Planigac y Matriz PAAC."/>
    <s v="se verificó el cargue de la evidencia y el reporte del avance"/>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s v="Se observa el seguimiento al Plan de Acción del proceso de control disciplinario, mediante la herramienta PLANIGAC."/>
    <s v="De acuerdo con las evidencias suministradas, correo electrónico de fecha 14 de octbre se observa el seguimiento realizado al Plan de acción anual y Plan Anticorrupción y atención al ciudadano por parte del proceso Gestión Disciplinaria."/>
    <m/>
  </r>
  <r>
    <n v="9"/>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de Control Interno Disciplinario"/>
    <s v="Número"/>
    <s v="Índice de desempeño institucional"/>
    <s v="Producto"/>
    <n v="2"/>
    <n v="0"/>
    <n v="0"/>
    <n v="0"/>
    <n v="2"/>
    <n v="0"/>
    <s v="Esta actividad se desarrollará en los siguientes trimestres"/>
    <n v="0"/>
    <s v="Esta actividad se desarrollará en el cuarto trimestre"/>
    <n v="0"/>
    <s v="Esta actividad se desarrollará en el cuarto trimestre"/>
    <m/>
    <m/>
    <d v="2021-04-09T00:00:00"/>
    <d v="2021-07-02T00:00:00"/>
    <d v="2021-10-12T00:00:00"/>
    <m/>
    <n v="0"/>
    <s v=""/>
    <s v=""/>
    <s v=""/>
    <s v=" "/>
    <s v="Sin meta asignada en el periodo"/>
    <s v="Sin meta asignada en el periodo"/>
    <s v="Sin meta asignada en el periodo"/>
    <m/>
    <s v="no programada para el primer trimestre"/>
    <s v="Sin meta asignada en el periodo"/>
    <s v="Sin meta asignada en el periodo"/>
    <m/>
    <x v="1"/>
    <x v="1"/>
    <x v="1"/>
    <x v="0"/>
    <s v="Sin meta asignada para el trimestre, sin evidencias de desarrollo de la actividad."/>
    <s v="Sin meta asignada para el trimestre, sin evidencias de desarrollo de la actividad."/>
    <s v="Sin meta asignada para el trimestre."/>
    <m/>
  </r>
  <r>
    <n v="10"/>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de Control Interno Disciplinario"/>
    <s v="Número"/>
    <s v="Índice de desempeño institucional"/>
    <s v="Producto"/>
    <n v="4"/>
    <n v="0"/>
    <n v="2"/>
    <n v="1"/>
    <n v="1"/>
    <n v="0"/>
    <s v="Esta actividad se desarrollará en los siguientes trimestres"/>
    <n v="2"/>
    <s v="El GIT de Control Disciplinario realizó la revisión del FURAG y no cuenta con preguntas que le correspondan contestar al proceso"/>
    <n v="1"/>
    <s v="El GIT de Control Disciplinario realizó la revisión del FURAG y no cuenta con preguntas que le correspondan contestar al proceso"/>
    <m/>
    <m/>
    <d v="2021-04-09T00:00:00"/>
    <d v="2021-07-02T00:00:00"/>
    <d v="2021-10-12T00:00:00"/>
    <m/>
    <n v="0.75"/>
    <s v=""/>
    <n v="1"/>
    <n v="1"/>
    <s v=" "/>
    <s v="Sin meta asignada en el periodo"/>
    <s v="Concepto Favorable"/>
    <s v="Concepto Favorable"/>
    <m/>
    <s v="no programada para el primer trimestre"/>
    <s v="Se verifica que el proceso no tiene acciones de mejora pendientes por realizar."/>
    <s v="se verificó el cargue de la evidencia y el reporte del avance"/>
    <m/>
    <x v="1"/>
    <x v="0"/>
    <x v="0"/>
    <x v="0"/>
    <s v="Sin meta asignada para el trimestre, sin evidencias de desarrollo de la actividad."/>
    <s v="De acuerdo con las evidencias suministradas &quot;Resumen FURAG 2021&quot; no se identifican acciones de mejora relacionas con control disciplinario."/>
    <s v="De acuerdo con las evidencias suministradas, &quot;resumen FURAG&quot; se observa que el procceso ha venido realizando análisis de las oportunidades de mejora que se pueden implementar."/>
    <m/>
  </r>
  <r>
    <n v="1"/>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las de Retención Documental (TRD) presentadas al AGN (Estructura Orgánica Vigencia 2020)"/>
    <d v="2021-03-01T00:00:00"/>
    <d v="2021-12-31T00:00:00"/>
    <s v="Listas de asistencia a reuniones, documento ajuste a tablas de convalidación"/>
    <s v="Subdirección Administrativa y Financiera"/>
    <s v="Número"/>
    <s v="Número de Instrumentos archivísticos actualizados "/>
    <s v="Eficacia"/>
    <n v="4"/>
    <n v="1"/>
    <n v="1"/>
    <n v="1"/>
    <n v="1"/>
    <n v="1"/>
    <s v="En el mes de enero se realizó la radicación de las TRD al AGN para su convalidación, a la fecha no se ha recibido observaciones "/>
    <n v="1"/>
    <s v="En el segundo trimestre se recibieron observaciones a la solicitud de convalidadción de las TRD las cuales se encuentran realizando los ajustes para remitir en el tercer trimestre al AGN"/>
    <n v="1"/>
    <s v="En el mes de julio se remitieron al AGN los ajustes de la solicitud de convalidadción de las TRD"/>
    <m/>
    <m/>
    <d v="2021-04-09T00:00:00"/>
    <d v="2021-07-02T00:00:00"/>
    <d v="2021-10-13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evidencia con caso 22451 del 3 de febrero de 2021."/>
    <s v="Se evidencia con el Concepto  técnico  de  evaluación  y  convalidación  Tablas  de Retención Documental -TRD. del 10 de junio de 2021."/>
    <s v="De acuerdo con las evidencias suministras, Comunicación con radicado número 2000-2021-00099-04-EE-001 de fecha 27 de julio y correo electrónico del 28 de julio se hace entrega de las TRD con los ajustes sugeridos."/>
    <m/>
  </r>
  <r>
    <n v="2"/>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Subdirección Administrativa y Financiera"/>
    <s v="Número"/>
    <s v="Número de Instrumentos archivísticos actualizados "/>
    <s v="Eficacia"/>
    <n v="1"/>
    <n v="0"/>
    <n v="1"/>
    <n v="0"/>
    <n v="0"/>
    <n v="0"/>
    <s v="Esta actividad se realizará en el siguiente trimestre"/>
    <n v="0"/>
    <s v="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
    <n v="0"/>
    <s v="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
    <m/>
    <m/>
    <d v="2021-04-09T00:00:00"/>
    <d v="2021-07-02T00:00:00"/>
    <d v="2021-10-13T00:00:00"/>
    <m/>
    <n v="0"/>
    <s v=""/>
    <n v="0"/>
    <s v=""/>
    <s v=" "/>
    <s v="Sin meta asignada en el periodo"/>
    <s v="Concepto Favorable"/>
    <s v="Concepto Favorable"/>
    <m/>
    <s v="esta actividad se desarrolla en el siguiente periodo"/>
    <s v="se revisa evidencia, cumple con producto esperado"/>
    <s v="se verificó el cargue de la evidencia y el reporte del avance"/>
    <m/>
    <x v="1"/>
    <x v="0"/>
    <x v="0"/>
    <x v="0"/>
    <s v="esta actividad se desarrolla en el siguiente periodo"/>
    <s v="Se evidencia con la presentación de la propuesta de la  metodología del trabajo para el levantamiento y presentación del diagnostico "/>
    <s v="De acuerdo con las evidencias suministras, Encuestas de diagnóstico se presenta la aplicación del instrumento a 10 áreas del Instituto."/>
    <m/>
  </r>
  <r>
    <n v="3"/>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Subdirección Administrativa y Financiera"/>
    <s v="Número"/>
    <s v="Número de Instrumentos archivísticos actualizados "/>
    <s v="Eficacia"/>
    <n v="1"/>
    <n v="0"/>
    <n v="0"/>
    <n v="0"/>
    <n v="1"/>
    <n v="0"/>
    <s v="Esta actividad se realizará en el último trimestre"/>
    <n v="0"/>
    <s v="Esta actividad se realizará en el último trimestre"/>
    <n v="0"/>
    <s v="Esta actividad esta programada para el cuarto trimestre"/>
    <m/>
    <m/>
    <d v="2021-04-09T00:00:00"/>
    <d v="2021-07-02T00:00:00"/>
    <d v="2021-10-13T00:00:00"/>
    <m/>
    <n v="0"/>
    <s v=""/>
    <s v=""/>
    <s v=""/>
    <s v=" "/>
    <s v="Sin meta asignada en el periodo"/>
    <s v="Sin meta asignada en el periodo"/>
    <s v="Sin meta asignada en el periodo"/>
    <m/>
    <s v="se realizara en otro periodo"/>
    <s v="se realiza en ultimo periodo"/>
    <s v="Sin meta asignada en el periodo"/>
    <m/>
    <x v="0"/>
    <x v="1"/>
    <x v="1"/>
    <x v="0"/>
    <s v="se realizara en otro periodo"/>
    <s v="Sin meta asignada en el periodo"/>
    <s v="Sin meta asignada para el trimestre"/>
    <m/>
  </r>
  <r>
    <n v="4"/>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Subdirección Administrativa y Financiera"/>
    <s v="Número"/>
    <s v="Metros lineales del acervo documental organizado"/>
    <s v="Eficacia"/>
    <n v="30"/>
    <n v="0"/>
    <n v="5"/>
    <n v="10"/>
    <n v="15"/>
    <n v="7"/>
    <s v="Durante el primer trimestre se ha podido intervenir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s v=" "/>
    <s v="Concepto Favorable"/>
    <s v="Concepto Favorable"/>
    <s v="Concepto Favorable"/>
    <m/>
    <s v="se revisan evidencias, se encuentra acorde con el producto esperado"/>
    <s v="se revisa evidencia, cumple con producto esperado"/>
    <s v="se verificó el cargue de la evidencia y el reporte del avance"/>
    <m/>
    <x v="0"/>
    <x v="0"/>
    <x v="0"/>
    <x v="0"/>
    <s v="Se evidencia con inventario documental de sede central. "/>
    <s v="Se presenta en excel control del metraje gestionado documentalmente en abril, mayo y junio del corriente año. "/>
    <s v="De acuerdo con as evidencias suministradas, inventarios y resoluciones de los meses de julio,agosto, septiembre se observa el desarrollo de la actividad."/>
    <m/>
  </r>
  <r>
    <n v="5"/>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Subdirección Administrativa y Financiera"/>
    <s v="Número"/>
    <s v="Metros lineales del acervo documental organizado"/>
    <s v="Eficacia"/>
    <n v="30"/>
    <n v="0"/>
    <n v="5"/>
    <n v="10"/>
    <n v="15"/>
    <n v="7"/>
    <s v="Durante el primer trimestre se ha podido levantar el inventario de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revisan evidencias, acordes al producto esperado"/>
    <s v="Se evidencia con FUID de abril, mayo y junio del corriene año. "/>
    <s v="De acuerdo con as evidencias suministradas, inventarios y resoluciones de los meses de julio,agosto, septiembre se observa el desarrollo de la actividad."/>
    <m/>
  </r>
  <r>
    <n v="6"/>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archivos"/>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s v="De acuerdo con las evidencias suministradas, reuniones por teams y mesas de trabajo con los grupos de avalúos, secretaría general, gestión contractual, Tesorería se observa el desarrollo de la actividad."/>
    <m/>
  </r>
  <r>
    <n v="7"/>
    <x v="12"/>
    <s v="Gestión de Correspondencia"/>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correspondencia"/>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s v="De acuerdo con las evidencias suministradas, reuniones por teams y mesas de trabajo con los grupos de avalúos, secretaría general, gestión contractual, Tesorería se observa el desarrollo de la actividad."/>
    <m/>
  </r>
  <r>
    <n v="8"/>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realizará en los siguientes trimestres"/>
    <n v="0"/>
    <s v="Esta actividad se realizará en el tercer y cuarto trimestre"/>
    <n v="0.5"/>
    <s v="Durante el tercer trimestre se realizó el cronograma de actualización de la información documentada del SGI del proceso"/>
    <m/>
    <m/>
    <d v="2021-04-09T00:00:00"/>
    <d v="2021-07-02T00:00:00"/>
    <d v="2021-10-13T00:00:00"/>
    <m/>
    <n v="0.5"/>
    <s v=""/>
    <s v=""/>
    <n v="1"/>
    <s v=" "/>
    <s v="Sin meta asignada en el periodo"/>
    <s v="Sin meta asignada en el periodo"/>
    <s v="Concepto Favorable"/>
    <m/>
    <s v="se realizara en los proximos periodos"/>
    <s v="meta pendiente para el 3er y 4to periodo"/>
    <s v="se verificó el cargue de la evidencia y el reporte del avance"/>
    <m/>
    <x v="1"/>
    <x v="1"/>
    <x v="0"/>
    <x v="0"/>
    <s v="sin meta programada"/>
    <s v="Sin meta asignada en el periodo"/>
    <s v="De acuerdo con las evidencias suministradas, Cronograma Gestión documental se estabecen los tiempos para la actualización de la documentación del proceso."/>
    <m/>
  </r>
  <r>
    <n v="9"/>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Durante el primer trimestre se realizó el seguimiento a los controles de los riesgos del proceso "/>
    <n v="1"/>
    <s v="Durante el segundo trimestre se realizó el seguimiento a los controles de los riesgos del proceso "/>
    <n v="1"/>
    <s v="Durante el tercer trimestre se realizó el seguimiento a los controles de los riesgos del proceso "/>
    <m/>
    <m/>
    <d v="2021-04-09T00:00:00"/>
    <d v="2021-07-02T00:00:00"/>
    <d v="2021-10-13T00:00:00"/>
    <m/>
    <n v="0.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mediante correo electrónico del 14 de abril de 2021."/>
    <s v="Se evidencia en PLANIGAC el proceso a los controles de riesgos. "/>
    <s v="De acuerdo con las evidencias suministradas, correo electrónico del 14 de octubre se realiza envío del seguimiento a los riesgos del proceso de gestión documental."/>
    <m/>
  </r>
  <r>
    <n v="10"/>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realizará en los siguientes trimestres"/>
    <n v="0"/>
    <s v="Esta actividad se realizará en el cuarto trimestre"/>
    <n v="0"/>
    <s v="Esta actividad se realizará en el cuarto trimestre"/>
    <m/>
    <m/>
    <d v="2021-04-09T00:00:00"/>
    <d v="2021-07-02T00:00:00"/>
    <d v="2021-10-13T00:00:00"/>
    <m/>
    <n v="0"/>
    <s v=""/>
    <s v=""/>
    <s v=""/>
    <s v=" "/>
    <s v="Sin meta asignada en el periodo"/>
    <s v="Sin meta asignada en el periodo"/>
    <s v="Sin meta asignada en el periodo"/>
    <m/>
    <s v="se realiza en los siguientes periodos"/>
    <s v="pendiente para 4to periodo"/>
    <s v="Sin meta asignada en el periodo"/>
    <m/>
    <x v="1"/>
    <x v="1"/>
    <x v="1"/>
    <x v="0"/>
    <s v="Sin meta asignada en el periodo"/>
    <s v="Sin meta asignada en el periodo"/>
    <s v="Sin meta asignada para el trimestre."/>
    <m/>
  </r>
  <r>
    <n v="11"/>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Durante el primer trimestre se realizó el seguimiento a las actividades contempladas en el plan de acción anual y en el plan anticorrupción a cargo del proceso"/>
    <n v="1"/>
    <s v="Durante el segundo trimestre se realizó el seguimiento a las actividades contempladas en el plan de acción anual y en el plan anticorrupción a cargo del proceso"/>
    <n v="1"/>
    <s v="Durante el tercer trimestre se realizó el seguimiento a las actividades contempladas en el plan de acción anual y en el plan anticorrupción a cargo del proceso"/>
    <m/>
    <m/>
    <d v="2021-04-09T00:00:00"/>
    <d v="2021-07-02T00:00:00"/>
    <d v="2021-10-13T00:00:00"/>
    <m/>
    <n v="0.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correo electrónico del 14 ded abril de 2021, mediante el cual se envían reportes de las actividades contempladas en el paln de acción del primer trimestre de 2021."/>
    <s v="Se valida el seguimiento a las actividades contempladas en el plan de acción anual y en el plan anticorrupción a cargo del proceso, mediante PLANIGAC. "/>
    <s v="De acuerdo con las evidencias suministradas, correo electrónico del 14 de octubre se realiza envío del seguimiento al las actividades del plan de acción y plan anticorrupción del proceso de gestión documental."/>
    <m/>
  </r>
  <r>
    <n v="12"/>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realizará en los siguientes trimestres"/>
    <n v="0"/>
    <s v="Esta actividad se realizará en el cuarto trimestre"/>
    <n v="0"/>
    <s v="Esta actividad se realizará en el cuarto trimestre"/>
    <m/>
    <m/>
    <d v="2021-04-09T00:00:00"/>
    <d v="2021-07-02T00:00:00"/>
    <d v="2021-10-13T00:00:00"/>
    <m/>
    <n v="0"/>
    <s v=""/>
    <s v=""/>
    <s v=""/>
    <s v=" "/>
    <s v="Sin meta asignada en el periodo"/>
    <s v="Sin meta asignada en el periodo"/>
    <s v="Sin meta asignada en el periodo"/>
    <m/>
    <s v="se realiza en los siguientes periodos"/>
    <s v="pendiente para 4to periodo"/>
    <s v="Sin meta asignada en el periodo"/>
    <m/>
    <x v="1"/>
    <x v="1"/>
    <x v="1"/>
    <x v="0"/>
    <s v="Sin meta asignada en el periodo"/>
    <s v="Sin meta asignada en el periodo"/>
    <s v="Sin meta asignada para el trimestre."/>
    <m/>
  </r>
  <r>
    <n v="13"/>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realizará en los siguientes trimestres"/>
    <n v="0"/>
    <s v="Durante el segundo trimestre la OAP no citó reunión para validar las preguntas del FURAG y así determinar las oportunidades de mejora"/>
    <n v="2"/>
    <s v="En el mes de septiembre se realizó mesa de trabajo con la OAP en donde se indentificaron las oportunidades de mejora relacionadas al cumplimiento del FURAG que apliquen al proceso."/>
    <m/>
    <m/>
    <d v="2021-04-09T00:00:00"/>
    <d v="2021-07-02T00:00:00"/>
    <d v="2021-10-13T00:00:00"/>
    <m/>
    <n v="0.5"/>
    <s v=""/>
    <n v="0"/>
    <n v="1"/>
    <s v=" "/>
    <s v="Sin meta asignada en el periodo"/>
    <s v="Sin meta asignada en el periodo"/>
    <s v="Concepto Favorable"/>
    <m/>
    <s v="se realiza en los siguientes periodos"/>
    <s v="se revisa evidencia, cumple con producto esperado"/>
    <s v="se verificó el cargue de la evidencia y el reporte del avance"/>
    <m/>
    <x v="1"/>
    <x v="1"/>
    <x v="0"/>
    <x v="0"/>
    <s v="Sin meta asignada en el periodo"/>
    <s v="Sin meta asignada en el periodo"/>
    <s v="De acuerdo con las evidencias suministradas, correo electrónico del 28 de septiembre se presenta mesa de trabajo para identificar las oportunidades de mejora del formulario FURAG."/>
    <m/>
  </r>
  <r>
    <n v="1"/>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Subdirección Administrativa y Financiera"/>
    <s v="Número"/>
    <s v="Porcentaje de gastos gestionados"/>
    <s v="Eficacia"/>
    <n v="1"/>
    <n v="1"/>
    <n v="0"/>
    <n v="0"/>
    <n v="0"/>
    <n v="1"/>
    <s v="El GIT realizó la desagregación del presupuesto"/>
    <n v="0"/>
    <s v="La actividad fue realizada en el primer trimestre"/>
    <n v="0"/>
    <s v="La actividad fue realizada en el primer trimestre"/>
    <m/>
    <m/>
    <d v="2021-04-09T00:00:00"/>
    <d v="2021-07-02T00:00:00"/>
    <d v="2021-10-13T00:00:00"/>
    <m/>
    <n v="1"/>
    <n v="1"/>
    <s v=""/>
    <s v=""/>
    <s v=" "/>
    <s v="Concepto Favorable"/>
    <s v="Sin meta asignada en el periodo"/>
    <s v="Sin meta asignada en el periodo"/>
    <m/>
    <s v="Se evidencia la desagregacion del presupuesto de inversion y funcionamiento"/>
    <s v="La actividad fue cumplida en el primer trimestre"/>
    <s v="Sin meta asignada para el periodo"/>
    <m/>
    <x v="0"/>
    <x v="1"/>
    <x v="1"/>
    <x v="0"/>
    <s v="Se evidencia con desagregación presupuestal de inversión-2021"/>
    <s v="Sin meta asignada en el periodo"/>
    <s v="Sin meta asignada para el trimestre"/>
    <m/>
  </r>
  <r>
    <n v="2"/>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Subdirección Administrativa y Financiera"/>
    <s v="Porcentaje"/>
    <s v="Porcentaje de gastos gestionados"/>
    <s v="Eficacia"/>
    <n v="1"/>
    <n v="0.25"/>
    <n v="0.25"/>
    <n v="0.25"/>
    <n v="0.25"/>
    <n v="0.25"/>
    <s v="ELGIT de Presupuesto durante el primer trimestre expeidio los Certificados de disponibilidad presupuestal  (CDP) y Registros presupuestales solicitados"/>
    <n v="0.25"/>
    <s v="ELGIT de Presupuesto durante el segundo trimestre expeidio los Certificados de disponibilidad presupuestal  (CDP) y Registros presupuestales solicitados"/>
    <n v="0.25"/>
    <s v="El proceso de Presupuesto durante el tercer trimestre expeidio los Certificados de disponibilidad presupuestal  (CDP) y Registros presupuestales solicitados"/>
    <m/>
    <m/>
    <d v="2021-04-09T00:00:00"/>
    <d v="2021-07-02T00:00:00"/>
    <d v="2021-10-13T00:00:00"/>
    <m/>
    <n v="0.75"/>
    <n v="1"/>
    <n v="1"/>
    <n v="1"/>
    <s v=" "/>
    <s v="Concepto Favorable"/>
    <s v="Concepto Favorable"/>
    <s v="Concepto Favorable"/>
    <m/>
    <s v="Se obsera el reporte de los cdp´s y rp´s de los meses de enero, febrero y marzo"/>
    <s v="La actividad cuenta con las evidencias "/>
    <s v="Se verifica la información y la evidencia aportada: Listados de CDPS, al ser coincidentes se aprueba el seguimiento."/>
    <m/>
    <x v="0"/>
    <x v="0"/>
    <x v="0"/>
    <x v="0"/>
    <s v="Se evidencia con  reporte de los cdp´s y rp´s de los meses de enero, febrero y marzo de 2021"/>
    <s v="Se valida con listados de cdp y crps de abril, mayo y junio de 2021."/>
    <s v="De acuerdo con las evidencias suministradas, listados de Certificados de disponibilidad Presupuestal CDP, listados de Registros presupuestales RP de los meses de julio, agosto, septiembre, se observa el desarrollo de la actividad."/>
    <m/>
  </r>
  <r>
    <n v="3"/>
    <x v="13"/>
    <s v="Gestión Contable"/>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 del aplicativo SIIF Nación mensualmente"/>
    <s v="Subdirección Administrativa y Financiera"/>
    <s v="Porcentaje"/>
    <s v="Porcentaje de gastos gestionados"/>
    <s v="Eficacia"/>
    <n v="1"/>
    <n v="0.25"/>
    <n v="0.25"/>
    <n v="0.25"/>
    <n v="0.25"/>
    <n v="0.25"/>
    <s v="Durante el primer trimestre se elaboraron las cuentas por pagar y las obligaciones derivadas de los compromisos del Instituto"/>
    <n v="0.25"/>
    <s v="Durante el segundo trimestre se elaboraron las cuentas por pagar y las obligaciones derivadas de los compromisos del Instituto"/>
    <n v="0.25"/>
    <s v="Durante el tercer trimestre se elaboraron las cuentas por pagar y las obligaciones derivadas de los compromisos del Instituto, a la fecha se esta consolidando la informaciòn del mes de septiemb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 de obligaciones, al ser coincidentes se aprueba el seguimiento."/>
    <m/>
    <x v="0"/>
    <x v="0"/>
    <x v="0"/>
    <x v="0"/>
    <s v="Se evidencia con reportes de SIIF NACION del primer trimestre de 2021."/>
    <s v="Se validan listados de obligaciones de abril, mayo y junio del corriente año. "/>
    <s v="De acuerdo con las evidencias suministradas, lista de obligaciones de los meses de julio y agosto, se observa el desarrollo de la actividad."/>
    <m/>
  </r>
  <r>
    <n v="4"/>
    <x v="13"/>
    <s v="Gestión de Tesorería"/>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idad del PAC"/>
    <d v="2021-01-01T00:00:00"/>
    <d v="2021-12-31T00:00:00"/>
    <s v="Listado de ordenes de pagos (actual, reservas y cuentas x pagar)"/>
    <s v="Subdirección Administrativa y Financiera"/>
    <s v="Porcentaje"/>
    <s v="Porcentaje de gastos gestionados"/>
    <s v="Eficacia"/>
    <n v="1"/>
    <n v="0.25"/>
    <n v="0.25"/>
    <n v="0.25"/>
    <n v="0.25"/>
    <n v="0.25"/>
    <s v="Durante el primer trimestre se realizarón los pagos de las obligaciones derivadas de los compromisos presupuestales sujetos a la disponibildad del PAC"/>
    <n v="0.25"/>
    <s v="Durante el segundo trimestre se realizarón los pagos de las obligaciones derivadas de los compromisos presupuestales sujetos a la disponibildad del PAC"/>
    <n v="0.25"/>
    <s v="Durante el tercer trimestre se realizarón los pagos de las obligaciones derivadas de los compromisos presupuestales sujetos a la disponibildad del PAC"/>
    <m/>
    <m/>
    <d v="2021-04-09T00:00:00"/>
    <d v="2021-07-02T00:00:00"/>
    <d v="2021-10-13T00:00:00"/>
    <m/>
    <n v="0.75"/>
    <n v="1"/>
    <n v="1"/>
    <n v="1"/>
    <s v=" "/>
    <s v="Concepto Favorable"/>
    <s v="Concepto Favorable"/>
    <s v="Concepto Favorable"/>
    <m/>
    <s v="Estan cargadas las evidencias correspondientes "/>
    <s v="La actividad cuenta con las evidencias "/>
    <s v="Se verifica la información y la evidencia aportada: Listados de ordenes de pago, al ser coincidentes se aprueba el seguimiento."/>
    <m/>
    <x v="0"/>
    <x v="0"/>
    <x v="0"/>
    <x v="0"/>
    <s v="Se valida listados de SIIF NACION del primer trimestre 2021."/>
    <s v="Se validan listados de OPS del trimestre abril,mayo y junio del corriente año, "/>
    <s v="De acuerdo con las evidencias suministradas, listado de ordenes de pago e los meses de julio, agosto y septiembre se observa el desarrollo de la actividad."/>
    <m/>
  </r>
  <r>
    <n v="5"/>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Subdirección Administrativa y Financiera"/>
    <s v="Porcentaje"/>
    <s v="Porcentaje de gastos gestionados"/>
    <s v="Eficacia"/>
    <n v="1"/>
    <n v="0.25"/>
    <n v="0.25"/>
    <n v="0.25"/>
    <n v="0.25"/>
    <n v="0.25"/>
    <s v="EL GIT de Presupuesto realizó durante el primer trimestre los reintegros presupuestales y la depuración de Registros  y CDPs."/>
    <n v="0.25"/>
    <s v="EL GIT de Presupuesto realizó durante el segundo trimestre los reintegros presupuestales y la depuración de Registros  y CDPs."/>
    <n v="0.25"/>
    <s v="Se realizó durante el tercer trimestre los reintegros presupuestales y la depuración de Registros  y CDPs."/>
    <m/>
    <m/>
    <d v="2021-04-09T00:00:00"/>
    <d v="2021-07-02T00:00:00"/>
    <d v="2021-10-13T00:00:00"/>
    <m/>
    <n v="0.75"/>
    <n v="1"/>
    <n v="1"/>
    <n v="1"/>
    <s v=" "/>
    <s v="Concepto Favorable"/>
    <s v="Concepto Favorable"/>
    <s v="Concepto Favorable"/>
    <m/>
    <s v="estan cargadsa las evidencias correspondientes"/>
    <s v="La actividad cuenta con las evidencias "/>
    <s v="Se verifica la información y la evidencia aportada: Listado de reintegros, al ser coincidentes se aprueba el seguimiento."/>
    <m/>
    <x v="0"/>
    <x v="0"/>
    <x v="0"/>
    <x v="0"/>
    <s v="Se validan reintegros presupuestales realizados en el primner trimestre de 2021-SIIF NACION. "/>
    <s v="Se evidencia reintegro 11621 del 10 de mayo de 2021, 8521 DEL DEL 12 DE MAYO DE 2120. "/>
    <s v="De acuerdo con las evidencias suministradas, Comprobantes de reintegro de fechas 14,26,27 y 30 de julio, 23,24 y 27 de agosto, 7,25 y 27 de septiembre se observa el desarrollo de la actividad."/>
    <m/>
  </r>
  <r>
    <n v="6"/>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Subdirección Administrativa y Financiera"/>
    <s v="Número"/>
    <s v="Porcentaje de gastos gestionados"/>
    <s v="Eficacia"/>
    <n v="12"/>
    <n v="3"/>
    <n v="3"/>
    <n v="3"/>
    <n v="3"/>
    <n v="3"/>
    <s v="El GIT de Presupuesto elaboró informes y generar alertas de la ejecución presupuestal de la vigencia y reserva"/>
    <n v="3"/>
    <s v="El GIT de Presupuesto elaboró informes y generar alertas de la ejecución presupuestal de la vigencia y reserva durante el segundo trimestre"/>
    <n v="3"/>
    <s v="Se elaboró informes y generar alertas de la ejecución presupuestal de la vigencia y reserva durante el tercer trimestre"/>
    <m/>
    <m/>
    <d v="2021-04-09T00:00:00"/>
    <d v="2021-07-02T00:00:00"/>
    <d v="2021-10-13T00:00:00"/>
    <m/>
    <n v="0.75"/>
    <n v="1"/>
    <n v="1"/>
    <n v="1"/>
    <s v=" "/>
    <s v="Concepto Favorable"/>
    <s v="Concepto Favorable"/>
    <s v="Concepto Favorable"/>
    <m/>
    <s v="Se puede evidenciar que estan cargadas las ejecuciones presupuestales de los 3 primeros meses "/>
    <s v="La actividad cuenta con las evidencias "/>
    <s v="Se verifica la información y la evidencia aportada: ejecuciones presupuestales, al ser coincidentes se aprueba el seguimiento."/>
    <m/>
    <x v="0"/>
    <x v="0"/>
    <x v="0"/>
    <x v="0"/>
    <s v="Se valida con ejecuciónes  presupuestales del primer trimestre 2021."/>
    <s v="Se evidencia con ejecuciones presupuestales de abril, mayo y junio del corriente año. "/>
    <s v="De acuerdo con las evidencias suministradas, ejecución presupuestal decreto y desagregada de los meses de julio, agosto, septiembre, además de la ejecución de reservas presupuestales de los meses de julio, agosto, septiembre se observa el desarrollo de la actividad."/>
    <m/>
  </r>
  <r>
    <n v="7"/>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ónico (Verificación Partidas)"/>
    <s v="Subdirección Administrativa y Financiera"/>
    <s v="Porcentaje"/>
    <s v="Porcentaje de ingresos elaborados y depurados"/>
    <s v="Eficacia"/>
    <n v="1"/>
    <n v="0.25"/>
    <n v="0.25"/>
    <n v="0.25"/>
    <n v="0.25"/>
    <n v="0.25"/>
    <s v="Durante el primer trimestre se identificó y se realizó seguimiento a las partidas conciliatorias"/>
    <n v="0.25"/>
    <s v="Durante el segundo trimestre se identificó y se realizó seguimiento a las partidas conciliatorias"/>
    <n v="0.25"/>
    <s v="Durante el tercer trimestre se identificó y se realizó seguimiento a las partidas conciliatoria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valida con correo del 14 de abril,  Envío formulario y recibo de pago ica noviembre diciembre de 2020._x000d__x000a__x000d__x000a_"/>
    <s v="Se valida la gestión realizada a través de los correos electrónicos de fecha: 3 de mayo 2021, 18 de mayo 2021, 31 de mayo 2021, 20 de abril 2021, 26 de abril 2021, 10 de junio 2021 y 28 de junio 2021."/>
    <s v="De acuerdo con las evidencias suministradas correos electrónicos de fechas: 13,15,19, 23 y 29 de julio, 02,11,18 y 31 de agosto, 14,17 y 20 de septiembre, se observa el desarrollo de la actividad."/>
    <m/>
  </r>
  <r>
    <n v="8"/>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Subdirección Administrativa y Financiera"/>
    <s v="Porcentaje"/>
    <s v="Porcentaje de ingresos elaborados y depurados"/>
    <s v="Eficacia"/>
    <n v="1"/>
    <n v="0.25"/>
    <n v="0.25"/>
    <n v="0.25"/>
    <n v="0.25"/>
    <n v="0.25"/>
    <s v="El GIT de Tesorería consolidó y registró en el SIIF Nación las solicitudes del PAC durante el primer trimestre"/>
    <n v="0.25"/>
    <s v="El GIT de Tesorería consolidó y registró en el SIIF Nación las solicitudes del PAC durante el segundo trimestre"/>
    <n v="0.25"/>
    <s v="El Proceso de Tesorería consolidó y registró en el SIIF Nación las solicitudes del PAC durante el tercer trimest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PAC, al ser coincidentes se aprueba el seguimiento."/>
    <m/>
    <x v="0"/>
    <x v="0"/>
    <x v="0"/>
    <x v="0"/>
    <s v="Se evidencia con informe Justificación PAC ENERO - FEBRERO (pantallazos SIIF NACION)"/>
    <s v="Se valida con el PAC A NIVEL NACIONAL consolidado en SIIF nación durante el trimestre.  Anticipo PAC 11 de febrero de 2021.  Pac Catastro Multipropósito. "/>
    <s v="De acuerdo con las evidencias suministradas, PAC Julio, agosto, septiembre y los respectivos pantallazos de registro en el SIIF - NACION para cada uno de los meses del trimestre se observa el desarrollo de la actividad."/>
    <m/>
  </r>
  <r>
    <n v="9"/>
    <x v="13"/>
    <s v="Gestión Contable"/>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Subdirección Administrativa y Financiera"/>
    <s v="Número"/>
    <s v="Porcentaje de ingresos elaborados y depurados"/>
    <s v="Eficacia"/>
    <n v="4"/>
    <n v="1"/>
    <n v="1"/>
    <n v="1"/>
    <n v="1"/>
    <n v="0"/>
    <s v="Esta actividad durante el primer trimestre no se ha desarrollado, esto debido a la circular expedida por la CGN en donde amplian las fechas de reportes"/>
    <n v="1"/>
    <s v="Esta actividad durante el segundo trimestre desarrolló generando el informe del primer trimestre."/>
    <n v="1"/>
    <s v="Se generó el informe del segundo trimestre de cartera por edades"/>
    <m/>
    <m/>
    <d v="2021-04-09T00:00:00"/>
    <d v="2021-07-02T00:00:00"/>
    <d v="2021-10-13T00:00:00"/>
    <m/>
    <n v="0.5"/>
    <n v="0"/>
    <n v="1"/>
    <n v="1"/>
    <s v=" "/>
    <s v="Concepto Favorable"/>
    <s v="Concepto Favorable"/>
    <s v="Concepto Favorable"/>
    <m/>
    <s v="Se evidencia la circular de la Contaduria general de la nacion donde establece la fecha de 30 de abriel para reportar el primer trimestre de 2021 "/>
    <s v="La actividad cuenta con las evidencias "/>
    <s v="Se verifica la información y la evidencia aportada: Documento de cartera por edades, al ser coincidentes se aprueba el seguimiento."/>
    <m/>
    <x v="0"/>
    <x v="0"/>
    <x v="2"/>
    <x v="0"/>
    <s v="Se evidencia la circular de la Contaduria general de la nacion donde establece la fecha de 30 de abriel para reportar el primer trimestre de 2021 "/>
    <s v="Se valida con el consolidado de la cartera por edades a mayo de 2021."/>
    <s v="De acuerdo con las evidencias suministradas, Cartera por edades con corte a 30 de junio, no es posible evidenciar el desarrollo de esta actividad para el trimestre."/>
    <m/>
  </r>
  <r>
    <n v="10"/>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ónicos de identificación de partidas solicitados por las áreas."/>
    <s v="Subdirección Administrativa y Financiera"/>
    <s v="Porcentaje"/>
    <s v="Porcentaje de ingresos elaborados y depurados"/>
    <s v="Eficacia"/>
    <n v="1"/>
    <n v="0.25"/>
    <n v="0.25"/>
    <n v="0.25"/>
    <n v="0.25"/>
    <n v="0.25"/>
    <s v="Durante el primer trimestre se realizó la identificación y causación de los recursos"/>
    <n v="0.25"/>
    <s v="Durante el segundo trimestre se realizó la identificación y causación de los recursos"/>
    <n v="0.25"/>
    <s v="Durante el tercer trimestre se realizó la identificación y causación de los recurso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ventas y correos electronicos, al ser coincidentes se aprueba el seguimiento."/>
    <m/>
    <x v="0"/>
    <x v="0"/>
    <x v="0"/>
    <x v="0"/>
    <s v="Se valida con correo electrónico del 5 de enero de 2021, mediante la cual se realizó la identificación y causación de los recursos."/>
    <s v="Se valida con informes de ventas del trimestre abril, mayo y junio del presente año. "/>
    <s v="De acuerdo con las evidencias suministradas; relación de ventas de contado, relación de ingresos de contado comercio electrónico, correos electronicos de verificación de pagos para los meses de julio, agosto, septiembre, se observa el desarrollo de la actividad."/>
    <m/>
  </r>
  <r>
    <n v="11"/>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índice de porcentual de depuración."/>
    <s v="Subdirección Administrativa y Financiera"/>
    <s v="Porcentaje"/>
    <s v="Porcentaje de ingresos elaborados y depurados"/>
    <s v="Eficacia"/>
    <n v="1"/>
    <n v="0.25"/>
    <n v="0.25"/>
    <n v="0.25"/>
    <n v="0.25"/>
    <n v="0.25"/>
    <s v="El GIT de Tesoreria ralizó la depuración de los documentos de recaudo por clasificar"/>
    <n v="0.25"/>
    <s v="El GIT de Tesoreria ralizó la depuración de los documentos de recaudo por clasificar"/>
    <n v="0.25"/>
    <s v="El Proceso de Tesoreria ralizó la depuración de los documentos de recaudo por clasificar"/>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evidencia con correo electrónico del 10 de marzo de 2021, mediante la cual se da instrucciona a direcciones territoriales para realizar depuración de recaudos."/>
    <s v="Se evidencia con listados de documentos de recaudos por clasificaar del trimestre abril, mayo y junio del corriente año. "/>
    <s v="De acuerdo con las evidencias suministradas, Listado DRX-ENE- SEPT,correos electrónicos de reintegros, asignaciones e incapacidades, se observa el desarrollo de la actividad."/>
    <m/>
  </r>
  <r>
    <n v="12"/>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ónico dirigido a talento humano (coordinador) de la revisión de la solicitud"/>
    <s v="Subdirección Administrativa y Financiera"/>
    <s v="Porcentaje"/>
    <s v="Porcentaje de ingresos elaborados y depurados"/>
    <s v="Eficacia"/>
    <n v="1"/>
    <n v="0.25"/>
    <n v="0.25"/>
    <n v="0.25"/>
    <n v="0.25"/>
    <n v="0.25"/>
    <s v="Durante el primer trimestre se expidideron los certificados solicitados "/>
    <n v="0.25"/>
    <s v="Durante el segundo trimestre se expidideron los certificados solicitados "/>
    <n v="0.25"/>
    <s v="Durante el tercer trimestre se expidideron los certificados solicitados "/>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y certificaciones, al ser coincidentes se aprueba el seguimiento."/>
    <m/>
    <x v="0"/>
    <x v="0"/>
    <x v="0"/>
    <x v="0"/>
    <s v="Se evidencia con correos erlectrónicos del 26, 28 y 29 de enerod e 2021."/>
    <s v="Se valida con solicitud cetil del 19 de abril de 2021, consolidado certificados CETIl de abril, mayo y junio del corriente año. "/>
    <s v="De acuerdo con las evidencias suministradas, certificados generados de acuerdo con solicitudes, certificación CETIL, certificados de ingresos y retenciones para los meses de julio, agosto, septiembre se observa el desarrollo de la actividad."/>
    <m/>
  </r>
  <r>
    <n v="13"/>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ónicos del movimiento de bancos"/>
    <s v="Subdirección Administrativa y Financiera"/>
    <s v="Número"/>
    <s v="Porcentaje de ingresos elaborados y depurados"/>
    <s v="Eficacia"/>
    <n v="12"/>
    <n v="3"/>
    <n v="3"/>
    <n v="3"/>
    <n v="3"/>
    <n v="3"/>
    <s v="Durante el primer trimestre se elaboraron los informes de ingresos de recursos propios"/>
    <n v="3"/>
    <s v="Durante el segundo trimestre se elaboraron los informes de ingresos de recursos propios"/>
    <n v="3"/>
    <s v="Durante el tercer trimestre se elaboraron los informes de ingresos de recursos propio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documentos de movimientos, al ser coincidentes se aprueba el seguimiento."/>
    <m/>
    <x v="0"/>
    <x v="0"/>
    <x v="0"/>
    <x v="0"/>
    <s v="Se evidencia con MOVIMIENTOS MES DE FEBRERO DE 2021.xlsx; COSTOS DATAFONOS CONSOLIDADO 2021.xlsx; COSTOS DATAFONOS DETALLADO 2021.xlsx;"/>
    <s v="Se valida con informes de recursos propios del trimestre en SIIF NACION. "/>
    <s v="De acuerdo con las evidencias suministradas; correo movimientos de bancos, costos datafonos de los meses de julio, agosto y septiembre se observa el desarrollo de la actividad."/>
    <m/>
  </r>
  <r>
    <n v="14"/>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áticos por tercero del SIIF - NACIÓN"/>
    <s v="Subdirección Administrativa y Financiera"/>
    <s v="Porcentaje"/>
    <s v="Porcentaje de Ordenes de viáticos  y legalizaciones tramitadas"/>
    <s v="Eficacia"/>
    <n v="1"/>
    <n v="0.25"/>
    <n v="0.25"/>
    <n v="0.25"/>
    <n v="0.25"/>
    <n v="0.25"/>
    <s v="Durante el primer trimestre se elaboró, verificó y autorizó las órdenes de comisión y resoluciones de gasto a nivel nacional"/>
    <n v="0.25"/>
    <s v="Durante el segundo trimestre se elaboró, verificó y autorizó las órdenes de comisión y resoluciones de gasto a nivel nacional"/>
    <n v="0.25"/>
    <s v="Durante el tercer trimestre se elaboró, verificó y autorizó las órdenes de comisión y resoluciones de gasto a nivel nacional"/>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s de ordenes de comisión, al ser coincidentes se aprueba el seguimiento."/>
    <m/>
    <x v="0"/>
    <x v="0"/>
    <x v="0"/>
    <x v="0"/>
    <s v="Se validan listados de SIIF NACION de ordenes de comisión pagados en el primner trimestre de 2021."/>
    <s v="Se evidencia con informe consolidado de ordenes de comisión a junio de 2021."/>
    <s v="De acuerdo con las evidencias suministradas: Listado ordenes de comisión elaboradas Sede Central y Territoriales, de los meses de julio, agosto y septiembre se observa el desarrollo de la actividad."/>
    <m/>
  </r>
  <r>
    <n v="15"/>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áticos mensualizado y entregado al GIT - TALENTO HUMANO"/>
    <s v="Subdirección Administrativa y Financiera"/>
    <s v="Porcentaje"/>
    <s v="Porcentaje de Ordenes de viáticos  y legalizaciones tramitadas"/>
    <s v="Eficacia"/>
    <n v="1"/>
    <n v="0.25"/>
    <n v="0.25"/>
    <n v="0.25"/>
    <n v="0.25"/>
    <n v="0.25"/>
    <s v="Se legalizarón las órdenes de comisión y resoluciones de gastos de la Sede Central"/>
    <n v="0.25"/>
    <s v="Se legalizarón las órdenes de comisión y resoluciones de gastos de la Sede Central"/>
    <n v="0.25"/>
    <s v="Se legalizarón las órdenes de comisión y resoluciones de gastos de la Sede Central"/>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s de ordenes de comisión legalizadas, al ser coincidentes se aprueba el seguimiento."/>
    <m/>
    <x v="0"/>
    <x v="0"/>
    <x v="0"/>
    <x v="0"/>
    <s v="Se validan listados de ordenes de comiisón y resoluciones de gastos de la Sede Central legalizadas durante el primer trimestre de 2021."/>
    <s v="Se evidencia con control de viáticos de abril, mayo y junio de 2021."/>
    <s v="De acuerdo con las evidencias suministradas, ordenes de comisión legalizadas de los meses de julio, agosto y septiembre, se observa el desarrollo de la actividad."/>
    <m/>
  </r>
  <r>
    <n v="16"/>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áticos entregado al GIT TALENTO HUMANO e informe de viáticos legalizados de conductores entregado al GIT - SERVICIOS ADMINISTRATIVOS."/>
    <s v="Subdirección Administrativa y Financiera"/>
    <s v="Número"/>
    <s v="Porcentaje de Ordenes de viáticos  y legalizaciones tramitadas"/>
    <s v="Eficacia"/>
    <n v="24"/>
    <n v="6"/>
    <n v="6"/>
    <n v="6"/>
    <n v="6"/>
    <n v="6"/>
    <s v="Se realizaron informe mensual de viátios legalizados durante el primer trimestre"/>
    <n v="6"/>
    <s v="Se realizaron informe mensual de viátios legalizados durante el segundo trimestre"/>
    <n v="6"/>
    <s v="Se realizaron informe mensual de viátios legalizados durante el tercer trimestre"/>
    <m/>
    <m/>
    <d v="2021-04-09T00:00:00"/>
    <d v="2021-07-02T00:00:00"/>
    <d v="2021-10-13T00:00:00"/>
    <m/>
    <n v="0.75"/>
    <n v="1"/>
    <n v="1"/>
    <n v="1"/>
    <s v=" "/>
    <s v="Concepto Favorable"/>
    <s v="Concepto Favorable"/>
    <s v="Concepto Favorable"/>
    <m/>
    <s v="Se puede evidenciasr el reporte de legalizacion de viaticos"/>
    <s v="La actividad cuenta con las evidencias "/>
    <s v="Se verifica la información y la evidencia aportada: Informes de viaticos, al ser coincidentes se aprueba el seguimiento."/>
    <m/>
    <x v="0"/>
    <x v="0"/>
    <x v="0"/>
    <x v="0"/>
    <s v="Se valida con informes del primer trimestre 2021  de viátios legalizados en SIIF NACION. "/>
    <s v="Se valida el informe mensual de viátios legalizados durante el segundo trimestre"/>
    <s v="De acuerdo con las evidencias suministradas: Informe a Talento Humano, Informe a Servicios administrativos de los meses de julio, agosto y septiembre se observa el desarrollo de la actividad de informes mensuales de viaticos legalizados."/>
    <m/>
  </r>
  <r>
    <n v="17"/>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Subdirección Administrativa y Financiera"/>
    <s v="Número"/>
    <s v="Número de Estados financieros presentados y publicados"/>
    <s v="Eficacia"/>
    <n v="10"/>
    <n v="1"/>
    <n v="3"/>
    <n v="3"/>
    <n v="3"/>
    <n v="0"/>
    <s v="Durante este periodo el GIT de Contabilidad no realizó las conciliaciones bancarias"/>
    <n v="4"/>
    <s v="Durante este periodo el GIT de Contabilidad  realizó las conciliaciones bancarias de los meses de febrero, marzo, abril y mayo"/>
    <n v="3"/>
    <s v="Durante este periodo el GIT de Contabilidad  realizó las conciliaciones bancarias de los meses de junio, julio y agosto"/>
    <m/>
    <m/>
    <d v="2021-04-09T00:00:00"/>
    <d v="2021-07-02T00:00:00"/>
    <d v="2021-10-13T00:00:00"/>
    <m/>
    <n v="0.7"/>
    <n v="0"/>
    <n v="1"/>
    <n v="1"/>
    <s v=" "/>
    <s v="Concepto No Favorable"/>
    <s v="Concepto Favorable"/>
    <s v="Concepto Favorable"/>
    <m/>
    <s v="No se cumplio con la actividad programada"/>
    <s v="La actividad cuenta con las evidencias "/>
    <s v="Se verifica la información y la evidencia aportada: conciliaciones bancarias, al ser coincidentes se aprueba el seguimiento."/>
    <m/>
    <x v="0"/>
    <x v="0"/>
    <x v="0"/>
    <x v="0"/>
    <s v="Se validan las conciliaciones del primer trimestre de 2021."/>
    <s v="Se validan las conciliaciones bancarias de abril y mayo"/>
    <s v="De acuerdo con las evidencias suministradas correos electrónicos de circularización, fuerza aerea,Sena, operaciones reciprocas se observa el desarrollo de la actividad."/>
    <m/>
  </r>
  <r>
    <n v="18"/>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sado, cuando se transmita la información. "/>
    <s v="Subdirección Administrativa y Financiera"/>
    <s v="Número"/>
    <s v="Número de Estados financieros presentados y publicados"/>
    <s v="Eficacia"/>
    <n v="4"/>
    <n v="0"/>
    <n v="1"/>
    <n v="1"/>
    <n v="2"/>
    <n v="0"/>
    <s v="Durante este periodo el GIT de Contabilidad no realizó las conciliaciones operaciones reciprocas, esta actividad se encuentra para reportar en el segundo trimestre"/>
    <n v="1"/>
    <s v="Para el segundo trimestre se adjunta los correos de circularización que se envían trimestralmente a las entidades y el reporte enviado a la CGN a través del CHIP"/>
    <n v="1"/>
    <s v="Para el tercer trimestre se adjunta los correos de circularización que se envían trimestralmente a las entidades y el reporte enviado a la CGN a través del CHIP"/>
    <m/>
    <m/>
    <d v="2021-04-09T00:00:00"/>
    <d v="2021-07-02T00:00:00"/>
    <d v="2021-10-13T00:00:00"/>
    <m/>
    <n v="0.5"/>
    <s v=""/>
    <n v="1"/>
    <n v="1"/>
    <s v=" "/>
    <s v="Concepto Favorable"/>
    <s v="Concepto Favorable"/>
    <s v="Concepto Favorable"/>
    <m/>
    <s v="No hay programacion para el periodo"/>
    <s v="La actividad cuenta con las evidencias "/>
    <s v="Se verifica la información y la evidencia aportada: correos electronicos, al ser coincidentes se aprueba el seguimiento."/>
    <m/>
    <x v="1"/>
    <x v="0"/>
    <x v="0"/>
    <x v="0"/>
    <s v="No hay programacion para el periodo"/>
    <s v="Se evidencia con circularización a través de correos electrónicos del 8 de marzo,  y junio 9 del corriente año "/>
    <s v="De acuerdo con las evidencias suministradas correos electrónicos de fechas 13 y 17 de septiembre enviados a otras entidades, fuerza aerea y sena, se observa el desarrollo de la actividad."/>
    <m/>
  </r>
  <r>
    <n v="19"/>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ón, archivos en EXCEL y correos de instrucciones a procesos adicionales"/>
    <s v="Subdirección Administrativa y Financiera"/>
    <s v="Porcentaje"/>
    <s v="Número de Estados financieros presentados y publicados"/>
    <s v="Eficacia"/>
    <n v="1"/>
    <n v="0.25"/>
    <n v="0.25"/>
    <n v="0.25"/>
    <n v="0.25"/>
    <n v="0.25"/>
    <s v="EL GIT de Contabilidad elaboró los registros contables en el sistema SIIF Nación y SIIF extendidos"/>
    <n v="0.25"/>
    <s v="EL GIT de Contabilidad elaboró los registros contables en el sistema SIIF Nación y SIIF extendidos"/>
    <n v="0.25"/>
    <s v="EL GIT de Contabilidad elaboró los registros contables en el sistema SIIF Nación y SIIF extendidos, se encuentra en elaboración el informe del mes de septiemb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pasivos, al ser coincidentes se aprueba el seguimiento."/>
    <m/>
    <x v="0"/>
    <x v="0"/>
    <x v="0"/>
    <x v="0"/>
    <s v="Se vallida con estados balance a 31 de diciembre de 2021."/>
    <s v="Se validan registros contables en el sistema SIIF Nación y SIIF extendidos:  comoprobante manual 240 del 30 de abril, transacción contable 2550 del 29 de junio del corriente año. "/>
    <s v="De acuerdo con las evidencias suministradas: reporte comprobante Contable SIIF Nación de los meses julio y agosto se observa el desarrollo de la actividad."/>
    <m/>
  </r>
  <r>
    <n v="20"/>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ón de la declaración en el aplicativo"/>
    <s v="Subdirección Administrativa y Financiera"/>
    <s v="Número"/>
    <s v="Número de Estados financieros presentados y publicados"/>
    <s v="Eficacia"/>
    <n v="12"/>
    <n v="3"/>
    <n v="3"/>
    <n v="3"/>
    <n v="3"/>
    <n v="3"/>
    <s v="Durante el primer trimestre se presentó las declaraciones tributarias mensual (Retefuente)"/>
    <n v="3"/>
    <s v="Durante el primer trimestre se presentó las declaraciones tributarias mensual (Retefuente)"/>
    <n v="2"/>
    <s v="Durante el tercer trimestre se presentó las declaraciones tributarias el mes de julio y agosto (Retefuente)"/>
    <m/>
    <m/>
    <d v="2021-04-09T00:00:00"/>
    <d v="2021-07-02T00:00:00"/>
    <d v="2021-10-13T00:00:00"/>
    <m/>
    <n v="0.66666666666666663"/>
    <n v="1"/>
    <n v="1"/>
    <n v="1"/>
    <s v=" "/>
    <s v="Concepto Favorable"/>
    <s v="Concepto Favorable"/>
    <s v="Concepto Favorable"/>
    <m/>
    <s v="Estan cargadas las evidencias correspondientes"/>
    <s v="La actividad cuenta con las evidencias "/>
    <s v="Se verifica la información y la evidencia aportada: Declaración retefuente, al ser coincidentes se aprueba el seguimiento."/>
    <m/>
    <x v="0"/>
    <x v="0"/>
    <x v="0"/>
    <x v="0"/>
    <s v="Se valida con formulario de declaración de retefuente de febrerod e 2021"/>
    <s v="Presentación y pago de retefuente abril y mayo del presente año. "/>
    <s v="De acuerdo con las evidencias suministradas: Declaración retefuente presentada julio y agosto se observa el desarrollo de la actividad."/>
    <m/>
  </r>
  <r>
    <n v="21"/>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ón de la declaración en el aplicativo"/>
    <s v="Subdirección Administrativa y Financiera"/>
    <s v="Número"/>
    <s v="Número de Estados financieros presentados y publicados"/>
    <s v="Eficacia"/>
    <n v="5"/>
    <n v="1"/>
    <n v="1"/>
    <n v="2"/>
    <n v="1"/>
    <n v="1"/>
    <s v="Se presentó la declaración tributaria IVA del primer bimestral"/>
    <n v="1"/>
    <s v="Se presentó la declaración tributaria IVA del primer bimestral"/>
    <n v="2"/>
    <s v="Se presentó la declaración tributaria IVA (Julio - Agosto) Reteica (Julio - Agosto) ICA (Mayo - Junio)"/>
    <m/>
    <m/>
    <d v="2021-04-09T00:00:00"/>
    <d v="2021-07-02T00:00:00"/>
    <d v="2021-10-13T00:00:00"/>
    <m/>
    <n v="0.8"/>
    <n v="1"/>
    <n v="1"/>
    <n v="1"/>
    <s v=" "/>
    <s v="Concepto Favorable"/>
    <s v="Concepto Favorable"/>
    <s v="Concepto Favorable"/>
    <m/>
    <s v="Estan cargadas las evidencias correspondientes"/>
    <s v="La actividad cuenta con las evidencias "/>
    <s v="Se verifica la información y la evidencia aportada: Declaración IVA y retefuente, al ser coincidentes se aprueba el seguimiento."/>
    <m/>
    <x v="0"/>
    <x v="0"/>
    <x v="0"/>
    <x v="0"/>
    <s v="Se valida formato de declaración de ica presentado el 24 de febrero de 2021."/>
    <s v="Se presentó y pagó la declaración tributaria IVA del segundo y tercer  bimestrde 2021."/>
    <s v="De acuerdo con las evidencias suministradas: Declaración de Iva Julio- Agosto, Declaración de Ica Mayo- Junio, Reteica Bogotá Julio- Agosto, se observa el desarrollo de la actividad."/>
    <m/>
  </r>
  <r>
    <n v="22"/>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ón."/>
    <s v="Subdirección Administrativa y Financiera"/>
    <s v="Número"/>
    <s v="Nú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n v="5"/>
    <s v="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
    <n v="2"/>
    <s v="Se presenraron los informes y Estados Financieros de los meses de abril y mayo, los estados financieros de junio, julio y agosto se encuentran en firma de la direcciòn general"/>
    <m/>
    <m/>
    <d v="2021-04-09T00:00:00"/>
    <d v="2021-07-02T00:00:00"/>
    <d v="2021-10-13T00:00:00"/>
    <m/>
    <n v="0.63636363636363635"/>
    <s v=""/>
    <n v="1"/>
    <n v="1"/>
    <s v=" "/>
    <s v="Concepto Favorable"/>
    <s v="Concepto Favorable"/>
    <s v="Concepto Favorable"/>
    <m/>
    <s v="No hay progrmacion para el periodo"/>
    <s v="La actividad cuenta con las evidencias "/>
    <s v="Se verifica la información y la evidencia aportada: Estados financieros, al ser coincidentes se aprueba el seguimiento."/>
    <m/>
    <x v="0"/>
    <x v="0"/>
    <x v="2"/>
    <x v="0"/>
    <s v="Se evidencia con la presentación del iva del primer bimestre de 2021."/>
    <s v="Presentación de estados financieros de abril del presente año. "/>
    <s v="De acuerdo con las evidencias suministradas, no es posible observar el desarrollo de la actividad dado que en los soportes presentan información con corte abril y mayo 2021."/>
    <m/>
  </r>
  <r>
    <n v="23"/>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Subdirección Administrativa y Financiera"/>
    <s v="Porcentaje"/>
    <s v="Índice de desempeño institucional"/>
    <s v="Producto"/>
    <n v="1"/>
    <n v="0"/>
    <n v="0"/>
    <n v="0.5"/>
    <n v="0.5"/>
    <n v="0"/>
    <s v="Esta actividad esta para desarrollar en el tercer trimestre"/>
    <n v="0"/>
    <s v="Esta actividad se llevará acabo en el tercer y cuarto trimestre"/>
    <n v="0"/>
    <s v="En el mes de septiembre se realizó mesa de trrabajo con la OAP y se estableció cronograma de actualizaciòn de la información documentada del SGI del proceso. "/>
    <m/>
    <m/>
    <d v="2021-04-09T00:00:00"/>
    <d v="2021-07-02T00:00:00"/>
    <d v="2021-10-13T00:00:00"/>
    <m/>
    <n v="0"/>
    <s v=""/>
    <s v=""/>
    <n v="0"/>
    <s v=" "/>
    <s v="Concepto Favorable"/>
    <s v="Sin meta asignada en el periodo"/>
    <s v="Concepto No Favorable"/>
    <m/>
    <s v="No hay programacion para el periodo"/>
    <s v="Por instrucciones de la Oficina de Planeacion la actividad de reprograma para el 3 y 4 trimestre "/>
    <s v="Sin avance para el periodo"/>
    <m/>
    <x v="1"/>
    <x v="1"/>
    <x v="2"/>
    <x v="0"/>
    <s v="No hay programacion para el periodo"/>
    <s v="Sin meta asignada en el periodo"/>
    <s v="No se presentan evidencias que evidencien el desarrollo de la actividad."/>
    <m/>
  </r>
  <r>
    <n v="24"/>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desarrollo el segumiento a los controles de los riesgos del proceso"/>
    <n v="1"/>
    <s v="Se desarrollo el segumiento a los controles de los riesgos del proceso"/>
    <n v="1"/>
    <s v="Se desarrollo el segumiento a los controles de los riesgos del proceso"/>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 de riesgos con seguimiento, al ser coincidentes se aprueba el seguimiento."/>
    <m/>
    <x v="0"/>
    <x v="0"/>
    <x v="0"/>
    <x v="0"/>
    <s v="Se evidencia con correo del 14 de abril de 2021."/>
    <s v="Se valida cumplimiento matriz de riesgos. "/>
    <s v="De acuerdo con las evidencias suministradas correo electrónico de fecha 14 de octubre se observa el seguimiento realizado a los controles de los riesgos del proceso"/>
    <m/>
  </r>
  <r>
    <n v="25"/>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s v=" "/>
    <s v="Concepto Favorable"/>
    <s v="Sin meta asignada en el periodo"/>
    <s v="Sin meta asignada en el periodo"/>
    <m/>
    <s v="No hay programacion para el periodo"/>
    <s v="Actividad programada para el 4 trimestre"/>
    <s v="Sin meta asignada para el periodo"/>
    <m/>
    <x v="1"/>
    <x v="1"/>
    <x v="1"/>
    <x v="0"/>
    <s v="no hay progrmación de meta. "/>
    <s v="Sin meta asignada en el periodo"/>
    <s v="Sin meta asiganada para el trimestre"/>
    <m/>
  </r>
  <r>
    <n v="26"/>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aron las actividades y se realizó seguimiento del PAA y el PAAC del primer trimestre"/>
    <n v="1"/>
    <s v="Se realizaron las actividades y se realizó seguimiento del PAA y el PAAC del segundo trimestre"/>
    <n v="1"/>
    <s v="Se realizaron las actividades y se realizó seguimiento del PAA y el PAAC del tercer trimest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plan de acción y plan anticorrupción con seguimiento, al ser coincidentes se aprueba el seguimiento."/>
    <m/>
    <x v="0"/>
    <x v="0"/>
    <x v="0"/>
    <x v="0"/>
    <s v="Se evidencia con correo electrónico del 14 de abril de 2021."/>
    <s v="Se evidencia seguimiento del PAA y el PAAC del segundo trimestre"/>
    <s v="De acuerdo con las evidencias suministradas correo electrónico de fecha 14 de octubre se observa el seguimiento realizado al plan de acción anual y a las actividades del plan anticorrupción y atención al ciudadano."/>
    <m/>
  </r>
  <r>
    <n v="27"/>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s v=" "/>
    <s v="Concepto Favorable"/>
    <s v="Sin meta asignada en el periodo"/>
    <s v="Sin meta asignada en el periodo"/>
    <m/>
    <s v="No hay programacion para el periodo"/>
    <s v="Actividad programada para el ultimo trimestre"/>
    <s v="Sin meta programada para el periodo"/>
    <m/>
    <x v="1"/>
    <x v="1"/>
    <x v="1"/>
    <x v="0"/>
    <s v="no hay programación de meta"/>
    <s v="Sin meta asignada en el periodo"/>
    <s v="Sin meta asignada para el trimestre"/>
    <m/>
  </r>
  <r>
    <n v="28"/>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esta para desarrollar en el siguiente trimestre"/>
    <n v="0"/>
    <s v="Esta actividad se desarrollará en el tercer trimestre"/>
    <n v="0"/>
    <s v="No se realizó la actividad de implementar oportunidades de mejora relacionadas al cumplimiento del FURAG que apliquen al proceso."/>
    <m/>
    <m/>
    <d v="2021-04-09T00:00:00"/>
    <d v="2021-07-02T00:00:00"/>
    <d v="2021-10-13T00:00:00"/>
    <m/>
    <n v="0"/>
    <s v=""/>
    <n v="0"/>
    <n v="0"/>
    <s v=" "/>
    <s v="Concepto Favorable"/>
    <s v="Concepto No Favorable"/>
    <s v="Concepto No Favorable"/>
    <m/>
    <s v="No hay programacion para el periodo"/>
    <s v="El proceso no ha cargado acciones de mejora "/>
    <s v="Sin avance para el periodo"/>
    <m/>
    <x v="1"/>
    <x v="2"/>
    <x v="2"/>
    <x v="0"/>
    <s v="sin meta programada. "/>
    <s v="El proceso no ha cargado acciones de mejora "/>
    <s v="No se presentan evidencias de avance de la actividad"/>
    <m/>
  </r>
  <r>
    <n v="1"/>
    <x v="14"/>
    <s v="Normativa"/>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n v="0.3"/>
    <s v="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
    <n v="0.3"/>
    <s v="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
    <m/>
    <m/>
    <d v="2021-04-09T00:00:00"/>
    <d v="2021-07-02T00:00:00"/>
    <d v="2021-10-13T00:00:00"/>
    <m/>
    <n v="0.8"/>
    <n v="1"/>
    <n v="1"/>
    <n v="1"/>
    <s v=" "/>
    <s v="Concepto Favorable"/>
    <s v="Concepto Favorable"/>
    <s v="Concepto Favorable"/>
    <m/>
    <s v="Con las circulares proyectadas con las directrices y enviadas a traves de correos electronicos se verifica el cumplimento cel control"/>
    <s v="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
    <s v="La evidencia concuerda"/>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s v="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
    <s v="Se observa la generación de directrices, recomendaciones y circulares  con incidencia jurídica en los 29 soportes que se aportan como evidencias. "/>
    <m/>
  </r>
  <r>
    <n v="2"/>
    <x v="14"/>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n v="0.3"/>
    <s v="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
    <n v="0.3"/>
    <s v="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
    <m/>
    <m/>
    <d v="2021-04-09T00:00:00"/>
    <d v="2021-07-02T00:00:00"/>
    <d v="2021-10-11T00:00:00"/>
    <m/>
    <n v="0.8"/>
    <n v="1"/>
    <n v="1"/>
    <n v="1"/>
    <s v=" "/>
    <s v="Concepto Favorable"/>
    <s v="Concepto Favorable"/>
    <s v="Concepto Favorable"/>
    <m/>
    <s v="Con la oficializacion del procedimiento de conciliación judicial y extrajudicial y su formato asociado y la realizacion de dos socializaciones, igualmente la realizacion de capacitaciones evidenciadas con registros se da cumplimiento a la meta."/>
    <s v="Con las evidencias  aportadas como: Presentación Capacitación derecho de Petición - OAJ- GIT servicio al ciudadano 2021,    Correos como del 28 de junio de 2021    remitiendo presentaciones de capacitaciones, certificado de  participación de Tatiana Andrea Vanegas Cortes al curso &quot;Cómo afrontar con éxito el desafío de su primera audiencia, Participó y completó con éxito el curso virtual, _x000d__x000a_Estrategias para Llegar a Acuerdos, Procedimiento  en versión Propuesta  de Procesos Judiciales._x000d__x000a_Se comprueba el cumplimiento de la meta_x000d__x000a_"/>
    <s v="La evidencia concuerda con la actividad"/>
    <m/>
    <x v="0"/>
    <x v="0"/>
    <x v="0"/>
    <x v="0"/>
    <s v="El 18 de marzo de 2021 mediante correo electrónico  se socializa el normograma de la institución,el 29 de marzo se realiza reunión por teams y se observan certificaciones de capacitaciones en defensa judicial."/>
    <s v="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
    <s v="Se observa ejecución de la actividad mediante los 17 soportes que suministran como evidencias, entre los cuales estan 2 proyectos de procedimiento, 5 soportes capacitación, 3 socializaciones, caracterización de Gestión Jurídica, 5 certificados de capacitaciones de la ANDJE, entre otros."/>
    <m/>
  </r>
  <r>
    <n v="3"/>
    <x v="14"/>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n v="1"/>
    <s v="Se realizó seguimiento a los indicadores de la política de prevención del daño antijurídico del GIT Contratación. Como soporte, 1 correo electrónico de remisión y 6 anexos en excel de asistencias a capacitaciones realizadas por el GIT Contractual para atender las causas."/>
    <n v="1"/>
    <s v="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
    <m/>
    <m/>
    <d v="2021-04-09T00:00:00"/>
    <d v="2021-07-02T00:00:00"/>
    <d v="2021-10-11T00:00:00"/>
    <m/>
    <n v="0.75"/>
    <n v="1"/>
    <n v="1"/>
    <n v="1"/>
    <s v=" "/>
    <s v="Concepto Favorable"/>
    <s v="Concepto Favorable"/>
    <s v="Concepto Favorable"/>
    <m/>
    <s v="Con las evidencias aportadas de  la implementación de la Política de Prevención del Daño Antijurídico se evidencia la implementacion de la actividad."/>
    <s v="Con  correo electrónico de seguimiento ( remisiorio) de asunto, evidencias indicadores política de prevención del daño anti jurídico de la entidaddel (19 de mayo de 2021) se evidencia el cumplimiento dela meta."/>
    <s v="Se validan las evidencias aportadas"/>
    <m/>
    <x v="0"/>
    <x v="0"/>
    <x v="0"/>
    <x v="0"/>
    <s v="Mediante correo electrónico del 26 de febrero de 2021 se hace entrega del aplicativo y seguimiento a la política de prevención del daño antijuridico del Instituto."/>
    <s v="Se observó correo del 19/05/2021 sobre seguimiento a indicadores de la política de prevención del daño antijurídico y 6 registros de asistencia de capacitaciones dirigidas a los supervisores adelantadas durante el periodo, para evidenciar la ejecución de la actividad. "/>
    <s v="Se verifica seguimiento a Política de Prevención del Daño Antijurídico mediante documento de 30/08/2021 y documento sobre capacitación de la ANDJE para formulación de la PPDA del 18/08/2021, entre otros. "/>
    <m/>
  </r>
  <r>
    <n v="4"/>
    <x v="14"/>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n v="0.3"/>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
    <n v="0.3"/>
    <s v="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
    <m/>
    <m/>
    <d v="2021-04-09T00:00:00"/>
    <d v="2021-07-02T00:00:00"/>
    <d v="2021-10-11T00:00:00"/>
    <m/>
    <n v="0.8"/>
    <n v="1"/>
    <n v="1"/>
    <n v="1"/>
    <s v=" "/>
    <s v="Concepto Favorable"/>
    <s v="Concepto Favorable"/>
    <s v="Concepto Favorable"/>
    <m/>
    <s v="Con la solicitud de publicaciones en la página web de los actos administrativos producidos y revisados por la Oficina Asesora Jurídicael y el formato  consolidado de solicitud de actualización de normograma vigente diligenciado se evidencia el cumplimiento de la meta."/>
    <s v="En ellink  https://www.igac.gov.co/es/normograma. y con el reistro Consolidado normas cargadas a Junio 30 2021 se compueba el cumplimiento de la meta"/>
    <s v="La evidencia cumple"/>
    <m/>
    <x v="0"/>
    <x v="0"/>
    <x v="0"/>
    <x v="0"/>
    <s v="De acuerdo con las evidencias suministradas se observa como la Oficina Asesora Jurídica lídero la actualización del normograma de la entidad el cual se encuentra publicado en la página web."/>
    <s v="Mediante Consolidado Actualización Normograma a junio 30 de 2021 y el link https://www.igac.gov.co/es/normograma se verifica ejecución de la actividad. "/>
    <s v="Se verifica ejecución de la actividad mediante formato excel Normograma a 30/09/2021, correos  electrónicos del 05/07/2021 03/08/2021 y 29/08/2021 sobre consolidado normograma, actualización normatividad y aclaración normograma, entre otros soportes."/>
    <m/>
  </r>
  <r>
    <n v="5"/>
    <x v="14"/>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_x000a_"/>
    <m/>
    <m/>
    <d v="2021-04-09T00:00:00"/>
    <d v="2021-07-02T00:00:00"/>
    <d v="2021-10-11T00:00:00"/>
    <m/>
    <n v="0.8"/>
    <n v="1"/>
    <n v="1"/>
    <n v="1"/>
    <s v=" "/>
    <s v="Concepto Favorable"/>
    <s v="Concepto Favorable"/>
    <s v="Concepto Favorable"/>
    <m/>
    <s v="Con la evidencia de aseoria y acompañamiento asi como la proyeccion de respuestas  a actos administrativo, conceptos  y revision de contratos se da cumplimiento a la meta."/>
    <s v="Con correos electronicoa y convocatorias a asesorías en los cuales se evidencian las revisiones a la contratación, así como de los conceptos, consultas y actos administrativos revisados y proyectados por el proceso de gestión jurídica. evidenciando el logro de la meta"/>
    <s v="La evidencia cumple"/>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s v="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
    <s v="Mediante los 31 soportes aportados por la OAJ se evidencia el acompañamiento brindado, la atención a las consultas, conceptos emitidos y actos administrativos proyectados o revisados. "/>
    <m/>
  </r>
  <r>
    <n v="6"/>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n v="0.3"/>
    <s v="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
    <n v="0.3"/>
    <s v="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
    <m/>
    <m/>
    <d v="2021-04-09T00:00:00"/>
    <d v="2021-07-02T00:00:00"/>
    <d v="2021-10-12T00:00:00"/>
    <m/>
    <n v="0.8"/>
    <n v="1"/>
    <n v="1"/>
    <n v="1"/>
    <s v=" "/>
    <s v="Concepto Favorable"/>
    <s v="Concepto Favorable"/>
    <s v="Concepto Favorable"/>
    <m/>
    <s v="Con las evidencias aportadas se comprueba que se ejerce  la defensa judicial del IGAC"/>
    <s v="De acuerdo con las evidencias suministradas se observa que se han diligenciado los formatos de control de procesos judiciales, además del seguimiento a los procesos judiciales de la entidad."/>
    <s v="Las evidencias aportadas corresponden"/>
    <m/>
    <x v="0"/>
    <x v="0"/>
    <x v="0"/>
    <x v="0"/>
    <s v="De acuerdo con las evidencias suministradas se observa que se han diligenciado los formatos de control de procesos judiciales, además del seguimiento a los procesos judiciales de la entidad."/>
    <s v="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
    <s v="Se verificó el seguimiento de la defensa judicial por parte de la OAJ mediante Informe de procesos judiciales con corte a 30/09/2021 y el formato Control de Procesos Judiciales de los expedientes 20170000601 y 20100294001 entre otros soportes."/>
    <m/>
  </r>
  <r>
    <n v="7"/>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n v="0.3"/>
    <s v="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
    <n v="0.3"/>
    <s v="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
    <m/>
    <m/>
    <d v="2021-04-09T00:00:00"/>
    <d v="2021-07-02T00:00:00"/>
    <d v="2021-10-11T00:00:00"/>
    <m/>
    <n v="0.8"/>
    <n v="1"/>
    <n v="1"/>
    <n v="1"/>
    <s v=" "/>
    <s v="Concepto Favorable"/>
    <s v="Concepto Favorable"/>
    <s v="Concepto Favorable"/>
    <m/>
    <s v="Con los sopoprtes, muestra de nueve correos electrónicos los cuales  evidencian el control de los préstamos de la documentación efectuada por el archivo de gestión de la dependencia."/>
    <s v="Se evidencian el logro de la meta en: 34 correos electrónicos mediante de préstamos de la documentación efectuados durante el periodo y archivo excel de inventario único documental de la OAJ  con corte a  30 de junio de 2021."/>
    <s v="Las evidencias aportadas corresponden"/>
    <m/>
    <x v="0"/>
    <x v="0"/>
    <x v="0"/>
    <x v="0"/>
    <s v="Mediante correos del 30 de marzo de 2021 se observa el control ejercido en el préstamo de documentos (convenios) que hacen parte del archivo de la Oficina Asesora Jurídica."/>
    <s v="Se observa ejecución de la actividad a través de los 34 documentos correspondientes al segundo trimestre 2021 que registran como evidencia del control de préstamo de documentación y el archivo excel sobre Inventario único Documental de la Oficina Asesora Jurídica. "/>
    <s v="Se verifica seguimiento y control sobre el prestamo de documentos del archivo de gestión a través del Inventario único documental de la OAJ y correo electrónico del 02/09/2021 entre otros."/>
    <m/>
  </r>
  <r>
    <n v="8"/>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n v="0.3"/>
    <s v="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
    <n v="0.3"/>
    <s v="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
    <m/>
    <m/>
    <d v="2021-04-09T00:00:00"/>
    <d v="2021-07-02T00:00:00"/>
    <d v="2021-10-11T00:00:00"/>
    <m/>
    <n v="0.8"/>
    <n v="1"/>
    <n v="1"/>
    <n v="1"/>
    <s v=" "/>
    <s v="Concepto Favorable"/>
    <s v="Concepto Favorable"/>
    <s v="Concepto Favorable"/>
    <m/>
    <s v="Con las evidencias aportadas de las actividades realizadas, se da cumpliieno de la Meta"/>
    <s v="Con COPIA INFORME PRO JUD FINANCIERA DEL 1 DE ABRIL 2021 AL 30 DE JUNIO DE 2021  y los correos electronicos se  evidencias el logro de la meta."/>
    <s v="Se evidencia con 51 documentos PDF con correos electrónicos en PDF con requerimientos específicos a los abogados para actualización del sistema EKOGUI. 1 excel a 30 de septiembre de  2021 con el estado actualizado de los procesos en EKOGUI."/>
    <m/>
    <x v="0"/>
    <x v="0"/>
    <x v="0"/>
    <x v="0"/>
    <s v="De acuerdo con correos electrónicos se observa las solicitudes realizadas para la actualización del sistema EKOGUI, además se observan 9 sesiones de trabajo vía TEAMS para revisar temas de procesos judiciales."/>
    <s v="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
    <s v="Se observa seguimiento a Ekogui con los 51 documentos aportados (requerimientos a abogados para actualización de datos en el sistema) y excel que contiene el Informe de los procesos judiciales a 30/09/2021. "/>
    <m/>
  </r>
  <r>
    <n v="9"/>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n v="0.3"/>
    <s v="Se llevaron a cabo los comités de conciliación requeridos para someter a decisión los asuntos de su competencia. Como anexo, se aportan siete actas, en las cuales obran las sesiones realizadas de abril a junio 30 de 2021."/>
    <n v="0.3"/>
    <s v="Se llevaron a cabo los comités de conciliación requeridos para someter a decisión los asuntos de su competencia. Como anexo, se aportan 7 actas, en las cuales obran las sesiones realizadas de julio a septiembre 30 de 2021."/>
    <m/>
    <m/>
    <d v="2021-04-09T00:00:00"/>
    <d v="2021-07-02T00:00:00"/>
    <d v="2021-10-11T00:00:00"/>
    <m/>
    <n v="0.8"/>
    <n v="1"/>
    <n v="1"/>
    <n v="1"/>
    <s v=" "/>
    <s v="Concepto Favorable"/>
    <s v="Concepto Favorable"/>
    <s v="Concepto Favorable"/>
    <m/>
    <s v="Con las seis actas que evidencian los comites de conciliación donde se someten a decisión los asuntos de su competencia, se evidencia el cumplimiento de la meta."/>
    <s v="Con las siete actas de sesiones de comités de conciliación realizadas de abril a junio 30 de 2021.se evidencia el cumplimiento de la actividad."/>
    <s v="Se evidencia con comités de conciliación requeridos para someter a decisión los asuntos de su competencia. Como anexo, se aportan 7 actas, en las cuales obran las sesiones realizadas de julio a septiembre 30 de 2021."/>
    <m/>
    <x v="0"/>
    <x v="0"/>
    <x v="0"/>
    <x v="0"/>
    <s v="De acuerdo con las actas de fecha 14-01-2021, 27-01-2021, 11-02-2021, 24-02-2021, 03-03-2021, 15-03-2021 se observa la realización del Comité de conciliación."/>
    <s v="Se verifica celebración de los comités de conciliación con la muestra conformada por 7 actas de las reuniones de comite adelantadas durante el segundo trimestre 2021. "/>
    <s v="Se verifica cumplimiento en la celebración de los Comites de Conciliación a través de las 7 actas aportadas por la OAJ como evidencia."/>
    <m/>
  </r>
  <r>
    <n v="10"/>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n v="0.3"/>
    <s v="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
    <n v="0.3"/>
    <s v="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m/>
    <d v="2021-04-09T00:00:00"/>
    <d v="2021-07-02T00:00:00"/>
    <d v="2021-10-11T00:00:00"/>
    <m/>
    <n v="0.8"/>
    <n v="1"/>
    <n v="1"/>
    <n v="1"/>
    <s v=" "/>
    <s v="Concepto Favorable"/>
    <s v="Concepto Favorable"/>
    <s v="Concepto Favorable"/>
    <m/>
    <s v="Con las 25 convocatorias a reuniones virtuales en PDF realizadas tendientes a articular la gestión de defensa judicial se evidencia la coordinacion de las actividades juridicas"/>
    <s v="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
    <s v="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x v="0"/>
    <x v="0"/>
    <x v="0"/>
    <x v="0"/>
    <s v="De acuerdo con los soportes suministrados se observa que se realizaron 23 sesiones de trabajo con las Direcciones Territoriales."/>
    <s v="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
    <s v="Se verifica la coordinación ejercida por la OAJ sobre las actuaciones jurídicas desplegadas por las D.T. a través de los 25 soportes que aportaron. "/>
    <m/>
  </r>
  <r>
    <n v="11"/>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Jurídica"/>
    <s v="Porcentaje"/>
    <s v="Índice de desempeño institucional"/>
    <s v="Producto"/>
    <n v="1"/>
    <n v="0"/>
    <n v="0"/>
    <n v="0.5"/>
    <n v="0.5"/>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n v="0.5"/>
    <s v="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
    <n v="0.5"/>
    <s v="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
    <m/>
    <m/>
    <d v="2021-04-09T00:00:00"/>
    <d v="2021-07-02T00:00:00"/>
    <d v="2021-10-11T00:00:00"/>
    <m/>
    <n v="1"/>
    <s v=""/>
    <s v=""/>
    <n v="1"/>
    <s v=" "/>
    <s v="Concepto Favorable"/>
    <s v="Concepto Favorable"/>
    <s v="Concepto Favorable"/>
    <m/>
    <s v="Se oficializo la actualizacion del procedimiento de Conciliacion judicial y extrajudicial codigo PC-GJU-04 y sus formatos asociados codigo FO-GJU-PC04-01 y FO-GJU-PC04-02, y la publicacion en el listado maestro, se comprueba el cmplimiento de la meta."/>
    <s v="Con cronograma de actividades, archivos en word con procedimientos proyectados según cronograma y socialización de procedimiento Se evidencia cumplimiento de  la actividad"/>
    <s v="Se evidencia con avamces del cronograma de la gestión jurídica"/>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s v="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
    <s v="Se observa realización de la actividad mediante los 31 soportes suministrados por la OAJ de procedimientos y formatos según cronograma, excel con cronograma actualización documentos Gestión Jurídca y la caracterización de Gestión Jurídica final, entre otros soportes. .  "/>
    <m/>
  </r>
  <r>
    <n v="12"/>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Í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n v="1"/>
    <s v="Se reporta el seguimiento  los riesgos del proceso en la herramienta PLANIGAC para el período abril, mayo y junio de 2021. Como evidencia, la presenta herramienta planigac diligenciada y sus soportes cargados en el drive correspondiente."/>
    <n v="1"/>
    <s v="Se reporta el seguimiento a los riesgos del proceso en la herramienta PLANIGAC para el período julio a septiembre de 2021. Como evidencia, la presenta herramienta planigac diligenciada y sus soportes cargados en el drive correspondiente."/>
    <m/>
    <m/>
    <d v="2021-04-09T00:00:00"/>
    <d v="2021-07-02T00:00:00"/>
    <d v="2021-10-11T00:00:00"/>
    <m/>
    <n v="0.75"/>
    <n v="1"/>
    <n v="1"/>
    <n v="1"/>
    <s v=" "/>
    <s v="Concepto Favorable"/>
    <s v="Concepto Favorable"/>
    <s v="Concepto Favorable"/>
    <m/>
    <s v="Con los controles soportes cargados en el drive y en la herrammienta Planigac. se da poe cumplida la meta"/>
    <s v="Con los soportes reportados en  el drive y en la herramienta Planigac. se da por cumplida la meta."/>
    <s v="Se  valida la evidencia con la herramienta planigac y sus soportes"/>
    <m/>
    <x v="0"/>
    <x v="0"/>
    <x v="0"/>
    <x v="0"/>
    <s v="El 14 de abril se remite el seguimiento a los riesgos establecidos al proceso en PLANIGAC  a la Oficina asesora de planeación."/>
    <s v="Se observa ejecución con soportes en drive y herramienta planigac del segundo trimestre."/>
    <s v="Se verifica cumplimiento de la actividad con herramienta PLANIGAC y soportes durante el tercer trimestre."/>
    <m/>
  </r>
  <r>
    <n v="13"/>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Índice de desempeño institucional"/>
    <s v="Producto"/>
    <n v="1"/>
    <n v="0"/>
    <n v="0"/>
    <n v="0"/>
    <n v="1"/>
    <n v="0"/>
    <n v="0"/>
    <n v="0"/>
    <s v="No aplica indicador  ya que esta programado para el cuarto trimestre"/>
    <n v="0"/>
    <s v="No aplica indicador ya que está programado para el cuarto trimestre"/>
    <m/>
    <m/>
    <d v="2021-04-09T00:00:00"/>
    <d v="2021-07-02T00:00:00"/>
    <d v="2021-10-11T00:00:00"/>
    <m/>
    <n v="0"/>
    <s v=""/>
    <s v=""/>
    <s v=""/>
    <s v=" "/>
    <s v="Sin meta asignada en el periodo"/>
    <s v="Sin meta asignada en el periodo"/>
    <s v="Sin meta asignada en el periodo"/>
    <m/>
    <s v="No aplica indicador  ya que esta programado para el cuarto trimestre"/>
    <s v="No aplica indicador  ya que esta actividad esta programado para el cuarto trimestre"/>
    <s v="No aplica indicador ya que está programado para el cuarto trimestre"/>
    <m/>
    <x v="1"/>
    <x v="1"/>
    <x v="1"/>
    <x v="0"/>
    <s v="Sin meta asignada para el trimestre, sin evidencias de ejecución de la actividad."/>
    <s v="Actividad programada para el cuarto trimestre."/>
    <s v="Actividad programada para el cuarto trimestre."/>
    <m/>
  </r>
  <r>
    <n v="14"/>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Asesora Jurídica"/>
    <s v="Número"/>
    <s v="Í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n v="1"/>
    <s v="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
    <n v="1"/>
    <s v="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
    <m/>
    <m/>
    <d v="2021-04-09T00:00:00"/>
    <d v="2021-07-02T00:00:00"/>
    <d v="2021-10-11T00:00:00"/>
    <m/>
    <n v="0.75"/>
    <n v="1"/>
    <n v="1"/>
    <n v="1"/>
    <s v=" "/>
    <s v="Concepto Favorable"/>
    <s v="Concepto Favorable"/>
    <s v="Concepto Favorable"/>
    <m/>
    <s v="Con los controles soportes cargados en el drive y en la herrammienta Planigac. se da por implementada  la actividad."/>
    <s v="Con el reporte del Plan de acción  anual, y el control a los riesgos en PLANIGAC. se cumple la meta"/>
    <s v="Se valida seguimiento en Planigac del PAA Y RIESGOS"/>
    <m/>
    <x v="0"/>
    <x v="0"/>
    <x v="0"/>
    <x v="0"/>
    <s v="El 14 de abril se entrega  el seguimiento al Plan de acción  anual, y a los riesgos establecidos al proceso de gestión jurídica en PLANIGAC, el cual se remite  a la Oficina asesora de planeación."/>
    <s v="Se ejecuta actividad con el reporte del Plan de Acción Anual y el control a riesgos en Planigac. "/>
    <s v="Se verifica la ejecución de la actividad en PLANIGAC del PAA y Riesgos."/>
    <m/>
  </r>
  <r>
    <n v="15"/>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Asesora Jurídica"/>
    <s v="Número"/>
    <s v="Índice de desempeño institucional"/>
    <s v="Producto"/>
    <n v="2"/>
    <n v="0"/>
    <n v="0"/>
    <n v="0"/>
    <n v="2"/>
    <n v="0"/>
    <n v="0"/>
    <n v="0"/>
    <s v="No se tiene programada actividad para este período, esta programado para el cuarto período."/>
    <n v="0"/>
    <s v="No se tiene programada actividad para este período, está programado para el cuarto período."/>
    <m/>
    <m/>
    <d v="2021-04-09T00:00:00"/>
    <d v="2021-07-02T00:00:00"/>
    <d v="2021-10-11T00:00:00"/>
    <m/>
    <n v="0"/>
    <s v=""/>
    <s v=""/>
    <s v=""/>
    <s v=" "/>
    <s v="Sin meta asignada en el periodo"/>
    <s v="Sin meta asignada en el periodo"/>
    <s v="Sin meta asignada en el periodo"/>
    <m/>
    <s v="No se tiene programada actividad para este periodo, esta programado par el cuarto periodo"/>
    <s v="Sin determinación de meta."/>
    <s v="No se tiene programada actividad para este período, está programado para el cuarto período."/>
    <m/>
    <x v="1"/>
    <x v="1"/>
    <x v="1"/>
    <x v="0"/>
    <s v="Sin meta asignada para el trimestre, sin evidencias de ejecución de la actividad."/>
    <s v="No se definió meta para segundo trimestre."/>
    <s v="No se estableció meta para el tercer trimestre."/>
    <m/>
  </r>
  <r>
    <n v="16"/>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Índice de desempeño institucional"/>
    <s v="Producto"/>
    <n v="4"/>
    <n v="0"/>
    <n v="2"/>
    <n v="1"/>
    <n v="1"/>
    <n v="0"/>
    <n v="0"/>
    <n v="2"/>
    <s v="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
    <n v="1"/>
    <s v="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
    <m/>
    <m/>
    <d v="2021-04-09T00:00:00"/>
    <d v="2021-07-02T00:00:00"/>
    <d v="2021-10-11T00:00:00"/>
    <m/>
    <n v="0.75"/>
    <s v=""/>
    <n v="1"/>
    <n v="1"/>
    <s v=" "/>
    <s v="Sin meta asignada en el periodo"/>
    <s v="Concepto Favorable"/>
    <s v="Concepto Favorable"/>
    <m/>
    <s v="Para este periodo no se tiene programada meta "/>
    <s v="dando continuidad a las acciones de mejora descritas en cronograma y su identificación de avances, con seguimiento en rama judicial y EKOGUI,  actas de comité y  correo seguimiento PPDA. Se evidencia la ejecución de la actividad"/>
    <s v="Las evidencias corresponden con las actividades propuestas"/>
    <m/>
    <x v="1"/>
    <x v="0"/>
    <x v="0"/>
    <x v="0"/>
    <s v="Sin meta asignada para el trimestre, sin evidencias de ejecución de la actividad."/>
    <s v="Se observa ejecución de actividad a través de Informe de procesos judiciales del 01/04/2021 al 30/06/2021, 7 actas de los comités de conciliación adelantados durante el segundo semestre, correo de seguimiento al PPDA del 19/05/2021."/>
    <s v="Se verifica ejecución de la actividad con el cronograma de actualización de documentos de Gestión Jurídica 2021, reunión para revisión resultados matriz FURAG 29/09/2021 y correo del 28/08/2021 sobre preparación FURAG."/>
    <m/>
  </r>
  <r>
    <n v="1"/>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Subdirección de Agrología"/>
    <s v="Número"/>
    <s v="Análisis químicos, físicos, mineralógicos y biológicos de suelos, aguas y tejido vegetal realizados"/>
    <s v="Producto"/>
    <n v="28000"/>
    <n v="3900"/>
    <n v="9000"/>
    <n v="8800"/>
    <n v="6300"/>
    <n v="7947"/>
    <s v="Se avanzo en los analisis el proyecto CAR"/>
    <n v="534"/>
    <s v="El cumplimiento de lo programado se ha visto afectado por el retraso en las salidas de campo debido a la pandemia, se espera programar las visitas para los próximos meses y así alcanzar las metas programas."/>
    <n v="3996"/>
    <s v="No se dio cumplimiento a la meta para esta actividad toda vez que solo se realizó una comisión por parte de la Subdirección de Agrología    "/>
    <m/>
    <m/>
    <d v="2021-04-09T00:00:00"/>
    <d v="2021-07-02T00:00:00"/>
    <d v="2021-10-12T00:00:00"/>
    <m/>
    <n v="0.44560714285714287"/>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s v="No se dío cumplimiento con la meta esperada"/>
    <m/>
    <x v="0"/>
    <x v="2"/>
    <x v="2"/>
    <x v="0"/>
    <s v="Se evidencia el archivo donde se describen los avances correspondientes al servicio de análisis de los suelos para los meses de enero, febrero y marzo de 2021.  Donde se informa que el avance consolidad a marzo es del 27.84%."/>
    <s v="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45.40%."/>
    <m/>
  </r>
  <r>
    <n v="2"/>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Subdirección de Agrología"/>
    <s v="Número"/>
    <s v="Análisis químicos, físicos, mineralógicos y biológicos de suelos, aguas y tejido vegetal realizados"/>
    <s v="Producto"/>
    <n v="6400"/>
    <n v="1510"/>
    <n v="1760"/>
    <n v="1580"/>
    <n v="1550"/>
    <n v="1245"/>
    <s v="Se avanzó en el procesamiento de muestras de suelo proyecto CAR"/>
    <n v="7"/>
    <s v="El cumplimiento de lo programado se ha visto afectado por el retraso en las salidas de campo debido a la pandemia, se espera programar las visitas para los próximos meses y así alcanzar las metas programas."/>
    <n v="1073"/>
    <s v="No se dio cumplimiento a los 1.580 análisis proyectados ya que solo se recibieron muestras del contrato de la CAR que desarrollaba la Subdirección de Agrología  "/>
    <m/>
    <m/>
    <d v="2021-04-09T00:00:00"/>
    <d v="2021-07-02T00:00:00"/>
    <d v="2021-10-12T00:00:00"/>
    <m/>
    <n v="0.36328125"/>
    <n v="0.82450331125827814"/>
    <n v="1"/>
    <n v="1"/>
    <s v=" "/>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s v="No se dió cumplimiento a la meta esperada en el período y la meta cuenta con rezago de periodos anteriores"/>
    <m/>
    <x v="2"/>
    <x v="2"/>
    <x v="2"/>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s v="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67.97%."/>
    <m/>
  </r>
  <r>
    <n v="3"/>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Subdirección de Agrología"/>
    <s v="Número"/>
    <s v="Análisis químicos, físicos, mineralógicos y biológicos de suelos, aguas y tejido vegetal realizados"/>
    <s v="Producto"/>
    <n v="1600"/>
    <n v="280"/>
    <n v="385"/>
    <n v="505"/>
    <n v="430"/>
    <n v="402"/>
    <s v="Se avanzó en el procesamiento de muestras de suelo proyecto CAR"/>
    <n v="68"/>
    <s v="El cumplimiento de lo programado se ha visto afectado por el retraso en las salidas de campo debido a la pandemia, se espera programar las visitas para los próximos meses y así alcanzar las metas programas."/>
    <n v="243"/>
    <s v="Solo se ejecutaron 243 análisis de los 505 proyectados debido a que no se recibieron más muestras de convenios y/o contratos de la Subdirección de Agrología   "/>
    <m/>
    <m/>
    <d v="2021-04-09T00:00:00"/>
    <d v="2021-07-02T00:00:00"/>
    <d v="2021-10-12T00:00:00"/>
    <m/>
    <n v="0.44562499999999999"/>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La evidencia debe ser de acuerdo al tipo de analisis de la actividad y no debe ser igual para varias actividades. "/>
    <s v="No se dió cumplimiento con la meta esperada para el período, la meta cuenta con rezago de los periodos acumulados "/>
    <m/>
    <x v="0"/>
    <x v="2"/>
    <x v="2"/>
    <x v="0"/>
    <s v="Para el análisis mineralógico se evidencia 10% de avance para clientes externos, correspondientes al primer trimestre del año. Información descrita en el documento en pdf del 31/03/2021."/>
    <s v="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48.11%."/>
    <m/>
  </r>
  <r>
    <n v="4"/>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Subdirección de Agrología"/>
    <s v="Número"/>
    <s v="Sumatoria de análisis químicos, físicos, mineralógicos y biológicos de suelos realizados"/>
    <s v="Producto"/>
    <n v="800"/>
    <n v="175"/>
    <n v="230"/>
    <n v="245"/>
    <n v="150"/>
    <n v="343"/>
    <s v="Se avanzó en el procesamiento de muestras de suelo proyecto CAR"/>
    <n v="374"/>
    <s v="Para este trimestre se superó en un 62% el valor programado, debido a la demanda de analisis._x000d__x000a_"/>
    <n v="0"/>
    <s v="No se ejecutó lo proyectado ya que no se contó con muestras por parte de la subdirección para los respectivos análisis."/>
    <m/>
    <m/>
    <d v="2021-04-09T00:00:00"/>
    <d v="2021-07-02T00:00:00"/>
    <d v="2021-10-12T00:00:00"/>
    <m/>
    <n v="0.89624999999999999"/>
    <n v="1"/>
    <n v="1"/>
    <n v="1"/>
    <s v=" "/>
    <s v="Concepto Favorable"/>
    <s v="Concepto Favorable"/>
    <s v="Concepto No Favorable"/>
    <m/>
    <s v="Se cumplió la meta programada para el primer trimestre. se sugiere describir para futuros reportes motivos por lo que se superó la meta programada."/>
    <s v="Se dió cumplimiento a la meta programada en el periodo. El soporte debeser exclusivo para esta actividad"/>
    <s v="No se dió cumplimiento a la meta esperada."/>
    <m/>
    <x v="0"/>
    <x v="0"/>
    <x v="2"/>
    <x v="0"/>
    <s v="Para el análisis biológico de suelos se evidencia un avance del 5.24 para clientes internos y el 12.71% para clientes externos.  Se valida esta información por medio de pdf reporte avance suministrado por el área del día 31/03/2021."/>
    <s v="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
    <s v="No se realizaron análisis biológicos."/>
    <m/>
  </r>
  <r>
    <n v="5"/>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Subdirección de Agrología"/>
    <s v="Número"/>
    <s v="Sumatoria de análisis químicos, físicos, mineralógicos y biológicos de suelos realizados"/>
    <s v="Producto"/>
    <n v="32000"/>
    <n v="5000"/>
    <n v="10100"/>
    <n v="15000"/>
    <n v="1900"/>
    <n v="9295"/>
    <s v="Demanda de clientes externos "/>
    <n v="19875"/>
    <s v="Para este trimestre se superó en un 96,78% el valor programado, debido a la demanda de los clientes."/>
    <n v="4480"/>
    <s v="De los 15.000 análisis proyectados para este trimestre solo se ejecutaron 4.480 debido a la baja demanda en el mes de julio y a la falta de personal en el mes de septiembre."/>
    <m/>
    <m/>
    <d v="2021-04-09T00:00:00"/>
    <d v="2021-07-02T00:00:00"/>
    <d v="2021-10-12T00:00:00"/>
    <m/>
    <n v="1"/>
    <n v="1"/>
    <n v="1"/>
    <n v="1"/>
    <s v=" "/>
    <s v="Concepto Favorable"/>
    <s v="Concepto Favorable"/>
    <s v="Concepto Favorable"/>
    <m/>
    <s v="Se cumplió la meta programada para el primer trimestre. se sugiere describir para futuros reportes motivos por lo que se superó la meta programada."/>
    <s v="Se dió cumplimiento a la meta programada en el periodo. Se debe revisar el soporte de la actividad para que sea exclusivo para la misma."/>
    <s v="Aunque no se cumplió con la meta esperada, el valor acumulado de la meta permite reportar un avance acumulado satisfacto para el período."/>
    <m/>
    <x v="0"/>
    <x v="0"/>
    <x v="0"/>
    <x v="0"/>
    <s v="Se evidencia pdf reporte avance suministrado por el área el día 31/03/2021, donde se describe que para este trimestre se tiene un avance consolidado del 27.84 %."/>
    <s v="Se evidencia que se superó la meta programada para este segundo semestre del año 2021, por favor se recomienda entregar un reporte por separado para cada actividad de forma que facilite la revisión. "/>
    <s v="Se evidencia el archivo donde se describen los avances correspondientes al servicio de análisis de los suelos para los meses de julio, agosto y septiembre de 2021.  Donde se informa que el avance para el tercer trimestre es del 29.86% de la meta programada."/>
    <m/>
  </r>
  <r>
    <n v="6"/>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Subdirección de Agrología"/>
    <s v="Número"/>
    <s v="Sumatoria de análisis químicos, físicos, mineralógicos y biológicos de suelos realizados"/>
    <s v="Producto"/>
    <n v="6400"/>
    <n v="1450"/>
    <n v="2200"/>
    <n v="2100"/>
    <n v="650"/>
    <n v="1315"/>
    <s v="Demanda de clientes externos "/>
    <n v="1512"/>
    <s v="Se alcanzó un cumplimiento del 68,73% de lo programado frente a la demanda de los clietes externos"/>
    <n v="410"/>
    <s v="No se cumplió con lo proyectado debido a la baja demanda de clientes externos.  "/>
    <m/>
    <m/>
    <d v="2021-04-09T00:00:00"/>
    <d v="2021-07-02T00:00:00"/>
    <d v="2021-10-12T00:00:00"/>
    <m/>
    <n v="0.50578124999999996"/>
    <n v="0.90689655172413797"/>
    <n v="1"/>
    <n v="1"/>
    <s v=" "/>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Revisar el soporte, ya que éste incluye tramites internos."/>
    <s v="No se dió cumplimiento sobre la meta esperada para el período."/>
    <m/>
    <x v="2"/>
    <x v="2"/>
    <x v="2"/>
    <x v="0"/>
    <s v="Se evidencia pdf reporte avance suministrado por el área el día 31/03/2021, donde se describe que para este trimestre se tiene un avance consolidado del 27.84 %.  Sin embargo se evidencia que no se cumplió con la meta programada para el periodo."/>
    <s v="Se evidencia pdf reporte avance suministrado por el área, donde se describe que para este trimestre se tiene un avance consolidado del 68.73 %.  Sin embargo, se observa que no se cumplió con la meta programada para el periodo."/>
    <s v="Se evidencia el archivo donde se describen los avances correspondientes al servicio de análisis de los suelos para los meses de julio, agosto y septiembre de 2021.  Donde se informa que el avance para el tercer trimestre es del 19.52% de la meta programada."/>
    <m/>
  </r>
  <r>
    <n v="7"/>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3200"/>
    <n v="490"/>
    <n v="1160"/>
    <n v="1510"/>
    <n v="40"/>
    <n v="653"/>
    <s v="Demanda de clientes externos "/>
    <n v="134"/>
    <s v="Se alcanzó un cumplimiento del 11,55% de lo programado frente a la demanda de los clientes externos"/>
    <n v="95"/>
    <s v="No se dio cumplimiento a los 1.510 análisis proyectados debido a la baja demanda y a la falta de personal para la ejecución de los análisis"/>
    <m/>
    <m/>
    <d v="2021-04-09T00:00:00"/>
    <d v="2021-07-02T00:00:00"/>
    <d v="2021-10-12T00:00:00"/>
    <m/>
    <n v="0.27562500000000001"/>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Revisar el soporte ya que no es especifico para la actividad."/>
    <s v="No se dió cumplimiento con la meta programada esperada para el período."/>
    <m/>
    <x v="0"/>
    <x v="2"/>
    <x v="2"/>
    <x v="0"/>
    <s v="Se evidencia pdf reporte avance suministrado por el área el día 31/03/2021, donde se describe que para este trimestre se tiene un avance consolidado del 27.84 %."/>
    <s v="Se evidencia que no se cumplió con la meta programada en el segundo trimestre del año 2021."/>
    <s v="Se evidencia el archivo donde se describen los avances correspondientes al servicio de análisis de los suelos para los meses de julio, agosto y septiembre de 2021.  Donde se informa que el avance para el tercer trimestre es del 6.29% de la meta programada."/>
    <m/>
  </r>
  <r>
    <n v="8"/>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1600"/>
    <n v="140"/>
    <n v="940"/>
    <n v="280"/>
    <n v="240"/>
    <n v="1072"/>
    <s v="Demanda de clientes externos "/>
    <n v="960"/>
    <s v="Para este trimestre se superó en un 2,13% el valor programado, debido a la demanda de los clientes."/>
    <n v="921"/>
    <s v="Se cumplió la meta proyectada de 280 análisis ejecutando 921 para este trimestre debido a la alta demanda de clientes externos. "/>
    <m/>
    <m/>
    <d v="2021-04-09T00:00:00"/>
    <d v="2021-07-02T00:00:00"/>
    <d v="2021-10-12T00:00:00"/>
    <m/>
    <n v="1"/>
    <n v="1"/>
    <n v="1"/>
    <n v="1"/>
    <s v=" "/>
    <s v="Concepto Favorable"/>
    <s v="Concepto Favorable"/>
    <s v="Concepto Favorable"/>
    <m/>
    <s v="Se cumplió la meta programada para el primer trimestre. se sugiere describir para futuros reportes motivos por lo que se superó significativamente la meta programada."/>
    <s v="Si se dió cumplimiento a la meta programada en el periodo. Revisar el soporte de la actividad el cual debe ser específico para esta actividad."/>
    <s v="Se dió cumplimiento a la meta, sin embargo, se sobre ejecuta en mas de un 100% revisar programación de meta."/>
    <m/>
    <x v="0"/>
    <x v="0"/>
    <x v="0"/>
    <x v="0"/>
    <s v="Se evidencia pdf reporte avance suministrado por el área el día 31/03/2021, donde se describe que para este trimestre se tiene un avance consolidado del 27.84 %."/>
    <s v="Para esta actividad el GIT correspondiente dio cumplimiento a la meta programada, superándola."/>
    <s v="Se evidencia el archivo donde se describen los avances correspondientes al servicio de análisis de los suelos para los meses de julio, agosto y septiembre de 2021.  Donde se informa que el avance para el tercer trimestre es del 328.92% de la meta programada."/>
    <m/>
  </r>
  <r>
    <n v="9"/>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65"/>
    <n v="0.25"/>
    <n v="0"/>
    <n v="0.1"/>
    <s v="Se inicio revisión documental"/>
    <n v="0.65"/>
    <s v="Se revisaron y ajustaron los documentos el paquete Q-01. Que por as observaciones de la auditoria del IDEAM lo ameritaron"/>
    <n v="0.25"/>
    <s v="Se alcanzo el avance proyectado del 25% esto con la revisión de documentos como el procedimiento de Carbón Orgánico"/>
    <m/>
    <m/>
    <d v="2021-04-09T00:00:00"/>
    <d v="2021-07-02T00:00:00"/>
    <d v="2021-10-12T00:00:00"/>
    <m/>
    <n v="1"/>
    <n v="1"/>
    <n v="1"/>
    <n v="1"/>
    <s v=" "/>
    <s v="Concepto Favorable"/>
    <s v="Concepto Favorable"/>
    <s v="Concepto Favorable"/>
    <m/>
    <s v="Se dio cumplimiento a la meta programada"/>
    <s v="Se dió cumplimiento a lo programado en la actividad. Se debe contar con documentos de verificación "/>
    <s v="Se da cumplimiento a lo programad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s v="Se evidencia avance en la actualización de documentos como el procedimiento de Carbón Orgánico"/>
    <m/>
  </r>
  <r>
    <n v="10"/>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Subdirección de Agrología"/>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n v="0.28000000000000003"/>
    <s v="Se aplican los controles requeridos"/>
    <n v="0.36"/>
    <s v="En esta actividad se avanzó en un 12% más debido a que se realizó la actualización de cartas control, el monitoreo y seguimiento de los métodos y la actualización de las liberaciones del personal    "/>
    <m/>
    <m/>
    <d v="2021-04-09T00:00:00"/>
    <d v="2021-07-02T00:00:00"/>
    <d v="2021-10-12T00:00:00"/>
    <m/>
    <n v="0.88"/>
    <n v="1"/>
    <n v="1"/>
    <n v="1"/>
    <s v=" "/>
    <s v="Concepto Favorable"/>
    <s v="Concepto Favorable"/>
    <s v="Concepto Favorable"/>
    <m/>
    <s v="Se dio cumplimiento a la meta programada"/>
    <s v="Se dió cumplimiento a la meta programada, sin embargo no existen documentos de verificación asociados a la actividad."/>
    <s v="Se dió cumplimiento a lo programado y se supera en cumplimient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s v="Se evidencia la actualización de cartas control, el monitoreo y seguimiento de los métodos y la actualización de las liberaciones del personal."/>
    <m/>
  </r>
  <r>
    <n v="11"/>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Subdirección de Agrología"/>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n v="0.55000000000000004"/>
    <s v="Se han propuesto la determinaciones para la amplición del alcance y se inciia el proceso de validación"/>
    <n v="0.2"/>
    <s v="Se avanzo un 20% de acuerdo al 0% proyectado ya que se definió con el personal del LNS las determinaciones que entraran en el nuevo proceso de acreditación.   "/>
    <m/>
    <m/>
    <d v="2021-04-09T00:00:00"/>
    <d v="2021-07-02T00:00:00"/>
    <d v="2021-10-12T00:00:00"/>
    <m/>
    <n v="0.79"/>
    <n v="8.8888888888888892E-2"/>
    <n v="1"/>
    <s v=""/>
    <s v=" "/>
    <s v="Concepto No Favorable"/>
    <s v="Concepto Favorable"/>
    <s v="Concepto Favorable"/>
    <m/>
    <s v="No se cumplió la meta programada para el trimestre, por lo que se sugiere para próximos reportes describir los motivos por los cuales no fue posible alcanzar la meta programada.  "/>
    <s v="Se dió cumplimiento a la meta programada, Sin embargo, se debe contar con soportes del desarrollo de la actividad."/>
    <s v="Se reporta avance que le aporta al avance acumulado de la meta y el rezago que viene de periodos anteriores"/>
    <m/>
    <x v="2"/>
    <x v="0"/>
    <x v="0"/>
    <x v="0"/>
    <s v="No se cumplió con la meta programada para el periodo, ni se soportó con algún documento haciendo la debida explicación."/>
    <s v="Para el segundo trimestre del año se observa que se cumplió con la meta programada. Por favor soportar las actividades con el desarrollo de cada una."/>
    <s v="Se evidencia consolidado de paquetes analíticos propuestos con fines de acreditación."/>
    <m/>
  </r>
  <r>
    <n v="12"/>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revisaron y ajustaron validaciones e informe de acuerdo a lo onsignado en el informe de auditoria"/>
    <n v="0.35"/>
    <s v="Se dio cumplimiento al 35% proyectado para este trimestre ya que se realizó constante seguimiento a las determinaciones que se encuentran en proceso de acreditación para realizar los ajustes en caso de ser necesario.   "/>
    <m/>
    <m/>
    <d v="2021-04-09T00:00:00"/>
    <d v="2021-07-02T00:00:00"/>
    <d v="2021-10-12T00:00:00"/>
    <m/>
    <n v="0.9"/>
    <n v="0"/>
    <n v="1"/>
    <n v="1"/>
    <s v=" "/>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s v="Se evidencia validaciones e informes que se encuentran en proceso de acreditación."/>
    <m/>
  </r>
  <r>
    <n v="13"/>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han ajustado los datos de incertidumbre de las determinaciones del paquete Q01 acreditados."/>
    <n v="0.35"/>
    <s v="Se cumplió con el 35% proyectado para este trimestre realizando el control y ajuste a las incertidumbres de las determinaciones que se encuentran en proceso de acreditación.  "/>
    <m/>
    <m/>
    <d v="2021-04-09T00:00:00"/>
    <d v="2021-07-02T00:00:00"/>
    <d v="2021-10-12T00:00:00"/>
    <m/>
    <n v="0.9"/>
    <n v="0"/>
    <n v="1"/>
    <n v="1"/>
    <s v=" "/>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s v="Se evidencia archivo donde se realiza los ajustes a las incertidumbres de las determinaciones que se encuentran en proceso de acreditación."/>
    <m/>
  </r>
  <r>
    <n v="14"/>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Subdirección de Agrología"/>
    <s v="Porcentaje"/>
    <s v="Ensayos analíticos Acidez intercambiable, Carbono Orgánico, pH, Humedad, textura, Fosforo disponible, Bases intercambiables y CIC del paquete Q01 acreditados."/>
    <s v="Producto"/>
    <n v="1"/>
    <n v="0"/>
    <n v="0.3"/>
    <n v="0"/>
    <n v="0.7"/>
    <n v="0"/>
    <n v="0"/>
    <n v="0.6"/>
    <s v="Se esta preparando solicitud de visita de seguimiento y ampliación del alcance"/>
    <n v="0"/>
    <s v="No se realizó ninguna acción con respecto a esta actividad   "/>
    <m/>
    <m/>
    <d v="2021-04-09T00:00:00"/>
    <d v="2021-07-02T00:00:00"/>
    <d v="2021-10-12T00:00:00"/>
    <m/>
    <n v="0.6"/>
    <s v=""/>
    <n v="1"/>
    <s v=""/>
    <s v=" "/>
    <s v="Sin meta asignada en el periodo"/>
    <s v="Concepto Favorable"/>
    <s v="Concepto Favorable"/>
    <m/>
    <s v="No se programó meta para este trimestre."/>
    <s v="Se dió cumplimiento con la meta programada. Se debe contar con soportes del desarrollo de la actividad y evidencias."/>
    <s v="La meta no cuenta con programación para el periodo"/>
    <m/>
    <x v="1"/>
    <x v="0"/>
    <x v="1"/>
    <x v="0"/>
    <s v="No se programó meta para este trimestre."/>
    <s v="Se observa el mismo informe para el cumplimiento de varias actividades, se debe por favor ser más específico en la descripción y avance de cada una de ellas. Sin embargo, se avala el cumplimiento para el segundo trimestre del año."/>
    <s v="No se programó meta para este trimestre."/>
    <m/>
  </r>
  <r>
    <n v="15"/>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Subdirección de Agrología"/>
    <s v="Porcentaje"/>
    <s v="Ensayos analíticos Acidez intercambiable, Carbono Orgánico, pH, Humedad, textura, Fosforo disponible, Bases intercambiables y CIC del paquete Q01 acreditados."/>
    <s v="Producto"/>
    <n v="1"/>
    <n v="0.19"/>
    <n v="0.27"/>
    <n v="0.27"/>
    <n v="0.27"/>
    <n v="0.19"/>
    <s v="SSe gestiona el manejo de los residuos peligrosos"/>
    <n v="0.27"/>
    <s v="Se gestiono el manejo de los residuos peligrosos del Laboratorio Nacional de Suelos."/>
    <n v="0.27"/>
    <s v="Se dio cumplimiento al 27% proyectado para esta actividad toda vez que se ejecutó de manera correcta la recolección de residuos, así como la generación de certificados e informes correspondientes"/>
    <m/>
    <m/>
    <d v="2021-04-09T00:00:00"/>
    <d v="2021-07-02T00:00:00"/>
    <d v="2021-10-12T00:00:00"/>
    <m/>
    <n v="0.73"/>
    <n v="1"/>
    <n v="1"/>
    <n v="1"/>
    <s v=" "/>
    <s v="Concepto Favorable"/>
    <s v="Concepto Favorable"/>
    <s v="Concepto Favorable"/>
    <m/>
    <s v="Se dio cumplimiento a la meta programada"/>
    <s v="Se dió cumplimiento con la meta programada.  Se debe contar con soportes del desarrollo de la actividad y evidencias."/>
    <s v="Se da cumplimiento a lo programado"/>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s v="Se observa el mismo informe para el cumplimiento de varias actividades, se debe por favor ser más específico en la descripción y avance de cada una de ellas. Sin embargo, se avala el cumplimiento para el segundo trimestre del año."/>
    <s v="Se evidencia registros mensuales de generación de Respel de los meses de julio y agosto."/>
    <m/>
  </r>
  <r>
    <n v="16"/>
    <x v="15"/>
    <s v="Estudios e Investigaciones"/>
    <s v="Observatorio Inmobiliario Nacional implementado"/>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Observatorio Inmobiliario"/>
    <s v="Porcentaje"/>
    <s v="Implementación del Observatorio Inmobiliario Nacional"/>
    <s v="Producto"/>
    <n v="1"/>
    <n v="0"/>
    <n v="0.33"/>
    <n v="0.33"/>
    <n v="0.34"/>
    <n v="0"/>
    <s v="No aplica"/>
    <n v="0.3"/>
    <s v="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_x000a_Se avanzó en la etapa preliminar para la gestión de convenios con CENIT, SAE y CAMACOL._x000d__x000a_"/>
    <n v="0.36"/>
    <s v="Sobre el diseño conceptual del Observatorio Inmobiliario Catastral, se elaboró documento de soporte donde se abordaron diferentes temas._x000d__x000a_Respecto a la fase 1 de la implementación del Observatorio a través de herramientas tecnológicas, se inició la estructuración de un proyecto de analítica de datos con la elaboración de una propuesta &quot;Determinación de los niveles de probabilidad de cambios físicos en el territorio&quot;.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_x000a_"/>
    <m/>
    <m/>
    <d v="2021-04-09T00:00:00"/>
    <d v="2021-07-02T00:00:00"/>
    <d v="2021-10-12T00:00:00"/>
    <m/>
    <n v="0.65999999999999992"/>
    <s v=""/>
    <n v="0.90909090909090906"/>
    <n v="1"/>
    <s v=" "/>
    <s v="Sin meta asignada en el periodo"/>
    <s v="Concepto Favorable"/>
    <s v="Concepto Favorable"/>
    <m/>
    <s v="no hay meta para este periodo"/>
    <s v="Se anexa cuadro de avance en la ejecución de actividades"/>
    <s v="Se verifica la información y la evidencia aportada: Documentos del diseño conceptual del observatorio, al ser coincidentes se aprueba el seguimiento."/>
    <m/>
    <x v="1"/>
    <x v="0"/>
    <x v="0"/>
    <x v="0"/>
    <s v="Para este periodo no existe meta asignada."/>
    <s v="Se evidencia cuadro con el avance de ejecución actividades."/>
    <s v="Se evidencia documentos como el de conceptualización del observatorio inmobiliario catastral, la elaboración de una propuesta &quot;Determinación de los niveles de probabilidad de cambios físicos en el territorio&quot; y el documento final de convenio para el intercambio de información a suscribir con SAE."/>
    <m/>
  </r>
  <r>
    <n v="17"/>
    <x v="15"/>
    <s v="Prospectiva"/>
    <s v="Servicio de Gestión del conocimiento e Innovación Geográfica aplicados"/>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Dirección  de Investigación y Prospectiva"/>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n v="4"/>
    <s v="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
    <n v="2"/>
    <s v="Se realizaron los siguientes evento técnico científicos: Foro &quot;CATASTRO MULTIPROPÓSITO, NUEVOS RETOS, NUEVOS PROFESIONALES&quot;,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
    <m/>
    <m/>
    <d v="2021-04-09T00:00:00"/>
    <d v="2021-07-02T00:00:00"/>
    <d v="2021-10-12T00:00:00"/>
    <m/>
    <n v="1"/>
    <s v=""/>
    <n v="1"/>
    <n v="1"/>
    <s v=" "/>
    <s v="Concepto Favorable"/>
    <s v="Concepto Favorable"/>
    <s v="Concepto Favorable"/>
    <m/>
    <s v="Se verifica el seguimiento y la evidencia aportada, al ser coincidentes se aprueba el seguimiento"/>
    <s v="Se valida el seguimiento y la evidencia aportada: registros de asistencia, contenidos de curso y correos de convocatoria, al ser coincidentes se aprueba el seguimiento"/>
    <s v="Se verifica la información y la evidencia aportada: Eventos y Facebook live, al ser coincidentes se aprueba el seguimiento."/>
    <m/>
    <x v="1"/>
    <x v="0"/>
    <x v="0"/>
    <x v="0"/>
    <s v="No se reporta avance cuantitativo, pero en el autoseguimiento del proceso si se reporta la revision de 3 cursos gratuitos: Fundamentos de percepción remota, de SIG y de Cartografía. Se reporta la actualización de los documentos del curso Fundamentos IDE"/>
    <s v="Se observa cumplimiento de la actividad con acta 01 del 28/04/2021 evento CONIDA, correo 03/05/2021 invitación conferencia virtual Sistema de Referencia Geodésica Nacional, Curso IDE y curso Fundamentos LADM en Telecentro. "/>
    <s v="Se evidencia aportada: Eventos y Facebook live de Foro &quot;CATASTRO MULTIPROPÓSITO, NUEVOS RETOS, NUEVOS PROFESIONALES&quot;."/>
    <m/>
  </r>
  <r>
    <n v="18"/>
    <x v="15"/>
    <s v="Estudios e Investigaciones"/>
    <s v="Proyectos de innovación e investigación aplicados para la optimización de procesos institucionales y/o uso de tecnologías geoespaciales para el desarrollo territorial"/>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Dirección  de Investigación y Prospectiva"/>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n v="0"/>
    <s v="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_x000a_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_x000a_"/>
    <n v="1"/>
    <s v="Proyecto de Espectroradiometría:  Se consolidó el documento técnico &quot;Teledetección, Espectroradiometría y Segmentación de Imágenes Multiespectrales a través de Autómatas Celulares”, con la participación de los pasantes de investigación de la Universidad Distrital Francisco José de Caldas. _x000d__x000a_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_x000a_"/>
    <m/>
    <m/>
    <d v="2021-04-09T00:00:00"/>
    <d v="2021-07-02T00:00:00"/>
    <d v="2021-10-12T00:00:00"/>
    <m/>
    <n v="0.5"/>
    <s v=""/>
    <s v=""/>
    <s v=""/>
    <s v=" "/>
    <s v="Concepto Favorable"/>
    <s v="Concepto Favorable"/>
    <s v="Concepto Favorable"/>
    <m/>
    <s v="Se verifica el seguimiento y la evidencia aportada, al ser coincidentes se aprueba el seguimiento"/>
    <s v="Se valida el seguimiento y la evidencia aportada: estado del arte y búsqueda bibliográfica, al ser coincidentes se aprueba el seguimiento. "/>
    <s v="Se verifica la información y la evidencia aportada: Documentos de los proyectos desarrollados, al ser coincidentes se aprueba el seguimiento."/>
    <m/>
    <x v="1"/>
    <x v="0"/>
    <x v="0"/>
    <x v="0"/>
    <s v="No se reporta avance cuantitativo de la meta. Se reporta la realizción de reuniones y tareas preliminares para lograr el cumplimiento de la meta"/>
    <s v="Se observa ejecución de la actividad mediante el Proyecto Espectroradiometria (Estado del arte, avance a mayo 2021 del proyecto, Bibliografía espectro V3, borrador reporte final) y del Proyecto IDI Agrología (Calidad Datos, Evaluación Temática y Mapeo de Suelos)."/>
    <s v="Se evidencia informes de los proyectos: con el documento técnico &quot;Teledetección, Espectroradiometría y Segmentación de Imágenes Multiespectrales a través de Autómatas Celulares” y “Control de la calidad de la información primaria generada en los levantamientos de suelos”."/>
    <m/>
  </r>
  <r>
    <n v="19"/>
    <x v="15"/>
    <s v="Estudios e Investigaciones"/>
    <s v="Reconocimiento como institución técnico científica parte del Sistema Nacional de Ciencia, Tecnología e Innovación"/>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ífica"/>
    <d v="2021-02-01T00:00:00"/>
    <d v="2021-12-30T00:00:00"/>
    <s v="Plan de reconocimiento de la entidad_x000a_Soportes de implementación del plan (artículos, contenidos, documentación procesos minciencias, investigaciones)"/>
    <s v="Dirección  de Investigación y Prospectiva"/>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n v="0.7"/>
    <s v="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_x000a_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
    <n v="0.2"/>
    <s v="Reconocimiento Dirección de Investigación y Prospectiva: Se radicó ante MINCIENCIAS, la solicitud de reconocimiento de la DIP como Centro de Investigación, quedando pendientes de eventuales observaciones._x000d__x000a_Reconocimiento de grupos: Se aplicó a la convocatoria MINCIENCIAS, de reconocimiento de Grupos de I+D+i e investigadores, con la participación de los siguientes grupos: Geomática; Estudios Territoriales; y Suelos y Ecología, quedando pendientes de eventuales observaciones._x000d__x000a_"/>
    <m/>
    <m/>
    <d v="2021-04-09T00:00:00"/>
    <d v="2021-07-02T00:00:00"/>
    <d v="2021-10-12T00:00:00"/>
    <m/>
    <n v="1"/>
    <n v="0.5"/>
    <n v="1"/>
    <n v="1"/>
    <s v=" "/>
    <s v="Concepto Favorable"/>
    <s v="Concepto Favorable"/>
    <s v="Concepto Favorable"/>
    <m/>
    <s v="Se verifica el seguimiento y la evidencia aportada, al ser coincidentes se aprueba el seguimiento"/>
    <s v="Se valida el seguimiento y la evidencia aportada: plan de trabajo, informe de autoevaluación, plan de mejoramiento, inventario de producción científica y actas de reuniones, al ser coincidentes se aprueba el seguimiento."/>
    <s v="Se verifica la información y la evidencia aportada: Documentación para reconocimiento ante Minciencias, al ser coincidentes se aprueba el seguimiento."/>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s v="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
    <s v="Se evidencia la solicitud de reconocimiento de la DIP como Centro de Investigación y la inscripción de grupos de investigadores con la participación de los siguientes: Geomática; Estudios Territoriales; y Suelos y Ecología, quedando pendientes de eventuales observaciones."/>
    <m/>
  </r>
  <r>
    <n v="20"/>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Dirección  de Investigación y Prospectiva"/>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n v="0.25"/>
    <s v="1. Etapa de Diseño: Se generó el documento de diseño de la base de datos del sistema incluyendo diccionario de datos y modelos conceptual, lógico y físico. _x000d__x000a_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
    <n v="0.4"/>
    <s v="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
    <m/>
    <m/>
    <d v="2021-04-09T00:00:00"/>
    <d v="2021-07-02T00:00:00"/>
    <d v="2021-10-12T00:00:00"/>
    <m/>
    <n v="0.8"/>
    <n v="1"/>
    <n v="1"/>
    <n v="1"/>
    <s v=" "/>
    <s v="Concepto Favorable"/>
    <s v="Concepto Favorable"/>
    <s v="Concepto Favorable"/>
    <m/>
    <s v="Se verifica el seguimiento y la evidencia aportada, al ser coincidentes se aprueba el seguimiento"/>
    <s v="Se valida el seguimiento y la evidencia aportada: documentos de diseño y bases de datos de desarrollo, al ser coincidentes se aprueba el seguimiento."/>
    <s v="Se verifica la información y la evidencia aportada: Documentos de desarrollo, al ser coincidentes se aprueba el seguimiento."/>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s v="Se valida ejecución con documentos de las etapas de diseño y desarrollo (SIG Indigena, solicitudes, Sig Indigena-RVA-V1.0 mayo 2021, Sig Indigena-CBD-SOL-V1.0 abril 2021 entre otros)."/>
    <s v="Se valida la ejecución con documentos de la etapa desarrollo de la funcionalidad de registro de solicitudes de terrenos pretendidos por la Comisión Nacional de Territorios Indígenas – CNTI en el visor geográfico."/>
    <m/>
  </r>
  <r>
    <n v="21"/>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Dirección  de Investigación y Prospectiva"/>
    <s v="Número"/>
    <s v="Sistema de información geográfica para grupos étnicos actualizado."/>
    <s v="Eficacia"/>
    <n v="2"/>
    <n v="0"/>
    <n v="1"/>
    <n v="0"/>
    <n v="1"/>
    <n v="0"/>
    <s v="Esta actividad iniciara a partir del mes de abril."/>
    <n v="1"/>
    <s v="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_x000a_"/>
    <n v="2"/>
    <s v="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
    <m/>
    <m/>
    <d v="2021-04-09T00:00:00"/>
    <d v="2021-07-02T00:00:00"/>
    <d v="2021-10-12T00:00:00"/>
    <m/>
    <n v="1"/>
    <s v=""/>
    <n v="1"/>
    <s v=""/>
    <s v=" "/>
    <s v="Sin meta asignada en el periodo"/>
    <s v="Concepto Favorable"/>
    <s v="Concepto Favorable"/>
    <m/>
    <s v="Actividad programada para el mes de abril"/>
    <s v="Se valida el seguimiento y la evidencia aportada: listado de inscritos y material del curso, al ser coincidentes se aprueba el seguimiento."/>
    <s v="Se verifica la información y la evidencia aportada: Documentos de los cursos realizados, al ser coincidentes se aprueba el seguimiento."/>
    <m/>
    <x v="1"/>
    <x v="0"/>
    <x v="0"/>
    <x v="0"/>
    <s v="Sin meta programada para este periodo"/>
    <s v="Se valida ejecución de la actividad con la evidencia aportada (Lista de inscritos, 3 correos de 29/06/2021  indigenas, correo del23/06/2021 programas y formatos de inscripción y documento curso semipresencial). "/>
    <s v="Se evidencia capacitación en administración (cargue de capas de información geográfica al sistema) y publicación de servicios web y el curso de Fundamentos IDE a los miembros definidos por la Comisión Nacional de Territorios Indígenas – CNTI a través de la plataforma Telecentro."/>
    <m/>
  </r>
  <r>
    <n v="22"/>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Dirección  de Investigación y Prospectiva"/>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n v="1"/>
    <s v="Se realizó el soporte técnico a las diferentes incidencias que se presentaron en el uso y funcionamiento del SIG Indigenas."/>
    <n v="1"/>
    <s v="Se realizó soporte al Sistema de Información Geográfica -SIG Indígena validando los servicios de la Agencia Nacional de Tierras – ANT y del Ministerio del Interior para las herramientas de mapas temáticos e indicadores."/>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bitácora de incidencias solucionadas, al ser coincidentes se aprueba el seguimiento."/>
    <s v="Se verifica la información y la evidencia aportada: Bitacora de incidencias, al ser coincidentes se aprueba el seguimiento."/>
    <m/>
    <x v="0"/>
    <x v="0"/>
    <x v="0"/>
    <x v="0"/>
    <s v="Se evidencian documentos de bitacoras de incidencias solucionadas de los meses de febrero y marzo de 2021, donde se informa que no hubo solicitud de soporte por parte de la CNTI en estos meses."/>
    <s v="Se evidencia soporte brindado mediante la evidencia suministrada, denominada Bitácora de Incidencias Solucionadas-SIG Indigena."/>
    <s v="Se evidencia soporte al Sistema de Información Geográfica -SIG Indígena en el mes de agosto."/>
    <m/>
  </r>
  <r>
    <n v="23"/>
    <x v="15"/>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Dirección  de Investigación y Prospectiva"/>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n v="4"/>
    <s v="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
    <n v="2"/>
    <s v="Se realizaron dos propuestas técnico económicas, la primera para la construcción del SIG_Corpouraba fase I para la Corporación de Urabá y la segunda para la construcción de la IDE sectorial para el Ministerio de minas y energía."/>
    <m/>
    <m/>
    <d v="2021-04-09T00:00:00"/>
    <d v="2021-07-02T00:00:00"/>
    <d v="2021-10-12T00:00:00"/>
    <m/>
    <n v="1"/>
    <n v="1"/>
    <n v="1"/>
    <n v="1"/>
    <s v=" "/>
    <s v="Concepto Favorable"/>
    <s v="Concepto Favorable"/>
    <s v="Concepto Favorable"/>
    <m/>
    <s v="Se verifica el seguimiento y la evidencia aportada, al ser coincidentes se aprueba el seguimiento"/>
    <s v="Se valida el seguimiento y la evidencia aportada: propuestas técnico económicas, al ser coincidentes se aprueba el seguimiento."/>
    <s v="Se verifica la información y la evidencia aportada: Propuestas tecnicas, al ser coincidentes se aprueba el seguimiento."/>
    <m/>
    <x v="0"/>
    <x v="0"/>
    <x v="0"/>
    <x v="0"/>
    <s v="Se evidencian documentos de propuestas tecnicas de de seis proyectos"/>
    <s v="Se valida actividad con propuestas técnico económicas de SIGEO-CHIA junio 2021 y de SIG-CORPONARIÑO abril 2021."/>
    <s v="Se evidencia dos propuestas técnico económicas, la primera para la construcción del SIG_Corpouraba fase I para la Corporación de Urabá y la segunda para la construcción de la IDE sectorial para el Ministerio de minas y energía."/>
    <m/>
  </r>
  <r>
    <n v="24"/>
    <x v="15"/>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Dirección  de Investigación y Prospectiva"/>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n v="0"/>
    <s v="Se avanza en la ejecución del convenio  Específico de Asociación 019 de 2020 - Patrimonio Natural/IDEAM/IGAC (RENARE); se realizó la entrega de los productos N° 3, 4, y 5 según esepecificaciones del convenio."/>
    <n v="1"/>
    <s v="Se avanza en la ejecución del convenio  Específico de Asociación 019 de 2020 - Patrimonio Natural/IDEAM/IGAC (RENARE); se realizó la entrega de los productos N°  6, 7 y 8 según especificaciones del convenio._x000d__x000a_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_x000a_"/>
    <m/>
    <m/>
    <d v="2021-04-09T00:00:00"/>
    <d v="2021-07-02T00:00:00"/>
    <d v="2021-10-12T00:00:00"/>
    <m/>
    <n v="0.25"/>
    <s v=""/>
    <s v=""/>
    <n v="1"/>
    <s v=" "/>
    <s v="Concepto Favorable"/>
    <s v="Concepto Favorable"/>
    <s v="Concepto Favorable"/>
    <m/>
    <s v="Se verifica el seguimiento y la evidencia aportada, al ser coincidentes se aprueba el seguimiento"/>
    <s v="Se valida el seguimiento y la evidencia aportada: entregables de avance por cada producto del convenio RENARE y actas de reunión de los seguimientos realizados al convenio, al ser coincidentes se aprueba el seguimiento."/>
    <s v="Se verifica la información y la evidencia aportada: documentos CHIA y RENARE, al ser coincidentes se aprueba el seguimiento."/>
    <m/>
    <x v="1"/>
    <x v="0"/>
    <x v="0"/>
    <x v="0"/>
    <s v="No se reporta avance cuantitativo. Se evidencian documentos de interoperabilidad, actas y listados de asistencia a reuniones, informe de incidencias atendidas y estado actual del proyecto RENARE."/>
    <s v="Se observa ejecución de la actividad mediante entrega de los productos 3, 4 y 5 (formatos para puesta en producción, listado y actas de asistencia, informe estado actual de los proyectos, entre otros) y reuniones internas y externas realizadas en el segundo trimestre 2021. "/>
    <s v="Se observa ejecución de la actividad mediante entrega de los productos 6, 7 y 8 (formatos para puesta en producción, listado y actas de asistencia, informe estado actual de los proyectos, entre otros) y reuniones internas y externas realizadas en el tercer trimestre 2021 para el proyecto (RENARE). Por otra parte se observa la firma del contrato interadministrativo IGAC- MUNICIPIO DE CHIA el cual ya se viene ejecutando en sus etapas de análisis, planificación y soporte técnico al sistema de información geográfico sigeo_chia."/>
    <m/>
  </r>
  <r>
    <n v="25"/>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0T00:00:00"/>
    <s v="Documentos actualizados "/>
    <s v="Dirección  de Investigación y Prospectiva"/>
    <s v="Porcentaje"/>
    <s v="Índice de Desempeño Institucional (IDI)"/>
    <s v="Producto"/>
    <n v="1"/>
    <n v="0.2"/>
    <n v="0.3"/>
    <n v="0"/>
    <n v="0.5"/>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n v="0.3"/>
    <s v="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
    <n v="0"/>
    <s v="Se realizó la revisión de la documentación del proceso y se generó la derogación de algunos formatos y procedimientos que ya no aplican de acuerdo a la nueva estructura y actividades del proceso."/>
    <m/>
    <m/>
    <d v="2021-04-09T00:00:00"/>
    <d v="2021-07-02T00:00:00"/>
    <d v="2021-10-12T00:00:00"/>
    <m/>
    <n v="0.5"/>
    <n v="1"/>
    <n v="1"/>
    <s v=""/>
    <s v=" "/>
    <s v="Concepto Favorable"/>
    <s v="Concepto Favorable"/>
    <s v="Sin meta asignada en el periodo"/>
    <m/>
    <s v="Se verifica el seguimiento y la evidencia aportada, al ser coincidentes se aprueba el seguimiento"/>
    <s v="Se valida el seguimiento y la evidencia aportada: correos de revisión, procedimiento, instructivos y formatos, al ser coincidentes se aprueba el seguimiento."/>
    <s v="Sin meta programada para este periodo"/>
    <m/>
    <x v="0"/>
    <x v="0"/>
    <x v="1"/>
    <x v="0"/>
    <s v="Se evidencian documetos con ajustes al Procedimiento de Investigación, Desarrollo e Innovación, al Instructivo y a formatos. Tambien se presenta la remisión de estos documentos a la OAP para revisión y aprobación."/>
    <s v="Se verifica ejecución de la actividad mediante evidencias aportadas (correos de revisión y verificación, procedimientos, formatos e instructivos)."/>
    <s v="Sin meta programada para este periodo."/>
    <m/>
  </r>
  <r>
    <n v="26"/>
    <x v="1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0T00:00:00"/>
    <s v="Herramienta Planigac_x000a_"/>
    <s v="Dirección  de Investigación y Prospectiva"/>
    <s v="Número"/>
    <s v="Índice de Desempeño Institucional (IDI)"/>
    <s v="Producto"/>
    <n v="4"/>
    <n v="1"/>
    <n v="1"/>
    <n v="1"/>
    <n v="1"/>
    <n v="1"/>
    <s v="Se realizó el seguimiento del primer trimestre a los controles de los riesgos del proceso de gestión del conocimiento, investigación e innovación."/>
    <n v="1"/>
    <s v="Se realizó el seguimiento del segundo trimestre a los controles de los riesgos del proceso de gestión del conocimiento, investigación e innovación."/>
    <n v="1"/>
    <s v="Se realizó el seguimiento del tercer trimestre a los controles de los riesgos del proceso de innovación y gestión del conocimiento aplicado"/>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o y reporte de avances de riesgos, al ser coincidentes se aprueba el seguimiento."/>
    <s v="Se verifica la información y la evidencia aportada: Reportes de riesgos, al ser coincidentes se aprueba el seguimiento."/>
    <m/>
    <x v="0"/>
    <x v="0"/>
    <x v="0"/>
    <x v="0"/>
    <s v="Se evidencia archivo Planigac con el seguimiento a los controles de los riesgos del proceso de gestión del conocimiento, investigación e innovación, correspondiente al primer trimestre "/>
    <s v="Se observa ejecución de la actividad en archivo Planigac con seguimiento a controles de riesgos del proceso."/>
    <s v="Se observa ejecución de la actividad en archivo Planigac con seguimiento a controles de riesgos del proceso."/>
    <m/>
  </r>
  <r>
    <n v="27"/>
    <x v="1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Dirección  de Investigación y Prospectiva"/>
    <s v="Número"/>
    <s v="Índice de Desempeño Institucional (IDI)"/>
    <s v="Producto"/>
    <n v="1"/>
    <n v="0"/>
    <n v="0"/>
    <n v="0"/>
    <n v="1"/>
    <n v="0"/>
    <s v="Esta actividad inicia a partir del mes de octubre"/>
    <n v="0"/>
    <s v="Esta actividad inicia a partir del mes de octubre"/>
    <n v="0"/>
    <s v="Esta actividad inicia a partir del mes de octubre"/>
    <m/>
    <m/>
    <d v="2021-04-09T00:00:00"/>
    <d v="2021-07-02T00:00:00"/>
    <d v="2021-10-12T00:00:00"/>
    <m/>
    <n v="0"/>
    <s v=""/>
    <s v=""/>
    <s v=""/>
    <s v=" "/>
    <s v="Concepto Favorable"/>
    <s v="Sin meta asignada en el periodo"/>
    <s v="Sin meta asignada en el periodo"/>
    <m/>
    <s v="Actividad programada para el mes de octubre"/>
    <s v="Sin meta programada"/>
    <s v="Sin meta asignada para el periodo"/>
    <m/>
    <x v="1"/>
    <x v="1"/>
    <x v="1"/>
    <x v="0"/>
    <s v="Sin meta programada para este periodo"/>
    <s v="Sin meta asignada para segundo trimestre."/>
    <s v="Sin meta asignada para el periodo."/>
    <m/>
  </r>
  <r>
    <n v="28"/>
    <x v="1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Herramienta Planigac_x000a_"/>
    <s v="Dirección  de Investigación y Prospectiva"/>
    <s v="Número"/>
    <s v="Índice de Desempeño Institucional (IDI)"/>
    <s v="Producto"/>
    <n v="4"/>
    <n v="1"/>
    <n v="1"/>
    <n v="1"/>
    <n v="1"/>
    <n v="1"/>
    <s v="Se realizó seguimiento al cumplimiento del plan de acción anual del proceso de gestión del conocimiento, investigación e innovación para el primer trimestre del año 2021."/>
    <n v="1"/>
    <s v="Se realizó seguimiento al cumplimiento del plan de acción anual del proceso de gestión del conocimiento, investigación e innovación para el segundo trimestre del año 2021."/>
    <n v="1"/>
    <s v="Se realizó seguimiento al cumplimiento del plan de acción anual del proceso de gestión de innovación y gestión del conocimiento aplicado para el tercer trimestre del año 2021."/>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o, al ser coincidentes se aprueba el seguimiento."/>
    <s v="Se verifica la información y la evidencia aportada: Plan de acción del proceso con seguimiento, al ser coincidentes se aprueba el seguimiento."/>
    <m/>
    <x v="0"/>
    <x v="0"/>
    <x v="0"/>
    <x v="0"/>
    <s v="Se evidencia archivo Planigac con el seguimiento al plan de acción anual del proceso de gestión del conocimiento, investigación e innovación, correspondiente al primer trimestre de 2021"/>
    <s v="Se observa ejecución de la actividad en la herramienta Planigac con seguimiento al Plan de Acción del proceso del segundo trimestre 2021.  "/>
    <s v="Se observa ejecución de la actividad en la herramienta Planigac con seguimiento al Plan de Acción del proceso del tercer trimestre 2021."/>
    <m/>
  </r>
  <r>
    <n v="29"/>
    <x v="1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0T00:00:00"/>
    <s v="Herramienta Planigac y Matriz PAAC"/>
    <s v="Dirección  de Investigación y Prospectiva"/>
    <s v="Número"/>
    <s v="Índice de Desempeño Institucional (IDI)"/>
    <s v="Producto"/>
    <n v="2"/>
    <n v="0"/>
    <n v="0"/>
    <n v="0"/>
    <n v="2"/>
    <n v="0"/>
    <s v="Esta actividad inicia a partir del mes de octubre."/>
    <n v="0"/>
    <s v="Esta actividad inicia a partir del mes de octubre."/>
    <n v="0"/>
    <s v="Esta actividad inicia a partir del mes de octubre."/>
    <m/>
    <m/>
    <d v="2021-04-09T00:00:00"/>
    <d v="2021-07-02T00:00:00"/>
    <d v="2021-10-12T00:00:00"/>
    <m/>
    <n v="0"/>
    <s v=""/>
    <s v=""/>
    <s v=""/>
    <s v=" "/>
    <s v="Concepto Favorable"/>
    <s v="Sin meta asignada en el periodo"/>
    <s v="Sin meta asignada en el periodo"/>
    <m/>
    <s v="Actividad programada para el mes de octubre"/>
    <s v="Sin meta programada"/>
    <s v="Sin meta asignada para el periodo"/>
    <m/>
    <x v="1"/>
    <x v="1"/>
    <x v="1"/>
    <x v="0"/>
    <s v="Sin meta programada para este periodo"/>
    <s v="Sin meta asignada en este trimestre."/>
    <s v="Sin meta asignada para el periodo"/>
    <m/>
  </r>
  <r>
    <n v="30"/>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Investigación y Prospectiva"/>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n v="3"/>
    <s v="Se realizó seguimiento a los productos y/o servicios ofrecidos por el proceso de gestión del conocimiento, investigación e innovación y se evidencia que para el segundo trimestre del año no se presentó producto no conforme."/>
    <n v="3"/>
    <s v="Se realizó seguimiento a los productos y/o servicios ofrecidos por el proceso de innovación y gestión del conocimiento aplicado y se evidencia que para el tercer trimestre del año no se presentó producto no conforme."/>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correos con el seguimiento al producto no conforme, al ser coincidentes se aprueba el seguimiento."/>
    <s v="Se verifica la información y la evidencia aportada: Correos de seguimiento al producto no conforme, al ser coincidentes se aprueba el seguimiento."/>
    <m/>
    <x v="0"/>
    <x v="0"/>
    <x v="0"/>
    <x v="0"/>
    <s v="Se evidencian correos en los que se informa que durante el primer trimestre de 2021 no se han presentado productos y/o servicios no conformes."/>
    <s v="Según lo reporta el proceso, para este periodo no se presentó producto no conforme."/>
    <s v="Según lo reporta el proceso, para este periodo no se presentó producto no conforme."/>
    <m/>
  </r>
  <r>
    <n v="31"/>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Dirección  de Investigación y Prospectiva"/>
    <s v="Porcentaje"/>
    <s v="Índice de Desempeño Institucional (IDI)"/>
    <s v="Producto"/>
    <n v="1"/>
    <n v="0"/>
    <n v="0"/>
    <n v="0"/>
    <n v="1"/>
    <n v="0"/>
    <s v="Esta actividad inicia a partir del mes de junio."/>
    <n v="0"/>
    <s v="Se generó  matriz para identificar y establecer las actividades que se realizarán para fortalecer aquellas acciones que en la vigencia 2020 no tuvieron mayores avances, estas actividades se llevarán a cabo durante este segundo semestre y en la siguiente vigencia."/>
    <n v="0"/>
    <s v="Se realizó verificación de evidencias realizadas a la fecha para fortalecer aquellas acciones que en la vigencia 2020 no tuvieron mayores avances."/>
    <m/>
    <m/>
    <d v="2021-04-09T00:00:00"/>
    <d v="2021-07-02T00:00:00"/>
    <d v="2021-10-12T00:00:00"/>
    <m/>
    <n v="0"/>
    <s v=""/>
    <s v=""/>
    <s v=""/>
    <s v=" "/>
    <s v="Sin meta asignada en el periodo"/>
    <s v="Concepto Favorable"/>
    <s v="Sin meta asignada en el periodo"/>
    <m/>
    <s v="Actividad programada para el mes de junio"/>
    <s v="Se valida el seguimiento y la evidencia aportada: archivo preparación FURAG, al ser coincidentes se aprueba el seguimiento."/>
    <s v="Sin meta programada para el periodo"/>
    <m/>
    <x v="1"/>
    <x v="0"/>
    <x v="1"/>
    <x v="0"/>
    <s v="Sin meta programada para este periodo"/>
    <s v="Se valida ejecución de la actividad con documento excel sobre preparación de FURAG 2021 del CIAF (Respuestas, evidencias y enlaces de consulta).  "/>
    <s v="Sin meta programada para el periodo."/>
    <m/>
  </r>
  <r>
    <n v="1"/>
    <x v="16"/>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ramados en el plan anual de auditorias, para el  trimestre."/>
    <s v="Eficacia"/>
    <n v="17"/>
    <n v="3"/>
    <n v="7"/>
    <n v="4"/>
    <n v="3"/>
    <n v="2"/>
    <s v="Se realiza las Auditorias programadas para el I trimestre 2021 (Auditoria de Seguimiento Direcion Territorial Magdalena y GIT Talento Humano)"/>
    <n v="7"/>
    <s v="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
    <n v="5"/>
    <s v="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_x000a_"/>
    <m/>
    <m/>
    <d v="2021-04-09T00:00:00"/>
    <d v="2021-07-02T00:00:00"/>
    <d v="2021-10-12T00:00:00"/>
    <m/>
    <n v="0.82352941176470584"/>
    <n v="0.66666666666666663"/>
    <n v="1"/>
    <n v="1"/>
    <s v=" "/>
    <s v="Concepto Favorable"/>
    <s v="Concepto Favorable"/>
    <s v="Concepto Favorable"/>
    <m/>
    <s v="Se evidencian los informes de auditoria"/>
    <s v="La actividad cuenta con las evidencias "/>
    <s v="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
    <m/>
    <x v="0"/>
    <x v="0"/>
    <x v="0"/>
    <x v="0"/>
    <s v="Se evidencia la actividad con la  realización de las Auditorias de la Direcion Territorial Magdalena y GIT Talento Humano)"/>
    <s v="Se verifica la realización de las auditorias Integrales, de Seguimiento y Especiales  a los procesos de la entidad en las Direcciones Territoriales, Sede Central, definidas en el plan anual de auditorias."/>
    <s v="De acuerdo a los soportes entregados, cinco (5) informes de auditoría, Agrología, Nariño, Tolima, Continuidad de Operaciones durante pandemia y Manejo de la situación de emergencia sanitaria, se evidencia el avance reportado."/>
    <m/>
  </r>
  <r>
    <n v="2"/>
    <x v="16"/>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PLANNER, SNARIV), entre otros."/>
    <d v="2021-01-01T00:00:00"/>
    <d v="2021-12-30T00:00:00"/>
    <s v="Informe"/>
    <s v="Oficina de Control Interno"/>
    <s v="Número"/>
    <s v="Informes emitidos en el trimestre/ informes programados en el plan anual de auditorias, para el  trimestre."/>
    <s v="Eficacia"/>
    <n v="64"/>
    <n v="19"/>
    <n v="18"/>
    <n v="16"/>
    <n v="11"/>
    <n v="19"/>
    <s v="Ejecuta los seguimientos de ley programados en el Plan de Auditorias I trimestre 2021"/>
    <n v="18"/>
    <s v="Se ejecuto los 18 seguimientos programados en el Plan Anual de Auditorias."/>
    <n v="16"/>
    <s v="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
    <m/>
    <m/>
    <d v="2021-04-09T00:00:00"/>
    <d v="2021-07-02T00:00:00"/>
    <d v="2021-10-13T00:00:00"/>
    <m/>
    <n v="0.828125"/>
    <n v="1"/>
    <n v="1"/>
    <n v="1"/>
    <s v=" "/>
    <s v="Concepto Favorable"/>
    <s v="Concepto Favorable"/>
    <s v="Concepto Favorable"/>
    <m/>
    <s v="La actividad cuenta con las evidencias "/>
    <s v="La actividad cuenta con las evidencias "/>
    <s v="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m/>
    <x v="0"/>
    <x v="0"/>
    <x v="0"/>
    <x v="0"/>
    <s v="Se evidencia la ejecución de la actividad de los informes de Auditoria con certificados EKOGUI, Plan de Mejoramiento de la Contraloría, Control Interno Contable, Derechos de Autor, FURAG, Informes de Gestión, Radicados y correos entre otros."/>
    <s v="Se evidencian las actividades programadas para el periodo."/>
    <s v="De acuerdo a los soportes entregados, 16 informes entre los que se encuentran Sistema de Control Interno, Seguimiento Plan de Mejoramiento de la Contraloría General de la República, Peticiones, Quejas, Reclamos, Denuncias y Sugerencias,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se evidencia el avance reportado."/>
    <m/>
  </r>
  <r>
    <n v="3"/>
    <x v="16"/>
    <s v="No aplica"/>
    <s v="Actividades de fomento de la cultura de autocontrol y  autoevaluación"/>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n v="1"/>
    <s v="Se cumplio con el Seguimiento de la cultura de autocontrol y eutoevaluación mediante la publicación de las Piezas en los medios de comunicación"/>
    <n v="1"/>
    <s v="La Oficina de Control Interno solicitó la publicación de las piezas de comunicación que fomentan la cultura de autocontrol y autoevaluación."/>
    <m/>
    <m/>
    <d v="2021-04-09T00:00:00"/>
    <d v="2021-07-02T00:00:00"/>
    <d v="2021-10-13T00:00:00"/>
    <m/>
    <n v="0.75"/>
    <n v="1"/>
    <n v="1"/>
    <n v="1"/>
    <s v=" "/>
    <s v="Concepto Favorable"/>
    <s v="Concepto Favorable"/>
    <s v="Concepto Favorable"/>
    <m/>
    <s v="La actuvidad cuenta con la evidencia"/>
    <s v="La actividad cuenta con las evidencias "/>
    <s v="De acuerdo con las evidencias, se observa que el 6 de octubre la Oficina de Control Interno solicitó la publicación de las piezas de comunicación que fomentan la cultura de autocontrol y autoevaluación._x000d__x000a_"/>
    <m/>
    <x v="2"/>
    <x v="0"/>
    <x v="0"/>
    <x v="0"/>
    <s v="La actividad se valida con el envío de archivos a la Oficina de Comunicaciones y Mercadeo   y su publicación en el correo institucional."/>
    <s v="Se constató cumplimiento del seguimiento de la cultura de autocontrol y eutoevaluación a través de la publicación de las Piezas en los medios de comunicación."/>
    <s v="De acuerdo a los soportes entregados, solicitud y pieza grafica de fomento del autocontrol, se evidencia el avance reportado."/>
    <m/>
  </r>
  <r>
    <n v="4"/>
    <x v="16"/>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7-01T00:00:00"/>
    <s v="Informe de revisión"/>
    <s v="Oficina de Control Interno"/>
    <s v="Porcentaje"/>
    <s v="Número de revisiones de la información documentada del proceso"/>
    <s v="Producto"/>
    <n v="1"/>
    <n v="0"/>
    <n v="0"/>
    <n v="0.5"/>
    <n v="0.5"/>
    <n v="0"/>
    <s v="Para este trimestre no se programa esta actividad"/>
    <n v="0"/>
    <s v="Para este trimestre no se tiene programada esta actividad, se está programando para el último trimestre de la vigencia."/>
    <n v="0.5"/>
    <s v="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
    <m/>
    <m/>
    <d v="2021-04-09T00:00:00"/>
    <d v="2021-07-02T00:00:00"/>
    <d v="2021-10-13T00:00:00"/>
    <m/>
    <n v="0.5"/>
    <s v=""/>
    <s v=""/>
    <n v="1"/>
    <s v=" "/>
    <s v="Concepto Favorable"/>
    <s v="Concepto Favorable"/>
    <s v="Concepto Favorable"/>
    <m/>
    <s v="No hay progrmacion para el periodo"/>
    <s v="Por instrucciones del la OAP la actividad se reprogramo para el tercer y cuarto trimestre"/>
    <s v="De acuerdo con las evidencias, se observa que el 24 de septiembre se establece cronograma para la actualización de la información documentada del proceso de Seguimiento y evaluación, y el 30 de septiembre se aprueba la caracterización del proceso._x000d__x000a_"/>
    <m/>
    <x v="1"/>
    <x v="1"/>
    <x v="0"/>
    <x v="0"/>
    <s v="La actividad no se encuentra programada para el trimestre."/>
    <s v="Sin meta signada para el periodo."/>
    <s v="De acuerdo a los soportes entregados, cronograma de actualización documentación del proceso y aprobación de la caracterización , se evidencia el avance reportado."/>
    <m/>
  </r>
  <r>
    <n v="5"/>
    <x v="16"/>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ón, implementación y seguimiento de las actividades de MIPG"/>
    <s v="Producto"/>
    <n v="3"/>
    <n v="1"/>
    <n v="1"/>
    <n v="1"/>
    <n v="0"/>
    <n v="1"/>
    <s v="Se realiza seguimiento programado para el primer trimestre 2021"/>
    <n v="1"/>
    <s v="Se cumple Seguimiento Plan Anticorrupción y Atención al Ciudadano I Trimestre mediante correo del 13 de mayo del 2021"/>
    <n v="1"/>
    <s v="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
    <m/>
    <m/>
    <d v="2021-04-09T00:00:00"/>
    <d v="2021-07-02T00:00:00"/>
    <d v="2021-10-13T00:00:00"/>
    <m/>
    <n v="1"/>
    <n v="1"/>
    <n v="1"/>
    <n v="1"/>
    <s v=" "/>
    <s v="Concepto Favorable"/>
    <s v="Concepto Favorable"/>
    <s v="Concepto Favorable"/>
    <m/>
    <s v="La actividad cuenta con la evidencia"/>
    <s v="La actividad cuenta con las evidencias "/>
    <s v="De acuerdo con las evidencias, se observa que durante el tercer trimestre la Oficina de Control Interno  remitió el seguimiento de las actividades contempladas en el Plan Anticorrupción del proceso y se realizó la publicación en la web"/>
    <m/>
    <x v="2"/>
    <x v="0"/>
    <x v="0"/>
    <x v="0"/>
    <s v="Se constata la realización de la actividad durante el trimestre programado."/>
    <s v="Se evidenció cumplimiento con el Seguimiento Plan Anticorrupción y Atención al Ciudadano I Trimestre ( correo mayo del 2021)."/>
    <s v="De acuerdo a los soportes entregados, seguimiento al plan anticorrupción, se evidencia el avance reportado."/>
    <m/>
  </r>
  <r>
    <n v="6"/>
    <x v="16"/>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1-01T00:00:00"/>
    <d v="2021-11-30T00:00:00"/>
    <s v="Informe de revisión"/>
    <s v="Oficina de Control Interno"/>
    <s v="Número"/>
    <s v="Revisiones ejecutadas / revisiones programadas"/>
    <s v="Producto"/>
    <n v="1"/>
    <n v="0"/>
    <n v="0"/>
    <n v="0"/>
    <n v="1"/>
    <n v="0"/>
    <s v="Para este trimestre no se programa esta actividad"/>
    <n v="0"/>
    <s v="No se programo seguimiento para esta actividad en el II trimestre "/>
    <n v="0"/>
    <s v="Esta actividad se encuentra programada para realizarse en el cuarto trimestre."/>
    <m/>
    <m/>
    <d v="2021-04-09T00:00:00"/>
    <d v="2021-07-02T00:00:00"/>
    <d v="2021-10-13T00:00:00"/>
    <m/>
    <n v="0"/>
    <s v=""/>
    <s v=""/>
    <s v=""/>
    <s v=" "/>
    <s v="Concepto Favorable"/>
    <s v="Sin meta asignada en el periodo"/>
    <s v="Sin meta asignada en el periodo"/>
    <m/>
    <s v="No hay programacion para el periodo"/>
    <s v="No hay meta programada para el trimestre"/>
    <s v="Sin meta para este periodo."/>
    <m/>
    <x v="1"/>
    <x v="1"/>
    <x v="1"/>
    <x v="0"/>
    <s v="La actividad no se encuentra programada para el trimestre."/>
    <s v="Si meta asignada en el periodo."/>
    <s v="No hay meta para este trimestre"/>
    <m/>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125"/>
    <n v="8782"/>
    <n v="0"/>
    <n v="0"/>
    <n v="0"/>
    <n v="8782"/>
    <n v="2729"/>
    <s v="En el primer trimestre de año se realizaron los siguientes tramites de oficina"/>
    <n v="1104"/>
    <s v="En el segundo trimeste del año se realizaron los siguientes tramites abril: 472, mayo 422 y junio 210"/>
    <n v="7923"/>
    <s v="En el tercer trimestre del año se realizaron los siguientes tramites. Julio: 7465 , Agosto:315 , Septiembre:143"/>
    <m/>
    <m/>
    <n v="11756"/>
    <d v="2021-04-14T00:00:00"/>
    <d v="2021-07-09T00:00:00"/>
    <d v="2021-10-14T00:00:00"/>
    <m/>
    <n v="1"/>
    <s v=""/>
    <s v=""/>
    <s v=""/>
    <n v="0"/>
    <s v="Concepto Favorable"/>
    <s v="Concepto Favorable"/>
    <s v="Concepto Favorable"/>
    <m/>
    <s v="Reporte Aprobado"/>
    <s v="Se observa la relación de los tramites realizados en los meses de seguimiento"/>
    <s v="Realizaron los trámites reportados"/>
    <m/>
    <x v="0"/>
    <x v="0"/>
    <x v="0"/>
    <x v="0"/>
    <s v="Aunque para el periodo no se proyecta meta, la Territorial ejecutó 2.790 trámites de oficina."/>
    <s v="Aunque no se proyecta meta para el trimestre, se evidencia la realización de1104 trámites, soportados en libro radicador, estadística de trámites, seguimiento y detalle de rectificaciones. "/>
    <s v="De acuerdo a los soportes, relación trámites, se evidencia el avance reportado."/>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125"/>
    <n v="5541"/>
    <n v="0"/>
    <n v="0"/>
    <n v="0"/>
    <n v="5541"/>
    <n v="238"/>
    <s v="SE REPORTA LOS TRAMITES DE TERRENO DEL PRIMER TRIMESTRE DEL 2021"/>
    <n v="764"/>
    <s v="En el segundo trimestre del año se realizaron los siguientes tramites de terreno. Abril 424, Mayo 131 y junio 209"/>
    <n v="280"/>
    <s v="En el tercer trimestre del año se realizaron los siguientes tramites de terreno. Julio: 86, Agosto: 51 y Septiembre: 143"/>
    <m/>
    <m/>
    <n v="1282"/>
    <d v="2021-04-14T00:00:00"/>
    <d v="2021-07-09T00:00:00"/>
    <d v="2021-10-14T00:00:00"/>
    <m/>
    <n v="0.23136617939000181"/>
    <s v=""/>
    <s v=""/>
    <s v=""/>
    <n v="0"/>
    <s v="Concepto Favorable"/>
    <s v="Concepto Favorable"/>
    <s v="Concepto Favorable"/>
    <m/>
    <s v="Registro de terreno aprobado"/>
    <s v="En la relación adjunta se ven los tramites de terreno realizados en el trimestre"/>
    <s v="Realizaron 280 tramites de terreno"/>
    <m/>
    <x v="0"/>
    <x v="0"/>
    <x v="0"/>
    <x v="0"/>
    <s v="Aunque para el periodo no se asigna meta, se evidencia la realización 238 trámites de terreno en los meses de enero, febrero y marzo de 2021."/>
    <s v="Si meta para el periodo, sin embargo, se evidencia la realización  de los tramites de terreno para los mesdes de abril=424, mayo=131 y junio=209, para un total de 764 trámites, evidencidos en el seguimiento a trámites con corte a 2021-06-30."/>
    <s v="De acuerdo a los soportes, relación trámites, se evidencia el avance reportado."/>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125"/>
    <n v="1"/>
    <n v="0.25"/>
    <n v="0.25"/>
    <n v="0.25"/>
    <n v="0.25"/>
    <n v="0.25"/>
    <s v="EN EL PRIMER TRIMESTRE SE RECIBIERON 17 SOLCITUDES LAS  CUALES TODAS SE RESPONDIERON, SE ACLARA QUE EN ESTE DATO NO SE INCLUYE LAS QUE SE REMITEN POR COMPETENCIA A LOS GESTORES CATASTRALES DE AMB Y BARRANQUILLA."/>
    <n v="0.25"/>
    <s v="En el segundo trimestre del año se recibieron 3 solicitudes, las cuales todas se respondieron, se aclara que en este dato no se incluye las que remiten por competencia a los gestores catastrales de AMB y Barranquilla"/>
    <n v="0.25"/>
    <s v="En el tercer trimestre del año se recibieron 3 solicitudes, las cuales todas se responden, se aclara que en este dato no se incluye las que se remiten por competencia a los gestores catastrales de AMB y Barranquilla"/>
    <m/>
    <m/>
    <n v="0.75"/>
    <d v="2021-04-14T00:00:00"/>
    <d v="2021-07-09T00:00:00"/>
    <d v="2021-10-13T00:00:00"/>
    <m/>
    <n v="0.75"/>
    <n v="1"/>
    <n v="1"/>
    <n v="1"/>
    <n v="0"/>
    <s v="Concepto Favorable"/>
    <s v="Concepto Favorable"/>
    <s v="Concepto Favorable"/>
    <m/>
    <s v="Reporte Aprobado"/>
    <s v="La Dt atendió tres solicitudes"/>
    <s v="La DT atendio las tres solicitudes relacionadas con la regularizacion de la propiedad"/>
    <m/>
    <x v="0"/>
    <x v="0"/>
    <x v="0"/>
    <x v="0"/>
    <s v="Se observa respuesta y atención  a las solicitudes realizadas por los juzgados de su jurisdicción, dando cumplimiento a la meta proyectada."/>
    <s v="Se evidencia porcentaje de avance en el trimestre mediante oficios de respuesta con Radicados Nos. 3608, 4049 y 4053, entre mayo y junio de 2021."/>
    <s v="De acuerdo a los soportes, memorandos, cuadro consolidado Avalúos Territorial Caldas, se evidencia el avance reportado."/>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125"/>
    <n v="1"/>
    <n v="0.25"/>
    <n v="0.25"/>
    <n v="0.25"/>
    <n v="0.25"/>
    <n v="0.25"/>
    <s v="NO SE RECIBIERON SOLICITUDES"/>
    <n v="0.25"/>
    <s v="No se recibieron solicitudes"/>
    <n v="0.25"/>
    <s v="No se recibieron solicitudes"/>
    <m/>
    <m/>
    <n v="0.75"/>
    <d v="2021-04-14T00:00:00"/>
    <d v="2021-07-09T00:00:00"/>
    <d v="2021-10-13T00:00:00"/>
    <m/>
    <n v="0.75"/>
    <n v="1"/>
    <n v="1"/>
    <n v="1"/>
    <n v="0"/>
    <s v="Concepto Favorable"/>
    <s v="Concepto Favorable"/>
    <s v="Concepto Favorable"/>
    <m/>
    <s v="Aprobado"/>
    <s v="No se recibieron solicitudes"/>
    <s v="La DT reporta que no se presentaron solicitudes de RT"/>
    <m/>
    <x v="0"/>
    <x v="0"/>
    <x v="0"/>
    <x v="0"/>
    <s v="De aucerdo al autoseguimiento, se informa que no se recibieron solicitudes por esta actividad."/>
    <s v="En autoseguimiento de la Dirección Territorial, se informa que no se recibieron solicitudes."/>
    <s v="No se presentaron solicitudes en la DT Caldas"/>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125"/>
    <n v="1"/>
    <n v="0.25"/>
    <n v="0.25"/>
    <n v="0.25"/>
    <n v="0.25"/>
    <n v="0.21"/>
    <s v="EN EL PRIMER TRIMESTRE DEL AÑO SE RECIBIERON 253 PETICIONES Y SE CONTESTARON A TERMINO 215"/>
    <n v="0.24"/>
    <s v="En el segundo trimestre del año se recibieron 263 peticiones y se contestaron a termino 250"/>
    <n v="0.25"/>
    <s v="En el trimestre del año se recibieron 152 peticiones y se contestaron a termino 413, las cuales incluye las 152 presentadas y peticiones de meses anteriores."/>
    <m/>
    <m/>
    <n v="0.7"/>
    <d v="2021-04-14T00:00:00"/>
    <d v="2021-07-09T00:00:00"/>
    <d v="2021-10-13T00:00:00"/>
    <m/>
    <n v="0.7"/>
    <n v="0.84"/>
    <n v="0.96"/>
    <n v="1"/>
    <n v="0"/>
    <s v="Concepto Favorable"/>
    <s v="Concepto Favorable"/>
    <s v="Concepto Favorable"/>
    <m/>
    <s v="Aprobado"/>
    <s v="Aprobado"/>
    <s v="Realizan reporte y seguimiento a las peticiones recibidas"/>
    <m/>
    <x v="0"/>
    <x v="0"/>
    <x v="0"/>
    <x v="0"/>
    <s v="De acuerdo a lo aportado por la territorial se evidencia un 85% aproximadamente, en la atención y respuesta de solicitudes en el trimestre."/>
    <s v="La Dirección Territorial en autoseguimiento informa sobre el se recibido de 263 peticiones, de las cuales se dión respuesta a término de 250."/>
    <s v="De acuerdo a los soportes, herramienta de monitoreo 2021 Caldas, se evidencia el avance reportado."/>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125"/>
    <n v="1"/>
    <n v="0.25"/>
    <n v="0.25"/>
    <n v="0.25"/>
    <n v="0.25"/>
    <n v="0.25"/>
    <s v="TODAS LAS ACTAS SE ENTREGARON DENTRO DE LAS FECHAS ESTABLECIDAS"/>
    <n v="0.25"/>
    <s v="Todas las actas se entregaron dentro de las fechas establecidas"/>
    <n v="0.25"/>
    <s v="Todas las actas se entregaron dentro de las fechas establecidas, copaast julio, agosto, septiembre y convivencia de septiembre."/>
    <m/>
    <m/>
    <n v="0.75"/>
    <d v="2021-04-14T00:00:00"/>
    <d v="2021-07-09T00:00:00"/>
    <d v="2021-10-13T00:00:00"/>
    <m/>
    <n v="0.75"/>
    <n v="1"/>
    <n v="1"/>
    <n v="1"/>
    <n v="0"/>
    <s v="Concepto Favorable"/>
    <s v="Concepto Favorable"/>
    <s v="Concepto Favorable"/>
    <m/>
    <s v="Aprobado"/>
    <s v="Cumplimiento con la realizacion de las actas y envio a talento humano"/>
    <s v="Realizaron las actividades de copasst y comite de convivencia"/>
    <m/>
    <x v="0"/>
    <x v="0"/>
    <x v="0"/>
    <x v="0"/>
    <s v="Se da cumplimiento con la realización de los comités de Copasst realizados el 12-01-2021, 12-02-2021 y 12-03-2021; así como el comité de Convivencia el 11-03-2021."/>
    <s v="Se evidencia el cumplimiento con las actas aportadas de comités de Copasst y Convivencia de los meses de abril, mayo y junio de 2021."/>
    <s v="De acuerdo a los soportes, actas copasst y comite de convivencia, se evidencia el avance reportado."/>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125"/>
    <n v="1"/>
    <n v="0.25"/>
    <n v="0.25"/>
    <n v="0.25"/>
    <n v="0.25"/>
    <n v="0.25"/>
    <s v="SE A DADO CUMPLIMIENTO A LAS RESPONSABILIDADES EN EL SG Y SST"/>
    <n v="0.25"/>
    <s v="Se a dado cumplimiento a las responsabilidades en el SG y SST"/>
    <n v="0.25"/>
    <s v="Se a dado cumplimiento a las responsabilidades en el SG y SST"/>
    <m/>
    <m/>
    <n v="0.75"/>
    <d v="2021-04-14T00:00:00"/>
    <d v="2021-07-09T00:00:00"/>
    <d v="2021-10-13T00:00:00"/>
    <m/>
    <n v="0.75"/>
    <n v="1"/>
    <n v="1"/>
    <n v="1"/>
    <n v="0"/>
    <s v="Concepto Favorable"/>
    <s v="Concepto Favorable"/>
    <s v="Concepto Favorable"/>
    <m/>
    <s v="Aprobado"/>
    <s v="De acuerdo a la evidencia se observa que han realizado inspeccion a los extintores, botiquines e infraestructura"/>
    <s v="Reportan actividades de SG y SST"/>
    <m/>
    <x v="0"/>
    <x v="0"/>
    <x v="0"/>
    <x v="0"/>
    <s v="Se evidencia actividad con la realización de: Inspección a la infraestructura de fecha 31-03-2021, Botiquín de Primeros auxilios el 31-03-2021 y la Verificación del estado de extintores el 30-03-2021."/>
    <s v="Se evidencia actividad realizada, mediante formatos de Inspección botiquines y extintores, e infraestructura en el mes de junio."/>
    <s v="Se reporta actividades SST y SG"/>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125"/>
    <n v="136585448.58387947"/>
    <n v="26969370.740170442"/>
    <n v="34961206.505192727"/>
    <n v="35594655.817368172"/>
    <n v="39060215.521148145"/>
    <n v="13638680"/>
    <s v="EN EL PRIMER TRIMESTRE INGRESO POR VENTAS 13.638.680"/>
    <n v="12607715"/>
    <s v="En el segundo trimestre ingreso por ventas 12.607.715, es de aclarar a las oficinas de planeación y control interno, que hasta la fecha NO nos han notificado meta de ventas para el año 2021."/>
    <n v="23484684"/>
    <s v="En el tercer trimestre ingreso por ventas 23.484.684."/>
    <m/>
    <m/>
    <n v="49731079"/>
    <d v="2021-04-14T00:00:00"/>
    <d v="2021-07-13T00:00:00"/>
    <d v="2021-10-13T00:00:00"/>
    <m/>
    <n v="0.36410232214055577"/>
    <n v="0.50570998231283926"/>
    <n v="0.36062013472353704"/>
    <n v="0.6597811795258548"/>
    <n v="0"/>
    <s v="Concepto Favorable"/>
    <s v="Concepto Favorable"/>
    <s v="Concepto Favorable"/>
    <m/>
    <s v="Aprobado"/>
    <s v="Anexan resumen de ventas de las DT"/>
    <s v="Se evidencia las ventas por 23.484.684."/>
    <m/>
    <x v="0"/>
    <x v="0"/>
    <x v="1"/>
    <x v="0"/>
    <s v="Teniendo en cuenta que para el trimestres no se asigna meta, se reporta y evidencian ingresos por ventas por un valor de 13.638.680"/>
    <s v="Se evidencia actividad, con resumen de ventas y autoseguimiento donde se preportan ingresos por ventas de 12.607.715."/>
    <s v="De acuerdo a los soportes, reportes mensuales, se evidencia el avance reportado de $ 23.484.684, que se encuentra por debajo de lo programado."/>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9.0909090909090912E-2"/>
    <n v="167"/>
    <n v="0"/>
    <n v="0"/>
    <n v="0"/>
    <n v="167"/>
    <n v="0"/>
    <s v="en el primer trimestre no se reporta actualizacion y formacion de zonasa urbanas en la territorial."/>
    <n v="0"/>
    <s v="En el segundo trimestre no se reporta actualizacion y formacion de zonas urbanas en la territorial bolivar"/>
    <n v="0"/>
    <s v="En el tercer trimestre se reporta contrato de titulacion de predios ministerio de vivienda-IGAC en municipios del departamento de bolivar,el cual se encuenta en ejecucion de campo."/>
    <m/>
    <m/>
    <n v="0"/>
    <d v="2021-04-14T00:00:00"/>
    <d v="2021-07-14T00:00:00"/>
    <d v="2021-10-08T00:00:00"/>
    <m/>
    <n v="0"/>
    <s v=""/>
    <s v=""/>
    <s v=""/>
    <n v="0"/>
    <s v="Sin meta asignada en el periodo"/>
    <s v="Sin meta asignada en el periodo"/>
    <s v="Concepto Favorable"/>
    <m/>
    <s v="Sin meta asignada en el periodo"/>
    <s v="Sin meta asignada para el período"/>
    <s v="se revisa evidencia de contrato, cumple con el producto esperado"/>
    <m/>
    <x v="1"/>
    <x v="1"/>
    <x v="2"/>
    <x v="0"/>
    <s v="Sin meta asignada en el periodo."/>
    <s v="Sin meta asignada para el periodo"/>
    <s v="Se observa que actualmente la territorial tiene activo el contrato de titulación de predios con el Ministerio de Vivienda – IGAC, el cual se encuentra en ejecución.  Sin embargo, para este trimestre del año no se programó ninguna meta.  "/>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9.0909090909090912E-2"/>
    <n v="97882"/>
    <n v="0"/>
    <n v="0"/>
    <n v="0"/>
    <n v="97882"/>
    <n v="0"/>
    <s v="en el primer trimestre no se  reporto actualizacion y formacion de zonas rurales en la territorial"/>
    <n v="0"/>
    <s v="En el segundo trimestre no se reporta actualizacion y formacion de zonas rurales en la territorial bolivar"/>
    <n v="0"/>
    <s v="En el tercer trimestre no se reporta actualizacion y formacion de zonas rurales en la territorial bolivar."/>
    <m/>
    <m/>
    <n v="0"/>
    <d v="2021-04-14T00:00:00"/>
    <d v="2021-07-14T00:00:00"/>
    <d v="2021-10-08T00:00:00"/>
    <m/>
    <n v="0"/>
    <s v=""/>
    <s v=""/>
    <s v=""/>
    <n v="0"/>
    <s v="Sin meta asignada en el periodo"/>
    <s v="Sin meta asignada en el periodo"/>
    <s v="Sin meta asignada en el periodo"/>
    <m/>
    <s v="Sin meta asignada en el periodo"/>
    <s v="Sin meta asignada para el período"/>
    <s v="sin meta para el periodo"/>
    <m/>
    <x v="1"/>
    <x v="1"/>
    <x v="2"/>
    <x v="0"/>
    <s v="Sin meta asignada en el periodo."/>
    <s v="Sin meta asignada para el periodo."/>
    <s v="Para el tercer trimestre del año no se programó ninguna meta.  "/>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9.0909090909090912E-2"/>
    <n v="10162"/>
    <n v="0"/>
    <n v="0"/>
    <n v="0"/>
    <n v="10162"/>
    <n v="1349"/>
    <s v="Se realizo seguimiento a los tramites de oficina durante el primer trimestre de 2021."/>
    <n v="2108"/>
    <s v="Se realizo seguimiento a los tramites de oficina durante el segundo trimestre del 2021, en la territorial bolivar"/>
    <n v="345"/>
    <s v="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
    <m/>
    <m/>
    <n v="3802"/>
    <d v="2021-04-14T00:00:00"/>
    <d v="2021-07-14T00:00:00"/>
    <d v="2021-10-08T00:00:00"/>
    <m/>
    <n v="0.37413894902578232"/>
    <s v=""/>
    <s v=""/>
    <s v=""/>
    <n v="0"/>
    <s v="Concepto Favorable"/>
    <s v="Concepto Favorable"/>
    <s v="Concepto Favorable"/>
    <m/>
    <s v="En el archivo adjunto se indica la cantidad de trámites ejecutados en oficina (1349)"/>
    <s v="En los reportes generados por elsistema de información catastral se observa realización de trámites de oficina asI abril:889, mayo: 775 y junio:444, para un total de 2108"/>
    <s v="se revisa evidencia cumple con lo esperado "/>
    <m/>
    <x v="0"/>
    <x v="0"/>
    <x v="2"/>
    <x v="0"/>
    <s v="Se evidencian 1349 trámites ejecutados en oficina, para el primer trimestre. "/>
    <s v="Aunque no se asigna meta, se evidencian los reportes generados de información catastral en la realización de trámites de oficina con  un total de 2108"/>
    <s v="Para el tercer trimestre del año 2021, no se programó ninguna meta, sin embargo, se observa que se ha avanzado en el proceso de seguimiento de trámites de oficina.  "/>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9.0909090909090912E-2"/>
    <n v="6930"/>
    <n v="0"/>
    <n v="0"/>
    <n v="0"/>
    <n v="6930"/>
    <n v="890"/>
    <s v="Se realizo seguimiento a los tramites de terreno durante el primer trimestre de 2021."/>
    <n v="1543"/>
    <s v="Se realizo seguimiento a los tramites de terreno durante el segundo trimestre del 2021, en la territorial bolivar"/>
    <n v="1"/>
    <s v="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
    <m/>
    <m/>
    <n v="2434"/>
    <d v="2021-04-14T00:00:00"/>
    <d v="2021-07-14T00:00:00"/>
    <d v="2021-10-08T00:00:00"/>
    <m/>
    <n v="0.35122655122655122"/>
    <s v=""/>
    <s v=""/>
    <s v=""/>
    <n v="0"/>
    <s v="Concepto Favorable"/>
    <s v="Concepto Favorable"/>
    <s v="Concepto Favorable"/>
    <m/>
    <s v="En el archivo adjunto (en la carpeta de la actividad 3) se indica la cantidad de trámites ejecutados de terreno (890)."/>
    <s v="En los reportes generados por elsistema de información catastral se observa realización de trámites de oficina asI abril:658, mayo: 645 y junio:240, para un total de 2108, para un total de 1543"/>
    <s v="se revisa la evidencia cargada cumple con el producto esperado"/>
    <m/>
    <x v="0"/>
    <x v="0"/>
    <x v="2"/>
    <x v="0"/>
    <s v="Se verifican de acuerdo a información adjunta, la ejecución de 890 trámites de terreno durante el periodo."/>
    <s v="Aunque no se proyecta meta para el periodo, se evidencia la realización de trámites de oficina con un total de 1543"/>
    <s v="Se ha venido avanzando en la actividad de trámites de terreno.  Sin embargo, se evidencia que para este periodo evaluado no se programó meta.  "/>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9.0909090909090912E-2"/>
    <n v="1"/>
    <n v="0.25"/>
    <n v="0.25"/>
    <n v="0.25"/>
    <n v="0.25"/>
    <n v="0.25"/>
    <s v="Se realizoel 100% y seguimiento a las solicitudes realizadas de regulacion de propiedad en el primer trimestre2021."/>
    <n v="0.25"/>
    <s v="Se  realizo seguimiento a las solicitudes, realizadas en el segundo trimestre de 2021,dando cumplimiento a la meta del periodo. "/>
    <n v="0.25"/>
    <s v="Se realizo seguimiento a las solicitudes realizadas,en el tercer trimestre de 2021 dando cumplimiento a la meta del periodo."/>
    <m/>
    <m/>
    <n v="0.75"/>
    <d v="2021-04-13T00:00:00"/>
    <d v="2021-07-14T00:00:00"/>
    <d v="2021-10-08T00:00:00"/>
    <m/>
    <n v="0.75"/>
    <n v="1"/>
    <n v="1"/>
    <n v="1"/>
    <n v="0"/>
    <s v="Concepto No Favorable"/>
    <s v="Concepto Favorable"/>
    <s v="Concepto Favorable"/>
    <m/>
    <s v="En el archivo en excel denominado &quot;informe primer trimestre restitución de tierras 2021&quot; se observan la cantidad de solicitudes en materia de regularizacion para el primer trimestre (8, 4 y 7), pero no se puede comprobar si se atendieron en el término legal"/>
    <s v="En el memorando remitido por Lina Castellar, asegura que se tramitaron dentro del término legal todas las solicitudes de regularización de la propiedad"/>
    <s v="se revisa la evidencia cargada cumple con el producto esperado Regularización de la propiedad (Ley 1561 y Ley 1564 de 2012)"/>
    <m/>
    <x v="2"/>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s v="Se evidencia el cumplimiento de seguimiento a las solicitudes, de acuerdo a memorando de Restitución de Tierras enviado a la Dirección Territorial."/>
    <s v="Se observa el informe correspondiente al tercer trimestre del año (julio, agosto y septiembre), donde se evidencia que se ha realizado seguimiento a las solicitudes allegadas en tema de regularización de la Propiedad, avanzado en un 25 %.  "/>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9.0909090909090912E-2"/>
    <n v="1"/>
    <n v="0.25"/>
    <n v="0.25"/>
    <n v="0.25"/>
    <n v="0.25"/>
    <n v="0.25"/>
    <s v="Se realizo el 100% de las solicitudes recibidas para el cumplimiento de politica de restitucion de tierras y ley de victimas durante el primer trimestre 2021."/>
    <n v="0.22"/>
    <s v="Se realizo seguimiento a las solicitudes recibidas durante el segundo trimestre del año2021,dando cumplimiento de la politica de restitucion de tierras y ley de victimas."/>
    <n v="0.25"/>
    <s v="Se realizo seguimiento a las solicitudes recibidas durante el tercer trimestre del año 2021,dando cumplimiento al periodo."/>
    <m/>
    <m/>
    <n v="0.72"/>
    <d v="2021-04-13T00:00:00"/>
    <d v="2021-07-14T00:00:00"/>
    <d v="2021-10-08T00:00:00"/>
    <m/>
    <n v="0.72"/>
    <n v="1"/>
    <n v="0.88"/>
    <n v="1"/>
    <n v="0"/>
    <s v="Concepto No Favorable"/>
    <s v="Concepto Favorable"/>
    <s v="Concepto Favorable"/>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s v="Se observa cumplimiento del control con la evidencia aportada"/>
    <s v="se evidencia el cumplimiento con los soportes cargados "/>
    <m/>
    <x v="2"/>
    <x v="0"/>
    <x v="0"/>
    <x v="0"/>
    <s v="En cuadro excel &quot;Informe de Restitución de Tierras 2021&quot;,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
    <s v="Se da cumplimiento a la actividad de política de restitución de tierras y Ley de Victimas, evidenciado enl informe aportado."/>
    <s v="Se observa el informe correspondiente al tercer trimestre del año (julio, agosto y septiembre), donde se evidencia que se ha realizado seguimiento a las solicitudes allegadas en tema de regularización de la Propiedad, avanzado en un 25 %.  "/>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9.0909090909090912E-2"/>
    <n v="1"/>
    <n v="0.25"/>
    <n v="0.25"/>
    <n v="0.25"/>
    <n v="0.25"/>
    <n v="0.17"/>
    <s v="Se realizo seguimiento a la atencion de las PQRSD,logrando el 68% durante el primer trimestre de 2021."/>
    <n v="0.17"/>
    <s v="Se realizo seguimiento a la atencion de las PQRSD en el segundo trimestre del año2021, en la territorial bolivar,logrando un 68% de gestion.."/>
    <n v="0.17"/>
    <s v="Se realizo seguimiento a la atencion de las PQRSD en el tercer trimestredel año 2021,de la territorial bolivar,logrando un 67% de gestion.cabe notar el cambio del sistema cobol al sistema nacional catastral durante este periodo."/>
    <m/>
    <m/>
    <n v="0.51"/>
    <d v="2021-04-13T00:00:00"/>
    <d v="2021-07-15T00:00:00"/>
    <d v="2021-10-08T00:00:00"/>
    <m/>
    <n v="0.51"/>
    <n v="0.68"/>
    <n v="0.68"/>
    <n v="0.68"/>
    <n v="0"/>
    <s v="Concepto Favorable"/>
    <s v="Concepto No Favorable"/>
    <s v="Concepto Favorable"/>
    <m/>
    <s v="En el informe presentado se indica que hubo 403 PQRS que no fueron respondidas dentro de los términos, lo que representa un 26% sobre la totalidad, lo que concuerda con el porcentaje reportado."/>
    <s v="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
    <s v="se revisa la evidencia PQRS cumple con producto esperado"/>
    <m/>
    <x v="0"/>
    <x v="2"/>
    <x v="1"/>
    <x v="0"/>
    <s v="Se verifica el seguimiento constatado con el informe de la territorial."/>
    <s v="Aunque se evidencia gestión en las PQRDS por parte de la Dirección Territorial, el % no respuesta no se cumple."/>
    <s v="Se observa que se ha realizado el seguimiento a la atención de las PQRSD para este trimestre del año evaluado.  Sin embargo, se evidencia que no se cumplió con la meta programada. "/>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9.0909090909090912E-2"/>
    <n v="1"/>
    <n v="0.25"/>
    <n v="0.25"/>
    <n v="0.25"/>
    <n v="0.25"/>
    <n v="0.25"/>
    <s v="Se realizo reporte de actas de comites durante el primer trimestre de 2021 en la territorial bolivar."/>
    <n v="0.25"/>
    <s v="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
    <n v="0.25"/>
    <s v="Se reportan actas de comties de copasst durante el periodo y se muestra convocatoria a funcionarios para el nuevo comite de convivencia en la territorial bolivar."/>
    <m/>
    <m/>
    <n v="0.75"/>
    <d v="2021-04-14T00:00:00"/>
    <d v="2021-07-14T00:00:00"/>
    <d v="2021-10-14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s v="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quot;reporte de condiciones de seguridad&quot;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
    <s v="se revisa evidencia cumple con producto esperado"/>
    <m/>
    <x v="0"/>
    <x v="0"/>
    <x v="0"/>
    <x v="0"/>
    <s v="Se evidencia reporte de Actas de Comités Copasst y Convivencia Laboral, durante el trimestre."/>
    <s v="Se evidencian actas de reunión del COPASST del periodo, sin embargo, es importante tener en cuenta las recomendaciones dadas por la OAP."/>
    <s v="Se presentan los documentos donde se encuentran las actas realizadas sobre Comité paritario de Seguridad y Salud en el Trabajo – Copasst correspondientes a los meses de julio, agosto y septiembre del presente año.  Así mismo, se observa documento de convocatoria a funcionarios para el nuevo comité de convivencia en la territorial.  "/>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9.0909090909090912E-2"/>
    <n v="1"/>
    <n v="0.25"/>
    <n v="0.25"/>
    <n v="0.25"/>
    <n v="0.25"/>
    <n v="0.25"/>
    <s v="Se realizaro los reportes de las actividades asiganadas durante el primer trimestre de 2021 en la territorial boliuvar."/>
    <n v="0.25"/>
    <s v="Se realizo seguimiento y reporte en el segundo trimestre de 2021, de responsabilidades asignadas  en el periodo en la territorial bolivar"/>
    <n v="0.25"/>
    <s v="Se reoprta seguimiento a las responsabilidades de rendicion de cuentas y acyividades durante el periodo en la territorial bolivar"/>
    <m/>
    <m/>
    <n v="0.75"/>
    <d v="2021-04-14T00:00:00"/>
    <d v="2021-07-15T00:00:00"/>
    <d v="2021-10-14T00:00:00"/>
    <m/>
    <n v="0.75"/>
    <n v="1"/>
    <n v="1"/>
    <n v="1"/>
    <n v="0"/>
    <s v="Concepto No Favorable"/>
    <s v="Concepto Favorable"/>
    <s v="Concepto Favorable"/>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s v="Se observa cumplimiento del control con las evidencias aportadas"/>
    <s v="se revisa evidencia cumple con lo esperado"/>
    <m/>
    <x v="2"/>
    <x v="0"/>
    <x v="0"/>
    <x v="0"/>
    <s v="Verificado lo aportado por la territorial, se evidencia que no se da cumplimiento a todas las responsabilidades establecidas en el Acta 06-01-2021."/>
    <s v="De acuerdo a lo soportado por la Dirección Territorial, se da cumplimiento en la Atención en los tiempos establecidos las responsabilidades y rendición de cuentas en el SG - SST."/>
    <s v="Para esta actividad la territorial soporta los documentos correspondientes al seguimiento a las responsabilidades de Rendición de Cuentas. "/>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9.0909090909090912E-2"/>
    <n v="341900533.71547437"/>
    <n v="67509697.011187047"/>
    <n v="87514850.867306024"/>
    <n v="89100500.438032269"/>
    <n v="97775485.398948997"/>
    <n v="45801069"/>
    <s v="Se realizo seguimiento a  las ventas de bienes y servicios durante el primer trimestre.les remito como es de su conocimiento no tenemos asignado  aun  metas de ingresos a la fecha. "/>
    <n v="36831112"/>
    <s v="Se realizo seguimiento a las ventas de bienes y servicios durante el segundo trimestre de 2021, en la territorial bolivar"/>
    <n v="52623975"/>
    <s v="Se realizo seguimiento a las ventas de bienes y servicios por valor de  $52623975 durante el periodo en la territorial bolivar"/>
    <m/>
    <m/>
    <n v="135256156"/>
    <d v="2021-04-13T00:00:00"/>
    <d v="2021-07-14T00:00:00"/>
    <d v="2021-10-14T00:00:00"/>
    <m/>
    <n v="0.39560089166915019"/>
    <n v="0.67843689170179944"/>
    <n v="0.42085556491257692"/>
    <n v="0.59061368613298626"/>
    <n v="0"/>
    <s v="Concepto Favorable"/>
    <s v="Concepto Favorable"/>
    <s v="Concepto Favorable"/>
    <m/>
    <s v="En las evidencias reportadas se observa el mismo valor reportado de ingresos durante el primer trimestre"/>
    <s v="En las evidencias reportadas se observa el mismo valor reportado de ingresos durante el segundo trimestre"/>
    <s v="se revisa evidencias formato de ingresos."/>
    <m/>
    <x v="0"/>
    <x v="0"/>
    <x v="1"/>
    <x v="0"/>
    <s v="Aunque para el periodo no se asigna meta, se evidencia reporte  de ingresos de  45801069, durante el primer trimestre"/>
    <s v="De acuerdo a los soportes entregados por la Dirección Territorial, se evidencia el valor reportado de la meta de ingresos por la venta de bienes y servicios durante el periodo."/>
    <s v="Se evidencian como soportes la relación de ingresos de la Dirección Territorial correspondiente al tercer trimestre del año.  Sin embargo, se observa que no se dio cumplimiento a la meta programada para el periodo evaluado.  "/>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lívar"/>
    <s v="Porcentaje"/>
    <s v="Recursos obtenidos por recuperación de cartera"/>
    <s v="Eficiencia"/>
    <n v="9.0909090909090912E-2"/>
    <n v="1"/>
    <n v="0.25"/>
    <n v="0.25"/>
    <n v="0.25"/>
    <n v="0.25"/>
    <n v="0"/>
    <s v="en el primer trimestre no se programo ingresos por recuperacion de cartera en la territorial bolivar 2021."/>
    <n v="0.25"/>
    <s v="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
    <n v="0.25"/>
    <s v="Se reporta resolucion de castigo cartera por parte de sede central y realizo seguimiento a todos los procesos de la territorai bolivar durante el periodo."/>
    <m/>
    <m/>
    <n v="0.5"/>
    <d v="2021-04-14T00:00:00"/>
    <d v="2021-07-14T00:00:00"/>
    <d v="2021-10-14T00:00:00"/>
    <m/>
    <n v="0.5"/>
    <n v="0"/>
    <n v="1"/>
    <n v="1"/>
    <n v="0"/>
    <s v="Concepto No Favorable"/>
    <s v="Concepto Favorable"/>
    <s v="Concepto Favorable"/>
    <m/>
    <s v="Para esta actividad aparece planteada una meta del 25%, es ncesario que la Dirección Territorial aclare si existe cartera para ser recuperada"/>
    <s v="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
    <s v="se revisa las evidencias cumlen con el producto esperado"/>
    <m/>
    <x v="2"/>
    <x v="0"/>
    <x v="0"/>
    <x v="0"/>
    <s v="Se asigna una meta para el periodo, sin embargo en el autoseguimiento se informa &quot;que no se programo ingresos por recuperacion de cartera en la territorial bolivar 2021&quot;."/>
    <s v="Se evidencia proceso de seguimiento a la recuperacion de cartera durante el periodo. "/>
    <s v="Para el cumplimiento de esta actividad la territorial soporta las conciliaciones bancarias correspondientes a los meses de julio, agosto y septiembre del año en curso.  "/>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8.3333333333333329E-2"/>
    <n v="258"/>
    <n v="0"/>
    <n v="0"/>
    <n v="0"/>
    <n v="258"/>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
    <n v="64"/>
    <s v="En el TERCER trimestre se da inicio a la etapa de Reconocimiento Predial, este proceso esta en cabeza de la Subdireccion de Catastro y Proyectos, quienes en el mes de septiembre comunican un avance de entrega por el operador del 25%, se adjunto pantallazo cita reunion virtual"/>
    <m/>
    <m/>
    <n v="64"/>
    <d v="2021-04-14T00:00:00"/>
    <d v="2021-07-15T00:00:00"/>
    <d v="2021-10-13T00:00:00"/>
    <m/>
    <n v="0.24806201550387597"/>
    <s v=""/>
    <s v=""/>
    <s v=""/>
    <n v="0"/>
    <s v="Sin meta asignada en el periodo"/>
    <s v="Sin meta asignada en el periodo"/>
    <s v="Concepto Favorable"/>
    <m/>
    <s v="No se puede evaluar con la información disponible."/>
    <s v="En actas de reunión de comités operativos se observa inicio de actividades para siguiente periodo."/>
    <s v="Se evidencia cumplimiento"/>
    <m/>
    <x v="1"/>
    <x v="1"/>
    <x v="0"/>
    <x v="0"/>
    <s v="Sin meta signada para el periodo."/>
    <s v="Sin meta asignada para el periodo"/>
    <s v="De acuerdo a los soportes, reunión por team, se evidencia el avance reportado"/>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8.3333333333333329E-2"/>
    <n v="129197"/>
    <n v="0"/>
    <n v="0"/>
    <n v="0"/>
    <n v="129197"/>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
    <n v="32000"/>
    <s v="En el TERCER trimestre se da inicio a la etapa de Reconocimiento Predial RURAL, este proceso esta en cabeza de la Subdireccion de Catastro y Proyectos, quienes en el mes de septiembre comunican un avance de entrega por el operador del 25%, se adjunto pantallazo cita reunion virtual"/>
    <m/>
    <m/>
    <n v="32000"/>
    <d v="2021-04-14T00:00:00"/>
    <d v="2021-07-15T00:00:00"/>
    <d v="2021-10-13T00:00:00"/>
    <m/>
    <n v="0.24768376974697556"/>
    <s v=""/>
    <s v=""/>
    <s v=""/>
    <n v="0"/>
    <s v="Sin meta asignada en el periodo"/>
    <s v="Sin meta asignada en el periodo"/>
    <s v="Concepto Favorable"/>
    <m/>
    <s v="No se puede evaluar con la información disponible."/>
    <s v="En actas de reunión de comités operativos se observa inicio de actividades para el siguiente periodo."/>
    <s v="La evidencia es concordante con la actividad"/>
    <m/>
    <x v="1"/>
    <x v="1"/>
    <x v="0"/>
    <x v="0"/>
    <s v="Sin meta asignada para el periodo."/>
    <s v="Sin meta asignada para el periodo"/>
    <s v="De acuerdo a los soportes, reunión por team, se evidencia el avance reportado"/>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8.3333333333333329E-2"/>
    <n v="17725"/>
    <n v="0"/>
    <n v="0"/>
    <n v="0"/>
    <n v="17725"/>
    <n v="1873"/>
    <s v="De la vigencia anterior se ejecuto 220, de la presnete 1653 tramites, se anulo 288"/>
    <n v="4332"/>
    <s v="Durante el segundo trimestre se ejecutaron 4332 trámites de Oficina, como se evidencia en reporte del  sistema Cobol, el cual se adjunta demostrando el cumplimiento de la actividad."/>
    <n v="4309"/>
    <s v="Con el informe del sistema Cobol se evidencian 4309 trámites de oficina durante el TERCER trimestre"/>
    <m/>
    <m/>
    <n v="10514"/>
    <d v="2021-04-14T00:00:00"/>
    <d v="2021-07-15T00:00:00"/>
    <d v="2021-10-13T00:00:00"/>
    <m/>
    <n v="0.59317348377997181"/>
    <s v=""/>
    <s v=""/>
    <s v=""/>
    <n v="0"/>
    <s v="Concepto Favorable"/>
    <s v="Concepto Favorable"/>
    <s v="Concepto Favorable"/>
    <m/>
    <s v="Se evidencia en reporte avance  a marzo donde se puede observarun informe de tramitadas por unidad ooperativa Tunja, Sogamoso, Chiquinquira de enero, febrero y marzo."/>
    <s v="En informe tramitado de abril a junio se evidencia registro de 4332 tráomites de oficina."/>
    <s v="Se da cumplimiento con la evidencia "/>
    <m/>
    <x v="0"/>
    <x v="0"/>
    <x v="0"/>
    <x v="0"/>
    <s v="Aunque para el periodo no se asigna meta, se evidencia reporte ejecutado de 1873 tramites de las Unidades Operativas de Tunja, Sogamoso y Chiquinquirá."/>
    <s v="Aunque la Dirección Territorial no asigna meta par el periodo, se evidencia en cuadro de trámites la ejecución de 4332 trámites de oficina."/>
    <s v="De acuerdo a los soportes, informe de tramitadas por unidad operativa desde 20210701 hasta 20210930, se evidencia la realización de 4309 tramites."/>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8.3333333333333329E-2"/>
    <n v="16539"/>
    <n v="0"/>
    <n v="0"/>
    <n v="0"/>
    <n v="16539"/>
    <n v="830"/>
    <s v="De la vigencia anterior se efectuo 592 y de la presente 238 tramites, se anulo luego de estudio y algunos cosos despues de la visita 434"/>
    <n v="1661"/>
    <s v="Durante el segundo trimestre se ejecutaron 1661 trámites de Terreno, como se evidencia en reporte del  sistema Cobol, el cual se adjunta demostrando el cumplimiento de la actividad."/>
    <n v="1339"/>
    <s v="Con el informe del sistema Cobol se evidencian 1339 trámites de terreno durante el TERCER trimestre. Se presenta falta de personal a contrato, el rediseño institucional afecto negativamente "/>
    <m/>
    <m/>
    <n v="3830"/>
    <d v="2021-04-14T00:00:00"/>
    <d v="2021-07-15T00:00:00"/>
    <d v="2021-10-13T00:00:00"/>
    <m/>
    <n v="0.23157385573492956"/>
    <s v=""/>
    <s v=""/>
    <s v=""/>
    <n v="0"/>
    <s v="Concepto Favorable"/>
    <s v="Concepto Favorable"/>
    <s v="Concepto Favorable"/>
    <m/>
    <s v="Se evidencia en informe “avance conservación a marzo” donde se puede observar descripción de tramitadas, por unidad operativa en Tunja, Sogamoso, Chiquinquira "/>
    <s v="En informe tramitado de abril a junio se evidencia registro de 1661 trámites en terreno."/>
    <s v="Se cumple con la evidencia propuesta"/>
    <m/>
    <x v="0"/>
    <x v="0"/>
    <x v="0"/>
    <x v="0"/>
    <s v="Aunque no se asigna meta para el periodo la territorial presenta un avance de 830 trámites de la Unidades Operativas  de Tunja, Sogamoso, Chiquinquira."/>
    <s v="No se asigna meta para el periodo, no obstante, en lo soportado por la Dirección Territorial se evidencia el registro de 1661 trámites en terreno."/>
    <s v="De acuerdo a los soportes, informe de tramitadas por unidad operativa desde 20210701 hasta 20210930, se evidencia la realización de 1339 tramites."/>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8.3333333333333329E-2"/>
    <n v="20"/>
    <n v="0"/>
    <n v="0"/>
    <n v="0"/>
    <n v="20"/>
    <n v="0"/>
    <s v="A la fecha no se han elaborado avaluos, se efectuo cotizacion para 13 avaluos municipio de sachica y duitama, se envio oferta de servicio a los 123 municipios del departamento, se cotizo y dio respuesta a solicitudes de los juzgados"/>
    <n v="0"/>
    <s v="Se realizaron 33 cotizaciones para juzgados, particulares y municipio de Tunja. Durante el segundo trimestre no se firmaron avalúos comerciales con otras entidades. Se adjunta como evidencia relación de la gestión con las cotizaciones realizadas."/>
    <n v="4"/>
    <s v="Se finalizaron 4 avalúos. Se tiene en proceso 8. Como evidencia se adjunta relación de los avalúos del Tercer Trimestre."/>
    <m/>
    <m/>
    <n v="4"/>
    <d v="2021-04-14T00:00:00"/>
    <d v="2021-07-15T00:00:00"/>
    <d v="2021-10-13T00:00:00"/>
    <m/>
    <n v="0.2"/>
    <s v=""/>
    <s v=""/>
    <s v=""/>
    <n v="0"/>
    <s v="Sin meta asignada en el periodo"/>
    <s v="Sin meta asignada en el periodo"/>
    <s v="Concepto Favorable"/>
    <m/>
    <s v="Se evidencia el registro de solicitudes de cotizaciones en el formato solicitud de cotizacion de avaluos FO-GCT-PC09-11, pero no avaluos comerciales realizados."/>
    <s v="Se verifica registro de información de predios rurales y urbanos en formato de solicitud de avalúos."/>
    <s v="Se cumple con la evidencia a la actividad propuesta"/>
    <m/>
    <x v="1"/>
    <x v="1"/>
    <x v="0"/>
    <x v="0"/>
    <s v="Sin meta asignada para el periodo."/>
    <s v="Sin meta asignada para el periodo."/>
    <s v="De acuerdo a los soportes, relación avalúos comerciales tercer trimestre 2021, se evidencia el avance reportado."/>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8.3333333333333329E-2"/>
    <n v="1"/>
    <n v="0.25"/>
    <n v="0.25"/>
    <n v="0.25"/>
    <n v="0.25"/>
    <n v="0.25"/>
    <s v="Durante el trimestre se atendio las certificaciones y solicitudes de los usuarios y entes como juzgados que fueron solicitadas "/>
    <n v="0.25"/>
    <s v="Se atendieron todas las solicitudes de certificados especiales para regularización de la propiedad según ley 1561. Como evidencia se adjunta relación de certificados hechos."/>
    <n v="0.25"/>
    <s v="Durante el TERCER trimestre se atendieron todas las solicitudes en materia de regularización de la propiedad. Se evidencia mediante informe generado en SIGAC"/>
    <m/>
    <m/>
    <n v="0.75"/>
    <d v="2021-04-14T00:00:00"/>
    <d v="2021-07-15T00:00:00"/>
    <d v="2021-10-13T00:00:00"/>
    <m/>
    <n v="0.75"/>
    <n v="1"/>
    <n v="1"/>
    <n v="1"/>
    <n v="0"/>
    <s v="Concepto Favorable"/>
    <s v="Concepto Favorable"/>
    <s v="Concepto Favorable"/>
    <m/>
    <s v="Se evidencia  registro una relacion de tramites de prodctos en area de sistemas de los meses enero, febrero y marzo"/>
    <s v="En formato de trazabilidad de certificados planos catastrales se aprecian registros de los meses de abril a junio. "/>
    <s v="La evidencia es concordante con la actividad propuesta"/>
    <m/>
    <x v="0"/>
    <x v="0"/>
    <x v="0"/>
    <x v="0"/>
    <s v="Se valida que durante el trimestre se dió atención a las certificaciones y solicitudes realizadas. "/>
    <s v="Se constata soporte de evidencias de certificados planos catastrales registros de abril a junio. "/>
    <s v="De acuerdo a los soportes, relación mensual, se evidencia el avance reportado."/>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8.3333333333333329E-2"/>
    <n v="1"/>
    <n v="0.25"/>
    <n v="0.25"/>
    <n v="0.25"/>
    <n v="0.25"/>
    <n v="0.25"/>
    <s v="Se atendio lo solicitado por los jueces de tierras con forme norma y herramienta monitoreo"/>
    <n v="0.25"/>
    <s v="Se atendio las diferentes solicitudes de los jueces de tierras, se elabora acta comite y diligencia herramienta de monitoreo se adjunta."/>
    <n v="0.25"/>
    <s v="Durante el TERCER trimestre se atendieron todas las solicitudes de los jueces. Como evidencia se adjunta el formato de Herramienta de Monitoreo con los casos que se han solicitado o concepto de Politica de restitución de Tierras y Ley de Victimas."/>
    <m/>
    <m/>
    <n v="0.75"/>
    <d v="2021-04-14T00:00:00"/>
    <d v="2021-07-15T00:00:00"/>
    <d v="2021-10-14T00:00:00"/>
    <m/>
    <n v="0.75"/>
    <n v="1"/>
    <n v="1"/>
    <n v="1"/>
    <n v="0"/>
    <s v="Concepto Favorable"/>
    <s v="Concepto Favorable"/>
    <s v="Concepto Favorable"/>
    <m/>
    <s v="En herramienta de monitoreo donde se describe  tramites administrativos  y portafolio tambien se identifican los tramits Judiciales"/>
    <s v="En herramienta de monitoreo y acta de comité se relacionan las solicitudes de trámites judiciales."/>
    <s v="La evidencia es concordante con la actividad propuesta"/>
    <m/>
    <x v="0"/>
    <x v="0"/>
    <x v="0"/>
    <x v="0"/>
    <s v="Se evidencia herramienta de monitoreo de tramites administrativos, portafolio, así como los judiciales."/>
    <s v="Se evidencia la atención de las diferentes solicitudes de los jueces de tierras, acta comite y diligencia herramienta de monitoreo."/>
    <s v="De acuerdo a los soportes, Tierras herramienta de monitoreo Boyacá 2021, se evidencia el avance reportado."/>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8.3333333333333329E-2"/>
    <n v="1"/>
    <n v="0.25"/>
    <n v="0.25"/>
    <n v="0.25"/>
    <n v="0.25"/>
    <n v="0.25"/>
    <s v="Se propendio por atender oportunamente, los funcioanrios estuvieron en conocimiento del nuevo sistema de correspondencia SIGAC, recibido 2478, tramitado 550, pendiente 1685"/>
    <n v="0.17"/>
    <s v="Segun reporte SIGAC correspondencia externa recibida fue de 1267 solicitudes, segun reporte control interno no se respondio 588, se respondio un 65%. Determinando que la territorial requiere de una acción correctiva para disminuir el rezago en las respuestas oportunas."/>
    <n v="0.17"/>
    <s v="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
    <m/>
    <m/>
    <n v="0.59000000000000008"/>
    <d v="2021-04-14T00:00:00"/>
    <d v="2021-07-15T00:00:00"/>
    <d v="2021-10-13T00:00:00"/>
    <m/>
    <n v="0.59000000000000008"/>
    <n v="1"/>
    <n v="0.68"/>
    <n v="0.68"/>
    <n v="0"/>
    <s v="Concepto No Favorable"/>
    <s v="Concepto Favorable"/>
    <s v="Concepto Favorable"/>
    <m/>
    <s v="Se evidencia en reporte consolidado nacional de PQRDS un resago de 1685 por atender, el valor ejecutado no corresponde a la evidencia"/>
    <s v="En relación de archivo SIGAC se aprecian las 1267 solicitudes radicadas, con 35% que faltan por dar resuesta."/>
    <s v="Las evidencias cumplen con la actividad porpuesta"/>
    <m/>
    <x v="2"/>
    <x v="0"/>
    <x v="1"/>
    <x v="0"/>
    <s v="De acuerdo al consolidado de lo recibido, tramitado y pendiente, no se da cumplimiento a la actividad."/>
    <s v="Se constata el recibo de 1267 solicitudes radicadas, de las cuales se dión respuesta a un 65% de ellas, quedando un rezago del 35%. "/>
    <s v="De acuerdo a los soportes, reporte SIGAC tercer trimestre, se evidencia el avance reportado, pero esta por debajo de lo programado."/>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8.3333333333333329E-2"/>
    <n v="1"/>
    <n v="0.25"/>
    <n v="0.25"/>
    <n v="0.25"/>
    <n v="0.25"/>
    <n v="0.25"/>
    <s v="Se efectuo las actas mensuales de copasst y la de comite convivencia"/>
    <n v="0.25"/>
    <s v="Se cumplio con las reuniones y actas correspondientes a copass y comite de convivencia. Se adjunta copia de las respectivas actas."/>
    <n v="0.25"/>
    <s v="Se cumplió con las reuniones y actas correspondientes a copass y comite de convivencia. Se adjunta copia de las respectivas actas."/>
    <m/>
    <m/>
    <n v="0.75"/>
    <d v="2021-04-14T00:00:00"/>
    <d v="2021-07-14T00:00:00"/>
    <d v="2021-10-13T00:00:00"/>
    <m/>
    <n v="0.75"/>
    <n v="1"/>
    <n v="1"/>
    <n v="1"/>
    <n v="0"/>
    <s v="Concepto Favorable"/>
    <s v="Concepto Favorable"/>
    <s v="Concepto Favorable"/>
    <m/>
    <s v="Se evidencia el cumplimiento de la actividas con la actas de los comites COPASST de enero, febrero y marzo y el acta  del comite de convivencia del 23 de marzo."/>
    <s v="Se verifica cumplimiento de actividades referntes al Talento Humano con las actas de Copasst y Comisión de Personal de los meses de abril, mayo y junio así como el acta del comité de convivencia laboral del mes de junio."/>
    <s v="Las evidencias cumplen"/>
    <m/>
    <x v="0"/>
    <x v="0"/>
    <x v="0"/>
    <x v="0"/>
    <s v="Se evidencia el cumplimiento con lo observado en las actas de los comites COPASST de enero, febrero y marzo y el acta  del comite de convivencia de marzo de 2021."/>
    <s v="Se evidencia el cumplimiento de actividades con las actas de Copasst y Comisión de Personal durante el periodo (abril-junio), y acta comité de convivencia laboral en junio."/>
    <s v="De acuerdo a los soportes, actas comités de convivencia y copasst, se evidencia el avance reportado."/>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8.3333333333333329E-2"/>
    <n v="1"/>
    <n v="0.25"/>
    <n v="0.25"/>
    <n v="0.25"/>
    <n v="0.25"/>
    <n v="0.25"/>
    <s v="No se socializo el acta del 06-01-2021 "/>
    <n v="0.25"/>
    <s v="Se socializo el acta para dar cumplimiento.Se creo link de comite de convicencia laboral, comision de personal,se envía el  reporte de ausentismo diseñado por TH Se lleva reporte sintomatologia covid."/>
    <n v="0.25"/>
    <s v="Las responsabilidades ante el SG - SST se vienen atendiendo mediante el registro de la sintomatología del Covid-19 y el envío de las pruebas que se han hecho los funcionarios con posibles casos positivos, entre otros."/>
    <m/>
    <m/>
    <n v="0.75"/>
    <d v="2021-04-14T00:00:00"/>
    <d v="2021-07-15T00:00:00"/>
    <d v="2021-10-13T00:00:00"/>
    <m/>
    <n v="0.75"/>
    <n v="1"/>
    <n v="1"/>
    <n v="1"/>
    <n v="0"/>
    <s v="Concepto No Favorable"/>
    <s v="Concepto Favorable"/>
    <s v="Concepto Favorable"/>
    <m/>
    <s v="No se cumplio las actividades establecidas en acta del 06-01-2021, por desconocimiento"/>
    <s v="Se cumprueba cumplimiento con el diligenciamiento del reporte de asusentismo del periodo, el correo electrónico de participación de plataforma de registro de sintomatología Covid y comunicación de link carpeta compartida."/>
    <s v="Las evidencias son concordantes con la actividad propuesta"/>
    <m/>
    <x v="2"/>
    <x v="0"/>
    <x v="0"/>
    <x v="0"/>
    <s v="No se evidencia soporte de la actividad; igualmente en el autoseguimiento se manifiesta la no realización de socialización del acta del 06-01-2021."/>
    <s v="Se evidencia reporte de asusentismo, correo electrónico de participación plataforma de registro de sintomatología Covid y comunicación de link carpeta compartida."/>
    <s v="De acuerdo a los soportes, registro sintomatología y pruebas covid, se evidencia el avance reportado."/>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8.3333333333333329E-2"/>
    <n v="609744234.60280323"/>
    <n v="120396561.20165437"/>
    <n v="156073683.70729411"/>
    <n v="158901525.69204906"/>
    <n v="174372464.00180572"/>
    <n v="72061730"/>
    <s v="A la fecha no se ha asignado meta, el recaudo fue de 72.061.73 millones "/>
    <n v="94970665"/>
    <s v="De la meta asignada se cumplió en un 61%, esto debido a que no se cuenta con comercializador de apoyo, se han disminuido las ventas por los Datos Abiertos. Igualmente nunca se había asignado una meta tan alta. Como evidencia se adjuntan los informes de ventas."/>
    <n v="128393722"/>
    <s v="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
    <m/>
    <m/>
    <n v="295426117"/>
    <d v="2021-04-14T00:00:00"/>
    <d v="2021-07-15T00:00:00"/>
    <d v="2021-10-13T00:00:00"/>
    <m/>
    <n v="0.48450825810996823"/>
    <n v="0.59853644722711397"/>
    <n v="0.60849890093009662"/>
    <n v="0.80800811345780821"/>
    <n v="0"/>
    <s v="Concepto Favorable"/>
    <s v="Concepto Favorable"/>
    <s v="Concepto Favorable"/>
    <m/>
    <s v="Se recaudo 72.061.73 millones, se evidencia en tres archivos."/>
    <s v="En evidencia se indica ingresos por $94.970.665, valor que pese a su incremento con respecto al periodo anterior y análisis respectivo, no cumple asignada."/>
    <s v="Las evidencias son concordantes con la actividad propuesta"/>
    <m/>
    <x v="0"/>
    <x v="0"/>
    <x v="1"/>
    <x v="0"/>
    <s v="Aunque para el periodo no se asigna meta, se evidencia según lo aportado por la territorial un recaudo de 72.061.730 millones."/>
    <s v="Se constatan ingresos por $94.970.665, con cumplimiento del 615 de la meta asignada."/>
    <s v="Aunquea los soportes, ingresos mensuales, se evidencian el avance reportado, este se encuentra por debajo de lo programado."/>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8.3333333333333329E-2"/>
    <n v="1"/>
    <n v="0.25"/>
    <n v="0.25"/>
    <n v="0.25"/>
    <n v="0.25"/>
    <n v="0.25"/>
    <s v="Cartera pendiente por 54.870.410,  se recaudo 4.870.410"/>
    <n v="0.25"/>
    <s v="Debido a la gestion hecha en el segundo trimestre con el municipio de Sogamoso para el cobro de $ 50 millones, se logró el recaudo el 2 de julio. Se adjunta informe."/>
    <n v="0.25"/>
    <s v="Se recuperó la cartera correspondiente al municipio de Sogamoso por 50 millones el cual se refleja en los ingresos reportados por pagaduria en julio, no se tiene mas cartera para recuperar"/>
    <m/>
    <m/>
    <n v="0.75"/>
    <d v="2021-04-14T00:00:00"/>
    <d v="2021-07-15T00:00:00"/>
    <d v="2021-10-13T00:00:00"/>
    <m/>
    <n v="0.75"/>
    <n v="1"/>
    <n v="1"/>
    <n v="1"/>
    <n v="0"/>
    <s v="Concepto Favorable"/>
    <s v="Concepto Favorable"/>
    <s v="Concepto Favorable"/>
    <m/>
    <s v="Se comprueba en evidencia ingreso mes de marzo 2021 Boyacá, el recaudó de Cartera $ 4.870.410 "/>
    <s v="En orden de pago y transferencia se aprecia el recaudo de 50 millones."/>
    <s v="Cumple con la evidencia "/>
    <m/>
    <x v="0"/>
    <x v="0"/>
    <x v="0"/>
    <x v="0"/>
    <s v="Se evidencia recaudo de cartera por valor $4.870.410."/>
    <s v="De acuerdo a informe presentado, se evidencia la gestión con el municipio de Sogamoso y recaudo de $50 millones de pesos. "/>
    <s v="De acuerdo a los soportes, recuperación cartera Sogamoso, se evidencia el avance reportado."/>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1"/>
    <n v="7978"/>
    <n v="0"/>
    <n v="0"/>
    <n v="0"/>
    <n v="7978"/>
    <n v="4683"/>
    <s v="La dirección territorial Caldas a realializado 4683 tramites de oficina estableciendo un 58.69% de la meta anual. tal como se evidencia en los reportes anexos "/>
    <n v="2286"/>
    <s v="A conrte del segundo trimestre la territorial Caldas a cumplido con el 87.3% de la meta de oficina "/>
    <n v="4307"/>
    <s v="Se cumplio y sobrepaso la meta establecida para mutaciones de oficina por lo que la meta se encuentra en 141%"/>
    <m/>
    <m/>
    <n v="11276"/>
    <d v="2021-04-13T00:00:00"/>
    <d v="2021-07-14T00:00:00"/>
    <d v="2021-10-11T00:00:00"/>
    <m/>
    <n v="1"/>
    <s v=""/>
    <s v=""/>
    <s v=""/>
    <n v="0"/>
    <s v="Concepto Favorable"/>
    <s v="Concepto Favorable"/>
    <s v="Concepto Favorable"/>
    <m/>
    <s v="Se cuenta con las evidencias "/>
    <s v="La actividad cuenta con evidencias"/>
    <s v="se revisa evidencias cumple con el producto esperado"/>
    <m/>
    <x v="0"/>
    <x v="0"/>
    <x v="0"/>
    <x v="0"/>
    <s v="No se asigna meta para el periodo, pero se verifica la realización de  4683 tramites de oficina , según observado en los anexos "/>
    <s v="Sin meta asignada para este periodo, sin embargo se evidencia cronograma y seguimiento de tramites catastrales de la direccion. "/>
    <s v="De acuerdo a los soportes, reporte mensual, se evidencia el avance reportado."/>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1"/>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n v="500"/>
    <s v="Durante el  tercer trimestre quedaron en firme quinientas mutaciones de terreno como se logra evidenciar en los respectivos reportes "/>
    <n v="2580"/>
    <s v="Se realiza un gran esfuerzo para ejecutar y sacar de los diferentes roles las mutaciones de terreno sinb embargo se evidencia  en el sistema que suspendien   mutaciones por los cambios y roles del sistema con el proceso de restructuración. "/>
    <m/>
    <m/>
    <n v="4130"/>
    <d v="2021-04-14T00:00:00"/>
    <d v="2021-07-12T00:00:00"/>
    <d v="2021-10-11T00:00:00"/>
    <m/>
    <n v="0.25999370475291156"/>
    <s v=""/>
    <s v=""/>
    <s v=""/>
    <n v="0"/>
    <s v="Concepto Favorable"/>
    <s v="Concepto Favorable"/>
    <s v="Concepto Favorable"/>
    <m/>
    <s v="La actividad cuenta con las evidencias"/>
    <s v="La actividad cuenta con evidencias"/>
    <s v="se revisa evidencias cumple con el producto esperado"/>
    <m/>
    <x v="0"/>
    <x v="1"/>
    <x v="0"/>
    <x v="0"/>
    <s v="No se asigna meta, pero se evidencia un avance de 1050 trámites de en el periodo."/>
    <s v="Sin meta asignada para este periodo, sin embargo se evidencia cronograma y seguimiento de tramites catastrales de la direccion. "/>
    <s v="De acuerdo a los soportes, reporte mensual, se evidencia el avance reportado."/>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1"/>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n v="3"/>
    <s v="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
    <n v="15"/>
    <s v="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
    <m/>
    <m/>
    <n v="18"/>
    <d v="2021-04-13T00:00:00"/>
    <d v="2021-07-14T00:00:00"/>
    <d v="2021-10-11T00:00:00"/>
    <m/>
    <n v="0.45"/>
    <s v=""/>
    <s v=""/>
    <s v=""/>
    <n v="0"/>
    <s v="Concepto No Favorable"/>
    <s v="Concepto Favorable"/>
    <s v="Concepto Favorable"/>
    <m/>
    <s v="La actividad no cuenta con las evidencias "/>
    <s v="La actividad cuenta con evidencias"/>
    <s v="se revisa evidencias cumple con el producto esperado"/>
    <m/>
    <x v="1"/>
    <x v="1"/>
    <x v="0"/>
    <x v="0"/>
    <s v="Sin asignación de meta para el periodo."/>
    <s v="Sin meta asignada para este periodo, sin embargo se  realizó la contratación de perito, y se practicaron avaluos que se encuentran en proceso."/>
    <s v="De acuerdo a los soportes, memorandos y consolidado Avalúos territorial Caldas, se evidencia el avance reportado."/>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1"/>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n v="0.25"/>
    <s v="La Territorial Caldas atiende un alto flujo de procesos conforme a la Ley 1561 y Ley 1564 de 2012 relaizando estos procesos de manera oportuna "/>
    <n v="0.25"/>
    <s v="La Territorial Caldas atiende un alto flujo de procesos conforme a la Ley 1561 y Ley 1564 de 2012 relaizando estos procesos de manera oportuna expidiendo la información necesaria para este tipo de procesos "/>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consolidado de los oficios de respuesta a las solicitudes presentadas en el periodo y consolidado de los certificados expedidos. "/>
    <s v="Se evidencia que la Territorial Caldas atiende las solicitudes realizadas en materia de regulacion de propiedad , se valida el seguimiento."/>
    <s v="De acuerdo a los soportes, reporte ley 1561 Caldas 30-09-2021 y procesos de pertenencia tercer trimestre 30-09-2021, se evidencia el avance reportado."/>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1"/>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n v="0.24"/>
    <s v="En la territorial Caldas se presenta un alto flujo d esolicitudes de proceso de restitución de tierras que implica tramites en etapa administrativa judicial y posfallo.  Los Jueces de estos procesos todos los días demandan una mayor actividad del IGAC. "/>
    <n v="0.24"/>
    <s v="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
    <m/>
    <m/>
    <n v="0.72"/>
    <d v="2021-04-14T00:00:00"/>
    <d v="2021-07-12T00:00:00"/>
    <d v="2021-10-11T00:00:00"/>
    <m/>
    <n v="0.72"/>
    <n v="0.96"/>
    <n v="0.96"/>
    <n v="0.96"/>
    <n v="0"/>
    <s v="Concepto Favorable"/>
    <s v="Concepto Favorable"/>
    <s v="Concepto Favorable"/>
    <m/>
    <s v="La actividad cuenta con las evidencias "/>
    <s v="La actividad cuenta con evidencias"/>
    <s v="se revisa evidencias cumple con el producto esperado"/>
    <m/>
    <x v="0"/>
    <x v="0"/>
    <x v="1"/>
    <x v="0"/>
    <s v="Se verifica la atención de los requerimientos realizados dentro de los procesos de restitución de tierras y ley de Victimas de manera oportuna."/>
    <s v="Se evidencia la atencion de solicitudes recibidas para el cumplimiento de la Política de Restitución de Tierras y Ley de Víctimas, se valida el seguimiento "/>
    <s v="De acuerdo a los soportes, herramienta de monitoreo 2021 Caldas mensual, se evidencia el avance reportado, pero no cumple con lo programado."/>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1"/>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n v="0.22"/>
    <s v="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
    <n v="0.24"/>
    <s v="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
    <m/>
    <m/>
    <n v="0.66999999999999993"/>
    <d v="2021-04-14T00:00:00"/>
    <d v="2021-07-14T00:00:00"/>
    <d v="2021-10-11T00:00:00"/>
    <m/>
    <n v="0.66999999999999993"/>
    <n v="0.84"/>
    <n v="0.88"/>
    <n v="0.96"/>
    <n v="0"/>
    <s v="Concepto Favorable"/>
    <s v="Concepto Favorable"/>
    <s v="Concepto Favorable"/>
    <m/>
    <s v="La actividad cuenta con las evidencias "/>
    <s v="La actividad cuenta con las evidencias "/>
    <s v="se revisa evidencias cumple con el producto esperado"/>
    <m/>
    <x v="0"/>
    <x v="0"/>
    <x v="1"/>
    <x v="0"/>
    <s v="Aunque lo ejecutado no alcanza la meta programada se avala la actividad, teniendo en cuenta el avance en el cumplimiento y los soportes que anexa la territorial."/>
    <s v="Se evidencia la atencion de solicitudes de PQRs , se valida el seguimiento "/>
    <s v="De acuerdo a los soportes, reporte mensual, se evidencia el avance reportado, no cumple con lo programado."/>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1"/>
    <n v="1"/>
    <n v="0.25"/>
    <n v="0.25"/>
    <n v="0.25"/>
    <n v="0.25"/>
    <n v="0.25"/>
    <s v="Se dió cumplimeinto a la realización de los comites de convivencia laboral,  Copasst, de manera mensual tal como lo establece la norma"/>
    <n v="0.25"/>
    <s v="Se da cumplimiento al 100% de las actividades relacionadas con COPASST,CONVIVENCIA LABORAL Y PERSONAL"/>
    <n v="0.25"/>
    <s v="Se carga en el drive la información y actas de copsst y y comite de convivencia se anexa evidencia de los documentos"/>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el cumplimiento en la actividad con la realización de los comites de convivencia laboral,  Copasst, en el trimestre."/>
    <s v="Se evidencia el cumplimiento en la actividad con la realización de los comites de convivencia laboral,  Copasst, en el trimestre."/>
    <s v="De acuerdo a los soportes, acta copasst y comité de convivencia, se evidencia el avance reportado."/>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1"/>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n v="0.25"/>
    <s v="Se han gestionado las actividades SGSST cerificación botiquines, conformación brigada, informes ausentismo, analisis de condiciones de funcionarios, reuniones de comites, condiciones e instalaciones fisiscas de la territorial"/>
    <n v="0.25"/>
    <s v="Se han gestionado las actividades SGSST cerificación botiquines, conformación brigada, informes ausentismo, analisis de condiciones de funcionarios, reuniones de comites, condiciones e instalaciones fisiscas de la territorial"/>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De acuerdo a los soportes y lo evidenciado se da cumplimiento a la actividad, durante el trimestre."/>
    <s v="De acuerdo a los soportes y lo evidenciado se da cumplimiento a la actividad, durante el trimestre"/>
    <s v="De acuerdo a los soportes, reportes, actas, se evidencia el avance reportado."/>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1"/>
    <n v="187394188.88479376"/>
    <n v="37001770.005417816"/>
    <n v="47966507.4383891"/>
    <n v="48835595.040952027"/>
    <n v="53590316.400034815"/>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n v="35375340"/>
    <s v="SE realizaron ventan por el valor aqui establecido, sin embargo se suscribió contrato de ingresos para proceso catastral con el municipio d eVillamaría por valor de 209.239.479"/>
    <n v="36764709"/>
    <s v="Se reporta valor por ventas e ingresos del centro de información pendientes de ingresar recursos por concepto de contratos de ingreso con el municipio de Villamaría y Supía Caldas"/>
    <m/>
    <m/>
    <n v="104660692"/>
    <d v="2021-04-13T00:00:00"/>
    <d v="2021-07-12T00:00:00"/>
    <d v="2021-10-11T00:00:00"/>
    <m/>
    <n v="0.55850553649955137"/>
    <n v="0.87889425276786248"/>
    <n v="0.73750084984690811"/>
    <n v="0.75282606814087649"/>
    <n v="0"/>
    <s v="Concepto Favorable"/>
    <s v="Concepto Favorable"/>
    <s v="Concepto Favorable"/>
    <m/>
    <s v="La actividad cuenta con las evidencias "/>
    <s v="La actividad cuenta con evidencias"/>
    <s v="se revisa evidencias cumple con el producto esperado"/>
    <m/>
    <x v="0"/>
    <x v="0"/>
    <x v="1"/>
    <x v="0"/>
    <s v="De acuerdo a lo reportado por la territorial se obsreva se han obtención de  ingresos en la territorial Caldas por  un valor de $32.520.643."/>
    <s v="De acuerdo a lo reportado por la territorial se obsreva quese  suscribió contrato de ingresos para proceso catastral con el municipio de Villamaría por valor de 209.239.479"/>
    <s v="Aunque con los soportes, relación ingresos de contado mensual, se evidencia el avance reportado, se encuentra por debajo de lo programado."/>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ldas"/>
    <s v="Porcentaje"/>
    <s v="Recursos obtenidos por recuperación de cartera"/>
    <s v="Eficiencia"/>
    <n v="0.1"/>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n v="0.24"/>
    <s v="Se realiza el recaudo de cartera del 96.8% de una cartera total de 27.038.305 pesos se recuperaron 26.172.462 pesos "/>
    <n v="0.72"/>
    <s v="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
    <m/>
    <m/>
    <n v="0.96"/>
    <d v="2021-04-13T00:00:00"/>
    <d v="2021-07-12T00:00:00"/>
    <d v="2021-10-08T00:00:00"/>
    <m/>
    <n v="0.96"/>
    <n v="0"/>
    <n v="0.96"/>
    <n v="1"/>
    <n v="0"/>
    <s v="Concepto No Favorable"/>
    <s v="Concepto Favorable"/>
    <s v="Concepto Favorable"/>
    <m/>
    <s v="La actividad no cuenta con las evidencias "/>
    <s v="La actividad cuenta con evidencias"/>
    <s v="se revisa evidencias cumple con el producto esperado"/>
    <m/>
    <x v="2"/>
    <x v="0"/>
    <x v="0"/>
    <x v="0"/>
    <s v="Se evidencian los soportes para la recuperación de cartera, sin embargo no se da cumplimiento a la meta establecida."/>
    <s v="Se evidencian los soportes para la recuperación de cartera,se valida la evidencia aportada "/>
    <s v="De acuerdo a los soportes, informe de cartera por edades mensual, se evidencia el avance reportado."/>
    <m/>
  </r>
  <r>
    <n v="1"/>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1111111111111111"/>
    <n v="3256"/>
    <n v="0"/>
    <n v="0"/>
    <n v="0"/>
    <n v="3256"/>
    <n v="1165"/>
    <s v="En el primer trimestre de 2021 la territorial Caquetá realizó 1165 trámites de oficina, como lo evidencia el pantallazo del aplicativo de REPORTES SNC que se encuentra en el DRIVE "/>
    <n v="689"/>
    <s v="En el segundo  trimestre de 2021 la territorial Caquetá realizó 689 trámites de oficina, como lo evidencia el pantallazo del aplicativo de REPORTES SNC que se encuentra en el DRIVE, dando cumpliento al 100% de la actividad"/>
    <n v="1121"/>
    <s v="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
    <m/>
    <m/>
    <n v="2975"/>
    <d v="2021-04-14T00:00:00"/>
    <d v="2021-07-15T00:00:00"/>
    <d v="2021-10-13T00:00:00"/>
    <m/>
    <n v="0.91369778869778873"/>
    <s v=""/>
    <s v=""/>
    <s v=""/>
    <n v="0"/>
    <s v="Concepto Favorable"/>
    <s v="Concepto Favorable"/>
    <s v="Concepto Favorable"/>
    <m/>
    <s v="Se evidencia cumplimientocon el pantallazo del aplicativo REPORTES SNC "/>
    <s v="Con pantallazo del aplicativo de REPORTES SNC para los meses de abril, mayo y junio se evidencia la - Realización de los trámites en el periodo."/>
    <s v="La evidencia corresponde"/>
    <m/>
    <x v="0"/>
    <x v="0"/>
    <x v="0"/>
    <x v="0"/>
    <s v="Se evidencia con  pantallazo del aplicativo REPORTES SNC "/>
    <s v="Se evidencia en pantallazo del reporte de  SNC de abril, mayo y junio"/>
    <s v="Se verifica cumplimiento de la actividad con pantallazo de Reportes SNC del tercer trimestre 2021."/>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1111111111111111"/>
    <n v="3209"/>
    <n v="0"/>
    <n v="0"/>
    <n v="0"/>
    <n v="3209"/>
    <n v="293"/>
    <s v="Durante  el primer trimestre de 2021 la territorial Caquetá ha finalizado con resolución 293 trámites de terreno. como se evidencia en el pantallazo tomado del aplicativo de REPORTES SNC que se encuentra en el DRIVE "/>
    <n v="868"/>
    <s v="Durante  el segundo  trimestre de 2021 la territorial Caquetá ha finalizado con resolución 868 trámites de terreno. como se evidencia en el pantallazo tomado del aplicativo de REPORTES SNC que se encuentra en el DRIVE; dando cumplimiento al 100% de la actividad. "/>
    <n v="487"/>
    <s v="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
    <m/>
    <m/>
    <n v="1648"/>
    <d v="2021-04-14T00:00:00"/>
    <d v="2021-07-15T00:00:00"/>
    <d v="2021-10-14T00:00:00"/>
    <m/>
    <n v="0.51355562480523531"/>
    <s v=""/>
    <s v=""/>
    <s v=""/>
    <n v="0"/>
    <s v="Concepto Favorable"/>
    <s v="Concepto Favorable"/>
    <s v="Concepto Favorable"/>
    <m/>
    <s v="Se evidencia cumplimientocon el pantallazo del aplicativo REPORTES SNC "/>
    <s v="Se evidencia la resolución de 868 trámites en el pantallazo tomado del aplicativo de REPORTES SNC, dando cumplimiento a la actividad"/>
    <s v="La evidencia es concordante con la actividad"/>
    <m/>
    <x v="0"/>
    <x v="0"/>
    <x v="0"/>
    <x v="0"/>
    <s v="Se evidencian 293 trámites de de terreno finalizados con resolución.según pantallazo tomado del aplicativo de REPORTES SNC."/>
    <s v="Se evidencia  en el pantallazo tomado del aplicativo de SNC resolución de 868 trámites."/>
    <s v="Se observa ejecuciòn mediante el pantallazo del aplicativo de Reportes SNC del tercer trimestre 2021."/>
    <m/>
  </r>
  <r>
    <n v="5"/>
    <x v="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1111111111111111"/>
    <n v="20"/>
    <n v="0"/>
    <n v="0"/>
    <n v="0"/>
    <n v="20"/>
    <n v="0"/>
    <s v="No se han presentado solicitudes de realización de avalúos comerciales en la territorial Caquetá, por estar sujetos a la demanda no se cuenta con un ejecutable "/>
    <n v="1"/>
    <s v="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
    <n v="1"/>
    <s v="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
    <m/>
    <m/>
    <n v="2"/>
    <d v="2021-04-14T00:00:00"/>
    <d v="2021-07-15T00:00:00"/>
    <d v="2021-10-14T00:00:00"/>
    <m/>
    <n v="0.1"/>
    <s v=""/>
    <s v=""/>
    <s v=""/>
    <n v="0"/>
    <s v="Sin meta asignada en el periodo"/>
    <s v="Concepto Favorable"/>
    <s v="Concepto Favorable"/>
    <m/>
    <s v="Al que No se presentaran solicitudes de realización de avalúos no existe meta, no aplica indicador"/>
    <s v="Cumpliendo los lineamientos de la Sede Central, se remitió a gestión de avalúos la solicitud de avalúo Comercial de Leticia - Amazonas, se evidencia en el correo electrónico y memorando."/>
    <s v="La evidencia corresponde"/>
    <m/>
    <x v="1"/>
    <x v="0"/>
    <x v="0"/>
    <x v="0"/>
    <s v="No se observa meta programada. "/>
    <s v="Se evidencia con la gestión de avalúos, de avalúo Comercial de Leticia - Amazonas con caso 63870."/>
    <s v="Se verifica cumplimiento de la actividad mediante correo electrònico 30/09/2021 sobre entrega avaluo realizado tercer trimestre 2021 y copia contrato 851 de 2021."/>
    <m/>
  </r>
  <r>
    <n v="6"/>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1111111111111111"/>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n v="0.25"/>
    <s v="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
    <n v="0.25"/>
    <s v="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
    <m/>
    <m/>
    <n v="0.75"/>
    <d v="2021-04-14T00:00:00"/>
    <d v="2021-07-15T00:00:00"/>
    <d v="2021-10-14T00:00:00"/>
    <m/>
    <n v="0.75"/>
    <n v="1"/>
    <n v="1"/>
    <n v="1"/>
    <n v="0"/>
    <s v="Concepto Favorable"/>
    <s v="Concepto Favorable"/>
    <s v="Concepto Favorable"/>
    <m/>
    <s v="Se evidencia en la trazabilidad al requerimientos y respuestas a: ciudadano Nicasio Ahue Coello, Jaime Rodriguez Martinez, Juzgado Florencia Caqueta. "/>
    <s v="Con las respuestas externas enviadas,  la consolidación de las órdenes de consignación y las facturas generadas, se evidencia el cumplimiento de la actividad"/>
    <s v="Se adjunta evidencia en drive"/>
    <m/>
    <x v="0"/>
    <x v="0"/>
    <x v="0"/>
    <x v="0"/>
    <s v="Se observa trazabilidad al requerimientos y respuestas a: ciudadano Nicasio Ahue Coello, Jaime Rodriguez Martinez, Juzgado Florencia Caqueta. "/>
    <s v="Se evidencia con EE5498 del 18 de mayo de 2021, EE5499 del 18 de mayo de 2021, facturas de venta 39, 40, 41, 42 y 43."/>
    <s v="Se verifica ejecuciòn de la actividad con Facturas de solicitud de certificados, memorandos casos 149762 del 02/09/2021 y 133190 del 03/08/2021, formato excel solicitudes tercer trimestre 2021 de  Ley 1561/2012, entre otros soportes."/>
    <m/>
  </r>
  <r>
    <n v="7"/>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1111111111111111"/>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n v="0.25"/>
    <s v="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
    <n v="0.25"/>
    <s v="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pantallazos de los meses de enero, febrero y marzo "/>
    <s v="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
    <s v="Es evidenciado con registro en el formato de HERRAMIENTA DE MONITOREO con corte 28-09-2021."/>
    <m/>
    <x v="0"/>
    <x v="0"/>
    <x v="1"/>
    <x v="0"/>
    <s v="Durante el primer trimestre se evidencia los reportes del sistema de gestion documental SIGAC."/>
    <s v="Se evidencia con  registro en formato de HERRAMIENTA DE MONITOREO a 28-06-2021, en el cual se registra el seguimiento al requerimiento de la Unidad de Restitución de tierras y del juzgado de la ciudad de Florencia."/>
    <s v="No se pudo verificar la ejecuciòn  de la atenciòn de las solicitudes relacionadas con Polìtica de Restituciòn de Tierras porque la evidencia registrada es un excel que contiene cronograma de trabajo de julio a septiembre, la cual no permite evidenciar la atenciòn de las solicitudes por restituciòn de tierras, y no tiene relaciòn con la actividad. "/>
    <m/>
  </r>
  <r>
    <n v="8"/>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1111111111111111"/>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n v="0.25"/>
    <s v="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
    <n v="0.25"/>
    <s v="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
    <s v="Se evidencia en archivo excel con reporte de solicitudes atendidas,  tiempos de respuesta y seguimiento a  las PQRs para el trimestre, de acuerdo al reporte generado por el GIT del servicio al ciudadano y analisis de seguimiento."/>
    <s v="Se evidencia con reporte SIGAC"/>
    <m/>
    <x v="0"/>
    <x v="0"/>
    <x v="0"/>
    <x v="0"/>
    <s v=" Se observa en el formato de HERRAMIENTA DE MONITOREO  las acciones realizadas en el proceso, para el primer timestre del corriente año. "/>
    <s v="Se avala en archivo excel reporte de solicitudes atendidas,  tiempos de respuesta y seguimiento a  las PQRs para el trimestre."/>
    <s v="Se observa ejecuciòn de actividad con soporte SIGAC."/>
    <m/>
  </r>
  <r>
    <n v="9"/>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1111111111111111"/>
    <n v="1"/>
    <n v="0.25"/>
    <n v="0.25"/>
    <n v="0.25"/>
    <n v="0.25"/>
    <n v="0.25"/>
    <s v="Se han realizado los comités en los tiempos establecidos y se han enviado por correo electrónico , en el DRIVE se reportan copias de las actas "/>
    <n v="0.25"/>
    <s v="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
    <n v="0.25"/>
    <s v="Para el tercer trimestre se han realizado los comités  (Copasst y Comité de convivencia) en los tiempos establecidos y se han remitido las actas y el envio del  correo electrónico a la dependencia encargada, como se evidencia copia del correo y  de las actas respectivas en el  DRIVE."/>
    <m/>
    <m/>
    <n v="0.75"/>
    <d v="2021-04-14T00:00:00"/>
    <d v="2021-07-15T00:00:00"/>
    <d v="2021-10-14T00:00:00"/>
    <m/>
    <n v="0.75"/>
    <n v="1"/>
    <n v="1"/>
    <n v="1"/>
    <n v="0"/>
    <s v="Concepto Favorable"/>
    <s v="Concepto Favorable"/>
    <s v="Concepto Favorable"/>
    <m/>
    <s v="Se evidencia que se realizaron los comites con las actas y pantallazos de los correos electronicos enviados"/>
    <s v="Se evidencia el cumplimiento de  la entrega de las actas de los comités (Copasst y Comité de convivencia) al GIT Gestión del Talento Humano en imágenes de correos electrónicos remisorios."/>
    <s v="Se valida mesdiante actas y correo electrónico. "/>
    <m/>
    <x v="0"/>
    <x v="0"/>
    <x v="0"/>
    <x v="0"/>
    <s v="Se evidencia la realización de los comités en los tiempos establecidos y se han enviado por correo electrónico , en el DRIVE se reportan copias de las actas "/>
    <s v="Se evidencia con actas de los comités (Copasst y Comité de convivencia) remitidas al GIT Gestión del Talento Humano."/>
    <s v="Se observa ejecuciòn de la actividad mediante acta Comite Convivencia septiembre 2021, correo 06/10/2021 de envìo acta, acta reuniòn COPASST 31/08/2021 y acta COPASST del 30/07/2021. "/>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1111111111111111"/>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n v="0.25"/>
    <s v="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
    <n v="0.25"/>
    <s v="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
    <m/>
    <m/>
    <n v="0.75"/>
    <d v="2021-04-14T00:00:00"/>
    <d v="2021-07-15T00:00:00"/>
    <d v="2021-10-14T00:00:00"/>
    <m/>
    <n v="0.75"/>
    <n v="1"/>
    <n v="1"/>
    <n v="1"/>
    <n v="0"/>
    <s v="Concepto Favorable"/>
    <s v="Concepto Favorable"/>
    <s v="Concepto Favorable"/>
    <m/>
    <s v="Se verifico la realizacion de actividades como: comites de COPASST y CONVIVENCIA, igualmente se hace seguimiento a los reportes de  Ausentismo de enero, febrero y mmarzo."/>
    <s v="Cumple con las evidencias"/>
    <s v="La evidencia corresponde"/>
    <m/>
    <x v="0"/>
    <x v="0"/>
    <x v="0"/>
    <x v="0"/>
    <s v="Se verifico la realizacion de actividades de comites de COPASST y CONVIVENCIA, igualmente se hace seguimiento a los reportes de  Ausentismo de enero, febrero y mmarzo."/>
    <s v="Se evidencia con las actas de abaril mayo y junio de los comites de Copasst, así como del cumplimientode envío mediante correos electrónicos del ausentismo. "/>
    <s v="Se observa ejecuciòn de la actividad a travès de documento del 27/07/2021 sobre simulacro de evacuaciòn terremoto, correo sobre revisiòn y observaciones matriz de peligro de la Territorial, actas Comite COPASST julio, agosto y septiembre 2021."/>
    <m/>
  </r>
  <r>
    <n v="12"/>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1111111111111111"/>
    <n v="102297250.41641048"/>
    <n v="20199021.936703201"/>
    <n v="26184599.705181543"/>
    <n v="26659028.88915072"/>
    <n v="29254599.885375008"/>
    <n v="22555302"/>
    <s v="Para el primer trimestre de 2021 la Territorial Caquetá ha realizado ventas de bienes y servicios por valor de $22.555.302 (sin IVA) en el DRIVE se encuentra el reporte consolidado de ventas generado por el aplicativo de facturación. "/>
    <n v="23023789"/>
    <s v="Para el segundo trimestre de 2021 la Territorial Caquetá ha realizado ventas de bienes y servicios por valor de $23.023.789 (sin IVA) ; en el DRIVE se encuentra el reporte por mes y consolidado de ventas generado por el aplicativo de facturación. "/>
    <n v="27211925"/>
    <s v="Para el tercer trimestre de 2021 la Territorial Caquetá realizó la venta de bienes y servicios por valor de $27.211.925 (sin IVA) ; en el DRIVE se encuentra el reporte por mes y consolidado de ventas generado por el aplicativo de facturación. "/>
    <m/>
    <m/>
    <n v="72791016"/>
    <d v="2021-04-14T00:00:00"/>
    <d v="2021-07-15T00:00:00"/>
    <d v="2021-10-14T00:00:00"/>
    <m/>
    <n v="0.71156375859270304"/>
    <n v="1"/>
    <n v="0.87928741547436884"/>
    <n v="1"/>
    <n v="0"/>
    <s v="Concepto Favorable"/>
    <s v="Concepto Favorable"/>
    <s v="Concepto Favorable"/>
    <m/>
    <s v="Se verifica reporte consolidado de ventas (Relacion de ingresos de contado  ventas del enero, febrero y marzo, generado por el aplicativo de facturación. "/>
    <s v="Con reporte de los  meses abril, mayo, junio  y consolidado del trimestre de ventas generado por el aplicativo de facturación, se evidencia el cumplimiento de la meta "/>
    <s v="Se valida la evidencia."/>
    <m/>
    <x v="0"/>
    <x v="0"/>
    <x v="0"/>
    <x v="0"/>
    <s v="Se verifica reporte consolidado de ventas (Relacion de ingresos de contado  ventas del enero, febrero y marzo."/>
    <s v="Se evidencia con informe consolidado de ventas de contado a junio de 20211."/>
    <s v="Se valida ejecuciòn con la Relaciòn Ingresos de Contado-Ventas del tercer trimestre 2021 "/>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1"/>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n v="0"/>
    <s v="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
    <n v="0"/>
    <s v="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evidencia gestion con 7 archivos de soportes y propuestas economicas,"/>
    <s v="Se evidencia Gestión,  pero aún no se han ejecutado procesos de formación o actualización"/>
    <s v="Sin meta asignada en el periodo"/>
    <m/>
    <x v="1"/>
    <x v="1"/>
    <x v="2"/>
    <x v="0"/>
    <s v="Sin meta asignada en el periodo"/>
    <s v="Sin meta asignada en el periodo"/>
    <s v="Sin meta asignada en el periodo."/>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1"/>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n v="0"/>
    <s v="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
    <n v="0"/>
    <s v="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demuestra gestion con 7 archivos de propuestas economicas,  retomar las propuestos,"/>
    <s v="Se evidencia Gestión,  pero aún no se han ejecutado procesos de formación o actualización."/>
    <s v="Sin meta asignada en el periodo"/>
    <m/>
    <x v="1"/>
    <x v="1"/>
    <x v="2"/>
    <x v="0"/>
    <s v="Sin meta asignada en el periodo"/>
    <s v="Sin meta asignada en el periodo"/>
    <s v="Sin meta asignada en el periodo"/>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1"/>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n v="40"/>
    <s v="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
    <n v="12397"/>
    <s v="Para el Tercer trimestre 2021 se reportan 12397 tramites de oficina, como se evidencia con el reporte del SNC cumpiendo la actividad programada. "/>
    <m/>
    <m/>
    <n v="12472"/>
    <d v="2021-04-14T00:00:00"/>
    <d v="2021-07-14T00:00:00"/>
    <d v="2021-10-13T00:00:00"/>
    <m/>
    <n v="0.70363892806770101"/>
    <s v=""/>
    <s v=""/>
    <s v=""/>
    <n v="0"/>
    <s v="Concepto Favorable"/>
    <s v="Concepto Favorable"/>
    <s v="Concepto Favorable"/>
    <m/>
    <s v="Se comprueba cumplimiento del control con reporte SISGES de enero, febrero y marzo"/>
    <s v="Se evidencia la resolución de 40 trámites en el pantallazo tomado del aplicativo de REPORTES SNC, dando cumpiendo la actividad programada.  "/>
    <s v="Se evidencia cumplimiento "/>
    <m/>
    <x v="0"/>
    <x v="0"/>
    <x v="0"/>
    <x v="0"/>
    <s v="Se valida con reporte SISGES de enero, febrero y marzo"/>
    <s v="Se evidencian 40 trámites en el pantallazo tomado del aplicativo de REPORTES SNC"/>
    <s v="Se evidencia ejecuciòn de la actividad mediante excel aportado sobre Reporte tràmites de Oficina y Terreno."/>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1"/>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n v="0"/>
    <s v="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
    <n v="391"/>
    <s v="Para el tercer trimestre se reportan 391 tramites de terreno, gracias a la integración del nuevo personal para dicha labor. Se aporta informe en excel descargado del SNC como evidencia del seguimiento a la actividad 5 y se da por cumplida"/>
    <m/>
    <m/>
    <n v="391"/>
    <d v="2021-04-14T00:00:00"/>
    <d v="2021-07-15T00:00:00"/>
    <d v="2021-10-13T00:00:00"/>
    <m/>
    <n v="2.3641090755184713E-2"/>
    <s v=""/>
    <s v=""/>
    <s v=""/>
    <n v="0"/>
    <s v="Concepto No Favorable"/>
    <s v="Sin meta asignada en el periodo"/>
    <s v="Concepto Favorable"/>
    <m/>
    <s v="No se puede evidenciar la realización de Tramites de conservación Catastral realizados "/>
    <s v="Al no poder hacerse trámites de terreno debido al justifiicación presentada no se pudo determinar meta"/>
    <s v="Es la misma evidencia de la actividad 3.  cumple"/>
    <m/>
    <x v="2"/>
    <x v="1"/>
    <x v="0"/>
    <x v="0"/>
    <s v="No se observa evidencia"/>
    <s v="Sin meta asignada en el periodo"/>
    <s v="Se verifica ejecuciòn de 391 tràmites de terreno mediante excel sobre Reporte Tràmites de Oficina y Terreno aportado como evidencia."/>
    <m/>
  </r>
  <r>
    <n v="7"/>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1"/>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n v="0.25"/>
    <s v="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
    <n v="0.25"/>
    <s v="Para el tercer trimestre por medio del correo electrónico recibido por parte del DT, no se recibieron solicitudes en materia de regularización de la propiedad. Se adjunta correo para dar cumplimiento al seguimiento."/>
    <m/>
    <m/>
    <n v="0.75"/>
    <d v="2021-04-14T00:00:00"/>
    <d v="2021-07-14T00:00:00"/>
    <d v="2021-10-14T00:00:00"/>
    <m/>
    <n v="0.75"/>
    <n v="1"/>
    <n v="1"/>
    <n v="1"/>
    <n v="0"/>
    <s v="Sin meta asignada en el periodo"/>
    <s v="Concepto Favorable"/>
    <s v="Concepto Favorable"/>
    <m/>
    <s v="Como entre enero a marzo, no se a recibido requerimientos. por lo que no se tiene que reportar."/>
    <s v="Con los soportes de comunicaciones y respuestas emitidas a las 10 solicitudes recibidas, se evidencia  el cumplimiento de la actividad."/>
    <s v="Se adjunta correo para dar cumplimiento"/>
    <m/>
    <x v="1"/>
    <x v="0"/>
    <x v="0"/>
    <x v="0"/>
    <s v="Sin meta asignada en el periodo"/>
    <s v="Se evidencia con soportes de comunicaciones y respuestas emitidas a las 10 solicitudes recibidas"/>
    <s v="Mediante correo del 14/10/2021 el Director de la Territorial informa que en el tercer trilmestre de 2021 no se presentaron solicitudes sobre el tema."/>
    <m/>
  </r>
  <r>
    <n v="8"/>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1"/>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n v="0.25"/>
    <s v="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
    <n v="0.25"/>
    <s v="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
    <m/>
    <m/>
    <n v="0.75"/>
    <d v="2021-04-14T00:00:00"/>
    <d v="2021-07-15T00:00:00"/>
    <d v="2021-10-13T00:00:00"/>
    <m/>
    <n v="0.75"/>
    <n v="1"/>
    <n v="1"/>
    <n v="1"/>
    <n v="0"/>
    <s v="Concepto Favorable"/>
    <s v="Concepto Favorable"/>
    <s v="Concepto Favorable"/>
    <m/>
    <s v="coforme a la evidencia reporte en laHERRAMIENTA DE MONITOREO 2021 CASANARE, se observa la implementacion de la actividad."/>
    <s v="Se evidencia reporte  de los meses abril, mayo y junio en la HERRAMIENTA DE MONITOREO 2021 el seguimiento de tramites administrativos y Judiciales en materia de política de restitución de tierras y ley de víctimas. dando cumplimiento a la actividad"/>
    <s v="Se reporta en herramienta de monitore."/>
    <m/>
    <x v="0"/>
    <x v="0"/>
    <x v="0"/>
    <x v="0"/>
    <s v="Se evidencia reporte en la HERRAMIENTA DE MONITOREO 2021."/>
    <s v="Se valida reporte  de los meses abril, mayo y junio en la HERRAMIENTA DE MONITOREO 2021."/>
    <s v="Se observa seguimiento de los tràmites relacionados con Polìtica de Tierras mediante Herramienta de Monitoreo suministrada."/>
    <m/>
  </r>
  <r>
    <n v="9"/>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1"/>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n v="0.1"/>
    <s v="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
    <n v="0.25"/>
    <s v="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
    <m/>
    <m/>
    <n v="0.52"/>
    <d v="2021-04-14T00:00:00"/>
    <d v="2021-07-15T00:00:00"/>
    <d v="2021-10-14T00:00:00"/>
    <m/>
    <n v="0.52"/>
    <n v="0.68"/>
    <n v="0.4"/>
    <n v="1"/>
    <n v="0"/>
    <s v="Concepto Favorable"/>
    <s v="Concepto Favorable"/>
    <s v="Concepto No Favorable"/>
    <m/>
    <s v="Se evidencia el cumplimiento del 0,17% de la meta en reporte consolidado de de PQRs con corte a 31 de marzo. se sugiere implementar accion de mejora"/>
    <s v="En el REPORTE PQRSD DE CONTROL INTERNO se observa que para este periodose res pondieron 69 solicitudes, dando cumplimiento a la actividad"/>
    <s v="De 440 PQRDS én trámite, quedan 407 pendientes de dar respuesta, eso significa que solo el 7.5% se ha tramitado"/>
    <m/>
    <x v="0"/>
    <x v="0"/>
    <x v="1"/>
    <x v="0"/>
    <s v="Se evidencia en reporte consolidado de de PQRs con corte a 31 de marzo. "/>
    <s v="Se evidencia resporte de 69 solicitudes atendidas en SIGAC. igulamente se identifican varias acciones  cerradas con el debido radicado de respuesta, pero pendientes. "/>
    <s v="La Territorial no ha cumplido con la atenciòn del 100% de las PQRs recibidas durante el tercer trimestre 2021, de las 440 que estan en tràmite se han respondido 33 pero no se han cerrado y quedan por responder y cerrar 407. "/>
    <m/>
  </r>
  <r>
    <n v="10"/>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1"/>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n v="0.25"/>
    <s v="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
    <n v="0.25"/>
    <s v="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
    <m/>
    <m/>
    <n v="0.75"/>
    <d v="2021-04-13T00:00:00"/>
    <d v="2021-07-15T00:00:00"/>
    <d v="2021-10-14T00:00:00"/>
    <m/>
    <n v="0.75"/>
    <n v="1"/>
    <n v="1"/>
    <n v="1"/>
    <n v="0"/>
    <s v="Concepto Favorable"/>
    <s v="Sin meta asignada en el periodo"/>
    <s v="Concepto Favorable"/>
    <m/>
    <s v="Se evidencia cumplimiento de la realizacion de comites con las actas. convivencia laboral el 29- 03/2021, actas de COPASST, 26-02/2021 ( DONDE SE HACE NOTA ACLARATORIA EN RELACION AL COMITE QUE SE DEBIA REALIZAR EN EL  MES  DE ENEO)y  Acta del 29-03 2021"/>
    <s v="Teniendo en cuenta que no se ha podido conformar el comité en la territorial debido a la reducida cantidad de funcionarios  y que se esta en espera de los lineamientos del Procesos Gestio del Talento Humano, no se cuenta con la posibilidad de dar cumplimiento a la meta."/>
    <s v="Se evidencia la gestión"/>
    <m/>
    <x v="0"/>
    <x v="1"/>
    <x v="0"/>
    <x v="0"/>
    <s v="Se evidencia con comites con las actas. convivencia laboral el 29 de marzo de 2021,  actas de COPASST, 26 de febrero de 2021."/>
    <s v="Sin meta asignada en el periodo"/>
    <s v="Se verifica gestiòn mediante correo del Director Territorial del 14/10/2021 sobre estructuraciòn COPASST Casanare y conformaciòn del Comitè de Convivencia Laboral de la Territorial."/>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1"/>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
    <m/>
    <m/>
    <n v="0.5"/>
    <d v="2021-04-14T00:00:00"/>
    <d v="2021-07-15T00:00:00"/>
    <d v="2021-10-13T00:00:00"/>
    <m/>
    <n v="0.5"/>
    <n v="0"/>
    <n v="1"/>
    <n v="1"/>
    <n v="0"/>
    <s v="Concepto Favorable"/>
    <s v="Concepto Favorable"/>
    <s v="Concepto Favorable"/>
    <m/>
    <s v="Se cumple actividad demostrando reporte consolidado enviado en correo electronico enviado el 14- 04 2021"/>
    <s v="Se evidencia en acta 06-01-2021, SEGUIMIENTO DE RESPONSABILIDADES entre otros el cumplimiento de la actividad"/>
    <s v="La evidencia corresponde "/>
    <m/>
    <x v="0"/>
    <x v="0"/>
    <x v="0"/>
    <x v="0"/>
    <s v="Se aprubea con reporte consolidado enviado en correo electronico enviado el 14 de abril del presente año."/>
    <s v="Se evidencia en acta 06-01-2021."/>
    <s v="Se valida gestiòn mediante correo del 14/10/2021 sobre solicitud del reporte Plan de Emergencia Casanare, Informe Simulacro de Evacuaciòn del 27/07/2021 y excel seguimiento de responsabilidades. "/>
    <m/>
  </r>
  <r>
    <n v="13"/>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1"/>
    <n v="229167265.84571284"/>
    <n v="45250039.577302985"/>
    <n v="58658987.385044038"/>
    <n v="59721808.120548248"/>
    <n v="65536430.762817577"/>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n v="10000841"/>
    <s v="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
    <n v="17098625"/>
    <s v="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
    <m/>
    <m/>
    <n v="46635306"/>
    <d v="2021-04-13T00:00:00"/>
    <d v="2021-07-13T00:00:00"/>
    <d v="2021-10-13T00:00:00"/>
    <m/>
    <n v="0.20349898502256986"/>
    <n v="0.43173089311062179"/>
    <n v="0.17049119744180685"/>
    <n v="0.2863045433166807"/>
    <n v="0"/>
    <s v="Concepto Favorable"/>
    <s v="Concepto Favorable"/>
    <s v="Concepto Favorable"/>
    <m/>
    <s v="Se evidencia cumplimiento con reportes de ingresos incluyendo los meses de enero, febrero y marzo reportado a en eeste mes."/>
    <s v="Con tres documentos que soportan los ingresos económicos se evidencia el cumplimiento de la actividad para el periodo "/>
    <s v="Se valida la evidencia"/>
    <m/>
    <x v="0"/>
    <x v="0"/>
    <x v="0"/>
    <x v="0"/>
    <s v="Se evidencia con reportes de ingresos de enero, febrero y marzo reportado a en eeste mes."/>
    <s v="Se valida con facturación detallada del 1 al 9 de junio del presente año al igual que con ingresos de la Dirección Territorial de abril y mayo del corriente año."/>
    <s v="Se verifica gestiòn de la actividad mediante excel sobre ingresos Bogota y Direcciones Territoriales de julio y agosto 2021 y reporte de ventas detallado septiembre de 2021. "/>
    <m/>
  </r>
  <r>
    <n v="1"/>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9.0909090909090912E-2"/>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561"/>
    <s v="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
    <n v="1322"/>
    <s v="En este trimestre se presentó dificultad para el ingreso de personal a los asentamientos urbanos a lo largo de las quebradas en zonas de proteccción y en el sector 5. Igualmente se presentaron problemas con el cargue de areas en el Server, caida, colapso y con la aplicación CICA."/>
    <m/>
    <m/>
    <n v="1883"/>
    <d v="2021-04-18T00:00:00"/>
    <d v="2021-07-15T00:00:00"/>
    <d v="2021-10-14T00:00:00"/>
    <m/>
    <n v="0.58843749999999995"/>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322 has urbanas"/>
    <m/>
    <x v="0"/>
    <x v="0"/>
    <x v="0"/>
    <x v="0"/>
    <s v="Se evidencia cronograma y plan de trabajo"/>
    <s v="Se evidencia con avance imágnes e informe en excel de los procesos de formación y actualización urbana en el municipio"/>
    <s v="Se verifica ejecución de la actividad con el mapa del área reconocida de 1322 has con corte a septiembre 2021, correo del 12/10/2021 sobre area reconocida rural y urbana así como pantallazo de sumatoria de área sector urbano."/>
    <m/>
  </r>
  <r>
    <n v="2"/>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9.0909090909090912E-2"/>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0"/>
    <s v="De acuerdo al cronograma inicial de actividades la zona rural del municipio de Popayán se intervendrá a partir del mes de julio"/>
    <n v="1138"/>
    <s v="En este trimestre se incia la intervención de la zona rural del municipio de Popayán"/>
    <m/>
    <m/>
    <n v="1138"/>
    <d v="2021-04-18T00:00:00"/>
    <d v="2021-07-15T00:00:00"/>
    <d v="2021-10-12T00:00:00"/>
    <m/>
    <n v="2.5391583738676424E-2"/>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138 has rurales"/>
    <m/>
    <x v="0"/>
    <x v="2"/>
    <x v="0"/>
    <x v="0"/>
    <s v="Se evidencia cronograma y plan de trabajo "/>
    <s v="De acuerdo al cronograma inicial de actividades la zona rural del municipio de Popayán se intervendrá a partir del mes de julio"/>
    <s v="Se verifica cumplimiento de la actividad mediante mapa de reconocimiento de 1138 has del sector rural con corte a septiembre 2021, correo del 12/10/2021 sobre el área total rural con corte a 30/09/2021 y con pantallazo de sumatoria de área del sector rural.  "/>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9.0909090909090912E-2"/>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n v="1751"/>
    <s v="Se realizaron trámites de Oficina en Cobol 1309 y en el SNC 442"/>
    <n v="12219"/>
    <s v="Se realizaron Trámites de Oficina en Cobol 1627 y en SNC 10572 "/>
    <m/>
    <m/>
    <n v="14987"/>
    <d v="2021-04-19T00:00:00"/>
    <d v="2021-07-15T00:00:00"/>
    <d v="2021-10-14T00:00:00"/>
    <m/>
    <n v="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1627 y en SNC 10572 Trámites de Oficina "/>
    <m/>
    <x v="0"/>
    <x v="0"/>
    <x v="0"/>
    <x v="0"/>
    <s v="Se valida en la herramienta cobol 1017 trámites realizados en el trimestre. "/>
    <s v="Se evidencia con informe trámites en cobol: de Oficina en Cobol 1309 y en el SNC 442"/>
    <s v="Se observa ejecución de la actividad mediante reportes COBOL oficina correspondiente a los meses de julio, agosto y septiembre de 2021 y reportes SNC de julio-septiembre 2021."/>
    <m/>
  </r>
  <r>
    <n v="5"/>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9.0909090909090912E-2"/>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n v="402"/>
    <s v="El avance en la meta de terreno es baja porque todavía se cuenta con poco personal para reconocimiento predial para los 41 municipios del departamento del Cauca.  "/>
    <n v="877"/>
    <s v="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
    <m/>
    <m/>
    <n v="1400"/>
    <d v="2021-04-19T00:00:00"/>
    <d v="2021-07-15T00:00:00"/>
    <d v="2021-10-14T00:00:00"/>
    <m/>
    <n v="0.2778880508138150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447 trámites y en SNC 10, Saldos de vigencias anteriores Cobol 420"/>
    <m/>
    <x v="0"/>
    <x v="0"/>
    <x v="0"/>
    <x v="0"/>
    <s v="Se valida la realización de 121 trámites de terrenos realizados en el trimestre. "/>
    <s v="Se evidencia en Cobol los 402 trámites en terreno "/>
    <s v="Se verifica con reportes SNC julio-septiembre 2021 y reportes COBOL del tercer trimestre 2021, la realización de 447 trámites, en SNC 10 y saldos de vigencias anteriores COBOL 420, para un total ejecutado de 877. "/>
    <m/>
  </r>
  <r>
    <n v="7"/>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9.0909090909090912E-2"/>
    <n v="50"/>
    <n v="0"/>
    <n v="0"/>
    <n v="0"/>
    <n v="50"/>
    <n v="0"/>
    <s v="No se han realizado avalúos comerciales en este trimestre, se encuentran en proceso de contratación los peritos avaluadores."/>
    <n v="8"/>
    <s v="Durante este trimestre se realizó la contratación de los peritos pero debido a los problemas de orden público generados por el paro nacional durante los meses de mayo y junio no se pudo realizar la práctica valuatoria en municipios del departamento del Cauca "/>
    <n v="13"/>
    <s v="En este trimestre se realizaron 13 avalúos en etapa final en los diferentes municipios del departamento del Cauca.  Se presentó dificultad con uno de los peritos referente a la entrega. Se han realizado 15 visitas pendiente del informe y el control de calidad."/>
    <m/>
    <m/>
    <n v="21"/>
    <d v="2021-04-18T00:00:00"/>
    <d v="2021-07-15T00:00:00"/>
    <d v="2021-10-12T00:00:00"/>
    <m/>
    <n v="0.42"/>
    <s v=""/>
    <s v=""/>
    <s v=""/>
    <n v="0"/>
    <s v="Concepto Favorable"/>
    <s v="Concepto Favorable"/>
    <s v="Concepto Favorable"/>
    <m/>
    <s v="no se desarrolla en el periodo"/>
    <s v="se revisa evidencia, cumple con producto esperado"/>
    <s v="De acuerdo con las evidencias, se observa que durante el tercer ttrimestre se realizaron 13 avalúos en etapa final en los diferentes municipios del departamento del Cauca"/>
    <m/>
    <x v="1"/>
    <x v="0"/>
    <x v="0"/>
    <x v="0"/>
    <s v="Sin meta asignada en el periodo"/>
    <s v="Se evidencia con correo del 25 de junio de 2021, carta del 3 de mayo de 2021, relación de visitas asignadas para avalúos. "/>
    <s v="Se observa ejecución de la actividad mediante los 5 correos de envío para control de calidad y revisión de avaluos realizados de julio a septiembre de 2021, los 8 memorandos de entrega de avalúos realizados en el tercer trimestre 2021 y el Informe presentado por la Territorial a 30/09/2021 sobre los avalúos realizados en este trimestre. "/>
    <m/>
  </r>
  <r>
    <n v="8"/>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9.0909090909090912E-2"/>
    <n v="1"/>
    <n v="0.25"/>
    <n v="0.25"/>
    <n v="0.25"/>
    <n v="0.25"/>
    <n v="0.2475"/>
    <s v=" Se respondieron el 99% de las solicitudes de regularización de la propiedad"/>
    <n v="0.25"/>
    <s v="Se respondieron el 100% de las solicitudes de regularizacion de la propiedad"/>
    <n v="0.25"/>
    <s v="Se respondieron el 100% de las solicitudes de regularización de la propiedad rural."/>
    <m/>
    <m/>
    <n v="0.74750000000000005"/>
    <d v="2021-04-19T00:00:00"/>
    <d v="2021-07-15T00:00:00"/>
    <d v="2021-10-12T00:00:00"/>
    <m/>
    <n v="0.74750000000000005"/>
    <n v="0.99"/>
    <n v="1"/>
    <n v="1"/>
    <n v="0"/>
    <s v="Concepto Favorable"/>
    <s v="Concepto Favorable"/>
    <s v="Concepto Favorable"/>
    <m/>
    <s v="se revisa las evidencias, se encuentra acordes con el producto esperado"/>
    <s v="se revisa evidencia, cumple con producto esperado"/>
    <s v="De acuerdo con la evidencia, se observa que durante el tercer trimestre se respondieron el 100% de las solicitudes de regularización de la propiedad rural."/>
    <m/>
    <x v="0"/>
    <x v="0"/>
    <x v="0"/>
    <x v="0"/>
    <s v="Se evidencia control en excel del primer trimestre 2021."/>
    <s v="Se evidencia con Seguimiento correspondencia de los oficios y comunicaciones dirigidas a la Dirección Territorial relacionadas con Política Integral de Reparación a víctimas.  "/>
    <s v="Se verifica cumplimiento del 100% de la actividad con el excel Informe de Solicitudes en el que se observa la atención de las solicitudes recibidas en el trimestre."/>
    <m/>
  </r>
  <r>
    <n v="9"/>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9.0909090909090912E-2"/>
    <n v="1"/>
    <n v="0.25"/>
    <n v="0.25"/>
    <n v="0.25"/>
    <n v="0.25"/>
    <n v="0.25"/>
    <s v="Se da respuesta a todas las solicitudes de Juzgados y Procuradurias en temas de Restitución de Tierras y Ley de Víctimas"/>
    <n v="0.25"/>
    <s v="Se da respuesta a todas las solicitudes de Juzgados y Procuraduría en temas de Restitución de Tierras"/>
    <n v="0.25"/>
    <s v="Se da respuesta a todas las solicitudes del Juzgado y Procuraduría en temas de Restitución.  Igualmente se atienden las mesas técnicas conjuntas solicitadas por la URT y una visita técnica."/>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dio respuesta a todas las solicitudes del Juzgado y Procuraduría en temas de Restitución.  Igualmente se atendieron las mesas técnicas conjuntas solicitadas por la URT y una visita técnica"/>
    <m/>
    <x v="0"/>
    <x v="0"/>
    <x v="0"/>
    <x v="0"/>
    <s v="Se valida control en excel de los procesos cursados en el primer trimestre de 2021."/>
    <s v="Se evidencia con Seguimiento correspondencia de los oficios y comunicaciones dirigidas a la Dirección Territorial relacionadas con Política Integral de Reparación a víctimas"/>
    <s v="Se observa ejecución de la actividad a través de las Actas de mesa técnica URT-IGAC de agosto y septiembre de 2021, Acta visita técnica URT-IGAC de julio 2021 y excel solicitudes del tercer trimestre 2021."/>
    <m/>
  </r>
  <r>
    <n v="10"/>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9.0909090909090912E-2"/>
    <n v="1"/>
    <n v="0.25"/>
    <n v="0.25"/>
    <n v="0.25"/>
    <n v="0.25"/>
    <n v="0.15"/>
    <s v="Se han atendido el 60% de las solicitudes, teniendo en cuenta las dificultades presentadas con la nueva pltaforma SIGAC, que no entrega respuestas en tiempo real por lo que hay que reenviarlas nuevamente por correo electrónico."/>
    <n v="0.2"/>
    <s v="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
    <n v="0.2"/>
    <s v="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
    <m/>
    <m/>
    <n v="0.55000000000000004"/>
    <d v="2021-04-19T00:00:00"/>
    <d v="2021-07-15T00:00:00"/>
    <d v="2021-10-12T00:00:00"/>
    <m/>
    <n v="0.55000000000000004"/>
    <n v="0.6"/>
    <n v="0.8"/>
    <n v="0.8"/>
    <n v="0"/>
    <s v="Concepto Favorable"/>
    <s v="Concepto Favorable"/>
    <s v="Concepto Favorable"/>
    <m/>
    <s v="se revisa las evidencias, se encuentra acordes con el producto esperado"/>
    <s v="se revisa evidencia, cumple con producto esperado"/>
    <s v="De acuerdo con las evidencias y con el autoseguimiento, se observa que se avanzó en la atención de las PQR a pesar de que no se alcanzó con la meta propuesta."/>
    <m/>
    <x v="0"/>
    <x v="0"/>
    <x v="0"/>
    <x v="0"/>
    <s v="Se evidencia con correo del 18 de enero de 2021."/>
    <s v="Se evidencia con registro de asistencia del 9 de junio de 2021 &quot;Seguimiento Sigac y Cordis&quot;"/>
    <s v="Se verifica realización de la actividad a través de correo del 21/09/2021 sobre reporte de paz y salvo por usuario Sistema Sigac, correo sobre seguimiento Sigac del 06/08/2021 y correo del 11/10/2021 sobre reporte de fallas en Sigac."/>
    <m/>
  </r>
  <r>
    <n v="11"/>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9.0909090909090912E-2"/>
    <n v="1"/>
    <n v="0.25"/>
    <n v="0.25"/>
    <n v="0.25"/>
    <n v="0.25"/>
    <n v="0.25"/>
    <s v="Se realizaron las Actas de Copasst mensuales y el Acta  Trimestral Convivencia Laboral "/>
    <n v="0.25"/>
    <s v="Se realizaron las actas de Copasst y de Convivencia Laboral. Igualmente se dieron dos capacitaciones al personal que labora en la Dirección Territorial de Clima Laboral y Comunicación Asertiva"/>
    <n v="0.25"/>
    <s v="Se realizaron las Actas de Copasst mensuales y el Acta de Convivencia Laboral trimestral, se conforma nuevo comite de COPASST."/>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las Actas de Copasst mensuales y el Acta de Convivencia Laboral trimestral, se conforma nuevo comite de COPASST."/>
    <m/>
    <x v="0"/>
    <x v="0"/>
    <x v="0"/>
    <x v="0"/>
    <s v="SE evidencias de copasst, y convivencia del primer trimestre de 2021. "/>
    <s v="Se evidencia con Acta Copasst del 27 de abril, del 28 de junio, del 31 de mayo, registrode asistencia del 20 de mayo de 2021 &quot;Capacitación clima laboral&quot;. "/>
    <s v="Se verifica ejecución de la actividad mediante evidencias aportadas sobre conformación de COPASST en la Territorial (acta de escrutinio, acta de conformación,aviso de convocatoria, designación de jurado, registro de sufragio), acta COPASST septiembre 2021 y acta CCL de julio 2021."/>
    <m/>
  </r>
  <r>
    <n v="12"/>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9.0909090909090912E-2"/>
    <n v="1"/>
    <n v="0.25"/>
    <n v="0.25"/>
    <n v="0.25"/>
    <n v="0.25"/>
    <n v="0.25"/>
    <s v="Se atienden las responsabilidades y rendición de cuentas en el SG-SST  "/>
    <n v="0.25"/>
    <s v="Se atienden las responsabilidades del SG-SST"/>
    <n v="0.25"/>
    <s v="Se atienden las responsabilidades del SG-SST"/>
    <m/>
    <m/>
    <n v="0.75"/>
    <d v="2021-04-19T00:00:00"/>
    <d v="2021-07-15T00:00:00"/>
    <d v="2021-10-12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atendieron responsabilidades derivaas del SG-SST"/>
    <m/>
    <x v="0"/>
    <x v="0"/>
    <x v="0"/>
    <x v="0"/>
    <s v="Se evidencia con correo electrónico del 23 de febrero de 2021."/>
    <s v="Se videncia con correo del 9 de abril de 2021, ficha autodiagnóstico entorno ainmediato y senderos a la edificación e informe de riesgos. "/>
    <s v="Se observa atención por parte de la Territorial de las responsabilidades del SG-SST mediante correo del 14/07/2021 sobre fumigación de las instalaciones y el registro sobre entrega de elementos de bioseguridad de fecha 23/07/2021. "/>
    <m/>
  </r>
  <r>
    <n v="14"/>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Número"/>
    <s v="Recursos obtenidos por ventas de contado"/>
    <s v="Eficiencia"/>
    <n v="9.0909090909090912E-2"/>
    <n v="279042227.08234406"/>
    <n v="55098060.242669024"/>
    <n v="71425272.793269768"/>
    <n v="72719401.184294254"/>
    <n v="79799492.862111002"/>
    <n v="30828410"/>
    <s v="Se realizaron el 100% de ventas de certificados catastrales especiales, cartas catastrales y certificados planos catastrales que ingresaron en el trimestre"/>
    <n v="32575749"/>
    <s v="Se realizaron ventas de certificados sencillos y especiales, cartas catastrales y certificados planos $ 32.575.749"/>
    <n v="47432783"/>
    <s v="Se realizaron ventas de certificados catastrales sencilos y especiales, cartas catastrales y certificados planos por valor de $47.432.783"/>
    <m/>
    <m/>
    <n v="110836942"/>
    <d v="2021-04-19T00:00:00"/>
    <d v="2021-07-15T00:00:00"/>
    <d v="2021-10-14T00:00:00"/>
    <m/>
    <n v="0.39720490751133714"/>
    <n v="0.55951897152498797"/>
    <n v="0.45608154825373709"/>
    <n v="0.65227136400353647"/>
    <n v="0"/>
    <s v="Concepto Favorable"/>
    <s v="Concepto Favorable"/>
    <s v="Concepto Favorable"/>
    <m/>
    <s v="se revisa las evidencias, se encuentra acordes con el producto esperado"/>
    <s v="se revisa evidencia, cumple con producto esperado"/>
    <s v="De acuerdo con la relación de ventas de contado, se observa que durante el tercer trimestre se hicieron ventas por bienes y servicios."/>
    <m/>
    <x v="0"/>
    <x v="0"/>
    <x v="0"/>
    <x v="0"/>
    <s v="Se evidencia con relación de ingresos por la suma de 30.828.410.00. a marzo de 2021."/>
    <s v="Se evidencia con relación de ingresos por la suma de 32.575.749.00   del 1 de abril al 30 de junio del corriente año."/>
    <s v="Se observa ejecución de la actividad mediante la Relación de Ingresos de Contado- Ventas correspondiente al periodo de julio-septiembre de 2021."/>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1"/>
    <n v="5530"/>
    <n v="0"/>
    <n v="0"/>
    <n v="0"/>
    <n v="5530"/>
    <n v="573"/>
    <s v="En este periodo se ejecutaron 573 tramites de oficina, por la falta de organizaciòn, espacio fisico de los archivos de la extintas unidades operativas de catastro y por falta de personal contratado la cantidad de tramite no fue mayor."/>
    <n v="1883"/>
    <s v="En este periodo se ejecutaron 1.883 trámites de oficina, provenientes de registro y las solicitudes recibidas por ventanilla, para un avance del 44. 41% de la meta en lo corrido de la vigencia."/>
    <n v="1806"/>
    <s v="En este periodo se ejecutaron 1.806 trámites de oficina, provenientes de registro y las solicitudes recibidas por ventanilla, para un avance del 77.07% de la meta en lo corrido de la vigencia."/>
    <m/>
    <m/>
    <n v="4262"/>
    <d v="2021-04-14T00:00:00"/>
    <d v="2021-07-10T00:00:00"/>
    <d v="2021-10-13T00:00:00"/>
    <m/>
    <n v="0.77070524412296559"/>
    <s v=""/>
    <s v=""/>
    <s v=""/>
    <n v="0"/>
    <s v="Concepto Favorable"/>
    <s v="Concepto Favorable"/>
    <s v="Concepto Favorable"/>
    <m/>
    <s v="Reporte aprobado"/>
    <s v="L a DT relaciona los tramites durante el trimestre"/>
    <s v="De acuerdo a las evidencias se verifica que realizaron 1806 tramites de oficina"/>
    <m/>
    <x v="0"/>
    <x v="0"/>
    <x v="0"/>
    <x v="0"/>
    <s v="Se evidencia en pantallazo de SNC la sumade 1.148 trámite de oficina y terreno a 31 de marzo de 2021."/>
    <s v="Se reporta la ejecución de 1883 tramites de oficina en el segundo trimestre, lo cual se observa con las evidencias aportadas (Excel tramitadas SNC segundo trimestre 2021, Informes tramitadas Cesar abril, mayo y junio 2021, entre otros). "/>
    <s v="Se evidencia reporte de tramites de oficina para el tercer trimestre de 1806 realizados."/>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1"/>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n v="1116"/>
    <s v="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
    <n v="2946"/>
    <s v="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
    <m/>
    <m/>
    <n v="4786"/>
    <d v="2021-04-14T00:00:00"/>
    <d v="2021-07-10T00:00:00"/>
    <d v="2021-10-13T00:00:00"/>
    <m/>
    <n v="0.50251994960100799"/>
    <s v=""/>
    <s v=""/>
    <s v=""/>
    <n v="0"/>
    <s v="Concepto Favorable"/>
    <s v="Concepto Favorable"/>
    <s v="Concepto Favorable"/>
    <m/>
    <s v="Muy buena ejecucion en terreno"/>
    <s v="Se anexan evidencias de los tramites de terreno elaborados"/>
    <s v="La DT realizó tramites de terreno por 2946 en cobol y por el SNC según los reportes"/>
    <m/>
    <x v="2"/>
    <x v="0"/>
    <x v="0"/>
    <x v="0"/>
    <s v="Nota:  No  pude observar la evidencia, pués viene vacío el archivo.  "/>
    <s v="Se observa ejecución de la actividad en excel tramitadas SNC segundo trimestre 2021."/>
    <s v="Se evidencia reporte de tramites de terreno para el tercer trimestre de 2946 realizados."/>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1"/>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n v="18"/>
    <s v="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
    <n v="52"/>
    <s v="Durante este periodo se realizaron 52 avalúos, la mayoría del proceso de restitución de tierras, para un avance del 80% de la meta en lo corrido del año."/>
    <m/>
    <m/>
    <n v="72"/>
    <d v="2021-04-14T00:00:00"/>
    <d v="2021-07-10T00:00:00"/>
    <d v="2021-10-13T00:00:00"/>
    <m/>
    <n v="0.8"/>
    <s v=""/>
    <s v=""/>
    <s v=""/>
    <n v="0"/>
    <s v="Concepto Favorable"/>
    <s v="Concepto No Favorable"/>
    <s v="Concepto Favorable"/>
    <m/>
    <s v="Reporte aprobado"/>
    <s v="En la evidencia no aparece la relacion de los 18 avaluos realizados en el trimestre"/>
    <s v="Se registra la realizacion de los 52 avalúos"/>
    <m/>
    <x v="0"/>
    <x v="0"/>
    <x v="0"/>
    <x v="0"/>
    <s v="De 35 avalúos recibidos se observa que dos han realizado en el primer trimestre de 2021."/>
    <s v="Se observa ejecución de la actividad con soporte excel segundo trimestre-Junio Relación avaluos realizados 2021 en el que se reporta avance del 22.22% por 18 avaluos realizados. "/>
    <s v="Se evidencia reporte de avalúos donde se han realizado 52 para el tercer trimestre."/>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1"/>
    <n v="1"/>
    <n v="0.25"/>
    <n v="0.25"/>
    <n v="0.25"/>
    <n v="0.25"/>
    <n v="0.2059"/>
    <s v="Durante este periodo se respondieron 14 solicitudes de regularización de la ley 1561 y 1564 de 2012 de las 17 recibidas, esto debido al cambio de sistema de correspondencia, a la implementación, parametrización y fallas presentadas."/>
    <n v="0.3"/>
    <s v="Durante este periodo se respondieron 42 solicitudes de regularización de la ley 1561 y 1564 de 2012, y además 4 del periodo anterior para un total de 46 finalizadas, todavía se presentan fallas en el SIGAC, que nos hacen más dispendiosa esta labor."/>
    <n v="0.25"/>
    <s v="Durante este periodo se respondieron 53 solicitudes de regularización de la ley 1561 y 1564 de 2012, de las 57 recibidas, todavía se presentan fallas en el SIGAC, que nos hacen más dispendiosa esta labor."/>
    <m/>
    <m/>
    <n v="0.75590000000000002"/>
    <d v="2021-04-14T00:00:00"/>
    <d v="2021-07-12T00:00:00"/>
    <d v="2021-10-13T00:00:00"/>
    <m/>
    <n v="0.75590000000000002"/>
    <n v="0.8236"/>
    <n v="1"/>
    <n v="1"/>
    <n v="0"/>
    <s v="Concepto Favorable"/>
    <s v="Concepto Favorable"/>
    <s v="Concepto Favorable"/>
    <m/>
    <s v="Aprobado"/>
    <s v="Realizaron relacion de las solicitudes atendidas"/>
    <s v="Realizan un buen informe sobre la atencion a las solicitudes de regularizacion de la propiedad"/>
    <m/>
    <x v="2"/>
    <x v="0"/>
    <x v="0"/>
    <x v="0"/>
    <s v="De esta actividad no se pudo observar evidencia en el archivo adjunto no hay nada. "/>
    <s v="Se observa ejecución de la actividad con los soportes aportados (6 reportes excel de regularización de la propiedad y 3 correos de respuesta sobre pertenencia, otorgados en abril, mayo y junio 2021). "/>
    <s v="Se evidencia informe de solicitudes de regularización donde se han recibido 57 y quedan 4 por atender."/>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1"/>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n v="0.21"/>
    <s v="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
    <n v="0.25"/>
    <s v="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
    <m/>
    <m/>
    <n v="0.67609999999999992"/>
    <d v="2021-04-14T00:00:00"/>
    <d v="2021-07-13T00:00:00"/>
    <d v="2021-10-13T00:00:00"/>
    <m/>
    <n v="0.67609999999999992"/>
    <n v="0.86439999999999995"/>
    <n v="0.84"/>
    <n v="1"/>
    <n v="0"/>
    <s v="Concepto Favorable"/>
    <s v="Concepto Favorable"/>
    <s v="Concepto Favorable"/>
    <m/>
    <s v="aprobado el reporte"/>
    <s v="Cumple con la actividad"/>
    <s v="La DT ha atendido las solicitudes dentro de la politica de restitucion de tierras"/>
    <m/>
    <x v="0"/>
    <x v="0"/>
    <x v="3"/>
    <x v="0"/>
    <s v="SE evidencia con relación avalúos a marzo 31 de 2021."/>
    <s v="Se observa ejecución de la actividad con la evidencia aportada (Informe corte 30 junio 2021 sobre solicitudes respondidas)."/>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1"/>
    <n v="1"/>
    <n v="0.25"/>
    <n v="0.25"/>
    <n v="0.25"/>
    <n v="0.25"/>
    <n v="0.151"/>
    <s v="Durante este periodo se respondieron 238 solicitudes de las 394 recibidas, esto debido al cambio de sistema de correspondencia, a la implementación, parametrización, fallas presentadas y falta de personal de apoyo."/>
    <n v="0.14000000000000001"/>
    <s v="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
    <n v="0.18"/>
    <s v="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
    <m/>
    <m/>
    <n v="0.47099999999999997"/>
    <d v="2021-04-14T00:00:00"/>
    <d v="2021-07-13T00:00:00"/>
    <d v="2021-10-13T00:00:00"/>
    <m/>
    <n v="0.47100000000000003"/>
    <n v="0.60399999999999998"/>
    <n v="0.56000000000000005"/>
    <n v="0.72"/>
    <n v="0"/>
    <s v="Concepto Favorable"/>
    <s v="Concepto Favorable"/>
    <s v="Concepto Favorable"/>
    <m/>
    <s v="Se recomienda ponerse al dia"/>
    <s v="Se observa relacion de las PQRS atendidos en el trimestre"/>
    <s v="La DT ha venido atendiendo las solicitudes recibidas sobre informacion a los ususarios"/>
    <m/>
    <x v="0"/>
    <x v="0"/>
    <x v="1"/>
    <x v="0"/>
    <s v="Se evidencia que de 394 recibidas se respondieron  238 solicitudes en este periodo se "/>
    <s v="Se observa ejecución de la actividad mediante Informe PQRD emitido por la Territorial al corte 30/06/2021 y excel reportes solicitudes PQRSD abril, mayo, junio 2021. Se recomienda evacuar la totalidad de peticiones represadas para el próximo trimestre."/>
    <s v="Se evidencia reportes de atención de PQRs donde se observa que se atendieron en los términos legales el 72.63% de las PQRs recibidas."/>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1"/>
    <n v="1"/>
    <n v="0.25"/>
    <n v="0.25"/>
    <n v="0.25"/>
    <n v="0.25"/>
    <n v="0.25"/>
    <s v="Durante este periodo se realizaron y se firmaron las actas de los comités Coppast y convivencia y se reportaron al GIT de talento humano el día  07/04/2021 a las 22:40 y el día 17/02/2021 a las 15:02, respectivamente."/>
    <n v="0.25"/>
    <s v="Durante este periodo se realizaron las respectivas reuniones y se firmaron las actas de los comités Coppast y convivencia, y se cargaron al DRIVE dispuesto para ello."/>
    <n v="0.25"/>
    <s v="Durante este periodo se realizaron las respectivas reuniones y se firmaron las actas de los comités Coppast y convivencia, y se cargaron al DRIVE dispuesto para ello. "/>
    <m/>
    <m/>
    <n v="0.75"/>
    <d v="2021-04-14T00:00:00"/>
    <d v="2021-07-13T00:00:00"/>
    <d v="2021-10-13T00:00:00"/>
    <m/>
    <n v="0.75"/>
    <n v="1"/>
    <n v="1"/>
    <n v="1"/>
    <n v="0"/>
    <s v="Concepto Favorable"/>
    <s v="Concepto Favorable"/>
    <s v="Concepto Favorable"/>
    <m/>
    <s v="Reporte aprobado"/>
    <s v="La Dt realizó las reuniones y actas de los comites de Coppast y convivencia"/>
    <s v="realizaron reuniones de coppast y de convivencia"/>
    <m/>
    <x v="0"/>
    <x v="0"/>
    <x v="0"/>
    <x v="0"/>
    <s v="Se evidencias actas de comites de reunión de los meses de enero, febrero y marzo del corriente año (FM20100-01/17.V1)"/>
    <s v="Se evidencia acta Comite Convivencia del 25/05/2021 y registro de asistencia, actas Comité Copasst de abril, mayo y junio 2021 y sus respectivos registros de asistencia.  "/>
    <s v="Se evidencia actas de COPASST de los meses de Julio, agosto y septiembre y acta de comité de convivencia laboral."/>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1"/>
    <n v="1"/>
    <n v="0.25"/>
    <n v="0.25"/>
    <n v="0.25"/>
    <n v="0.25"/>
    <m/>
    <m/>
    <n v="0.7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
    <n v="0.2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
    <m/>
    <m/>
    <n v="1"/>
    <m/>
    <d v="2021-07-14T00:00:00"/>
    <d v="2021-10-13T00:00:00"/>
    <m/>
    <n v="1"/>
    <n v="0"/>
    <n v="1"/>
    <n v="1"/>
    <n v="0"/>
    <s v="Concepto No Favorable"/>
    <s v="Concepto Favorable"/>
    <s v="Concepto Favorable"/>
    <m/>
    <s v="No hubo reporte"/>
    <s v="se oberva en la evidencia que se desarrollaron las actividades de esta actividad 10"/>
    <s v="Lo reportado en el avance se evidencia en los registros cargados para la actividad"/>
    <m/>
    <x v="2"/>
    <x v="0"/>
    <x v="0"/>
    <x v="0"/>
    <s v="No se evidencia reporte"/>
    <s v="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
    <s v="Se evidencia listado de asistencia y registros fotográficos de participación ciudadana, también se observa video de simulacro de autoprotección."/>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1"/>
    <n v="244044037.19724238"/>
    <n v="48187520.591246814"/>
    <n v="62466932.380238384"/>
    <n v="63598747.878198795"/>
    <n v="69790836.347558379"/>
    <n v="34191991"/>
    <s v="Durante este periodo  se realizaron ventas por valor de $ 34.191.991,00, esta se realizaron en su gran mayoría de manera presencial, el porcentaje de venta de manera virtual fue muy bajo."/>
    <n v="27404109"/>
    <s v="Durante este periodo  se realizaron ventas por valor de $ 27.404.109, hubo un cierre de las oficinas por un brote de COVID, estas ventas se realizaron en su gran mayoría de manera presencial, el porcentaje de venta de manera virtual fue muy bajo."/>
    <n v="42809582"/>
    <s v="Durante este periodo  se realizaron ventas por valor de $ 42.809.582, estas ventas se realizaron en su gran mayoría de manera presencial, el porcentaje de venta de manera virtual fue muy bajo."/>
    <m/>
    <m/>
    <n v="104405682"/>
    <d v="2021-04-14T00:00:00"/>
    <d v="2021-07-13T00:00:00"/>
    <d v="2021-10-13T00:00:00"/>
    <m/>
    <n v="0.42781492717077435"/>
    <n v="0.70956111832429325"/>
    <n v="0.43869785109968645"/>
    <n v="0.67311988723405081"/>
    <n v="0"/>
    <s v="Concepto Favorable"/>
    <s v="Concepto Favorable"/>
    <s v="Concepto Favorable"/>
    <m/>
    <s v="aprobado el reporte"/>
    <s v="la DT realizo ventas por 27.404.109"/>
    <s v="Muy bueno el incremento en las ventas respecto a los periodos anteriores"/>
    <m/>
    <x v="0"/>
    <x v="0"/>
    <x v="1"/>
    <x v="0"/>
    <s v="Se validan reportes de relación de  ingresos del trimestre del presente año, por la suma de $34.191.991"/>
    <s v="Se observa ejecución de la actividad con la relación de ingresos de contado Ventas de abril, mayo y junio 2021."/>
    <s v="Se evidencia reportes de relación de ingresos del tercer trimestre del presente año, por la suma $ 42.809.582"/>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esar"/>
    <s v="Porcentaje"/>
    <s v="Recursos obtenidos por recuperación de cartera"/>
    <s v="Eficiencia"/>
    <n v="0.1"/>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n v="0.66"/>
    <s v="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
    <n v="0.04"/>
    <s v="Durante este periodo se solicitó nuevamente el pago de los $ 26.000.000 al municipio de Manaure y se procedió por parte del Secretario de Hacienda a realizar nuevamente el pago."/>
    <m/>
    <m/>
    <n v="0.95000000000000007"/>
    <d v="2021-04-14T00:00:00"/>
    <d v="2021-07-13T00:00:00"/>
    <d v="2021-10-13T00:00:00"/>
    <m/>
    <n v="0.95000000000000007"/>
    <n v="1"/>
    <n v="1"/>
    <n v="0.16"/>
    <n v="0"/>
    <s v="Concepto Favorable"/>
    <s v="Concepto Favorable"/>
    <s v="Concepto Favorable"/>
    <m/>
    <s v="Buena recuperacion de la cartera"/>
    <s v="La dt recupero cartera por $189.100.000 de la Jagua de Ibirico"/>
    <s v="se evidencia el pago de Manaure"/>
    <m/>
    <x v="0"/>
    <x v="0"/>
    <x v="0"/>
    <x v="0"/>
    <s v="Se validan $171.000.000 millones de pesos relcuperados de cartera "/>
    <s v="Se observa ejecución de la actividad con orden de pago 4695 municipio la Jagua de Ibirico y comprobante Banco de Bogotá. "/>
    <s v="Se evidencia pago realizado por el municipio de Manaure."/>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9.0909090909090912E-2"/>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
    <m/>
    <m/>
    <n v="0"/>
    <d v="2021-04-12T00:00:00"/>
    <d v="2021-07-09T00:00:00"/>
    <d v="2021-10-07T00:00:00"/>
    <m/>
    <n v="0"/>
    <s v=""/>
    <s v=""/>
    <s v=""/>
    <n v="0"/>
    <s v="Sin meta asignada en el periodo"/>
    <s v="Sin meta asignada en el periodo"/>
    <s v="Sin meta asignada en el periodo"/>
    <m/>
    <s v="Sin meta asignada en el periodo"/>
    <s v="Sin meta asignada en el periodo"/>
    <s v="no se presentan contratos en el periodo"/>
    <m/>
    <x v="1"/>
    <x v="1"/>
    <x v="2"/>
    <x v="0"/>
    <s v="Sin meta para el periodo"/>
    <s v="Sin meta asignada para el periodo "/>
    <s v="Sin meta asignada para el periodo "/>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9.0909090909090912E-2"/>
    <n v="4778"/>
    <n v="0"/>
    <n v="0"/>
    <n v="0"/>
    <n v="4778"/>
    <n v="1592"/>
    <s v="En el primer trimestre de 2021 la Territorial finalizó 1592 trámites de Oficina correspondientes a la vigengia 2021 y años anteriores. "/>
    <n v="1884"/>
    <s v="En el segundo trimestre de 2021 la Territorial finalizó 1.884 trámites de Oficina correspondientes a la vigengia 2021 y años anteriores. "/>
    <n v="1056"/>
    <s v="En el tercer trimestre de 2021 la Territorial finalizó 1.056 trámites de Oficina correspondientes a 1.042 la vigengia 2021 y  14 de las vigencias anteriores. "/>
    <m/>
    <m/>
    <n v="4532"/>
    <d v="2021-04-13T00:00:00"/>
    <d v="2021-07-13T00:00:00"/>
    <d v="2021-10-05T00:00:00"/>
    <m/>
    <n v="0.94851402260359985"/>
    <s v=""/>
    <s v=""/>
    <s v=""/>
    <n v="0"/>
    <s v="Concepto Favorable"/>
    <s v="Concepto Favorable"/>
    <s v="Concepto Favorable"/>
    <m/>
    <s v="El ejecutado (1592)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1592 trámites de Oficina"/>
    <s v="Se evidencia informe firmado de Trámites Finalizados de Oficina y Terreno, Vigencia y Años Anteriores - Segundo Trimestre 2021, donde se observa que que la Territorial finalizó 1.884  trámites de Oficina"/>
    <s v="Se evidencia reporte de trámites de oficina donde se realizaron 1056 para el tercer trimestre"/>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9.0909090909090912E-2"/>
    <n v="8072"/>
    <n v="0"/>
    <n v="0"/>
    <n v="0"/>
    <n v="8072"/>
    <n v="904"/>
    <s v="En el primer trimestre de 2021 la Territorial finalizó 904 trámites de Terreno correspondientes a la vigengia 2021 y años anteriores. "/>
    <n v="1716"/>
    <s v="En el segundo trimestre de 2021 la Territorial finalizó 1.716 trámites de Terreno correspondientes a la vigengia 2021 y años anteriores. "/>
    <n v="1066"/>
    <s v="En el tercer trimestre de 2021 la Territorial finalizó 1.066 trámites de Terreno correspondientes a 954 de la vigengia 2021 y 112 de vigencias anteriores. "/>
    <m/>
    <m/>
    <n v="3686"/>
    <d v="2021-04-13T00:00:00"/>
    <d v="2021-07-13T00:00:00"/>
    <d v="2021-10-05T00:00:00"/>
    <m/>
    <n v="0.45664023785926661"/>
    <s v=""/>
    <s v=""/>
    <s v=""/>
    <n v="0"/>
    <s v="Concepto Favorable"/>
    <s v="Concepto Favorable"/>
    <s v="Concepto Favorable"/>
    <m/>
    <s v="El ejecutado (904)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904 trámites de Terreno en el primer trimestre de 2021"/>
    <s v="Se evidencia informe firmado de Trámites Finalizados de Oficina y Terreno, Vigencia  - Segundo Trimestre 2021, donde se observa que que la Territorial finalizó 1.716 trámites."/>
    <s v="Se evidencia reporte de trámites de terreno donde se realizaron 1066 para el tercer trimestre."/>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9.0909090909090912E-2"/>
    <n v="40"/>
    <n v="0"/>
    <n v="0"/>
    <n v="0"/>
    <n v="40"/>
    <n v="6"/>
    <s v="En el primer trimestre se practicaron 6 avalúos comerciales, entregados oportunamente de acuerdo a los requerimientos del caso."/>
    <n v="9"/>
    <s v="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
    <n v="17"/>
    <s v="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
    <m/>
    <m/>
    <n v="32"/>
    <d v="2021-04-12T00:00:00"/>
    <d v="2021-07-14T00:00:00"/>
    <d v="2021-10-11T00:00:00"/>
    <m/>
    <n v="0.8"/>
    <s v=""/>
    <s v=""/>
    <s v=""/>
    <n v="0"/>
    <s v="Concepto Favorable"/>
    <s v="Concepto Favorable"/>
    <s v="Concepto Favorable"/>
    <m/>
    <s v="En el archivo adjunto se observan las seis solicitudes de avalúos comerciales en estado entregado"/>
    <s v="Las evidencias están acordes a lo reportado en el autoseguimiento de la territorial"/>
    <s v="se revisa la evidencia cumple con el producto esperado"/>
    <m/>
    <x v="0"/>
    <x v="0"/>
    <x v="0"/>
    <x v="0"/>
    <s v="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
    <s v="Las evidencias están acordes a lo reportado en el autoseguimiento de la territorial"/>
    <s v="Se evidencia reporte de avalúos realizados con 17 para el tercer trimestre."/>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9.0909090909090912E-2"/>
    <n v="1"/>
    <n v="0.25"/>
    <n v="0.25"/>
    <n v="0.25"/>
    <n v="0.25"/>
    <n v="0.25"/>
    <s v="En el primer trimestre de 2021 se recibieron y trámitaron 22 solicitudes en materia de regularización de la propiedad (Ley 1561 y Ley 1564 de 2012). Se anexa PDF."/>
    <n v="0.23"/>
    <s v="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
    <n v="0.24"/>
    <s v="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
    <m/>
    <m/>
    <n v="0.72"/>
    <d v="2021-04-12T00:00:00"/>
    <d v="2021-07-14T00:00:00"/>
    <d v="2021-10-07T00:00:00"/>
    <m/>
    <n v="0.72"/>
    <n v="1"/>
    <n v="0.92"/>
    <n v="0.96"/>
    <n v="0"/>
    <s v="Concepto Favorable"/>
    <s v="Concepto Favorable"/>
    <s v="Concepto Favorable"/>
    <m/>
    <s v="En la evidencia que se adjuntó se observa documento firmado por Ruth Martínez Gonzáles en el que se indica que se recibieron 22 solicitudes en materia de regularización de la propiedad, las cuales fueron tramitadas en su totalidad"/>
    <s v="Las evidencias están acordes a lo reportado en el autoseguimiento de la territorial"/>
    <s v="se revisa la evidencia cumple con el producto esperado"/>
    <m/>
    <x v="0"/>
    <x v="0"/>
    <x v="1"/>
    <x v="0"/>
    <s v="Se presenta como evidencia documento firmado por Ruth Patricia Martínez González, en el que se informa que se  recibieron y tramitaron 22 solicitudes en materia de regularización de la propiedad."/>
    <s v="Las evidencias están acordes a lo reportado en el autoseguimiento de la territorial "/>
    <s v="Las evidencias reportadas no coinciden con el periodo evaluado."/>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9.0909090909090912E-2"/>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n v="0.25"/>
    <s v="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
    <n v="0.22"/>
    <s v="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
    <m/>
    <m/>
    <n v="0.72"/>
    <d v="2021-04-12T00:00:00"/>
    <d v="2021-07-15T00:00:00"/>
    <d v="2021-10-12T00:00:00"/>
    <m/>
    <n v="0.72"/>
    <n v="1"/>
    <n v="1"/>
    <n v="0.88"/>
    <n v="0"/>
    <s v="Concepto Favorable"/>
    <s v="Concepto Favorable"/>
    <s v="Concepto Favorable"/>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s v="Las evidencias están acordes a lo reportado en el autoseguimiento de la territorial"/>
    <s v="se revisa evidencia cumple con el producto esperado"/>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s v="Las evidencias están acordes a lo reportado en el autoseguimiento de la territorial"/>
    <s v="Se evidencia reporte de solicitudes recibidas y atendidas."/>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9.0909090909090912E-2"/>
    <n v="1"/>
    <n v="0.25"/>
    <n v="0.25"/>
    <n v="0.25"/>
    <n v="0.25"/>
    <n v="0.24"/>
    <s v="En el primer semestre de 2021 se recibieron 336 Pqrs, se trámitaron 323. De las trece (13) peticiones pendientes, (3) están fuera del plazo legal y_x000d__x000a_(10) estan dentro del término legal."/>
    <n v="0.24"/>
    <s v="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
    <n v="0.24"/>
    <s v="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
    <m/>
    <m/>
    <n v="0.72"/>
    <d v="2021-04-12T00:00:00"/>
    <d v="2021-07-14T00:00:00"/>
    <d v="2021-10-07T00:00:00"/>
    <m/>
    <n v="0.72"/>
    <n v="0.96"/>
    <n v="0.96"/>
    <n v="0.96"/>
    <n v="0"/>
    <s v="Concepto No Favorable"/>
    <s v="Concepto Favorable"/>
    <s v="Concepto Favorable"/>
    <m/>
    <s v="En la evidencia que se adjuntó se observa documento firmado por Ruth Martínez Gonzáles en el que se indica la información reportada en el seguimiento, pero no se logra constatar de las 323 tramitadas cuántas se atendieron dentro de los plazos"/>
    <s v="Las evidencias están acordes a lo reportado en el autoseguimiento de la territorial"/>
    <s v="se revisa evidencia cumple con el producto esperado"/>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s v="Las evidencias están acordes a lo reportado en el autoseguimiento de la territorial"/>
    <s v="Se evidencia reporte de PQRs donde se recibieron 354 donde se tramitaron en tiempo Legal establecido:324, Tramitadas fuera de tiempo 18. Pendientes por tramitar 12 (4 dentro de los términos y 8 fuera de términos)."/>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9.0909090909090912E-2"/>
    <n v="1"/>
    <n v="0.25"/>
    <n v="0.25"/>
    <n v="0.25"/>
    <n v="0.25"/>
    <n v="0.25"/>
    <s v="Se realizó la reunión trimestral de comité de convivencia laboral y tres reuniones del Copasst, dando cumplimiento al 100% de las actividades programadas para el primer trimestre de 2021. Se Anexan evidencias."/>
    <n v="0.25"/>
    <s v="Se realizó la reunión trimestral de comité de convivencia laboral y tres reuniones del Copasst, dando cumplimiento al 100% de las actividades programadas para el Segundo trimestre de 2021. Se Anexan evidencias."/>
    <n v="0.25"/>
    <s v="Se realizó la reunión trimestral de comité de convivencia laboral y tres reuniones del Copasst, dando cumplimiento al 100% de las actividades programadas para el Tercer trimestre de 2021. Se Anexan evidencias."/>
    <m/>
    <m/>
    <n v="0.75"/>
    <d v="2021-04-12T00:00:00"/>
    <d v="2021-07-08T00:00:00"/>
    <d v="2021-10-12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s v="Las evidencias están acordes a lo reportado en el autoseguimiento de la territorial"/>
    <s v="se revisa evidencia cumple con el producto esperado"/>
    <m/>
    <x v="0"/>
    <x v="0"/>
    <x v="0"/>
    <x v="0"/>
    <s v="Se evidencian actas mensuales firmadas de reuniones del Copasst y un acta correspondiente al primer trimestre de 2021 de reunión del de comité de convivencia laboral."/>
    <s v="Se evidencian actas mensuales firmadas de reuniones del Copasst y un acta correspondiente al  comité de convivencia laboral."/>
    <s v="Se evidencian actas mensuales firmadas de reuniones del Copasst y un acta correspondiente al  comité de convivencia laboral."/>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9.0909090909090912E-2"/>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n v="0.25"/>
    <s v="En el Segundo trimestre de 2021 la territorial se dio cumplimiento a lo acordado en el acta del 06-01-2021 en lo atinente a las responsabilidades y rendición de cuentas en el SG-SST. Se anexan soportes en PDF con la información pertinente."/>
    <n v="0.25"/>
    <s v="En el tercer trimestre de 2021 la territorial se dio cumplimiento a lo acordado en el acta del 06-01-2021 en lo atinente a las responsabilidades y rendición de cuentas en el SG-SST. Se anexan soportes en PDF con la información pertinente."/>
    <m/>
    <m/>
    <n v="0.75"/>
    <d v="2021-04-14T00:00:00"/>
    <d v="2021-07-08T00:00:00"/>
    <d v="2021-10-12T00:00:00"/>
    <m/>
    <n v="0.75"/>
    <n v="1"/>
    <n v="1"/>
    <n v="1"/>
    <n v="0"/>
    <s v="Concepto Favorable"/>
    <s v="Concepto Favorable"/>
    <s v="Concepto Favorable"/>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
    <s v="Las evidencias están acordes a lo reportado en el autoseguimiento de la territorial"/>
    <s v="se revisa evidencia cumple con el producto esperado"/>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s v="Las evidencias están acordes a lo reportado en el autoseguimiento de la territorial, tales como la responsabilidades y rendición de cuentas en el SG-SST."/>
    <s v="Se evidencia informe SG - SST del tercer trimestre."/>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9.0909090909090912E-2"/>
    <n v="471432492.01579696"/>
    <n v="93086326.456865847"/>
    <n v="120670604.94002855"/>
    <n v="122856991.4907244"/>
    <n v="134818569.12817818"/>
    <n v="65263147"/>
    <s v="En el primer trimestre de 2021 las ventas de la Territorial incluyendo la OUC de San Andres Isla, ascendieron a: 65.263.147 pesos m/cte, discriminadas así: Enero: 20.136.689, Febrero: 25.086.948, Marzo: 20.039.510. Se anexan los soportes en formato PDF."/>
    <n v="47748497"/>
    <s v="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
    <n v="51922819"/>
    <s v="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
    <m/>
    <m/>
    <n v="164934463"/>
    <d v="2021-04-12T00:00:00"/>
    <d v="2021-07-15T00:00:00"/>
    <d v="2021-10-14T00:00:00"/>
    <m/>
    <n v="0.34985807256253626"/>
    <n v="0.70110347549531349"/>
    <n v="0.39569286176803603"/>
    <n v="0.4226281172115478"/>
    <n v="0"/>
    <s v="Concepto Favorable"/>
    <s v="Concepto Favorable"/>
    <s v="Concepto Favorable"/>
    <m/>
    <s v="En los archivos adjuntos se observa la discriminación de las ventas de la sede territorial y de la UOC San Andrés por cada mes"/>
    <s v="Las evidencias están acordes a lo reportado en el autoseguimiento de la territorial"/>
    <s v="se revisa evidencia cumple con el producto esperado"/>
    <m/>
    <x v="0"/>
    <x v="0"/>
    <x v="0"/>
    <x v="0"/>
    <s v="Se evidencian archivos mensuales con las ventas de la Territorial incluyendo la UOC de San Andres Isla. No es posible establecer cual es la meta programada para cada trimestre."/>
    <s v="Las evidencias están acordes a lo reportado en el autoseguimiento de la territorial"/>
    <s v="Se evidencian reportes mensuales con las ventas de la Territorial donde el monto por esto fue de $ 51.922.819."/>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órdoba"/>
    <s v="Porcentaje"/>
    <s v="Recursos obtenidos por recuperación de cartera"/>
    <s v="Eficiencia"/>
    <n v="9.0909090909090912E-2"/>
    <n v="1"/>
    <n v="0.25"/>
    <n v="0.25"/>
    <n v="0.25"/>
    <n v="0.25"/>
    <n v="0"/>
    <s v="Para el primer trimestre de 2021 en la Territorial no hay procesos en curso de recuperación de Cartera."/>
    <n v="0"/>
    <s v="Para el  Segundo de 2021 en la Territorial no hay procesos en curso de recuperación de Cartera. Se anexa soporte de cartera por edades."/>
    <n v="0"/>
    <s v="Para el  tercer trimestre de 2021 en la Territorial no hay procesos en curso de recuperación de Cartera. Se anexa soporte de cartera por edades."/>
    <m/>
    <m/>
    <n v="0"/>
    <d v="2021-04-12T00:00:00"/>
    <d v="2021-07-13T00:00:00"/>
    <d v="2021-10-13T00:00:00"/>
    <m/>
    <n v="0"/>
    <n v="0"/>
    <n v="0"/>
    <n v="0"/>
    <n v="0"/>
    <s v="Sin meta asignada en el periodo"/>
    <s v="Sin meta asignada en el periodo"/>
    <s v="Concepto Favorable"/>
    <m/>
    <s v="Sin meta asignada en el periodo"/>
    <s v="Sin meta asignada"/>
    <s v="se revisa evidencia cumple con el producto esperado"/>
    <m/>
    <x v="1"/>
    <x v="1"/>
    <x v="0"/>
    <x v="0"/>
    <s v="No hay meta programada para el periodo"/>
    <s v="Sin meta asignada "/>
    <s v="No hay procesos en curso de recuperación de Cartera."/>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1"/>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5726"/>
    <s v="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
    <n v="8756"/>
    <s v="Para el tercer trimestre del 2021 se tramitaron en la Dirección Territorial  Cundinamarca se adelantaron 8756 mutaciones de oficina, con el resultado anterior a la fecha la Territorial cundinamarca Cumple con la meta propuesta para el año 2021"/>
    <m/>
    <m/>
    <n v="16959"/>
    <d v="2021-04-14T00:00:00"/>
    <d v="2021-07-15T00:00:00"/>
    <d v="2021-10-14T00:00:00"/>
    <m/>
    <n v="1"/>
    <s v=""/>
    <s v=""/>
    <s v=""/>
    <n v="0"/>
    <s v="Concepto Favorable"/>
    <s v="Concepto Favorable"/>
    <s v="Concepto Favorable"/>
    <m/>
    <s v="Se observa que durante el primer trimestre de 2021  la DT avanzó en los Tramites de conservación Catastral realizados (mutaciones de Oficina)"/>
    <s v="Se observa que durante el segundo trimestre de 2021  la DT avanzó en los Tramites de conservación Catastral realizados (mutaciones de Oficina)"/>
    <s v="De acuerdo con las evidencias, se observa que durante el tercer trimestre se adelantaron 8756 mutaciones de oficina"/>
    <m/>
    <x v="0"/>
    <x v="0"/>
    <x v="0"/>
    <x v="0"/>
    <s v="Se evidencian informes del SIC con las mutaciones tramitadas por la D.T Cundinamarca en los meses de enero, febrero y marzo. Tambien se presenta archivo Excel con mutaciones tramitadas en 2021 por la D.T. Se reportan 2477 mutaciones de oficina tramitadas por la D.T Cundinamarca"/>
    <s v="Se evidencian informes del SIC con las mutaciones tramitadas por la D.T Cundinamarca en los meses de ABRIL, MAYO Y JUNIO . Tambien se presenta archivo Excel con mutaciones tramitadas en 2021 por la D.T. Se reportan 5726 mutaciones de oficina tramitadas por la D.T Cundinamarca"/>
    <s v="En Archivo &quot;CONSOLIDADO DE AVANCE EN LAS METAS DE MUTACIONES PARA LA DIRECCION TERRITORIAL CUNDINAMARCA 2021&quot; se evidencia que a la fecha la Territorial cundinamarca Cumple Con la meta determinada para el año 2021 de 15284 y una ejecucion consolidada al cuarto trimestre de 16959 trámites de Conservación Catastral cumpliendo la meta para el periodo vigente."/>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1"/>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12416"/>
    <s v="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
    <n v="3060"/>
    <s v="Para el tercer trimestre la territorial adelantó 3060 mutaciones de terreno, es importante notar que para este período de tiempo se han tenido suspensiones de terminos por la entrada en vigencia del sistema Nacional Catastrañ"/>
    <m/>
    <m/>
    <n v="21066"/>
    <d v="2021-04-14T00:00:00"/>
    <d v="2021-07-15T00:00:00"/>
    <d v="2021-10-14T00:00:00"/>
    <m/>
    <n v="0.479012233389422"/>
    <s v=""/>
    <s v=""/>
    <s v=""/>
    <n v="0"/>
    <s v="Concepto Favorable"/>
    <s v="Concepto Favorable"/>
    <s v="Concepto Favorable"/>
    <m/>
    <s v="Se observa que la DT avanzó en los Tramites de terreno (mutaciones de terreno) durante el primer trimestre de 2021"/>
    <s v="Se observa que la DT avanzó en los Tramites de terreno (mutaciones de terreno) durante el segundo trimestre de 2021"/>
    <s v="De acuerdo con las evidencias, se observa que durante el tercer trimestre se adelantaron 3060 mutaciones de terreno"/>
    <m/>
    <x v="0"/>
    <x v="0"/>
    <x v="0"/>
    <x v="0"/>
    <s v="Se evidencian informes del SIC con las mutaciones tramitadas por la D.T Cundinamarca en los meses de enero, febrero y marzo. Tambien se presenta archivo Excel con mutaciones tramitadas en 2021 por la D.T. Se reportan 5590 mutaciones de terreno tramitadas por la D.T Cundinamarca"/>
    <s v="Se evidencian informes del SIC con las mutaciones tramitadas por la D.T Cundinamarca en los meses de abril, mayo y junio . Tambien se presenta archivo Excel con mutaciones tramitadas en 2021.                                "/>
    <s v="En archivo &quot;CONSOLIDADO DE AVANCE EN LAS METAS DE MUTACIONES PARA LA DIRECCION TERRITORIAL CUNDINAMARCA 2021&quot;  Se identifica que durante el tercer trimestre se realizaronc tramitaron 3060 mutaciones de terreno de Conservación Catastral. "/>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1"/>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n v="0"/>
    <s v="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
    <n v="17"/>
    <s v="Se adelantan 17 visitas efectivas a los inmuebles objeto de restitución de tierras se anexa cuadro oficial de seguimiento y citaciones a reunion con el grupo de peritos avaluadores adscritos a la territorial"/>
    <m/>
    <m/>
    <n v="17"/>
    <d v="2021-04-14T00:00:00"/>
    <d v="2021-07-15T00:00:00"/>
    <d v="2021-10-13T00:00:00"/>
    <m/>
    <n v="0.42499999999999999"/>
    <s v=""/>
    <s v=""/>
    <s v=""/>
    <n v="0"/>
    <s v="Sin meta asignada en el periodo"/>
    <s v="Sin meta asignada en el periodo"/>
    <s v="Concepto Favorable"/>
    <m/>
    <s v="Sin meta asignada en el periodo"/>
    <s v="se verifican evidencias presentadas por la territorial"/>
    <s v="De acuerdo con las evidencias, se observa que durante el tercer trimestre se realizaron 17 visitas efectivas a los inmuebles objeto de restitución de tierras "/>
    <m/>
    <x v="1"/>
    <x v="0"/>
    <x v="0"/>
    <x v="0"/>
    <s v="Se presenta como evidencia documento firmado por el responsable de Gestión Catastral en la D.T Cundinamarca, en el que se informa que no se  recibieron solicitudes de elaboración de avalúos comerciales"/>
    <s v="Se evidencia seguimiento a los tramites de avaluo, sin embargo no hay meta registrada para este periodo "/>
    <s v="Con archivo excel &quot;CUADRO AVALUOS OFICIAL 2021&quot;  Se identifica en la columna Observaciones -Aclaraciones, se evidencia que se han realizado 17 visitas a inmuebles objeto de restitución de tierras, igualmente se carga como evidencia 7 imagenes de convocatorias a reuniones de seguiiento pero no las actas correspondientes y no se puede validar su realización                                                                                                                                                                                                                                                                                                                                                                                                                                                      "/>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1"/>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terecr trimestre se atendieron 4 solicitudes en el marco de la Ley 1561 y 1564 de 2012. se anexan las facturas de los tramites"/>
    <m/>
    <m/>
    <n v="0.75"/>
    <d v="2021-04-14T00:00:00"/>
    <d v="2021-07-15T00:00:00"/>
    <d v="2021-10-13T00:00:00"/>
    <m/>
    <n v="0.75"/>
    <n v="1"/>
    <n v="1"/>
    <n v="1"/>
    <n v="0"/>
    <s v="Sin meta asignada en el periodo"/>
    <s v="Concepto Favorable"/>
    <s v="Concepto Favorable"/>
    <m/>
    <s v="Se observa que no han recibido solicitudes en materia de regularización de la propiedad (Ley 1561 y Ley 1564 de 2012)"/>
    <s v="Se observa que no han recibido solicitudes en materia de regularización de la propiedad (Ley 1561 y Ley 1564 de 2012)"/>
    <s v="De acuerdo con la evidencia, se observa que durante el tercer trimestre se atendieron 4 solicitudes en el marco de la Ley 1561 y 1564 de 2012"/>
    <m/>
    <x v="1"/>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s v="Conforme a lo manifestado por la Dirrecion Territorial no se han recibido solicitudes de trámites en el marco de la Ley 1561 y 1564 de 2012."/>
    <s v="Para el tercer trimestre Se cumple con la actividad en la que se evidencia la  atención de 4 solicitudes:  FACTURA 10-002-129674 NUMERO DE ORDEN 75483 de 29-09-2021- producto 31, FACTURA 10-002 129513 NUMERO DE ORDEN 75308 del 17-09-2021- producto 31, FACTURA 10-002 128633 NUMERO DE ORDEN 74246 del 21-07-2021- producto 31, FACTURA 10-002-129674 NUMERO DE ORDEN 75483 del 29-09-2021- producto 31 (marco de la Ley 1561 y 1564 de 2012)"/>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1"/>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n v="0.25"/>
    <s v="A la fecha se han adelantado las dos reuniones trimestrales obligatorias, se anexan como evidencia los cuadros de seguimeinto a los tramites; 142 de los municipios cuyo gestor catastral es la Gobernacion de Cundinamarca, 108 tramites de los municipios a cargo de la territorial."/>
    <n v="0.25"/>
    <s v="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Se observa que la DT realizó seguimiento para el cumplimiento de la Política de Restitución de Tierras y Ley de Víctimas durante el segundo trimestre de 2021"/>
    <s v="De acuerdo con las evidencias, se observa que durante el tercer trimestre se realizó seguimiento a los procesos de avalúos que estan a cargo de la Dirección territorial en el marco de los procesos de restitución de tierras"/>
    <m/>
    <x v="0"/>
    <x v="0"/>
    <x v="0"/>
    <x v="0"/>
    <s v="Se evidencian archivos Excel donde se reporta la atención de 125 solicitudes recibidas para el cumplimiento de la Política de Restitución de Tierras y Ley de Víctimas. No es posible verificar la atención de estas solicitudes en los términos de ley."/>
    <s v="Se evidencia el seguimiento realizado por la DT para el cumplimiento de la Política de Restitución de Tierras y Ley de Víctimas durante el segundo trimestre de 2021."/>
    <s v="Con Acta de reunión de comité restitución de tierras 2021-09-30 y con archivo Excel  – “Cuadro avalúos oficial 2021” Se evidencia cumplimiento de la actividad"/>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1"/>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n v="0.25"/>
    <s v="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
    <n v="0.25"/>
    <s v="Se cargan como evidencias los cuadros de seguimiento ER para toda la territorial, así mismo el consolidado de solicitudes radicadas al correo dtcundi@igac.gov.co; se anexan memorandos de felicitación y quejas a funcionarios"/>
    <m/>
    <m/>
    <n v="0.75"/>
    <d v="2021-04-14T00:00:00"/>
    <d v="2021-07-15T00:00:00"/>
    <d v="2021-10-13T00:00:00"/>
    <m/>
    <n v="0.75"/>
    <n v="1"/>
    <n v="1"/>
    <n v="1"/>
    <n v="0"/>
    <s v="Concepto Favorable"/>
    <s v="Concepto Favorable"/>
    <s v="Concepto Favorable"/>
    <m/>
    <s v="Se observa que la DT realizó seguimiento durante el primer trimestre para atender oportunamente las PQRS"/>
    <s v="Se observa que la DT realizó seguimiento durante el segundo trimestre para atender oportunamente las PQRS"/>
    <s v="De acuerdo con las evidencias se observa  seguimiento de peticiones recibidas, felicitaciones y quejas"/>
    <m/>
    <x v="2"/>
    <x v="0"/>
    <x v="0"/>
    <x v="0"/>
    <s v="Se observa que se presentan informes de SIGAC de PQRDS asignadas por funcionario y el estado en el que se encuentran, pero no se está realizando el seguimiento establecido en el control, con el fin de garantizar la atención de las PQRs en los términos de ley."/>
    <s v="Se evidencia  seguimiento durante el segundo trimestre con el reporte de los trámites relacionados con PQRDS que han sido asignados por funcionario y el estado en el que se encuentran.  "/>
    <s v="Tenniendo en cuenta las evidencias: Archivo Excel de los cuadros de seguimiento ER para toda la territorial en el que se observa el seguimiento para los meses julio, agosto, septiembre, así mismo el consolidado de la RELACION de las radicadas al correo dtcundi@igac.gov.co; igualmente anexan memorandos con el asunto “quejas por la atención prestada a los usuarios en la ventanilla de atención de la territorial Cundinamarca” del 15/09 del 2021 y el memorando con asunto Reconocimiento a su Labor  del  29/09/2021. Se observa el cumplimiento de la actividad"/>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1"/>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n v="0.25"/>
    <s v="Se cargan como evidencias las 3 convocatorias y 3 actas del las reuniones del COPASST correspondientes a los meses de enero, Abril y Junio del 2021. Igualmente el acta del Comité de Convivencia Laboral realizado en Junio. "/>
    <n v="0.25"/>
    <s v="Se cargan como evidencias las 3 actas del las reuniones del COPASST correspondientes a los meses de Julio, Agosto  y Septiembre del 2021. Igualmente el acta del Comité de Convivencia Laboral realizado en marzo. Responsable: Luis Carlos Ramírez"/>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Se observa que durante el segundo trimestre la DT cumplió con la entrega de las actas de los comités (Copasst y Comité de convivencia) al GIT Gestión del Talento Humano"/>
    <s v="De acuerdo con las evidencias, se observa que durante el tercer trimestre se realizaron las Actas de Copasst mensuales y el Acta de Convivencia Laboral realizado en septiembre 30"/>
    <m/>
    <x v="0"/>
    <x v="0"/>
    <x v="0"/>
    <x v="0"/>
    <s v="Se evidencian actas mensuales firmadas de reuniones del Copasst y un acta correspondiente al primer trimestre de 2021 de reunión del de comité de convivencia laboral."/>
    <s v="Se evidencian 3  actas  firmadas de reuniones del Copasst y un acta correspondiente del  segundo trimestre de 2021 del comité de convivencia laboral."/>
    <s v="Con actas de reunión de comité- COPASTT de 2021 - 08 – 27, 2021 - 09 – 30 y COMITÉS: Territorial de apoyo a la gestión institucional de la política de atención y reparación integral de víctimas y tierras. de 2021 - 09- 30, 2021 - 09- 30, se cumple actividad, sin embargo se sugiere para proximas ocasiones verificar los archivos que se cargan como evidencia ya que no son los que describen en la Observación autoseguimiento Territorial."/>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1"/>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n v="0.25"/>
    <s v="Como cumplimiento a las obligaciones ,se reportan los casos postivos para Covid -19 total 8 contagios de los cuales 2 hospitalizaciones, En la carpeta de actividad 9 se cargan las actas correspondientes."/>
    <n v="0.25"/>
    <s v="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
    <s v="Se observa que se atendieron las responsabilidades y rendición de cuentas en el SG - SST por parte de la DT durante el segundo trimestre. "/>
    <s v="De acuerdo con las evidencias, se observa que durante el tercer trimestre se atendieron actividades relacionadas con el SGSST"/>
    <m/>
    <x v="0"/>
    <x v="0"/>
    <x v="0"/>
    <x v="0"/>
    <s v="Se observa el cumplimiento de la  rendición de cuentas del SG-SST . Se evidencian reportes hechos a Talento Humano. "/>
    <s v="Se evidencia el cumplimiento de la  rendición de cuentas del SG-SST . Se evidencian reportes de casos  de covid a Talento Humano. "/>
    <s v="Con registro de asistencia del 27/07-2021 (donde no se registra el tema a desarrollar y en la cual no se encuentra acta, por lo que se sugiere para el próximo periodo mejorar el diligenciamiento del formato ya que tiene campos vacíos)  y con el registro de incapacidad  por enfermedad general de Isaías Fonseca Mendoza del 21/09 y 22/09 del 2021"/>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1"/>
    <n v="429679945.57058656"/>
    <n v="84842110.721574351"/>
    <n v="109983380.10368578"/>
    <n v="111976128.73686185"/>
    <n v="122878326.00846455"/>
    <n v="33109583"/>
    <s v="Para el primer trimestre del 2021, la Dirección Territorial de Cundinamarca obtuvo ingresos totales por la venta de productos y servicios de $ 33.109.583. Se cargan como evidencias los informes de ventas de contado de enero a marzo. Responsable: Amanda Bernal"/>
    <n v="32805866"/>
    <s v="Para el segundo trimestre se reporta un total en ventas por valor de 32'805.866. Se cargan como evidencias, los informes para los meses de Abril, Mayo y Junio"/>
    <n v="46301901"/>
    <s v="Para el tercer trimestre se reporta un total en ventas por valor de 46'301.901. Se cargan como evidencias, los informes para los meses de Julio. Agosto y Septiembre"/>
    <m/>
    <m/>
    <n v="112217350"/>
    <d v="2021-04-14T00:00:00"/>
    <d v="2021-07-15T00:00:00"/>
    <d v="2021-10-13T00:00:00"/>
    <m/>
    <n v="0.26116496977996678"/>
    <n v="0.39024940231220134"/>
    <n v="0.29828021260187298"/>
    <n v="0.41349796177368381"/>
    <n v="0"/>
    <s v="Concepto Favorable"/>
    <s v="Concepto Favorable"/>
    <s v="Concepto Favorable"/>
    <m/>
    <s v="Se observa que la DT recibió ingresos por la venta de bienes y servicios durante el primer trimestre"/>
    <s v="Se observa que la DT recibió ingresos por la venta de bienes y servicios durante el segundo trimestre"/>
    <s v="De acuerdo con los informes de ventas para los meses de Julio. Agosto y Septiembre, la DT reporta los ingresos por ventas de bienes y servicios"/>
    <m/>
    <x v="0"/>
    <x v="0"/>
    <x v="0"/>
    <x v="0"/>
    <s v="Se evidencian relaciones de ingresos de contado de los meses de enero, febrero y marzo de 2021 en la D.T Cundinamarca"/>
    <s v="Se evidencian relaciones de ingresos de contado de los meses de abril , mayo y junio  de 2021 en la D.T Cundinamarca"/>
    <s v="Relación de Ingresos de contado Del: 01-JUL a 31-JUL con reporte ($12,931,136); del 01-AUG- al 31-AUG ($18,369,370), del 01-SEP-a 30-SEP-2021(Total $ 17,934,397)_x000d__x000a_Con archivo Excel reporte Ingreso Julio y agosto para el mes de septiembre fue imposible abrir archivo._x000d__x000a_Facturación detallada 01-Julio a 31-Julio; 01-agosto- al 31- agosto, No se cuenta con este registro, pues en la carpeta se encuentra nuevamente el archivo del mes de agosto._x000d__x000a_Se sugiere para el proximo periodo la verificación de las evidencias."/>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undinamarca"/>
    <s v="Porcentaje"/>
    <s v="Recursos obtenidos por recuperación de cartera"/>
    <s v="Eficiencia"/>
    <n v="0.1"/>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n v="0.25"/>
    <s v="Para el segundo trimestre la DT no reporta saldos de cartera"/>
    <n v="0.25"/>
    <s v="Para el tercer trimestre del año No se reportan saldos de cartera para la territorial"/>
    <m/>
    <m/>
    <n v="0.75"/>
    <d v="2021-04-14T00:00:00"/>
    <d v="2021-07-15T00:00:00"/>
    <d v="2021-10-13T00:00:00"/>
    <m/>
    <n v="0.75"/>
    <n v="1"/>
    <n v="1"/>
    <n v="1"/>
    <n v="0"/>
    <s v="Concepto Favorable"/>
    <s v="Concepto Favorable"/>
    <s v="Concepto Favorable"/>
    <m/>
    <s v="Se observa que durante el primer trimestre la DT recuperó cartera pendiente por convenios y contratos de la territorial "/>
    <s v="Se observa que durante el segundo trimestre la DT no reporta saldos de cartera"/>
    <s v="De acuerdo con el avance cualitaativo la DT no  reporta saldos de cartera"/>
    <m/>
    <x v="0"/>
    <x v="0"/>
    <x v="2"/>
    <x v="0"/>
    <s v="Se presentan informes mensuales de cartera por edades, evidenciando la recuperación de cartera de enero a marzo de 2021"/>
    <s v="Durante el trimestre no se reorta saldos de cartera "/>
    <s v="No tiene meta definida"/>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1"/>
    <n v="177498"/>
    <n v="0"/>
    <n v="0"/>
    <n v="0"/>
    <n v="177498"/>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m/>
    <m/>
    <n v="0"/>
    <d v="2021-04-12T00:00:00"/>
    <d v="2021-07-12T00:00:00"/>
    <d v="2021-10-07T00:00:00"/>
    <m/>
    <n v="0"/>
    <s v=""/>
    <s v=""/>
    <s v=""/>
    <n v="0"/>
    <s v="Sin meta asignada en el periodo"/>
    <s v="Sin meta asignada en el periodo"/>
    <s v="Sin meta asignada en el periodo"/>
    <m/>
    <s v="NO APLICA"/>
    <s v=" No hay procesos de actualizacion en la territorial"/>
    <s v="no aplica"/>
    <m/>
    <x v="1"/>
    <x v="1"/>
    <x v="2"/>
    <x v="0"/>
    <s v="Sin meta para el periodo"/>
    <s v="La territorial no tiene procesos de actualización en este segundo trimestre."/>
    <s v="La territorial no tiene procesos de actualización en este tercer trimestre."/>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1"/>
    <n v="3393"/>
    <n v="0"/>
    <n v="0"/>
    <n v="0"/>
    <n v="3393"/>
    <n v="634"/>
    <s v="SE REALIZARON LOS TRAMITES SOLICITADOS DE OFICINA, DE ACUERDO A LOS REQUERIMIENTOS Y LA DOCUMENTACION PRESENTADA POR CADA SOLICITANTE"/>
    <n v="1719"/>
    <s v="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
    <n v="1461"/>
    <s v="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
    <m/>
    <m/>
    <n v="3814"/>
    <d v="2021-04-12T00:00:00"/>
    <d v="2021-07-12T00:00:00"/>
    <d v="2021-10-07T00:00:00"/>
    <m/>
    <n v="1"/>
    <s v=""/>
    <s v=""/>
    <s v=""/>
    <n v="0"/>
    <s v="Concepto Favorable"/>
    <s v="Concepto Favorable"/>
    <s v="Concepto Favorable"/>
    <m/>
    <s v="Se aprueba el reporte"/>
    <s v="La DT anexa listado de tramites de terreno y Oficina en el periodo"/>
    <s v="La Dt realizo las 1461 tramites de oficina"/>
    <m/>
    <x v="0"/>
    <x v="0"/>
    <x v="0"/>
    <x v="0"/>
    <s v="Se evidencian informes del SIC con las mutaciones tramitadas por la D.T Guajira en los meses de enero, febrero y marzo. Tambien se presenta archivo Excel con mutaciones tramitadas en 2021 por la D.T. Se reportan 634 mutaciones de oficina tramitadas por la D.T Guajira"/>
    <s v="Se observa ejecución con archivo excel Tramitadas DT Guajira SNC y con los informes de las tramitadas por la Territorial en abril, mayo y junio 2021. "/>
    <s v="Se evidencia reporte de tramites de oficina para el tercer trimestre de 1461 realizados."/>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1"/>
    <n v="5062"/>
    <n v="0"/>
    <n v="0"/>
    <n v="0"/>
    <n v="5062"/>
    <n v="88"/>
    <s v="SE REALIZARON LOS TRAMITES SOLICITADOS DE TERRENO, DE ACUERDO A LOS REQUERIMIENTOS Y LA DOCUMENTACION PRESENTADA POR CADA SOLICITANTE"/>
    <n v="543"/>
    <s v="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n v="211"/>
    <s v="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
    <m/>
    <m/>
    <n v="842"/>
    <d v="2021-04-12T00:00:00"/>
    <d v="2021-07-12T00:00:00"/>
    <d v="2021-10-07T00:00:00"/>
    <m/>
    <n v="0.16633741604109048"/>
    <s v=""/>
    <s v=""/>
    <s v=""/>
    <n v="0"/>
    <s v="Concepto Favorable"/>
    <s v="Concepto Favorable"/>
    <s v="Concepto Favorable"/>
    <m/>
    <s v="Se aprueba el reporte"/>
    <s v="La DT anexa listado de tramites de terreno y Oficina en el periodo"/>
    <s v="Aunque con dificultades realizaron 211 tramites de terreno"/>
    <m/>
    <x v="0"/>
    <x v="0"/>
    <x v="0"/>
    <x v="0"/>
    <s v="Se evidencian informes del SIC con las mutaciones tramitadas por la D.T Guajira en los meses de enero, febrero y marzo. Tambien se presenta archivo Excel con mutaciones tramitadas en 2021 por la D.T. Se reportan 88 mutaciones de terreno tramitadas por la D.T Guajira"/>
    <s v="Se observa ejecución de la actividad mediante excel tramitadas por la DT en el SNC y los informes de tramitadas por la Territorial Guajira en los meses de abril, mayo y junio 2021. "/>
    <s v="Se evidencia reporte de tramites de terreno para el tercer trimestre de 211 realizados."/>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1"/>
    <n v="1"/>
    <n v="0.25"/>
    <n v="0.25"/>
    <n v="0.25"/>
    <n v="0.25"/>
    <n v="0"/>
    <s v="NO SE PRESENTARON EN  EL PRIMER TRIMESTRE  PETICIONES  POR PARTE DE LAS OFICINAS  DE REGULARIZACION DE LA PROPIEDAD. "/>
    <n v="0.5"/>
    <s v="EN  EL SEGUNDO TRIMESTRE SE PRESENTARON  7 PETICIONES  POR PARTE DE LAS OFICINAS  DE REGULARIZACION DE LA PROPIEDAD, CABE ACLARAR QUE PARA EL SEGUNDO TRIMESTRE SE COLOCÓ COMO PORCENTAJE EJECUTADO 0,50, ESTO DEBIDO A QUE PARA EL PRIMER TRIMESTRE SE COLOCÓ 0"/>
    <n v="0.25"/>
    <s v="EN  EL TERCER TRIMESTRE SE PRESENTARON  7 PETICIONES  POR PARTE DE LAS OFICINAS  DE REGULARIZACION DE LA PROPIEDAD"/>
    <m/>
    <m/>
    <n v="0.75"/>
    <d v="2021-04-12T00:00:00"/>
    <d v="2021-07-13T00:00:00"/>
    <d v="2021-10-07T00:00:00"/>
    <m/>
    <n v="0.75"/>
    <n v="0"/>
    <n v="1"/>
    <n v="1"/>
    <n v="0"/>
    <s v="Concepto Favorable"/>
    <s v="Concepto Favorable"/>
    <s v="Concepto Favorable"/>
    <m/>
    <s v="Se aprueba el reporte. Ajustar lo ejecutado para el segundo trimestre ya que el no haber recibido peticiones no implica que no hayan cumplido con la meta"/>
    <s v="Recibieron y atendieron 7 peticiones. El trimestre anterior no se recibieron, se acepta el avance de 0,5 de avance"/>
    <s v="La DT atendió las peticiones de regularización de la propiedad"/>
    <m/>
    <x v="2"/>
    <x v="0"/>
    <x v="0"/>
    <x v="0"/>
    <s v="Se informa que no se  recibieron solicitudes en materia de regularización de la propiedad en la D.T Guajira. No se presenta evidencia que permita verificar esta información. "/>
    <s v="Se valida ejecución con el informe trimestral de solicitudes Ley 1561 y 1564 de 2012 sobre regularización de la propiedad y se acepta el avance reportado."/>
    <s v="Se valida ejecución con el informe trimestral de solicitudes Ley 1561 y 1564 de 2012 sobre regularización de la propiedad y se acepta el avance reportado."/>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1"/>
    <n v="1"/>
    <n v="0.25"/>
    <n v="0.25"/>
    <n v="0.25"/>
    <n v="0.25"/>
    <n v="0.25"/>
    <s v="DURANTE EL PRIMER TRIMESTRE TODAS LAS PETICIONES RECIBIDAS POR PARTE DE LAS OFICINA DE UNIDAD DE TIERRAS  SE CONTESTAN DENTRO DEL TERMINO LEGAL. "/>
    <n v="0.25"/>
    <s v="DURANTE EL SEGUNDO TRIMESTRE SE ATENDIERON TODAS LAS PETICIONES RECIBIDAS POR PARTE DE LAS OFICINA DE UNIDAD DE TIERRAS (10)  Y  SE CONTESTAN DENTRO DEL TERMINO LEGAL. "/>
    <n v="0.25"/>
    <s v="DURANTE EL TERCER TRIMESTRE SE ATENDIERON TODAS LAS PETICIONES RECIBIDAS POR PARTE DE LAS OFICINA DE UNIDAD DE TIERRAS (20)  Y  SE CONTESTARON  DENTRO DEL TERMINO LEGAL"/>
    <m/>
    <m/>
    <n v="0.75"/>
    <d v="2021-04-12T00:00:00"/>
    <d v="2021-07-13T00:00:00"/>
    <d v="2021-10-07T00:00:00"/>
    <m/>
    <n v="0.75"/>
    <n v="1"/>
    <n v="1"/>
    <n v="1"/>
    <n v="0"/>
    <s v="Concepto Favorable"/>
    <s v="Concepto Favorable"/>
    <s v="Concepto Favorable"/>
    <m/>
    <s v="Se aprueba el reporte"/>
    <s v="De acuerdo a la evidencia se ve atendieron las solicitudes en cumplimiento de restitucion de tierras. la atencion es con la entrega de la información que registrará la subcatastro"/>
    <s v="La Dt atendió 20 solicitudes de la URT"/>
    <m/>
    <x v="0"/>
    <x v="0"/>
    <x v="0"/>
    <x v="0"/>
    <s v="Se evidencia archivo Excel donde se reporta la atención de las solicitudes recibidas para el cumplimiento de la Política de Restitución de Tierras y Ley de Víctimas. No es posible verificar la atención de estas solicitudes en los términos de ley."/>
    <s v="Se evidencia archivo en excel Herramienta Monitoreo DT Guajira segundo trimestre 2021, en el que se reportan las solicitudes recibidas para el cumplimiento de la Política de Restitución de Tierras. "/>
    <s v="Se evidencia archivo Excel donde se reporta la atención de las solicitudes recibidas para el cumplimiento de la Política de Restitución de Tierras y Ley de Víctimas. No es posible verificar la atención de estas solicitudes en los términos de ley."/>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1"/>
    <n v="1"/>
    <n v="0.25"/>
    <n v="0.25"/>
    <n v="0.25"/>
    <n v="0.25"/>
    <n v="0.25"/>
    <s v="Se atendieron oportunamente todas las solicitudes recibidas en el trimestre Enero-Marzo de 2021"/>
    <n v="0.25"/>
    <s v="Se atendieron oportunamente todas las solicitudes recibidas (206) en el trimestre Abril-Junio de 2021"/>
    <n v="0.25"/>
    <s v="Se atendieron oportunamente todas las solicitudes recibidas (178) en el trimestre Julio-Septiembre de 2021"/>
    <m/>
    <m/>
    <n v="0.75"/>
    <d v="2021-04-12T00:00:00"/>
    <d v="2021-07-13T00:00:00"/>
    <d v="2021-10-07T00:00:00"/>
    <m/>
    <n v="0.75"/>
    <n v="1"/>
    <n v="1"/>
    <n v="1"/>
    <n v="0"/>
    <s v="Concepto Favorable"/>
    <s v="Concepto Favorable"/>
    <s v="Concepto Favorable"/>
    <m/>
    <s v="Se aprueba el reporte"/>
    <s v="Anexan evidencias que se aclaran con cuadro anexo"/>
    <s v="Atendieron 178 solicitudes dentro de las PQRS"/>
    <m/>
    <x v="2"/>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s v="Se observa ejecución de la actividad mediante evidencias SIGAC Guajira solicitudes recibidas y tramitadas por dependencia y excel informe PQRDS segundo trimestre 2021 Guajira.  "/>
    <s v="Se evidencia reporte de atención de PQRs donde se observa que se atendieron en los términos legales las recibidas."/>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1"/>
    <n v="1"/>
    <n v="0.25"/>
    <n v="0.25"/>
    <n v="0.25"/>
    <n v="0.25"/>
    <n v="0.25"/>
    <s v="Durante el primer trimestre (Enero, Febrero y maro) se cumplió con la entrega de las actas de los comites de Copasst y Convivencia Laboral al GIT Gestion del Talento Humano."/>
    <n v="0.25"/>
    <s v="Durante el segundo trimestre (Abril, mayo y junio) se cumplió con la entrega de las actas de los comites de Copasst y Convivencia Laboral al GIT Gestion del Talento Humano."/>
    <n v="0.25"/>
    <s v="Durante el tercer trimestre (Julio-Septiembre) se cumplió con la entrega de las actas de los comites de Copasst y Convivencia Laboral al GIT Gestion del Talento Humano."/>
    <m/>
    <m/>
    <n v="0.75"/>
    <d v="2021-04-12T00:00:00"/>
    <d v="2021-07-12T00:00:00"/>
    <d v="2021-10-07T00:00:00"/>
    <m/>
    <n v="0.75"/>
    <n v="1"/>
    <n v="1"/>
    <n v="1"/>
    <n v="0"/>
    <s v="Concepto Favorable"/>
    <s v="Concepto Favorable"/>
    <s v="Concepto Favorable"/>
    <m/>
    <s v="Se aprueba el reporte"/>
    <s v="La DT realizó las actas de comité y colgadas en una carpeta drive de talento humano"/>
    <s v="Realizaron reuniones y las actas de Copasst y Convivencia Laboral"/>
    <m/>
    <x v="0"/>
    <x v="0"/>
    <x v="0"/>
    <x v="0"/>
    <s v="Se evidencia correos en los que se remiten las actas mensuales de reuniones del Copasst y acta correspondiente a reunión del de comité de convivencia laboral del primer trimestre de 2021."/>
    <s v="Se observa ejecución de la actividad mediante actas COPASST de abril, mayo y junio 2021 y acta Convivencia Laboral del segundo trimestre 2021."/>
    <s v="Se evidencia actas de COPASST de los meses de Julio, agosto y septiembre y acta de comité de convivencia laboral."/>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1"/>
    <n v="1"/>
    <n v="0.25"/>
    <n v="0.25"/>
    <n v="0.25"/>
    <n v="0.25"/>
    <n v="0.25"/>
    <s v="Durante el primer trimestre (Enero, Febrero y maro) se dio cumplimiento a lo establecido en el acta del 06-01-2021"/>
    <n v="0.25"/>
    <s v="Durante el segundor trimestre (Abril, Mayo, Junio) se dio cumplimiento a lo establecido en el acta del 06-01-2021"/>
    <n v="0.25"/>
    <s v="Durante el tercer trimestre (Julio-Septiembre) se dio cumplimiento a lo establecido en el acta del 06-01-2021"/>
    <m/>
    <m/>
    <n v="0.75"/>
    <d v="2021-04-12T00:00:00"/>
    <d v="2021-07-12T00:00:00"/>
    <d v="2021-10-07T00:00:00"/>
    <m/>
    <n v="0.75"/>
    <n v="1"/>
    <n v="1"/>
    <n v="1"/>
    <n v="0"/>
    <s v="Concepto Favorable"/>
    <s v="Concepto Favorable"/>
    <s v="Concepto Favorable"/>
    <m/>
    <s v="Se aprueba el reporte"/>
    <s v="La DT realizó el cumplimiento de la rendicion de cuentas del SG-SST"/>
    <s v="La DT cumplio con el desarrollo de ésta actividad para el tercer trimestre"/>
    <m/>
    <x v="2"/>
    <x v="0"/>
    <x v="0"/>
    <x v="0"/>
    <s v="No es posible evidenciar el cumplimiento de la  rendición de cuentas del SG-SST . No se evidencian reportes hechos a Talento Humano."/>
    <s v="Se realizó cumplimiento de esta actividad por la DT para el segundo trimestre (se adjuntan 3 actas comite Copasst y 1 acta de convivencia laboral del segundo trimestre 2021).  "/>
    <s v="Se realizó cumplimiento de esta actividad por la DT para el segundo trimestre (se adjuntan 3 actas comite Copasst y 1 acta de convivencia laboral del tercer trimestre 2021).  "/>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1"/>
    <n v="113644495.16247328"/>
    <n v="22439583.091708541"/>
    <n v="29089106.524503782"/>
    <n v="29616161.405090004"/>
    <n v="32499644.141170949"/>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n v="29111743"/>
    <s v="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
    <n v="21905762"/>
    <s v="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
    <m/>
    <m/>
    <n v="74672328"/>
    <d v="2021-04-12T00:00:00"/>
    <d v="2021-07-12T00:00:00"/>
    <d v="2021-10-07T00:00:00"/>
    <m/>
    <n v="0.65706946819767886"/>
    <n v="1"/>
    <n v="1"/>
    <n v="0.73965567989628622"/>
    <n v="0"/>
    <s v="Concepto Favorable"/>
    <s v="Concepto Favorable"/>
    <s v="Concepto Favorable"/>
    <m/>
    <s v="Se aprueba el reporte"/>
    <s v="Se observa la relacion de ingresos duerante el trimestre con un buen reporte"/>
    <s v="La DT realizo ventas por 21.905.762 en el trimestre"/>
    <m/>
    <x v="0"/>
    <x v="0"/>
    <x v="0"/>
    <x v="0"/>
    <s v="Se evidencian relaciones de ingresos de contado de los meses de enero, febrero y marzo de 2021 en la D.T Guajira."/>
    <s v="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
    <s v="Se evidencia reportes de relación de ingresos del tercer trimestre del presente año, por la suma $21.905.762."/>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Guajira"/>
    <s v="Porcentaje"/>
    <s v="Recursos obtenidos por recuperación de cartera"/>
    <s v="Eficiencia"/>
    <n v="0.1"/>
    <n v="1"/>
    <n v="0.25"/>
    <n v="0.25"/>
    <n v="0.25"/>
    <n v="0.25"/>
    <n v="0"/>
    <s v="Durante el primer trimestre de este año 2021 no se ha obtenido ingresos por concepto de recupueracion de la cartera en la Territorial Guajira, aunque se han realizado las gestiones de cobro a los entes territoriales que tienen deuda."/>
    <n v="0.5"/>
    <s v="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
    <n v="0.25"/>
    <s v="Durante el tercer trimestre de este año 2021 en la Territorial Guajira no hay cartera pendiente de recuperar."/>
    <m/>
    <m/>
    <n v="0.75"/>
    <d v="2021-04-12T00:00:00"/>
    <d v="2021-07-13T00:00:00"/>
    <d v="2021-10-07T00:00:00"/>
    <m/>
    <n v="0.75"/>
    <n v="0"/>
    <n v="1"/>
    <n v="1"/>
    <n v="0"/>
    <s v="Concepto Favorable"/>
    <s v="Concepto Favorable"/>
    <s v="Concepto Favorable"/>
    <m/>
    <s v="Se aprueba el reporte"/>
    <s v="Se observa la recuperacion de cartera en la DT y el reporte de las cuentas de dificil cobro"/>
    <s v="para el proximo reporte aclarar si no hay cartera pendiente en la DT di fue que la sede central clasifico el saldo como de dificil cobro"/>
    <m/>
    <x v="0"/>
    <x v="0"/>
    <x v="0"/>
    <x v="0"/>
    <s v="Se presentan corresos de cobro de cartera. Se evidencia que no hubo recuperación de cartera en el primer trimestre de 2021"/>
    <s v="Se observa ejecución de la actividad mediante comprobante de pago 035-00234 del 13/05/2021 del municipio de San Juan correspondiente al contrato 162 de 2020 y el Informe de Cartera a 30/06/2021."/>
    <s v="No hay cartera pendiente de recuperar"/>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1111111111111111"/>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n v="6318"/>
    <s v=" Durante el segundo trimestre del año 2021 en T. Huila se realizaron 6318 trámites de oficina."/>
    <n v="13646"/>
    <s v=" Para el tercer trimestre del año La DT Huila acumuló un total de 13.646 trámites de oficina, con esto superando la meta proyectada para el año."/>
    <m/>
    <m/>
    <n v="22373"/>
    <d v="2021-04-14T00:00:00"/>
    <d v="2021-07-15T00:00:00"/>
    <d v="2021-10-12T00:00:00"/>
    <m/>
    <n v="1"/>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de tramites de oficina para el primer trimestre de 2412 realizados."/>
    <s v="Se evidencia reporte de tramites de oficina del segundo trimestre 3909 realizados.Nota: se debe corregir el numero reportado deben ser los realizados en el trimestre."/>
    <s v="Se evidencia reporte de tramites de oficina del tercer trimestre con acumulado de 13.646 realizados."/>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1111111111111111"/>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n v="793"/>
    <s v="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
    <n v="1012"/>
    <s v=" Para el tercer trimestre del año se acumuló un total de 1.012 trámites de terreno, los rendimientos no son los deseados en parte por el pobre rendimiento del SNC, y como evidencia de lo anterior se tienen 450 requerimientos abiertos hasta el mes de agosto."/>
    <m/>
    <m/>
    <n v="2241"/>
    <d v="2021-04-14T00:00:00"/>
    <d v="2021-07-15T00:00:00"/>
    <d v="2021-10-12T00:00:00"/>
    <m/>
    <n v="0.37644884931967076"/>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 Se evidencia reporte de tramites de terreno para el primer trimestre de 436 realizados."/>
    <s v=" Se evidencia reporte de tramites de terreno para el primer trimestre de 357 realizados.Nota: se debe corregir el numero reportado deben ser los realizados en el trimestre."/>
    <s v="Se evidencia reporte de tramites de terreno para el primer trimestre, no se evidencia meta para este tercer trimestre"/>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1111111111111111"/>
    <n v="1"/>
    <n v="0"/>
    <n v="0"/>
    <n v="0"/>
    <n v="1"/>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n v="0.25"/>
    <s v="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
    <n v="0.25"/>
    <s v="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solicitudes de regularización de la propiedad, se recibieron 37 solicitudes y  36 fueron atendidas, está pendiente una pero se encuentra entre los tiempos de ley para responder."/>
    <s v="Se evidencia reporte solicitudes de regularización de la propiedad, se recibieron 56 solicitudes y  49 fueron atendidas, está pendiente 7 pero se encuentra entre los tiempos de ley para responder."/>
    <s v="Se evidencia reporte solicitudes de regularización de la propiedad, se recibieron 101 solicitudes y  66 fueron atendidas, está pendiente 25 pero se encuentra entre los tiempos de ley para responder."/>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1111111111111111"/>
    <n v="1"/>
    <n v="0"/>
    <n v="0"/>
    <n v="0"/>
    <n v="1"/>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n v="0.25"/>
    <s v="Durante el segundo trimestre del año 2021 en la T. Huila se atendió oportunamente las solicitudes emitidas por la Agencia Nacional de Tierras. Se adjunta evidencia."/>
    <n v="0.25"/>
    <s v="Durante el tercer trimestre se allegaron las sentencias 079 y 093 provenientes de los Juzgados de Restitución de Tierras de Ibagué y se encuentran en trámite de rectificación._x000d__x000a_Adjunto Herramienta de monitoreo, donde se consolida el informe que se entrega cada 15 días sobre las solicitudes realizadas por la Unidad de Restitución de Tierras_x000d__x000a_"/>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0"/>
    <x v="0"/>
    <x v="0"/>
    <s v="Se evidencia reporte de procesos de restitución, pero falta información sobre la actividad. Nota: este consolidado de solicitudes debe concordar con el que reporta el Git de tierras de la subdirección de catastro."/>
    <s v="Se evidencia informe donde se reportan el número de solicitudes atendidas para el segundo trimestre."/>
    <s v="Se evidencia informe donde se reportan el número de solicitudes atendidas para el tercer trimestre, sin embargo no se evidencia meta asignada para este trimestre "/>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1111111111111111"/>
    <n v="1"/>
    <n v="0"/>
    <n v="0"/>
    <n v="0"/>
    <n v="1"/>
    <n v="0.25"/>
    <s v="Total peticiones del trimestre 1004. Finalizadas 355. Atendidas en termino legal 264 y pendientes de contestar 245"/>
    <n v="0.25"/>
    <s v="Total peticiones del trimestre 1052. Finalizadas 563. Atendidas en termino legal 417 y pendientes de contestar 489"/>
    <n v="0.25"/>
    <s v="Durante el tercer trimestre se recibieron un total 1076 peticiones. Finalizadas 570. Atendidas en termino legal 385 y pendientes de contestar 506 peticiones"/>
    <m/>
    <m/>
    <n v="0.75"/>
    <d v="2021-04-14T00:00:00"/>
    <d v="2021-07-14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2"/>
    <x v="0"/>
    <x v="0"/>
    <s v="Se evidencia reporte de atención de PQRs, el índice de oportunidad de atención en términos legales es de 26.29%."/>
    <s v="Se evidencia reporte de atención de PQRs y se han dejado de atender en los términos de ley un 31.55% de la las PQRs recibidas."/>
    <s v="Se evidencia reporte de atención de PQRs y se han dejado de atender en los términos de ley un 35.78% de la las PQRs recibidas."/>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1111111111111111"/>
    <n v="1"/>
    <n v="0"/>
    <n v="0"/>
    <n v="0"/>
    <n v="1"/>
    <n v="0.25"/>
    <s v="Durante el trimestre cumplio con la realización de las actas"/>
    <n v="0.25"/>
    <s v="Durante el segundo trimestre del año 2021 se cumplio con la realización de las actas e informes de Copasst y Comité de Convivencia."/>
    <n v="0.25"/>
    <s v="Durante el tercer trimestre del año 2021 se cumplio con la realización de las actas e informes de Copasst y Comité de Convivencia."/>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de COPASST de los tres primeros meses y acta de comité de convivencia laboral."/>
    <s v="Se evidencia actas de COPASST de los meses abril, mayo, junio y acta de comité de convivencia laboral."/>
    <s v="Se evidencia actas de COPASST de los meses julio.agosto y septiembre  y acta de comité de convivencia laboral."/>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1111111111111111"/>
    <n v="1"/>
    <n v="0"/>
    <n v="0"/>
    <n v="0"/>
    <n v="1"/>
    <n v="0.25"/>
    <s v="Durante el trimestre la territorial realizó el reporte mensual de ausentismo y actividades , por lo cuanto se cumplio el plan de Seguridad y Salud en el trabajo"/>
    <n v="0.25"/>
    <s v="Durante el segundo trimestre la territorial realizó el reporte mensual de ausentismo y actividades , por lo cuanto se cumplio el plan de Seguridad y Salud en el trabajo"/>
    <n v="0.25"/>
    <s v="Durante el tercer trimestre la territorial realizó oportunamente todas las responsabilidades en temas de SG y SST , por cuanto se cumplio con el plan de Seguridad y Salud en el trabajo. Se adjuntan las evidencias correspondientes. Nueve carpetas."/>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y reportes que soportan las responsabilidades y rendición cuentas en el SG - SST, establecida mediante acta del 06-01-2021"/>
    <s v="Se evidencia reportes de ausentismo de los meses de abril, mayo y junio y se observa reporte de ejecución del plan de bienestar."/>
    <s v="Se evidencia reportes de ausentismo de los meses de julio agosto y septiembre y se observa reporte de ejecución del plan de bienestar y capacitaciones "/>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1111111111111111"/>
    <n v="185918463.13188434"/>
    <n v="36710381.754665844"/>
    <n v="47588772.084239617"/>
    <n v="48451015.638092875"/>
    <n v="53168293.654886007"/>
    <n v="23214785"/>
    <s v="Se adjunta como evidencia el informe de ingresos del primer trimestre"/>
    <n v="25196080"/>
    <s v="Se adjunta como evidencia el informe de ingresos de los meses de abril, mayo y junio de 2021"/>
    <n v="25000873"/>
    <s v="Se adjunta como evidencia el informe de ingresos de los meses de julio, agosto y septiembre de 2021"/>
    <m/>
    <m/>
    <n v="73411738"/>
    <d v="2021-04-14T00:00:00"/>
    <d v="2021-07-14T00:00:00"/>
    <d v="2021-10-13T00:00:00"/>
    <m/>
    <n v="0.39485985825907011"/>
    <n v="0.63237656189858149"/>
    <n v="0.52945429975371028"/>
    <n v="0.51600307384153077"/>
    <n v="0"/>
    <s v="Concepto Favorable"/>
    <s v="Concepto Favorable"/>
    <s v="Concepto Favorable"/>
    <m/>
    <s v="se revisa evidencias, se encuentran acordes al producto esperado, sin embargo se debe revisar el valor del ejecutado y llevarlo a la unidad de medida solicitada."/>
    <s v="se revisa evidencia, cumple con producto esperado"/>
    <s v="se revisa evidencias cumple con el producto esperado"/>
    <m/>
    <x v="0"/>
    <x v="0"/>
    <x v="0"/>
    <x v="0"/>
    <s v="Se evidencia reporte de ingresos recibidos en el primer trimestre, no se tiene definida meta de ingresos, se debe llevar el valor a la unidad de medida propuesta."/>
    <s v=" Se evidencia el informe de ingresos de los meses de abril, mayo y junio, para un total de ingresos $25.196.080 ."/>
    <s v=" Se evidencia el informe de ingresos de los meses de Julio, agosto y septiembre.para un total de ingresos de 25.000.873"/>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Huila"/>
    <s v="Porcentaje"/>
    <s v="Recursos obtenidos por recuperación de cartera"/>
    <s v="Eficiencia"/>
    <n v="0.1111111111111111"/>
    <n v="1"/>
    <n v="0"/>
    <n v="0"/>
    <n v="0"/>
    <n v="1"/>
    <n v="0.25"/>
    <s v="La territorial tienela suma de 22.600.000 por recuperar, que esta en proceso de pago por parte de la álcaldia de Neiva "/>
    <n v="0.25"/>
    <s v="Para el segundo trimestre del año 2021 la Territorial Huila continua con la misma suma de $22.600.000 por recuperación de cartera pendiente.  Se encuentra en Proceso Conciliatorio por parte de la Alcaldía de la ciudad de Neiva. Se adjunta pantallazo del Estado de Cartera."/>
    <n v="0.25"/>
    <s v="Para el tercer trimestre del año 2021 la Territorial Huila continua con la misma suma de $22.600.000 por recuperación de cartera pendiente.  Se encuentra en Proceso Conciliatorio por parte de la Alcaldía de la ciudad de Neiva. Se adjunta pantallazo del Estado de Cartera."/>
    <m/>
    <m/>
    <n v="0.75"/>
    <d v="2021-04-14T00:00:00"/>
    <d v="2021-07-14T00:00:00"/>
    <d v="2021-10-13T00:00:00"/>
    <m/>
    <n v="0.75"/>
    <s v=""/>
    <s v=""/>
    <s v=""/>
    <n v="0"/>
    <s v="Concepto No Favorable"/>
    <s v="Concepto No Favorable"/>
    <s v="Concepto Favorable"/>
    <m/>
    <s v="no se encuentra evidenciada la gestion de cobro de la territorial, por lo cual no se puede dar concepto favorable"/>
    <s v="no se encuentra evidenciada la gestion de cobro de la territorial, por lo cual no se puede dar concepto favorable"/>
    <s v="se revisa evidencias cumple con el producto esperado"/>
    <m/>
    <x v="2"/>
    <x v="2"/>
    <x v="0"/>
    <x v="0"/>
    <s v="Se evidencia reporte de cartera pero no se ha hecho efectiva el pago de esta por parte de la alcaldía."/>
    <s v="Se evidencia reporte de cartera pero no se ha hecho efectiva el pago de esta por parte de la alcaldía."/>
    <s v="Se evidencia pantallazo del estado de cartera, no se ha hecho efectiva el pago por parte de alcaldia."/>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1"/>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n v="0"/>
    <s v="Hasta la fecha no se ha ejecutado ningun proceso de actualizacion catastral en la Territorial"/>
    <n v="0"/>
    <s v="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
    <m/>
    <m/>
    <n v="0"/>
    <d v="2021-04-14T00:00:00"/>
    <d v="2021-07-13T00:00:00"/>
    <d v="2021-10-13T00:00:00"/>
    <m/>
    <n v="0"/>
    <s v=""/>
    <s v=""/>
    <s v=""/>
    <n v="0"/>
    <s v="Sin meta asignada en el periodo"/>
    <s v="Sin meta asignada en el periodo"/>
    <s v="Sin meta asignada en el periodo"/>
    <m/>
    <s v="No aplica"/>
    <s v="No hay ningun proceso de actualizacion en tramite"/>
    <s v="No aplica"/>
    <m/>
    <x v="1"/>
    <x v="1"/>
    <x v="2"/>
    <x v="0"/>
    <s v="Para este periodo no existe meta asignada."/>
    <s v="Para este periodo no existe meta asignada."/>
    <s v="A pesar de que adjunta: Oficio de la alcaldía de Aracataca, agosto 27 de 2021 solicitamos una propuesta Técnico Financiera para la contratación con el IGAC de un proyecto de actualización catastral rural del Municipio de Aracataca._x000d__x000a_Oficio de la alcaldía de Sitio Nuevo, de agosto 24 de 2021 Solicitud de Información - /Proceso/trámite para la actualización formación Catastral._x000d__x000a_Correos electrónicos: Del 01/09/2021Por medio de la presente remito oficio número 2613-DTM2021-0000106-ER-000 con el fin que se le genere una propuesta tecno económica de actualización catastral rural. 06/09/2021 Por medio de la presente remito solicitud municipio ROTULO_2613DTM-2021-0000220-ER-000.pdf; 2613DTM-2021-0000220-ER-000.pdf; para adelantar proceso de actualización. No aplican ya que no se cuenta con meta._x000d__x000a_"/>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1"/>
    <n v="2960"/>
    <n v="0"/>
    <n v="0"/>
    <n v="0"/>
    <n v="2960"/>
    <n v="690"/>
    <s v="Durante el I trimestre se han realizado 690 mutaciones de oficina"/>
    <n v="1818"/>
    <s v="Durante el II trimestre se realizaron 1818 tramites de oficina"/>
    <n v="1275"/>
    <s v="Durante el III trimestre se realizaron 1275 tramites de oficina"/>
    <m/>
    <m/>
    <n v="3783"/>
    <d v="2021-04-14T00:00:00"/>
    <d v="2021-07-13T00:00:00"/>
    <d v="2021-10-13T00:00:00"/>
    <m/>
    <n v="1"/>
    <s v=""/>
    <s v=""/>
    <s v=""/>
    <n v="0"/>
    <s v="Concepto Favorable"/>
    <s v="Concepto Favorable"/>
    <s v="Concepto Favorable"/>
    <m/>
    <s v="Se aprueba el reporte presentado"/>
    <s v="La DT realizó 1818 tramites de oficina de acuerdo a la relacion adjunta en evidencias"/>
    <s v="Registran 1275 trámites de oficina en la DT"/>
    <m/>
    <x v="0"/>
    <x v="0"/>
    <x v="0"/>
    <x v="0"/>
    <s v="Se evidencia reporte de tramites de oficina para el primer trimestre de 690 realizados."/>
    <s v="Se evidencia reporte de tramites de oficina para el segundo trimestre de 1818 realizados."/>
    <s v="A pesar de no tener definida meta para el periodo se verifica la realzación de 1275 tramites de oficina a septiembre, en archivo excel &quot; PROGRAMACIÓN Y EJECUCIÓN DE METAS FISICAS SEDE TERRITORIAL-2021. (Formto facilitativo)"/>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1"/>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14"/>
    <s v="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23"/>
    <s v="Durante el III trimestre se realizaron 823 mutaciones de terreno de las cuales 415 fueron urbanas y 408 rurales."/>
    <m/>
    <m/>
    <n v="1706"/>
    <d v="2021-04-14T00:00:00"/>
    <d v="2021-07-13T00:00:00"/>
    <d v="2021-10-13T00:00:00"/>
    <m/>
    <n v="0.4824660633484163"/>
    <s v=""/>
    <s v=""/>
    <s v=""/>
    <n v="0"/>
    <s v="Concepto Favorable"/>
    <s v="Concepto Favorable"/>
    <s v="Concepto Favorable"/>
    <m/>
    <s v="Se aprueba el reporte"/>
    <s v="Registran 814 mutaciones de terreno en el periodo"/>
    <s v="La DT realizó 823 mutaciones de terreno"/>
    <m/>
    <x v="0"/>
    <x v="0"/>
    <x v="0"/>
    <x v="0"/>
    <s v="Se evidencia reporte de tramites de terreno para el primer trimestre de 69 realizados."/>
    <s v="Se evidencia reporte de tramites de terreno para el segundo trimestre de 814 realizados."/>
    <s v="A pesar de no tener definida meta para el periodo se verifica  la realzación de tramites de conservación asi:  823 mutaciones (de terreno de las cuales 415 fueron urbanas y 408 rurales) con corte a septiembre, se evidencia en archivo excel &quot; PROGRAMACIÓN Y EJECUCIÓN DE METAS FISICAS SEDE TERRITORIAL-2021. (Formto facilitativo).    Igualmente con informe Avance Conservación III Trimestre 2021"/>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1"/>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n v="16"/>
    <s v="Para el II trimestre se realizaron 16 avaluos comerciales. asi mismo se realizaron reuniones de seguimiento con el fin de establecer estrategias para dar cumplimiento a la meta"/>
    <n v="47"/>
    <s v="Para el III trimestre se realizaron 47 avaluos comerciales. Asi mismo se realizaron reuniones de seguimiento con el fin de establecer estrategias para dar cumplimiento a la meta"/>
    <m/>
    <m/>
    <n v="63"/>
    <d v="2021-04-14T00:00:00"/>
    <d v="2021-07-13T00:00:00"/>
    <d v="2021-10-13T00:00:00"/>
    <m/>
    <n v="1"/>
    <s v=""/>
    <s v=""/>
    <s v=""/>
    <n v="0"/>
    <s v="Sin meta asignada en el periodo"/>
    <s v="Concepto Favorable"/>
    <s v="Concepto Favorable"/>
    <m/>
    <s v="NO aplica"/>
    <s v="La DT hace un reporte muy bueno de los avalúos y las actas de revisión"/>
    <s v="La DT realizó 47 avalúos comerciales"/>
    <m/>
    <x v="1"/>
    <x v="0"/>
    <x v="0"/>
    <x v="0"/>
    <s v="Para este periodo no existe meta asignada."/>
    <s v="Se evidencia informe donde se reportan los 16 avalúos realizados para el segundo trimestre."/>
    <s v="Con actas de reunión de seguimiento avalúos con fechas; 12de Julio 2021, 9 de agosto 2021, 26 de agosto, 10 de septiembre, 24 de septiembre del 2021. Y con memorando del asunto “acuerdo de Gestión a septiembre 30” en el que se presenta el Plan de Acción de Avalúos a fecha 30 de septiembre donde se identifica avalúos realizados en el mes de julio 13 y en el mes de agosto 34. Evidenciando el cumplimiento de la actividad con  47 avalúos ( a pesar de que no se habia determinado meta)"/>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1"/>
    <n v="1"/>
    <n v="0.25"/>
    <n v="0.25"/>
    <n v="0.25"/>
    <n v="0.25"/>
    <n v="0.25"/>
    <s v="Durante el I trimestre se recibieron 18 solicituds en materia de regularizacion de la propiedad todas fueron resueltas en el tiempo legal alcanzando un porcentae del  25%"/>
    <n v="0.25"/>
    <s v="Durante el II trimestre se recibieron 18 solicituds en materia de regularizacion de la propiedad todas fueron resueltas en el tiempo legal alcanzando un porcentae del  25%"/>
    <n v="0.25"/>
    <s v="Durante el III trimestre se recibieron 28 solicitudes en materia de regularizacion de la propiedad todas fueron resueltas en el tiempo legal alcanzando un porcentae del  25%"/>
    <m/>
    <m/>
    <n v="0.75"/>
    <d v="2021-04-14T00:00:00"/>
    <d v="2021-07-13T00:00:00"/>
    <d v="2021-10-14T00:00:00"/>
    <m/>
    <n v="0.75"/>
    <n v="1"/>
    <n v="1"/>
    <n v="1"/>
    <n v="0"/>
    <s v="Concepto Favorable"/>
    <s v="Concepto Favorable"/>
    <s v="Concepto Favorable"/>
    <m/>
    <s v="Revisado el registro se aprueba el reporte"/>
    <s v="Se observa la atención a las solicitudes en materia de regularización"/>
    <s v="La DT atendió las solicitudes  en materia de regularización"/>
    <m/>
    <x v="0"/>
    <x v="0"/>
    <x v="0"/>
    <x v="0"/>
    <s v="Se evidencia reporte solicitudes de regularización de la propiedad, se recibieron 18 solicitudes y estas fueron atendidas. "/>
    <s v="Se evidencia reporte solicitudes de regularización de la propiedad, se recibieron 18 solicitudes y estas fueron atendidas. "/>
    <s v="Con memorando del 09 de octubre del 2021 en asunto: “Informe Avance tercer trimestre del Proceso de Restitución de Tierras de2021. En el que se identifica N° de solicitudes para el trimestre 28 y atendidas oportunamente al 100%. Igualmente evidencian reportes para el mes de Julio, agosto y septiembre. Cumpliendo con la meta"/>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1"/>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n v="0.25"/>
    <s v="Durante el segundo trimestre se recibieron ochenta y siete 87 solicitudes de las cuales fueron respondidas en tiempo oportuno."/>
    <n v="0.25"/>
    <s v="Durante el segundo trimestre se recibieron setenta y cinco 75 solicitudes de las cuales fueron respondidas en tiempo oportuno."/>
    <m/>
    <m/>
    <n v="0.82000000000000006"/>
    <d v="2021-04-14T00:00:00"/>
    <d v="2021-07-13T00:00:00"/>
    <d v="2021-10-13T00:00:00"/>
    <m/>
    <n v="0.82000000000000006"/>
    <n v="1"/>
    <n v="1"/>
    <n v="1"/>
    <n v="0"/>
    <s v="Concepto Favorable"/>
    <s v="Concepto Favorable"/>
    <s v="Concepto Favorable"/>
    <m/>
    <s v="Se aprueba el reporte"/>
    <s v="La Dt atendió las solicitudes en cumplimiento de la politica de restitución de tieras"/>
    <s v="Atendieron 75 solicitudes de Restitución de Tierras"/>
    <m/>
    <x v="0"/>
    <x v="0"/>
    <x v="0"/>
    <x v="0"/>
    <s v="Se evidencia reporte de procesos y solicitudes de restitución. Nota: este consolidado de solicitudes debe concordar con el que reporta el Git de tierras de la subdirección de catastro."/>
    <s v="Se evidencia reporte de procesos y solicitudes de restitución"/>
    <s v="Con memorando del 09 de octubre del 2021 en asunto: “Informe Avance tercer trimestre del Proceso Con memorando del 09 de octubre del 2021 en asunto: “Informe Avance tercer trimestre del Proceso de Restitución de Tierras de2021. En el que se identifica N° de solicitudes para el trimestre 28 (5 en julio, 9 agosto.14 seprtirmbre) y atendidas oportunamente al 100%. Igualmente evidencian reportes para el mes de Julio, agosto y septiembre"/>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1"/>
    <n v="1"/>
    <n v="0.25"/>
    <n v="0.25"/>
    <n v="0.25"/>
    <n v="0.25"/>
    <n v="0.17"/>
    <s v="Durante el I trimestre se recibieron 94 solicitudes de las cualesfueron atendidas en tiempo oportuno 78 quedando 18 por fuera del termino legal"/>
    <n v="0.61"/>
    <s v="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
    <n v="0.18"/>
    <s v="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
    <m/>
    <m/>
    <n v="0.96000000000000008"/>
    <d v="2021-04-14T00:00:00"/>
    <d v="2021-07-15T00:00:00"/>
    <d v="2021-10-13T00:00:00"/>
    <m/>
    <n v="0.96"/>
    <n v="0.68"/>
    <n v="1"/>
    <n v="0.72"/>
    <n v="0"/>
    <s v="Concepto Favorable"/>
    <s v="Concepto Favorable"/>
    <s v="Concepto Favorable"/>
    <m/>
    <s v="Registro de avance aprobado"/>
    <s v="La DT atendió las solicitudes de PQRS de acuerdo a relacion adjunta en las evidencias"/>
    <s v="La DT atendió las PQRS"/>
    <m/>
    <x v="2"/>
    <x v="0"/>
    <x v="0"/>
    <x v="0"/>
    <s v="Se evidencia reporte de atención de PQRs, se recibieron 94 y se atendieron 76 en los términos legales, para una atención del 80.85% dentro de los términos."/>
    <s v="Se evidencia reportes de atención de PQRs donde se observa que se atendieron en los términos legales las PQRs recibidas."/>
    <s v="En archivo Excel - reportes: RPT- RGC-012 Reporte General de Peticiones y Consultas Peticiones, RPT- RGC -012 Reporte General de Peticiones y Consultas Tramites y Servicios, RPT-RGC-012 Reporte General de Peticiones y Consultas Ventanilla virtual, RPT- RSQR-009 Reporte Control Interno Canal Presencial Mensajería; RPT-RSQR-009 Reporte Control Interno Canal Presencial Punto de Atención, RPT-RSQ-_009 Reporte control interno Canal Virtual correo electrónico, RPT-RSQR-009 Reporte Control interno Canal virtual notificación web. Se evidencia que cumple en 0,18% de la actividad, para lo que se sugiere planear acción para el manejo de resago."/>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1"/>
    <n v="1"/>
    <n v="0.25"/>
    <n v="0.25"/>
    <n v="0.25"/>
    <n v="0.25"/>
    <n v="0.25"/>
    <s v="Durante el primer trimestre se dio cumplimiento a la entrega de las actas COpasst y comite de convivencia laboral"/>
    <n v="0.25"/>
    <s v="Durante el II trimestre se dio cumplimiento a la entrega de las actas COpasst y comite de convivencia laboral. estas fueron reportadas en el DRIVE dispuest por el GIT de talento Humano"/>
    <n v="0.25"/>
    <s v="Durante el III trimestre se dio cumplimiento a la entrega de las actas Copasst y comite de convivencia laboral. estas fueron reportadas en el DRIVE dispuest0 por el GIT de talento Humano"/>
    <m/>
    <m/>
    <n v="0.75"/>
    <d v="2021-04-14T00:00:00"/>
    <d v="2021-07-13T00:00:00"/>
    <d v="2021-10-13T00:00:00"/>
    <m/>
    <n v="0.75"/>
    <n v="1"/>
    <n v="1"/>
    <n v="1"/>
    <n v="0"/>
    <s v="Concepto Favorable"/>
    <s v="Concepto Favorable"/>
    <s v="Concepto Favorable"/>
    <m/>
    <s v="Registro de avance aprobado"/>
    <s v="Se evidencia actas de COPASST y acta de comité de convivencia laboral, es de conocimiento que ahora no envian correo a talento humano sino que cuelgan las actas en un drive que dispone TH"/>
    <s v="Realizaron actividades de Copasst y comite de convivencia"/>
    <m/>
    <x v="0"/>
    <x v="0"/>
    <x v="0"/>
    <x v="0"/>
    <s v="Se evidencia actas de COPASST de los tres primeros meses y acta de comité de convivencia laboral y correo electrónico donde son enviadas a Talento Humano."/>
    <s v="Se evidencia actas de COPASST de los meses de abril, mayo junio y acta de comité de convivencia laboral y correo electrónico donde son enviadas a Talento Humano."/>
    <s v="Se evidencia cumplimento de la actividad con actas de: 07/30, 08/30, 09/30 y con imágenes cargadas al Drive determinado para tal fin por Gestión del Talento Humano"/>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1"/>
    <n v="1"/>
    <n v="0.25"/>
    <n v="0.25"/>
    <n v="0.25"/>
    <n v="0.25"/>
    <n v="0.25"/>
    <s v="durante el I trimestre se realizaron las actividades en cuanto a los roles de el acta 06-01-2021"/>
    <n v="0.25"/>
    <s v="durante el II trimestre se realizaron las actividades en cuanto a los roles de el acta 06-01-2021"/>
    <n v="0.25"/>
    <s v="durante el III trimestre se realizaron las actividades en cuanto a los roles de el acta 06-01-2021. se anexa informe del proceso de Talento Humano"/>
    <m/>
    <m/>
    <n v="0.75"/>
    <d v="2021-04-14T00:00:00"/>
    <d v="2021-07-13T00:00:00"/>
    <d v="2021-10-14T00:00:00"/>
    <m/>
    <n v="0.75"/>
    <n v="1"/>
    <n v="1"/>
    <n v="1"/>
    <n v="0"/>
    <s v="Concepto Favorable"/>
    <s v="Concepto Favorable"/>
    <s v="Concepto Favorable"/>
    <m/>
    <s v="Reporte aprobado"/>
    <s v="La DT realizó las actividades en cuanto a los roles del acta de 06-01-2021"/>
    <s v="Reportaron a talento humano actividades de rendicion de cuentas en el SG, SST"/>
    <m/>
    <x v="0"/>
    <x v="0"/>
    <x v="0"/>
    <x v="0"/>
    <s v="Se evidencia correos electrónicos donde se observa la realización de las actividades en cuanto a los roles del acta 06-01-2021."/>
    <s v="Se evidencia informe de actividades en cuanto a los roles del acta 06-01-2021."/>
    <s v="Con memorando de Asunto: Informe Actividades al III trimestrePlan de acción anual 2021 se evidencia la realización de la actividad."/>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1"/>
    <n v="228143291.15037256"/>
    <n v="45047851.471077122"/>
    <n v="58396884.861304849"/>
    <n v="59454956.657056168"/>
    <n v="65243598.160934433"/>
    <n v="8700523"/>
    <s v="Durante el primer trimestre se han recaudado por concepto de venta de bienes y servicios un valor de $8700523. A la fecha la territorial no ha recibido la meta de ingresos de bienes y servicios"/>
    <n v="8301006"/>
    <s v="Durante el Segundo trimestre se han recaudado por concepto de venta de bienes y servicios un valor de $8.301.006. es importante manifestar que la territorial ya no cuenta con el catastro del distrito de santa marta, el cual era el que representaba el 90% de sus ingresos"/>
    <n v="25969242"/>
    <s v="Durante el III trimestre se han recaudado por concepto de venta de bienes y servicios un valor de $25.969.242. es importante manifestar que la territorial ya no cuenta con el catastro del distrito de santa marta, el cual era el que representaba el 90% de sus ingresos"/>
    <m/>
    <m/>
    <n v="42970771"/>
    <d v="2021-04-14T00:00:00"/>
    <d v="2021-07-13T00:00:00"/>
    <d v="2021-10-13T00:00:00"/>
    <m/>
    <n v="0.18834992159237915"/>
    <n v="0.1931395774909743"/>
    <n v="0.14214809607935855"/>
    <n v="0.43678851117147266"/>
    <n v="0"/>
    <s v="Concepto Favorable"/>
    <s v="Concepto Favorable"/>
    <s v="Concepto Favorable"/>
    <m/>
    <s v="Reporte aprobado"/>
    <s v="Las ventas han sido reportadas según realción"/>
    <s v="Realizaron ventas por un valor de $25.969.242. "/>
    <m/>
    <x v="1"/>
    <x v="0"/>
    <x v="0"/>
    <x v="0"/>
    <s v="Se evidencia reporte de ingresos recibidos en el primer trimestre, no se tiene definida meta de ingresos."/>
    <s v="Se evidencia reporte de ingresos para el segundo trimestre el cual llego a $ 8.301.006."/>
    <s v="Con el reporte “relación de ingresos de contado” de julio 01 al 30 de septiembre del 2021 se observa un total: $30,842,348 y en “ventas totalizadas por producto” del 01 de julio al 30 de septiembre con total tipo $21,135,461. informaición que idica que la ejecución no corresponde a la meta."/>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9.0909090909090912E-2"/>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n v="0"/>
    <s v="La meta  se cumplio en el primer tirmestre,  como se soporto con el informe de ejecucion anterior, sin tener mas area para cubrir, se evidencia con actas de seguimiento, el proceso de cierre está proyectado para el mes de octubre. "/>
    <n v="0"/>
    <s v="La meta  se cumplio en el primer tirmestre, sin tener mas area para cubrir, se encuentran en etapa de digitalizacion final, se anexa cronograma de cumplimiento."/>
    <m/>
    <m/>
    <n v="17442"/>
    <d v="2021-04-14T00:00:00"/>
    <d v="2021-07-15T00:00:00"/>
    <d v="2021-10-12T00:00:00"/>
    <m/>
    <n v="0.99023504030884524"/>
    <s v=""/>
    <s v=""/>
    <s v=""/>
    <n v="0"/>
    <s v="Concepto Favorable"/>
    <s v="Sin meta asignada en el periodo"/>
    <s v="Concepto Favorable"/>
    <m/>
    <s v="Se evidencia cumplimiento de meta con el Informe de ejecución  del PRIMER TRIMESTRE 2021 ACTUALIZACIÓN CATASTRAL ZONA URBANA Y RURAL ETAPA 1 AÑO 2020 y ETAPA 2 AÑO 2021VILLAVICENCIO, META"/>
    <s v="Sin tener mas area para cubrir y el aviendo cumplido la meta en el mes anterior, no se cuets meta por cumplir."/>
    <s v="sin meta asignada"/>
    <m/>
    <x v="1"/>
    <x v="1"/>
    <x v="2"/>
    <x v="0"/>
    <s v="Se evidencia informe de avance de la actualización del municipio de Villavicencio, no se valida lo reportado hasta que no se culmine el proceso."/>
    <s v="Se evidencia informe de avance de la actualización Fase II con el area a cubrir."/>
    <s v="sin meta asignada, se aporta excel con actualizacion predios. "/>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9.0909090909090912E-2"/>
    <n v="8351"/>
    <n v="0"/>
    <n v="0"/>
    <n v="0"/>
    <n v="8351"/>
    <n v="379"/>
    <s v="En cumplimiento al seguimiento se registra tramites de oficina 379 al corte de 31 de marzo. se evidenci con los reporte mensuales de tramitadas."/>
    <n v="668"/>
    <s v="En cumplimiento al seguimiento se registra tramites de oficina 668 al corte de 30 de junio. se evidencai con los reporte mensuales (abril, mayo y junio) de tramitadas."/>
    <n v="1824"/>
    <s v="En cumplimiento al seguimiento se registra tramites de oficina 1824 al corte de 30 de septiembre. se evidencai con los reporte mensuales (Julio, agosto septiembe) de tramitadas."/>
    <m/>
    <m/>
    <n v="2871"/>
    <d v="2021-04-14T00:00:00"/>
    <d v="2021-07-13T00:00:00"/>
    <d v="2021-10-12T00:00:00"/>
    <m/>
    <n v="0.34379116273500182"/>
    <s v=""/>
    <s v=""/>
    <s v=""/>
    <n v="0"/>
    <s v="Concepto Favorable"/>
    <s v="Concepto Favorable"/>
    <s v="Concepto Favorable"/>
    <m/>
    <s v="Se observa en reporte consolidado del trimestre e informes de Tramitadas ppor departamento de  los meses enero, febrero y marzo. El cumplimiento de la meta."/>
    <s v="Se evidencia reporte de 668 tramites de oficina para los meses de abril, maro y junio. con informe por mes"/>
    <s v="Se valida cumplimiento"/>
    <m/>
    <x v="0"/>
    <x v="0"/>
    <x v="0"/>
    <x v="0"/>
    <s v="Se evidencia reporte de tramites de oficina para el primer trimestre de 379 realizados."/>
    <s v="Se evidencia reporte de tramites de oficina para el segundo trimestre, contrastado con el informe de la subdirección de catastro el numero reportado no coincide, el numero de tramites es de 1.047."/>
    <s v="Se evidencia reporte de tramites de oficina para el tercer trimestre, meses julio, agosto y septiembre."/>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9.0909090909090912E-2"/>
    <n v="11965"/>
    <n v="0"/>
    <n v="0"/>
    <n v="0"/>
    <n v="11965"/>
    <n v="438"/>
    <s v="En cumplimiento al seguimiento se registra tramites de terreno  438 al corte de 31 de marzo.. se evidencia con los reporte mensuales."/>
    <n v="1737"/>
    <s v="En cumplimiento al seguimiento se registra tramites de terreno  1737 al corte de 30 de junio. se evidencia con los reporte mensuales de abril , mayo y junio."/>
    <n v="1048"/>
    <s v="En cumplimiento al seguimiento se registra tramites de terreno  1048 al corte de 30 de septiembre. se evidencia con los reporte mensuales de julio, agosto y septiembre."/>
    <m/>
    <m/>
    <n v="3223"/>
    <d v="2021-04-14T00:00:00"/>
    <d v="2021-07-13T00:00:00"/>
    <d v="2021-10-12T00:00:00"/>
    <m/>
    <n v="0.26936899289594651"/>
    <s v=""/>
    <s v=""/>
    <s v=""/>
    <n v="0"/>
    <s v="Concepto Favorable"/>
    <s v="Concepto Favorable"/>
    <s v="Concepto Favorable"/>
    <m/>
    <s v="se evidencia la realizacion de la actividad y se puede identificar en el reporte triemestral"/>
    <s v="Se evidencia con los reporte mensuales de abril, mayo y junio para 1737 tramites de terreno"/>
    <s v="Se evidencia cumplimiento"/>
    <m/>
    <x v="0"/>
    <x v="0"/>
    <x v="0"/>
    <x v="0"/>
    <s v="Se evidencia reporte de tramites de terreno para el primer trimestre de 438 realizados."/>
    <s v="Se evidencia reporte de tramites de terreno para el segundo trimestre, contrastado con el informe de la subdirección de catastro el número reportado no coincide, el número de tramites es de 1.373."/>
    <s v="Se evidencia reporte de tramites de terreno para el tercer trimestre de 1048 realizados,reporte mensuales de los meses de julio, agosto y septiembre"/>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9.0909090909090912E-2"/>
    <n v="30"/>
    <n v="0"/>
    <n v="0"/>
    <n v="0"/>
    <n v="30"/>
    <n v="11"/>
    <s v="Se realizaron 11 visitas de avaluos al corte del 31 de marzo. se evidencia con reporte trimestral de visitas."/>
    <n v="2"/>
    <s v="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
    <n v="3"/>
    <s v="_x000d__x000a_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_x000a_"/>
    <m/>
    <m/>
    <n v="16"/>
    <d v="2021-04-14T00:00:00"/>
    <d v="2021-07-13T00:00:00"/>
    <d v="2021-10-13T00:00:00"/>
    <m/>
    <n v="0.53333333333333333"/>
    <s v=""/>
    <s v=""/>
    <s v=""/>
    <n v="0"/>
    <s v="Concepto Favorable"/>
    <s v="Concepto Favorable"/>
    <s v="Concepto Favorable"/>
    <m/>
    <s v="Con correo electronico en el que se reporta las visitas  ejecutadas en el trimestre. se observa el cumplimiento de la actividad"/>
    <s v="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
    <s v="Actividad cumplida mediante evidencia"/>
    <m/>
    <x v="2"/>
    <x v="0"/>
    <x v="0"/>
    <x v="0"/>
    <s v="Se evidencia reporte de avalúos realizados por la territorial, este no concuerda por el consolidado suministrado por el GIT de avalúos de la Subdirección de Catastro, en el cual la territorial ha realizado 3 avalúos."/>
    <s v="Se evidencia correo donde se reportan los 2 avalúos realizados para el segundo trimestre."/>
    <s v="Se evidencia correo donde se reportan los 3 avalúos realizados para el tercer trimestre."/>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9.0909090909090912E-2"/>
    <n v="1"/>
    <n v="0.25"/>
    <n v="0.25"/>
    <n v="0.25"/>
    <n v="0.25"/>
    <n v="0.25"/>
    <s v="Se atendieron 56 solicitudes en materia de regularización en el primer trimestre, con corte al 31 de marzo. se evidencia con reporte en herramienta de monitorea"/>
    <n v="0.25"/>
    <s v="Se atendieron 102  solicitudes en materia de regularización en el segundor trimestre, con corte al 28 de Junio. se evidencia con reporte en herramienta de monitoreo y correo enviado. Dando cumplimiento a esta actividad."/>
    <n v="0.25"/>
    <s v="Se atendieron 159  solicitudes en materia de regularización en el tercerr trimestre, con corte al 30 de septiembre. se evidencia con reporte en herramienta de monitoreo y correo enviado. Dando cumplimiento a esta actividad."/>
    <m/>
    <m/>
    <n v="0.75"/>
    <d v="2021-04-14T00:00:00"/>
    <d v="2021-07-15T00:00:00"/>
    <d v="2021-10-12T00:00:00"/>
    <m/>
    <n v="0.75"/>
    <n v="1"/>
    <n v="1"/>
    <n v="1"/>
    <n v="0"/>
    <s v="Concepto Favorable"/>
    <s v="Concepto Favorable"/>
    <s v="Concepto Favorable"/>
    <m/>
    <s v="Con reporte en herramienta de monitoreo con corte a 28 de marzo y con cuadro de descripcion  de estrategia se observa la realizacion de la actividad"/>
    <s v="Se evidencia a ver  atendido 102  solicitudes en materia de regularizacióncon reporte en herramienta de monitoreo y correo remisorio."/>
    <s v="Se evidencia cumplimiento"/>
    <m/>
    <x v="0"/>
    <x v="0"/>
    <x v="0"/>
    <x v="0"/>
    <s v="Se evidencia reporte de solitudes atendidas en materia de regularización, se recibieron 65 y se han atendido 56 solicitudes."/>
    <s v="Se evidencia reporte de solitudes atendidas en materia de regularización, se atendieron 102 solicitudes."/>
    <s v="Se evidencia reporte en la herramienta de monitoreo, y correo enviado, se atendieron 159 solicitudes"/>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9.0909090909090912E-2"/>
    <n v="1"/>
    <n v="0.25"/>
    <n v="0.25"/>
    <n v="0.25"/>
    <n v="0.25"/>
    <n v="0.25"/>
    <s v="Se atendieron 37 solicitudes de politicas de restitución de tierras al corte del 31 de marzo."/>
    <n v="0.25"/>
    <s v="Se atendieron 138 solicitudes de politicas de restitución de tierras al corte del 28 de Junio, Evidenciando con el archivo excel Herramienta de corte."/>
    <n v="0.25"/>
    <s v="Se atendieron 133 solicitudes de politicas de restitución de tierras al corte del 3o de septiembre, Evidenciando con el archivo excel Herramienta de corte."/>
    <m/>
    <m/>
    <n v="0.75"/>
    <d v="2021-04-13T00:00:00"/>
    <d v="2021-07-14T00:00:00"/>
    <d v="2021-10-12T00:00:00"/>
    <m/>
    <n v="0.75"/>
    <n v="1"/>
    <n v="1"/>
    <n v="1"/>
    <n v="0"/>
    <s v="Concepto Favorable"/>
    <s v="Concepto Favorable"/>
    <s v="Concepto Favorable"/>
    <m/>
    <s v="Con reporte en herramienta de monitoreo y con cuadro de descripcion  de estrategia se observa la realizacion de la actividad"/>
    <s v="Con reporte en herramienta de monitoreo y con imagen de correo electronico (cuadro de descripcion) se observa la realizacion de la actividad"/>
    <s v="Se valida evidencia"/>
    <m/>
    <x v="0"/>
    <x v="0"/>
    <x v="0"/>
    <x v="0"/>
    <s v="Se recibieron 51 solicitudes de información y se atendieron 37 solicitudes para un porcentaje de atención del 72.54%."/>
    <s v="Se evidencia reporte de tierras donde se recibieron 145 solicitudes y se atendieron 138 solicitudes."/>
    <s v="Se evidencia reporte de restitucion de  tierras  se atendieron 133 solicitudes."/>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9.0909090909090912E-2"/>
    <n v="1"/>
    <n v="0.25"/>
    <n v="0.25"/>
    <n v="0.25"/>
    <n v="0.25"/>
    <n v="0.25"/>
    <s v="Se presenta  grandes retrazos en las respuestas a solicitudes y por ende en los terminos legales, en razon de problemas tecnicos de las plataformas de servicio ajenas a la territorial. se tramitaron 41 solicitudes."/>
    <n v="0.25"/>
    <s v="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
    <n v="0.25"/>
    <s v="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
    <m/>
    <m/>
    <n v="0.75"/>
    <d v="2021-04-14T00:00:00"/>
    <d v="2021-07-15T00:00:00"/>
    <d v="2021-10-14T00:00:00"/>
    <m/>
    <n v="0.75"/>
    <n v="1"/>
    <n v="1"/>
    <n v="1"/>
    <n v="0"/>
    <s v="Concepto Favorable"/>
    <s v="Concepto Favorable"/>
    <s v="Concepto Favorable"/>
    <m/>
    <s v="Con reporte trimetral de PQRs se evidencian resagos en el tratamiento de solicitudes se sugiere implemtar accion de mejora"/>
    <s v="Se evidencia reporte de atención de 55 PQRs atendidas, Se planea realizar accion correctiva para el manejo de rezagos"/>
    <s v="Se valida evidencia"/>
    <m/>
    <x v="0"/>
    <x v="2"/>
    <x v="1"/>
    <x v="0"/>
    <s v="Se evidencia reporte de atención de PQRs, el índice de oportunidad de atención en términos legales es de 5.98%."/>
    <s v="Se evidencia reporte de PQRs el nivel de atención en términos legales es baja."/>
    <s v="Se evidencia reporte de PQRs el nivel de atención en términos legales es baja."/>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9.0909090909090912E-2"/>
    <n v="1"/>
    <n v="0.25"/>
    <n v="0.25"/>
    <n v="0.25"/>
    <n v="0.25"/>
    <n v="0.25"/>
    <s v="En cumplimiento se anexa actas de reunion de copasst de los meses de enero, febrero y marzo al igual que el acta de comie de convivencia del primer trimestre."/>
    <n v="0.25"/>
    <s v=" Se evidencia la realizacion de las actividades conlas  actas de reunion de copasst de los meses de abril, mayo y junio al igual que el acta de comite de convivencia del segundo trimestre trimestre. Cumpliendo con lo programado."/>
    <n v="0.25"/>
    <s v="En cumplimiento se anexa actas de reunion de copasst de los meses de julio, agosto y septiembre al igual que el acta de comie de convivencia del tercer trimestre."/>
    <m/>
    <m/>
    <n v="0.75"/>
    <d v="2021-04-12T00:00:00"/>
    <d v="2021-07-13T00:00:00"/>
    <d v="2021-10-13T00:00:00"/>
    <m/>
    <n v="0.75"/>
    <n v="1"/>
    <n v="1"/>
    <n v="1"/>
    <n v="0"/>
    <s v="Concepto Favorable"/>
    <s v="Concepto Favorable"/>
    <s v="Concepto Favorable"/>
    <m/>
    <s v="Se evidencian las actas de  copasst de los meses de enero, febrero y marzo y el acta de comie de convivencia, cumpliendo con la actividad. "/>
    <s v="Se evidencia el cumplimiento en  actas de los comités (Copasst y Comité de convivencia), correo electronico remisorio"/>
    <s v="Se evidencia con actas"/>
    <m/>
    <x v="0"/>
    <x v="0"/>
    <x v="0"/>
    <x v="0"/>
    <s v="Se evidencia actas de COPASST de los tres primeros meses y acta de comité de convivencia laboral."/>
    <s v="Se evidencia actas de COPASST de los meses de abril, mayo, junio y acta de comité de convivencia laboral."/>
    <s v="Se evidencia actas de COPASST de los meses de julio, agosto y septiembre y acta de comité de convivencia laboral."/>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9.0909090909090912E-2"/>
    <n v="1"/>
    <n v="0.25"/>
    <n v="0.25"/>
    <n v="0.25"/>
    <n v="0.25"/>
    <n v="0.25"/>
    <s v="Se presenta acta N°1 de Informe de rendicion de cuentas del SG-SST de la territorial del primer trimestre."/>
    <n v="0.25"/>
    <s v="Se presenta acta N°2 de Informe de rendicion de cuentas del SG-SST de la territorial del Segundo trimestre, cumplirndo con la actividad."/>
    <n v="0.25"/>
    <s v="Se presenta acta N°3 de Informe de rendicion de cuentas del SG-SST de la territorial del tercer trimestre."/>
    <m/>
    <m/>
    <n v="0.75"/>
    <d v="2021-04-13T00:00:00"/>
    <d v="2021-07-15T00:00:00"/>
    <d v="2021-10-13T00:00:00"/>
    <m/>
    <n v="0.75"/>
    <n v="1"/>
    <n v="1"/>
    <n v="1"/>
    <n v="0"/>
    <s v="Concepto Favorable"/>
    <s v="Concepto Favorable"/>
    <s v="Concepto Favorable"/>
    <m/>
    <s v="Se evidencia la realizacion de la actividad con Acta  N°1  &quot; RENDICION DE CUENTAS I TRIMESTRE DE 2021 TERRITORIAL METAcon corte a  31_03 /2021"/>
    <s v="Se evidencia cumplimiento de actividad con el informe N° 2 que soportan las responsabilidades y rendición cuentas en el SG - SST, establecida mediante acta del 06-01-2021."/>
    <s v="Se evidencia con acta SG-SST"/>
    <m/>
    <x v="0"/>
    <x v="0"/>
    <x v="0"/>
    <x v="0"/>
    <s v="Se evidencia informe que soportan las responsabilidades y rendición cuentas en el SG - SST, establecida mediante acta del 06-01-2021."/>
    <s v="Se evidencia informe que soportan las responsabilidades y rendición cuentas en el SG – SST."/>
    <s v="Se evidencia Informe de rendicion de cuentas del SG-SST de la territorial del tercer trimestre"/>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9.0909090909090912E-2"/>
    <n v="537998450.13475347"/>
    <n v="106230054.5904108"/>
    <n v="137709215.07120705"/>
    <n v="140204317.96630073"/>
    <n v="153854862.50683486"/>
    <n v="20317114"/>
    <s v="Se reporte el ingreso por ventas de bienes y servicios del mes de enereo y febrero, el mes de marzo no alcanza a reportarse en razon que el informe por parte del area de gestion financiera son enviados hasta los dias 15 del siguiente mes."/>
    <n v="447444570"/>
    <s v="Se reporta el ingreso por ventas de bienes y servicios del mes de abril,  mayo y  julio con certificados de ingresos."/>
    <n v="25180149"/>
    <s v="Se reporta el ingreso por ventas de bienes y servicios del mes de julio y agosto  con certificados de ingreso, .el mes de septiembre queda pendiente en razon que los informes son enviados por el area central despues del dia 15 de cada mes."/>
    <m/>
    <m/>
    <n v="492941833"/>
    <d v="2021-04-12T00:00:00"/>
    <d v="2021-07-13T00:00:00"/>
    <d v="2021-10-12T00:00:00"/>
    <m/>
    <n v="0.91625139975130399"/>
    <n v="0.19125579929650144"/>
    <n v="1"/>
    <n v="0.17959610206906937"/>
    <n v="0"/>
    <s v="Concepto Favorable"/>
    <s v="Concepto Favorable"/>
    <s v="Concepto Favorable"/>
    <m/>
    <s v="Se realiza actividad se evidente con archivos facilitados por Financiera"/>
    <s v="Con certificados de ingresos se reporta ventas de bienes y servicios del mes de abril,  mayo y  junio, cumpliendo la meta."/>
    <s v="Se valida información"/>
    <m/>
    <x v="0"/>
    <x v="2"/>
    <x v="0"/>
    <x v="0"/>
    <s v="Se evidencia reporte de ingresos recibidos en el primer trimestre, no se tiene definida meta de ingresos, se debe llevar el valor a la unidad de medida propuesta."/>
    <s v="Se evidencia comprobante de ingresos de los meses de abril, mayo y junio, la cifra reportada difiere de la de los comprobantes. Nota: corregir la cifra."/>
    <s v="Se evidencia reporte de  ingreso por ventas de bienes y servicios del mes de julio y agosto  con certificados de ingresos"/>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Meta"/>
    <s v="Porcentaje"/>
    <s v="Recursos obtenidos por recuperación de cartera"/>
    <s v="Eficiencia"/>
    <n v="9.0909090909090912E-2"/>
    <n v="1"/>
    <n v="0.25"/>
    <n v="0.25"/>
    <n v="0.25"/>
    <n v="0.25"/>
    <n v="0"/>
    <s v="En el repoter enviado por el area de finciera recursos obtenidos por recuperación de cartera."/>
    <n v="0"/>
    <s v="El area finaciera  de la territorial, manifiesta no tener cobros por cartera en razon que no tiene convenios con ningun municipio. ( Dentro las metas de la territorial no se encentra valor de referencia para recuperar)."/>
    <n v="0"/>
    <s v="El area finaciera  de la territorial, manifiesta no tener cobros por cartera en razon que no tiene convenios con ningun municipio. ( Dentro las metas de la territorial no se encentra valor de referencia para recuperar)."/>
    <m/>
    <m/>
    <n v="0"/>
    <d v="2021-04-14T00:00:00"/>
    <d v="2021-07-13T00:00:00"/>
    <d v="2021-10-12T00:00:00"/>
    <m/>
    <n v="0"/>
    <n v="0"/>
    <n v="0"/>
    <n v="0"/>
    <n v="0"/>
    <s v="Sin meta asignada en el periodo"/>
    <s v="Sin meta asignada en el periodo"/>
    <s v="Sin meta asignada en el periodo"/>
    <m/>
    <s v="No se reporta recuperacion de cartera ya que en evidencia no se tiene monto a recuperar"/>
    <s v="Al no tener  cartera por recuperar, no aplica indicador"/>
    <s v="Sin meta asignada en el periodo"/>
    <m/>
    <x v="2"/>
    <x v="1"/>
    <x v="0"/>
    <x v="0"/>
    <s v="Se evidencia reporte de financiera donde no se observa cartera."/>
    <s v="No se tiene cartera."/>
    <s v="Conforme con lo manifetado por la territorial  no se  tiene cobros por cartera en razon que no tiene convenios con ningun municipio"/>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1"/>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n v="5872"/>
    <s v="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
    <n v="3198"/>
    <s v="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
    <m/>
    <m/>
    <n v="14044"/>
    <d v="2021-04-14T00:00:00"/>
    <d v="2021-07-14T00:00:00"/>
    <d v="2021-10-11T00:00:00"/>
    <m/>
    <n v="0.73168698551630718"/>
    <s v=""/>
    <s v=""/>
    <s v=""/>
    <n v="0"/>
    <s v="Concepto Favorable"/>
    <s v="Concepto Favorable"/>
    <s v="Concepto Favorable"/>
    <m/>
    <s v="se revisa evidencias, se encuentran acordes al producto esperado"/>
    <s v="se revisa evidecia, cumple con producto esperado"/>
    <s v="La Dt realizó 3198 tramites de oficina y reporta su ejecución"/>
    <m/>
    <x v="0"/>
    <x v="0"/>
    <x v="0"/>
    <x v="0"/>
    <s v="Se presenta archivo donde se evidencian los trámites de oficina correspondientes a los meses de enero, febrero y marzo, para un total de 4.962 trámites."/>
    <s v="Se presenta archivo donde se evidencian los trámites de oficina correspondientes a los meses de abril, mayo y junio, para un total de 5.872 trámites."/>
    <s v="Se presenta archivo donde se evidencian los trámites de oficina correspondientes a los meses de julio, agosto y septiembre, para un total de 3.198 mutaciones "/>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1"/>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n v="2253"/>
    <s v="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
    <n v="1195"/>
    <s v="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
    <m/>
    <m/>
    <n v="4591"/>
    <d v="2021-04-14T00:00:00"/>
    <d v="2021-07-13T00:00:00"/>
    <d v="2021-10-11T00:00:00"/>
    <m/>
    <n v="0.4867988548404199"/>
    <s v=""/>
    <s v=""/>
    <s v=""/>
    <n v="0"/>
    <s v="Concepto Favorable"/>
    <s v="Concepto Favorable"/>
    <s v="Concepto Favorable"/>
    <m/>
    <s v="se revisa evidencias, se encuentran acordes al producto esperado"/>
    <s v="se revisa evidecia, cumple con producto esperado"/>
    <s v="En el tercer trimeste la DT realizó 1195 tramites de terreno"/>
    <m/>
    <x v="0"/>
    <x v="0"/>
    <x v="0"/>
    <x v="0"/>
    <s v="Se evidencia archivo donde se describe que para este primer trimestre la Dirección Territorial lleva un avance de 1.156 trámites de terreno.  "/>
    <s v="Se evidencia archivo donde se describe que para este segundo trimestre la Dirección Territorial lleva un avance de 2.253 trámites de terreno.  "/>
    <s v="Se evidencia archivo donde se describe que para este segundo trimestre la Dirección Territorial lleva un avance de 1195  trámites de terreno.  "/>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1"/>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n v="3"/>
    <s v="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
    <n v="20"/>
    <s v="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
    <m/>
    <m/>
    <n v="23"/>
    <d v="2021-04-14T00:00:00"/>
    <d v="2021-07-13T00:00:00"/>
    <d v="2021-10-11T00:00:00"/>
    <m/>
    <n v="0.38333333333333336"/>
    <s v=""/>
    <s v=""/>
    <s v=""/>
    <n v="0"/>
    <s v="Concepto Favorable"/>
    <s v="Concepto Favorable"/>
    <s v="Concepto Favorable"/>
    <m/>
    <s v="se revisa evidencias, se encuentran acordes al producto esperado"/>
    <s v="se revisa evidecia, cumple con producto esperado"/>
    <s v="La DT de acuerdo a evidencias realizó 20 avalúos comerciales"/>
    <m/>
    <x v="1"/>
    <x v="0"/>
    <x v="0"/>
    <x v="0"/>
    <s v="Se presentan documentos de contratación a personas encargadas de realizar los avalúos comerciales a nivel nacional de los bienes urbanos y rurales. Sin embargo no se programó meta para este periodo."/>
    <s v="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
    <s v="Se observan que, para el tercer trimestre del año 2021, la D.T realizó veinte (20) avalúos comerciales, con su respectiva aprobacion del comite."/>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1"/>
    <n v="1"/>
    <n v="0.25"/>
    <n v="0.25"/>
    <n v="0.25"/>
    <n v="0.25"/>
    <n v="0.25"/>
    <s v="La oficina jurìdica dio respuesta a 34 las solicitudes asignadas mediante oficio recibido en SIGAC de los peticionarios y juzgados referente a regularizacion de la propiedad Ley 1561 y Ley 1564 de 2012"/>
    <n v="0.25"/>
    <s v="La oficina jurídica ha dado respuesta en el segundo trimestre del año 2021 a 69 solicitudes de peticionarios y juzgados referentes a regularización de la propiedad Ley 1561 y Ley 1564 de 2012, para un acumulado en el semestre de 103 peticiones respondidas."/>
    <n v="0.25"/>
    <s v="La oficina jurídica ha dado respuesta en el tercer trimestre del año 2021 a 58 solicitudes de peticionarios y juzgados referentes a regularización de la propiedad Ley 1561 y Ley 1564 de 2012, para un acumulado en el año de 161 peticiones respondida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ron atención a 58 solicitudes en materia de regularizacion de la propiedad"/>
    <m/>
    <x v="0"/>
    <x v="0"/>
    <x v="0"/>
    <x v="0"/>
    <s v="Se evidencian dos documentos sobre solicitudes uno de pertenencia y el otro donde se informa el aplazamiento de la visita ocular por parte de funcionarios del IGAC, por problemas personales."/>
    <s v="Se evidencian diferentes memorandos de fechas 29/04/2021, 20/05/2021 22/06/2021 y 28/06/2021, dando respuesta a solicitudes de peticionarios y juzgados referentes a regularización de la propiedad Ley 1561 y Ley 1564 de 2012, se da cumplimiento al producto esperado."/>
    <s v="Se evidencian diferentes memorandos, dando respuesta a solicitudes de peticionarios y juzgados referentes a regularización de la propiedad Ley 1561 y Ley 1564 de 2012, se da cumplimiento al producto esperado."/>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1"/>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n v="0.25"/>
    <s v="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
    <n v="0.31"/>
    <s v="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
    <m/>
    <m/>
    <n v="0.75105691056910573"/>
    <d v="2021-04-14T00:00:00"/>
    <d v="2021-07-13T00:00:00"/>
    <d v="2021-10-11T00:00:00"/>
    <m/>
    <n v="0.75105691056910562"/>
    <n v="0.76422764227642281"/>
    <n v="1"/>
    <n v="1"/>
    <n v="0"/>
    <s v="Concepto Favorable"/>
    <s v="Concepto Favorable"/>
    <s v="Concepto Favorable"/>
    <m/>
    <s v="se revisa las evidencias, se encuentra acordes con el producto esperado"/>
    <s v="se revisa evidecia, cumple con producto esperado"/>
    <s v="La DT realiza el reporte de las solicitudes atendidas en la Politica de Restitución de Tierras"/>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s v="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
    <s v="Se evidencia herramienta de monitoreo de las solicitudes recibidas para el cumplimiento de la Política de Restitución de Tierras y Ley de Víctimas, en los términos de ley   "/>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1"/>
    <n v="1"/>
    <n v="0.25"/>
    <n v="0.25"/>
    <n v="0.25"/>
    <n v="0.25"/>
    <n v="0.25"/>
    <s v="De acuerdo a informe del GIT de Servicio al ciudadano y reporte del aplicativo SIGAC se han recepcionado PQRSD 575 Peticiones"/>
    <n v="0.25"/>
    <s v="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
    <n v="0.25"/>
    <s v="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_x000a_"/>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gistran el avance de acuerdo al reporte del SIGAC con el fin de hacer seguimiento y atender las solicitudes"/>
    <m/>
    <x v="0"/>
    <x v="0"/>
    <x v="0"/>
    <x v="0"/>
    <s v="Se presenta informe consolidado de PQRSD, donde se evidencia que, para el primer trimestre de 2021, de han recibido 575 solicitudes, de las cuales se encuentran finalizadas 144, por lo cual están pendientes por resolver 431 solicitudes. "/>
    <s v="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
    <s v="Se presenta informe consolidado de PQRSD, donde se evidencia que, para el tercer trimestre de 2021, de han recibido un total de 3.278. De las cuales corresponde a PQRSD 486 radicados, se atendieron 198, del reporte generado en SIGAC las PQRSD pendientes son 292, es decir que se atendió 40% durante el trimestre, se recomienda implementar plan de choque para dar respuesta a las PQRSD pendientes "/>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1"/>
    <n v="1"/>
    <n v="0.25"/>
    <n v="0.25"/>
    <n v="0.25"/>
    <n v="0.25"/>
    <n v="0.25"/>
    <s v="Se efectuan y envian evidencias al Grupo Interno de Trabajo de Talento Humano en lo referente a las actas de Comite de COPASST, así como Comité de convivencia, reuniones efectuadas via virtual a traves de teams."/>
    <n v="0.25"/>
    <s v="En los meses de abril, mayo y junio se remiten las actas No. 4, 5 y 6 de COPASST a la oficina de Talento Humano, de desarrollo el segundo comité de convivencia y se envió el acta No. 2 respectiva."/>
    <n v="0.25"/>
    <s v="En los meses de julio, agosto y septiembre se remiten las actas No. 7, 8 y9 de COPASST a la oficina de Talento Humano, de desarrollo el tercer comité de convivencia y se envió el acta No. 3 respectiva."/>
    <m/>
    <m/>
    <n v="0.75"/>
    <d v="2021-04-13T00:00:00"/>
    <d v="2021-07-13T00:00:00"/>
    <d v="2021-10-11T00:00:00"/>
    <m/>
    <n v="0.75"/>
    <n v="1"/>
    <n v="1"/>
    <n v="1"/>
    <n v="0"/>
    <s v="Concepto Favorable"/>
    <s v="Concepto Favorable"/>
    <s v="Concepto Favorable"/>
    <m/>
    <s v="se revisa las evidencias, se encuentra acordes con el producto esperado"/>
    <s v="se revisa evidecia, cumple con producto esperado"/>
    <s v="La DT remitio a Talento humano las actas de COPASST y comité de convivencia"/>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s v="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
    <s v="Se presentan los documentos donde se encuentran las actas realizadas sobre Comité paritario de Seguridad y Salud en el Trabajo – Copasst correspondientes a los meses de julio, agosto y septiembre del presente año.  Así mismo, se presenta el acta No. 3 sobre el Comité de Convivencia Laboral.  Por lo anterior se valida el avance de esta actividad por parte de la OCI."/>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1"/>
    <n v="1"/>
    <n v="0.25"/>
    <n v="0.25"/>
    <n v="0.25"/>
    <n v="0.25"/>
    <n v="0.25"/>
    <s v="Se realiza reporte de asuentismo, el cual esta reportado en el Drive dispuesto por la oficina de Talento Humano, se informa ademas la celebración de cumpleaños, dia de la mujer, dia del hombre"/>
    <n v="0.25"/>
    <s v="Se realiza reporte de ausentismo mensual en el drive dispuesto por la Oficina de Talento Humano, se realiza celebración de cumpleaños. Evento despedida de funcionarios."/>
    <n v="0.25"/>
    <s v="Se realiza reporte de ausentismo mensual en el drive dispuesto por la Oficina de Talento Humano, se realiza celebración de cumpleaño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n reporte de ausentismo y celebraciones de cumpleaños"/>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s v="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
    <s v="Se observan los siguientes documentos referente a reporte de ausentismo mensual y celebracion de cumpleaños de contratistas y funcionarios "/>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1"/>
    <n v="428737869.73131013"/>
    <n v="84656093.888608426"/>
    <n v="109742240.88789099"/>
    <n v="111730620.40782264"/>
    <n v="122608914.54698808"/>
    <n v="111614482"/>
    <s v="En el primer trimestre de 2021 se obtuvo ventas acumuladas por valor de $ 111.614.482, debidamente soportado por informes y reportes de cada uno de los meses (enero, febrero, marzo)_x000d__x000a_"/>
    <n v="105908313"/>
    <s v="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
    <n v="113013147"/>
    <s v="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
    <m/>
    <m/>
    <n v="330535942"/>
    <d v="2021-04-13T00:00:00"/>
    <d v="2021-07-13T00:00:00"/>
    <d v="2021-10-11T00:00:00"/>
    <m/>
    <n v="0.77095112266883903"/>
    <n v="1"/>
    <n v="0.96506424639344113"/>
    <n v="1"/>
    <n v="0"/>
    <s v="Concepto Favorable"/>
    <s v="Concepto Favorable"/>
    <s v="Concepto Favorable"/>
    <m/>
    <s v="se revisa las evidencias, se encuentra acordes con el producto esperado"/>
    <s v="se revisa evidecia, cumple con producto esperado"/>
    <s v="La DT reporta ventas por valor de $113.013.147 en el trimestre"/>
    <m/>
    <x v="0"/>
    <x v="0"/>
    <x v="0"/>
    <x v="0"/>
    <s v="Se valida esta actividad con los documentos suministrados como soporte donde se evidencian las ventas totalizadas por productos y la relación de ingresos de contado de ventas correspondiente al primer trimestre del año 2021."/>
    <s v="Se valida esta actividad con los documentos suministrados como soporte donde se evidencian las ventas totalizadas por productos y la relación de ingresos de contado de ventas correspondiente al segundo trimestre del año 2021."/>
    <s v="Se valida esta actividad con los documentos suministrados como soporte donde se evidencian las ventas totalizadas por productos y la relación de ingresos de contado de ventas correspondiente al tercer  trimestre del año 2021."/>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ariño"/>
    <s v="Porcentaje"/>
    <s v="Recursos obtenidos por recuperación de cartera"/>
    <s v="Eficiencia"/>
    <n v="0.1"/>
    <n v="1"/>
    <n v="0.25"/>
    <n v="0.25"/>
    <n v="0.25"/>
    <n v="0.25"/>
    <n v="0.25"/>
    <s v="Se realiza seguimiento a cartera obteniendo recaudo por valor de $15.625.194 del Municipio de Mocoa"/>
    <n v="0.25"/>
    <s v="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
    <n v="0.5"/>
    <s v="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m/>
    <m/>
    <n v="1"/>
    <d v="2021-04-13T00:00:00"/>
    <d v="2021-07-13T00:00:00"/>
    <d v="2021-10-11T00:00:00"/>
    <m/>
    <n v="1"/>
    <n v="1"/>
    <n v="1"/>
    <n v="1"/>
    <n v="0"/>
    <s v="Concepto Favorable"/>
    <s v="Concepto Favorable"/>
    <s v="Concepto Favorable"/>
    <m/>
    <s v="se revisa las evidencias, se encuentra acordes con el producto esperado"/>
    <s v="se revisa evidecia, cumple con producto esperado"/>
    <s v="La DT registra la recuperación de cartera por valor de $3.149.930"/>
    <m/>
    <x v="0"/>
    <x v="0"/>
    <x v="0"/>
    <x v="0"/>
    <s v="Para este trimestre se soporta el documento comprobante de egresos."/>
    <s v="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
    <s v="Para este trimestre se 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1111111111111111"/>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3077"/>
    <s v="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
    <n v="3262"/>
    <s v="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
    <m/>
    <m/>
    <n v="8140"/>
    <d v="2021-04-09T00:00:00"/>
    <d v="2021-07-15T00:00:00"/>
    <d v="2021-10-13T00:00:00"/>
    <m/>
    <n v="0.85182084554206783"/>
    <s v=""/>
    <s v=""/>
    <s v=""/>
    <n v="0"/>
    <s v="Concepto Favorable"/>
    <s v="Concepto Favorable"/>
    <s v="Concepto Favorable"/>
    <m/>
    <s v="Se observa que la DT avanzó en los Tramites de conservación Catastral realizados (mutaciones de Oficina) durante el primer trimestre de 2021"/>
    <s v="Durante el II Trimestre se pudo verificar con las evidencias que realizaron 3077 mutaciones, superando ya el 50% de la meta del año"/>
    <s v="De acuerdo con las evidencias, se observa que durante el tercer trimestre se ejecutaron 3262 trámites de oficina"/>
    <m/>
    <x v="0"/>
    <x v="0"/>
    <x v="0"/>
    <x v="0"/>
    <s v="Se evidencia soporte donde se han realizado 1.801 trámites de oficina para este primer trimestre."/>
    <s v="Se evidencia soporte donde se han realizado 3.077 trámites de oficina para el segundo trimestre del año 2021."/>
    <s v="De acuerdo con las evidencias suministradas, &quot;Tramites de Conservacion catastral proyectados y realizados DT Norte de Santander vigencia 2021&quot; se observa que durante el tercer trimestre se realizaron 3262 tramites de oficina"/>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1111111111111111"/>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1506"/>
    <s v="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
    <n v="1436"/>
    <s v="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
    <m/>
    <m/>
    <n v="3838"/>
    <d v="2021-04-09T00:00:00"/>
    <d v="2021-07-15T00:00:00"/>
    <d v="2021-10-13T00:00:00"/>
    <m/>
    <n v="0.3965695391609837"/>
    <s v=""/>
    <s v=""/>
    <s v=""/>
    <n v="0"/>
    <s v="Concepto Favorable"/>
    <s v="Concepto Favorable"/>
    <s v="Concepto Favorable"/>
    <m/>
    <s v="Se observa que la DT avanzó en los Tramites de terreno (mutaciones de terreno) durante el primer trimestre de 2021"/>
    <s v="Se pudo verificar que la DT ha venido realizando mutaciones de oficina y que las realizadas en el II trimestre son 1506"/>
    <s v="De acuerdo con las evidencias, se observa que durante el tercer Trimestre se ejecutaron 1.436 trámites de terreno"/>
    <m/>
    <x v="0"/>
    <x v="0"/>
    <x v="0"/>
    <x v="0"/>
    <s v="En el documento soporte se valida un avance en los trámites de terreno en 899 para los meses de enero a marzo de 2021."/>
    <s v="En el documento soporte se valida un avance en los trámites de terreno en 1.506 para los meses de abril, mayo y junio de 2021."/>
    <s v="De acuerdo con las evidencias suministradas, &quot;Tramites de Conservacion catastral proyectados y realizados DT Norte de Santander vigencia 2021&quot; se observa que durante el tercer trimestre se realizaron 1036 trámites de terreno"/>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1111111111111111"/>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n v="2"/>
    <s v="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
    <n v="3"/>
    <s v="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
    <m/>
    <m/>
    <n v="5"/>
    <d v="2021-04-09T00:00:00"/>
    <d v="2021-07-15T00:00:00"/>
    <d v="2021-10-13T00:00:00"/>
    <m/>
    <n v="0.16666666666666666"/>
    <s v=""/>
    <s v=""/>
    <s v=""/>
    <n v="0"/>
    <s v="Sin meta asignada en el periodo"/>
    <s v="Concepto Favorable"/>
    <s v="Concepto Favorable"/>
    <m/>
    <s v="Se observa que la DT no recibió solicitudes de elaboración de avalúos comerciales pero atendió solicitudes por restitución de Tierras "/>
    <s v="Aunque no hay meta asignada en el periodo, hay un total de 30 al año, en este trimestre atendieron 2 avalúos de la unidad de restitucion de tierras"/>
    <s v="De acuerdo con las evidencias, se observa que durante el tercer trimestre se realizaron 3 avalúos "/>
    <m/>
    <x v="1"/>
    <x v="0"/>
    <x v="0"/>
    <x v="0"/>
    <s v="Se evidencia documento soporte donde se da respuesta a dos solicitudes recibidas en los meses de febrero y marzo.  Sin embargo se observa que no se programó meta para este trimestre."/>
    <s v="No se tiene meta programada para el segundo trimestre del año 2021, sin embargo, se realizaron dos (2) avalúos para el juzgado Primero Especializado en Tierras de Cúcuta (cuadro de control soporte)."/>
    <s v="De acuerdo con las evidencias suministradas, correos electrónicos del 15 de agosto, 22 de agosto y 15 de septiembre en donde se remiten los avalúos realizados a los predios se observa que se la Dirección Territorial Norte de Santander  atiende las solicitudes realizadas por los juzgados."/>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1111111111111111"/>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n v="0.25"/>
    <s v="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
    <n v="0.25"/>
    <s v="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
    <m/>
    <m/>
    <n v="0.75"/>
    <d v="2021-04-14T00:00:00"/>
    <d v="2021-07-15T00:00:00"/>
    <d v="2021-10-13T00:00:00"/>
    <m/>
    <n v="0.75"/>
    <n v="1"/>
    <n v="1"/>
    <n v="1"/>
    <n v="0"/>
    <s v="Concepto Favorable"/>
    <s v="Concepto Favorable"/>
    <s v="Concepto Favorable"/>
    <m/>
    <s v="Se observa que durante el primer trimestre la DT atendió solicitudes concernientes a Regularización de la Propiedad"/>
    <s v="De acuerdo a la relacion aportada se puede verificar que han atendido solicitudes de información de restitucion de tierras en el segundo trimestre, aunque informan que no se recibieron requerimientos enmarcados dentro de la ley 1561 y 1564 de 2012"/>
    <s v="De acuerdo con la evidencia, se observa que durante el tercer trimestre recibieron dos solicitudes concernientes a Regularización de la Propiedad "/>
    <m/>
    <x v="0"/>
    <x v="0"/>
    <x v="0"/>
    <x v="0"/>
    <s v="Se evidencia documento soporte donde se da respuesta a dos solicitudes recibidas en los meses de febrero y marzo."/>
    <s v="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
    <s v="De acuerdo con las evidencias suministradas, &quot;Solicitudes de restitución de tierras DT NDS 2021&quot; se observa que durante el trimestre se atendieron 26 solicitudes de los procesos de restitución distribuidas de la siguiente manera: 10 en julio, 6 en agosto, 10 en septiembre."/>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1111111111111111"/>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n v="0.25"/>
    <s v="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
    <n v="0.25"/>
    <s v="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En evidencias se encuentra el listado de las solicitudes atendidas de restitución de tierras"/>
    <s v="De acuerdo con las evidencias, se observa que durante el tercer trimestre recibieron26 referentes a Política de Restitución y Ley de Víctimas"/>
    <m/>
    <x v="0"/>
    <x v="0"/>
    <x v="0"/>
    <x v="0"/>
    <s v="Se evidencia que para el primer trimestre del año 2021 se recibieron 26 solicitudes las cuales fueron respondidas dentro de los tiempos establecidos. "/>
    <s v="Se evidencia el informe sobre las Solicitudes de Restitución de Tierras, donde se observa que se ha dado respuesta en los tiempos establecidos por la ley.  "/>
    <s v="De acuerdo con las evidencias suministradas, &quot;Solicitudes de restitución de tierras DT NDS 2021&quot; se observa que durante el trimestre se atendieron 2 solicitudes del  proceso UAEGRTD distribuidas de la siguiente manera: 1 en julio, 1 en Septiembre."/>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1111111111111111"/>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n v="0.25"/>
    <s v="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
    <n v="0.25"/>
    <s v="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
    <m/>
    <m/>
    <n v="0.72"/>
    <d v="2021-04-14T00:00:00"/>
    <d v="2021-07-15T00:00:00"/>
    <d v="2021-10-13T00:00:00"/>
    <m/>
    <n v="0.72"/>
    <n v="0.88"/>
    <n v="1"/>
    <n v="1"/>
    <n v="0"/>
    <s v="Concepto Favorable"/>
    <s v="Concepto Favorable"/>
    <s v="Concepto Favorable"/>
    <m/>
    <s v="Se observa que la DT realizó seguimiento durante el primer trimestre para atender oportunamente las PQRS"/>
    <s v="dentro de su capacidad atendió las PQRD oportunamente y realizó el seguimiento"/>
    <s v="De acuerdo con las evidencias y con el autoseguimiento, se observa que se avanzó en 99,75%  la atención de las PQR "/>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s v="Se evidencia el informe sobre el segundo trimestre del año, donde se describe que se recibieron 371 solicitudes y 6 se encuentran pendientes por dar respuesta. "/>
    <s v="De acuerdo con las evidencias suministradas, &quot;Informe de Peticiones;Quejas, Reclamos, Denuncias, Sugerencias y Peticiones Ventanilla Virtual -PQRDS-de la Dirección Territorial Norte de Santander. III Trimestre de 2021&quot; se observa que durante el tercer trimestre se recibieron 411 solicitudes, de las cuales se encuentra pendiente solo 1."/>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1111111111111111"/>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n v="0.25"/>
    <s v="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
    <n v="0.25"/>
    <s v="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
    <m/>
    <m/>
    <n v="0.75"/>
    <d v="2021-04-14T00:00:00"/>
    <d v="2021-07-15T00:00:00"/>
    <d v="2021-10-13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DT cumplió con la entrega de las actas de los comites al GIT de talento humano"/>
    <s v="De acuerdo con las evidencias, se observa que durante el tercer trimestre se realizaron las Actas de Copasst mensuales y el Acta de Convivencia Laboral trimestral"/>
    <m/>
    <x v="0"/>
    <x v="0"/>
    <x v="0"/>
    <x v="0"/>
    <s v="Para el apoyo a esta actividad se presentan las actas de comités COPASST, de Convivencia Laboral y reuniones de la Comisión de Personal realizadas en el transcurso del primer trimestre del año 2021."/>
    <s v="Para el apoyo a esta actividad se presentan las actas de comités COPASST, de Convivencia Laboral y reuniones de la Comisión de Personal realizadas en el transcurso del segundo trimestre del año 2021."/>
    <s v="De acuerdo con las evidencias suministradas, Actas de reunión del Comité de convicencia laboral, COPASST y comisión de personal y sus respectivos correos electrónicos remisorios se observa el desarrollo de la actividad."/>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1111111111111111"/>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n v="0.25"/>
    <s v="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
    <n v="0.25"/>
    <s v="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s v="Atendieron en el II trimestre las responsabilidades y rendicion de cuentas en el SG-SST en la DT"/>
    <s v="De acuerdo con las evidencias, se observa que durante el tercer trimestre se realizaron las Actas de Copasst mensuales y el Acta de Convivencia Laboral trimestral y se atendieron las actividades del SGSST"/>
    <m/>
    <x v="0"/>
    <x v="0"/>
    <x v="0"/>
    <x v="0"/>
    <s v="Se soportan formatos de Inspección de Infraestructura General, así como las actas de comité de Copasst para los meses de enero, febrero y marzo de 2021."/>
    <s v="Se soportan formatos de Inspección de Infraestructura General, así como las actas de comité de Copasst para los meses de abril, mayo y junio de 2021."/>
    <s v="De acuerdo con las evidencias suministradas, actass de reunión, inspección de seguridad DT NTDS, informe de gestión trimestral se observa que la dirección territorial de Norte de Santander ha estado presta a atender las actividades del SG-SST."/>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1111111111111111"/>
    <n v="226218396.26888514"/>
    <n v="44667772.888527304"/>
    <n v="57904177.562319465"/>
    <n v="58953322.174748316"/>
    <n v="64693123.643290028"/>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n v="29496563"/>
    <s v="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n v="34566541"/>
    <s v="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m/>
    <m/>
    <n v="87370949"/>
    <d v="2021-04-14T00:00:00"/>
    <d v="2021-07-15T00:00:00"/>
    <d v="2021-10-13T00:00:00"/>
    <m/>
    <n v="0.3862238900153378"/>
    <n v="0.52180450227878961"/>
    <n v="0.50940302136671012"/>
    <n v="0.58633745690426942"/>
    <n v="0"/>
    <s v="Concepto Favorable"/>
    <s v="Concepto Favorable"/>
    <s v="Concepto Favorable"/>
    <m/>
    <s v="Se observa que durante el primer trimestre la DT recaudó ingresos por venta de bienes y servicios"/>
    <s v="La oficina de Difusion y mercadeo asigna las metas de ingresos por bienes y servicios, la DT realizo ventas por 29496563 según reporte financiero"/>
    <s v="De acuerdo con la relación de ventas de contado, se observa que durante el tercer trimestre se hicieron ventas por bienes y servicios."/>
    <m/>
    <x v="0"/>
    <x v="0"/>
    <x v="0"/>
    <x v="0"/>
    <s v="Se presenta reporte con los ingresos recibidos por la D.T durante el primer trimestre del año 2021."/>
    <s v="Se presenta reporte con los ingresos recibidos por la D.T durante el segundo trimestre del año 2021.  De igual manera se observa que para este periodo la D.T realizó ventas por $29’496.563 pesos m/cte."/>
    <s v="De acuerdo con las evidencias suministradas, &quot; Relación de ingresos contado ventas&quot; se presenta que para el mes de julio se vendieron $12.183.517, en agosto $13.167.548 y en septiembre $15.752.317 para un total de $41.103.382"/>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1"/>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n v="1900"/>
    <s v="En este trimestre se ejecutaron 2371 tramites de oficinA, incluidas vigencias anteriores."/>
    <n v="1393"/>
    <s v="EN ESTE TRIMESTRE SE EJECUTARON 1560 TRAMITES EN TOTAL, 1393 TRAMITES DE OFICINA, DE VIGENCIAS ANTERIORES Y LA ACTUAL,  CUMPLIENDO ASI UN PORCENTAJE DE EJECUCION DE LA META DE  66%. SE HAN ATENDIDO UN TOTAL DE 46 TRAMITES DE VIGENCIAS ANTERIORES  Y 1514 DE VIGENCIA 2021."/>
    <m/>
    <m/>
    <n v="4317"/>
    <d v="2021-04-12T00:00:00"/>
    <d v="2021-07-12T00:00:00"/>
    <d v="2021-10-14T00:00:00"/>
    <m/>
    <n v="0.66374538745387457"/>
    <s v=""/>
    <s v=""/>
    <s v=""/>
    <n v="0"/>
    <s v="Concepto Favorable"/>
    <s v="Concepto Favorable"/>
    <s v="Concepto Favorable"/>
    <m/>
    <s v="La actividad cuenta con evidencias "/>
    <s v="La actividad cuenta con evidencias"/>
    <s v="De acuerdo con las evidencias, se observa que durante el tercer trimestre se reconocieron 1393 trámites de oficina"/>
    <m/>
    <x v="0"/>
    <x v="0"/>
    <x v="0"/>
    <x v="0"/>
    <s v="Se observa el archivo detallado de Catastro donde se informa que la D.T a ejecutado 1.138 trámites de oficina, para un avance del 17% para este primer trimestre del año 2021."/>
    <s v="Se observa el archivo detallado de Catastro donde se informa que la D.T a ejecutado 1.900, trámites de oficina, correspondiente segundo trimestre del año 2021."/>
    <s v="De acuerdo con los soportes suministrados, &quot;cronograma 2021 Julio Septiembre&quot; se relizarón 1393 trámistes de oficina distribuidos de la siguiente manera: 501 en Julio, 183 en Agosto, 709 en septiembre"/>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1"/>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n v="421"/>
    <s v="Durante este periodo se realizaron 2321 tramites asi: 1900 de oficina y 421 vigencias anteriores y actual, se incorporaron 1378 nuevos predios en la base catastral, 14 resoluciones individuales con fines registrales que no registran en la plataforma."/>
    <n v="173"/>
    <s v="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
    <m/>
    <m/>
    <n v="1327"/>
    <d v="2021-04-09T00:00:00"/>
    <d v="2021-07-12T00:00:00"/>
    <d v="2021-10-14T00:00:00"/>
    <m/>
    <n v="0.2461053412462908"/>
    <s v=""/>
    <s v=""/>
    <s v=""/>
    <n v="0"/>
    <s v="Concepto Favorable"/>
    <s v="Concepto Favorable"/>
    <s v="Concepto Favorable"/>
    <m/>
    <s v="La actividad cuenta con evidencias"/>
    <s v="La actividad cuenta con la evidecncia"/>
    <s v="De acuerdo con las evidencias, se observa que durante el tercer trimestre se ejecutaron 167 trámites de terreno y 6 con fines registrales"/>
    <m/>
    <x v="0"/>
    <x v="0"/>
    <x v="0"/>
    <x v="0"/>
    <s v="En el reporte detallado de Catastro se observa que la Dirección Territorial ha ejecutado 621 trámites correspondientes a campo, para un avance del 12% para el primer trimestre del año 2021."/>
    <s v="En el reporte detallado de Catastro se observa que la Dirección Territorial ha ejecutado 421 trámites correspondientes a terreno, para segundo trimestre del año 2021."/>
    <s v="De acuerdo con los soportes suministrados,&quot;cronograma 2021 julio septiembre&quot; se observa que se realizarón 167 trámites en terreno distribuidos de la siguiente manera: 45 en Julio, 49 en Agosto y 73 en Septiembre."/>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1"/>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n v="1"/>
    <s v="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
    <n v="3"/>
    <s v="Se aprobaron tres avaluos  del municipio de Cordoba el GIT de avalùos. Se continuo con el apoyo para elaborar el contrato de avaluos con el municipio de Calarca y cotizacion de avaluo en el municipio de Circasia."/>
    <m/>
    <m/>
    <n v="4"/>
    <d v="2021-04-14T00:00:00"/>
    <d v="2021-07-13T00:00:00"/>
    <d v="2021-10-05T00:00:00"/>
    <m/>
    <n v="0.4"/>
    <s v=""/>
    <s v=""/>
    <s v=""/>
    <n v="0"/>
    <s v="Concepto No Favorable"/>
    <s v="Concepto Favorable"/>
    <s v="Concepto Favorable"/>
    <m/>
    <s v="Se tienen evidencias de la gestion, pero no se han materizalizado los avaluos "/>
    <s v="Se evidencia la realizacion de 1 avaluo que se envio para revision a sede central"/>
    <s v="De acuerdo con las evidencias, se observa que durante el tercer trimestre se realizaron 3 avalúos "/>
    <m/>
    <x v="1"/>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s v="Se soporta la evidencia con el cumplimiento de esta actividad."/>
    <s v="De acuerdo con las evidencias suministradas, &quot;PAA avaluos quindio 01 10 2021&quot; Se observa que durante el trimestre se realizarón 3 avalúos comerciales, dos de ellos en el mes de agosto y uno en el mes de septiembre."/>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1"/>
    <n v="1"/>
    <n v="0.25"/>
    <n v="0.25"/>
    <n v="0.25"/>
    <n v="0.25"/>
    <n v="0.25"/>
    <s v="EN LA DIRECCION TERITORIAL NO CONTAMOS CON PROGRAMA DE TITULACION, NI CONVENIOS POR EJECUTAR REFERENTES A LA FORMALIZACION DE TIERRAS, DE IGUAL MANERA SE ATIENDEN LAS SOLICITUDES DE LOS JUZGADOS DE CERTIFICADOS DE LEY 1561 DE 2012."/>
    <n v="0.25"/>
    <s v="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
    <n v="0.25"/>
    <s v="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
    <m/>
    <m/>
    <n v="0.75"/>
    <d v="2021-04-14T00:00:00"/>
    <d v="2021-07-12T00:00:00"/>
    <d v="2021-10-07T00:00:00"/>
    <m/>
    <n v="0.75"/>
    <n v="1"/>
    <n v="1"/>
    <n v="1"/>
    <n v="0"/>
    <s v="Concepto Favorable"/>
    <s v="Concepto Favorable"/>
    <s v="Concepto Favorable"/>
    <m/>
    <s v="Se tiene la evidenacia de lo realizado en esta actividad "/>
    <s v="La actividad cuenta con las evidencias"/>
    <s v="De acuerdo con el avance cualitativo para este trimestre no se cuenta con programas de titulación pero se atienden las solicitudes de juzgados dentro de los términos legales"/>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s v="Para esta actividad se soporta documento el cual da cumplimiento a la actividad donde se evidencia que se atendieron solicitudes de los juzgados y verificados de medidas y linderos para el segundo trimestre del año."/>
    <s v="De acuerdo con los soportes suministrados, &quot;Ley 1561 tercer trimestre&quot; se observa que la Dirección Territorial Quindio atendió las solicitudes recibidas en el marco de las ley 1561 y 1564 de 2012."/>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1"/>
    <n v="1"/>
    <n v="0.25"/>
    <n v="0.25"/>
    <n v="0.25"/>
    <n v="0.25"/>
    <n v="0.25"/>
    <s v="SE HAN ATENDIDO TODOS LOS REQUERIMIENTOS SOLICITADOS EN LA PARTE ADMINISTRATIVA Y JUDICIAL REFERENTES AL TEMA DE RESTITUCION DE TIERRAS, UNA AVALUOS CATASTRALES"/>
    <n v="0.25"/>
    <s v="DURANTE ESTE RIMESTRE NO SE TIENE SOLICITUDES EN EL TEMA DE RESTITUCION DE TIERRAS, SE REALIZO EL COMIE Y EL ACTA RESPECTIVO, ADEMAS SE ENVIA MES A MES LA HERRAMIENTA DE LA INFORMACION SOLICITADA POR LA SEDE CENTRAL FRENTE AL TEMA."/>
    <n v="0.25"/>
    <s v="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
    <m/>
    <m/>
    <n v="0.75"/>
    <d v="2021-04-14T00:00:00"/>
    <d v="2021-07-12T00:00:00"/>
    <d v="2021-10-05T00:00:00"/>
    <m/>
    <n v="0.75"/>
    <n v="1"/>
    <n v="1"/>
    <n v="1"/>
    <n v="0"/>
    <s v="Concepto Favorable"/>
    <s v="Concepto Favorable"/>
    <s v="Concepto Favorable"/>
    <m/>
    <s v="La actividad cuenta con evidencias "/>
    <s v="La actividad cuenta con las evidencias"/>
    <s v="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
    <m/>
    <x v="0"/>
    <x v="0"/>
    <x v="0"/>
    <x v="0"/>
    <s v="Se evidencia una (1) sentencia allegada a la D.T la cual se encuentra pendiente de responder."/>
    <s v="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
    <s v="De acuerdo con las evidencias suministradas, &quot;Restitución de Tierras III trimestre&quot; se observa que se atendieron 3 avalúos solicitados por la Agencia Nacional de Tierras."/>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1"/>
    <n v="1"/>
    <n v="0.25"/>
    <n v="0.25"/>
    <n v="0.25"/>
    <n v="0.25"/>
    <n v="0.25"/>
    <s v="Todas las solicitudes recibidas son atendidas dentro de los terminos establecidos legalmente, la nueva plataforma SIGAC no genera ningun tipo de reporte al respecto, estamos a la espera de que el proveedor del aplicativo de solucion."/>
    <n v="0.25"/>
    <s v="Todas las solicitudes recibidas son atendidas dentro de los terminos establecidos legalmente, la nueva plataforma SIGAC no genera ningun tipo de reporte al respecto, estamos a la espera de que el proveedor del aplicativo de solucion. "/>
    <n v="0.25"/>
    <s v="LA PLATAFORMA DE CORRESPONDENCIA SIGAC , AUN NO GENERA REPORTES CONFIABLES, PERO DE MANERA MANUAL SE REALIZA SEGUIMIENTO MES A MES PARA DAR CUMPLIMIENTO A TODOS LOS REQUERIMIENTOS DENTRO DE LOS TERMINOS ESTABLECIDOS LEGALMENTE."/>
    <m/>
    <m/>
    <n v="0.75"/>
    <d v="2021-04-14T00:00:00"/>
    <d v="2021-07-12T00:00:00"/>
    <d v="2021-10-05T00:00:00"/>
    <m/>
    <n v="0.75"/>
    <n v="1"/>
    <n v="1"/>
    <n v="1"/>
    <n v="0"/>
    <s v="Concepto Favorable"/>
    <s v="Concepto Favorable"/>
    <s v="Concepto Favorable"/>
    <m/>
    <s v="La actividad cuenta con evidencias de su realización"/>
    <s v="La actividad cuenta con las evidencias"/>
    <s v="De acuerdo con las evidencias y con el autoseguimiento, se observa que se avanzó en la atención de las PQR "/>
    <m/>
    <x v="0"/>
    <x v="0"/>
    <x v="0"/>
    <x v="0"/>
    <s v="Se observa que para el mes de enero no se recibieron PQRDS en la D.T, para el mes de febrero y marzo se atendieron 72 solicitudes, así como 524 llamadas telefónicas."/>
    <s v="Se observa que, para el segundo trimestre del año 2021, se revivieron 30.161 solicitudes en atención presencial, atendidas dentro de los tiempos establecidos por la ley.  Se recomienda generar el reporte en la plataforma de SIGAC."/>
    <s v="De acuerdo con las evidencias suministradas, correo eectrónico de fecha 09 de agosto se mencionan que solo existen 14 solicitudes que se encuentran pendientes por responder, se sugiere revisar las cifras que arroja el aplicativo CORDIS."/>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1"/>
    <n v="1"/>
    <n v="0.25"/>
    <n v="0.25"/>
    <n v="0.25"/>
    <n v="0.25"/>
    <n v="0.25"/>
    <s v="Se han realizado los comites oportunamente y se ha realizado el envio a sede central de las actas respectivas, 3 de Copasst y 1 de Convivencia Laboral."/>
    <n v="0.25"/>
    <s v="Se han realizado los comites correspondientes al trimestre y se han enviado a sede central"/>
    <n v="0.25"/>
    <s v="EN ESTE TRIMESTRE SE CARGARON LAS ACTAS DE COPASST Y CONVIVENCIA LABORAL EN EL DRIVE, DE ACUERDO A LAS NUEVAS DIRECTRICES DE LA SEDE CENTRAL."/>
    <m/>
    <m/>
    <n v="0.75"/>
    <d v="2021-04-14T00:00:00"/>
    <d v="2021-07-12T00:00:00"/>
    <d v="2021-10-06T00:00:00"/>
    <m/>
    <n v="0.75"/>
    <n v="1"/>
    <n v="1"/>
    <n v="1"/>
    <n v="0"/>
    <s v="Concepto Favorable"/>
    <s v="Concepto Favorable"/>
    <s v="Concepto Favorable"/>
    <m/>
    <s v="La actividad cuenta con evidencias de su realización"/>
    <s v="La actividad cuenta con las evidencias"/>
    <s v="De acuerdo con las evidencias, se observa que durante el tercer trimestre se realizaron las Actas de Copasst mensuales y el Acta de Convivencia Laboral"/>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s v="Se evidencia pantallazos sobre las actas de Comités de Convivencia y Copasst correspondiente al segundo trimestre del año.  No se observa el envió de los soportes a sede central ya que los correos suministrados corresponden al primer semestre."/>
    <s v="De acuerdo con las evidencias suministradas, &quot;Informe Tercer trimestre COPASST, Informe Tercer trimestre CCL&quot; se onserva que se han venido llevando a cabos estos comites en la Dirección Territorial Quindio."/>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1"/>
    <n v="1"/>
    <n v="0.25"/>
    <n v="0.25"/>
    <n v="0.25"/>
    <n v="0.25"/>
    <n v="0.25"/>
    <s v="SE DA CUMPLIMIENTO A TODAS LAS ACTIVIDADES LAS CUALES QUEDAN REPORTADAS UNA EN EL INF. DE CAPACITACIONES., OTRAS EL EN DE BIENESTAR Y LAS OTRAS EN LAS REUNIONES MENSUALES DEL COPASST"/>
    <n v="0.25"/>
    <s v="Se da cumplimiento a todas las responsabilidades establecidas, Copasst, capacitaciones y bienestar ."/>
    <n v="0.25"/>
    <s v="SE DIO CUMPLIMIENTO DURANTE EL TRIMESTRE CON TODAS LAS ACTIVIDADES Y SE DILIGENCIO EL FORMATO INFORME DE GESTION TRIMESTRAL CON CADA UNA DE LAS EVIDENCIAS."/>
    <m/>
    <m/>
    <n v="0.75"/>
    <d v="2021-04-14T00:00:00"/>
    <d v="2021-07-12T00:00:00"/>
    <d v="2021-10-08T00:00:00"/>
    <m/>
    <n v="0.75"/>
    <n v="1"/>
    <n v="1"/>
    <n v="1"/>
    <n v="0"/>
    <s v="Concepto Favorable"/>
    <s v="Concepto Favorable"/>
    <s v="Concepto Favorable"/>
    <m/>
    <s v="La actividad cuenta con evidencias de su realización"/>
    <s v="La actividad cuenta con las evidencias"/>
    <s v="De acuerdo con las evidencias, se observa que durante el tercer trmiestre se realizó el informe de gestión relacionando las actividades del SGSST"/>
    <m/>
    <x v="0"/>
    <x v="0"/>
    <x v="0"/>
    <x v="0"/>
    <s v="Se presenta reporte Copasst con las actividades correspondientes al primer trimestre del año 2021."/>
    <s v="Se presentan correos electrónicos con asunto de informe de las capacitaciones correspondiente al segundo trimestre del año. "/>
    <s v="DE acuerdo con las evidencias suministradas, &quot;Plantilla Informe Gestión Trimestral&quot; Se onbserva que se han venido realizando diferentes actividades de Talento Humano, como reporte de ausentismo laboral, Entrega de elementos de protección personal, brigada de emergencias, entre otros."/>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1"/>
    <n v="158161439.37895647"/>
    <n v="31229640.782638304"/>
    <n v="40483922.706381485"/>
    <n v="41217436.093246773"/>
    <n v="45230439.79668992"/>
    <n v="27612414"/>
    <s v="Durante el trimestre se evidencia que el producto mas representativo en ventas son los certificados catastrales"/>
    <n v="25528026"/>
    <s v="Se presento una reduccion con respecto al trimestre anterior, sin embargo se logro un cumplimiento del 63.06% de la meta del trimestre."/>
    <n v="19072070"/>
    <s v="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
    <m/>
    <m/>
    <n v="72212510"/>
    <d v="2021-04-14T00:00:00"/>
    <d v="2021-07-09T00:00:00"/>
    <d v="2021-10-08T00:00:00"/>
    <m/>
    <n v="0.45657468902377696"/>
    <n v="0.88417328243335891"/>
    <n v="0.63057194790997895"/>
    <n v="0.46271849507701046"/>
    <n v="0"/>
    <s v="Concepto Favorable"/>
    <s v="Concepto Favorable"/>
    <s v="Concepto Favorable"/>
    <m/>
    <s v="La actividad cuenta con evidencias de su realización"/>
    <s v="La actividad cuenta con las evidencias"/>
    <s v="De acuerdo con las relaciones de ventas de contado, se observa que durante el tercer trimestre se hicieron ventas por bienes y servicios"/>
    <m/>
    <x v="0"/>
    <x v="2"/>
    <x v="0"/>
    <x v="0"/>
    <s v="Se observa archivo sobre la relación de ingresos correspondiente al primer trimestre del año 2021, por un valor de $ 27’612.414 pesos m/cte."/>
    <s v="Se observa que la meta para el segundo semestre es de $40’483.922 de pesos m/cte, y se ejecutó 25’528.026, es decir que NO se cumplió con la meta programada. Es necesario dar cumplimiento para el siguiente trimestre."/>
    <s v="De acuerdo con las evidencias suministras, &quot;relación de ingresos de contado venta&quot; de los meses de juio, agosto y septiembre se observa que durante el trimestre ppor este concepto se percibieron $22.696.161"/>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Quindío"/>
    <s v="Porcentaje"/>
    <s v="Recursos obtenidos por recuperación de cartera"/>
    <s v="Eficiencia"/>
    <n v="0.1"/>
    <n v="1"/>
    <n v="0.25"/>
    <n v="0.25"/>
    <n v="0.25"/>
    <n v="0.25"/>
    <n v="0"/>
    <s v="A la fecha la cartera que se refleja ya es incobrable, por fallo judicial, estamos en espera para dar de baja contablemente."/>
    <n v="0"/>
    <s v="En la Territorial no se tiene cartera por convenios o contratos, la cartera que se presenta es por avaluos, la cual es inconbrable y ya fue autorizado su saneamiento por el comite contable,estamos en espera de las indicaciones de este proceso."/>
    <n v="1"/>
    <s v="En la Territorial no se tiene cartera por convenios o contratos, la cartera que se presentaba era por avaluos, era cartera inconbrable y fue autorizado su saneamiento por el comite contable y la derecion general por medio de la Resolucion No.1435/2021"/>
    <m/>
    <m/>
    <n v="1"/>
    <d v="2021-04-14T00:00:00"/>
    <d v="2021-07-08T00:00:00"/>
    <d v="2021-10-08T00:00:00"/>
    <m/>
    <n v="1"/>
    <n v="0"/>
    <n v="0"/>
    <n v="1"/>
    <n v="0"/>
    <s v="Concepto No Favorable"/>
    <s v="Concepto Favorable"/>
    <s v="Concepto Favorable"/>
    <m/>
    <s v="Aducen no tener cartera pendiente, adjunta evidencia"/>
    <s v="Se da concepto favorable por que la Territorial no cuenta con cartera pendiente a la fecha "/>
    <s v="De acuerdo con el avance cualitativo, se observa que la cartera que tenía la DT era inconbrable y fue autorizado su saneamiento por el comite contable y la dirección general por medio de la Resolución No.1435/2021"/>
    <m/>
    <x v="2"/>
    <x v="0"/>
    <x v="0"/>
    <x v="0"/>
    <s v="Existe foto de un juzgado, sin embargo no se valida como soporte."/>
    <s v="Se observa que la D.T no cuenta con cartera por lo tanto se aprueba el avance."/>
    <s v="De acuerdo con los soportes suministrados, &quot;RESOLUCION 1435 DE 2021&quot; de fecha 17 de septiembre se autoriza la depuración de la cartera por valor de $1.518.845."/>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1"/>
    <n v="14324"/>
    <n v="0"/>
    <n v="0"/>
    <n v="0"/>
    <n v="14324"/>
    <n v="2677"/>
    <s v="A fecha 31 de marzo de 2021, se han elaborado 2677 tramites de Oficina, consistentes en tramites de mutacion de primera, rectificaciones y complentaciones."/>
    <n v="7195"/>
    <s v="A fecha 30 de junio de 2021, se han elaborado 7.195 tramites de Oficina, consistentes en tramites de mutacion de primera, rectificaciones y complentaciones."/>
    <n v="3669"/>
    <s v="A fecha 30 de septiembre se realizaron 3669 tramites de oficina en ambos sistemas SNC, y, COBOL. en los departamentos de Risaralda y Choco."/>
    <m/>
    <m/>
    <n v="13541"/>
    <d v="2021-04-12T00:00:00"/>
    <d v="2021-07-09T00:00:00"/>
    <d v="2021-10-22T00:00:00"/>
    <m/>
    <n v="0.94533649818486454"/>
    <s v=""/>
    <s v=""/>
    <s v=""/>
    <n v="0"/>
    <s v="Concepto Favorable"/>
    <s v="Concepto Favorable"/>
    <s v="Concepto Favorable"/>
    <m/>
    <s v="La actividad cuenta con la evidencia"/>
    <s v="La actividad cuenta con las evidencias"/>
    <s v="se revisa evidencia cumple con el producto esperado"/>
    <m/>
    <x v="0"/>
    <x v="0"/>
    <x v="0"/>
    <x v="0"/>
    <s v="Se observa en el archivo consolidado de Catastro que la D.T ejecutó 2.567 trámites de oficina para este primer trimestre del año 2021."/>
    <s v="Se observa la ejecución de la actividad mediante excel Estadísticas Seguimiento de Trámites Risaralda-Chocó 2021, el Seguimiento a Trámites SNC segundo trimestre 2021 y cuadro sobre Trámites de Oficina y Terreno vigencias anteriores y actual. "/>
    <s v="De acuerdo a los soportes, reportes mensuales, se evidencia el avance reportado."/>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1"/>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n v="845"/>
    <s v="A fecha 30 de junio de 2021 se han realizado 845 tramites de terreno y se le dio prioridad a los tramites de terreno de vigencias anteriores, se debe tener en cuenta las restricciones de personal para realizar visitas de campo por la emergencia samitaria. "/>
    <n v="301"/>
    <s v="A 30 de septiembre se realizaron 301  tramites catastrales de terreno en ambos sistemas Sistema Nacional Catastral y COBOL, dando prioridad a tramites de vigencias anteriores."/>
    <m/>
    <m/>
    <n v="1338"/>
    <d v="2021-04-12T00:00:00"/>
    <d v="2021-07-09T00:00:00"/>
    <d v="2021-10-22T00:00:00"/>
    <m/>
    <n v="0.2969374167776298"/>
    <s v=""/>
    <s v=""/>
    <s v=""/>
    <n v="0"/>
    <s v="Concepto Favorable"/>
    <s v="Concepto Favorable"/>
    <s v="Concepto Favorable"/>
    <m/>
    <s v="La actividad cuenta con la evidencia"/>
    <s v="La actividad cuenta con las evidencias"/>
    <s v="se revisa evidencia cumple con el producto esperado"/>
    <m/>
    <x v="0"/>
    <x v="0"/>
    <x v="0"/>
    <x v="0"/>
    <s v="En archivo consolidado de Catastro se observa que la D.T ejecutó 1.044 trámites de terreno para los meses de enero, febrero y marzo de 2021."/>
    <s v="Se evidencia ejecución de la actividad mediante documento word Trámites de Oficina y Terreno vigencia anterior y actual, Excel de seguimiento a Trámites SNC segundo trilestre 2021 y excel sobre Trámites segundo trimestre 2021 Chocó. "/>
    <s v="De acuerdo a los soportes, reportes mensuales, se evidencia el avance reportado."/>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1"/>
    <n v="30"/>
    <n v="0"/>
    <n v="0"/>
    <n v="0"/>
    <n v="30"/>
    <n v="0"/>
    <s v="Se han elaborado cuatro avaluos comerciales en el primer trimestre que se encuentran para entrega de control de calidad en el GIT de Valoracion Economica."/>
    <n v="1"/>
    <s v="Se han elaborado tres avaluos comerciales en el primer trimestre que se encuentran para entrega de control de calidad en el GIT de Valoracion Economica y se hizo entrega de un avaluo comercial."/>
    <n v="9"/>
    <s v="Se estan elaborando varios avaluos comerciales dentro del contrato interadministrativo 564-2021 con la goberncion de Risaralda."/>
    <m/>
    <m/>
    <n v="10"/>
    <d v="2021-04-14T00:00:00"/>
    <d v="2021-07-09T00:00:00"/>
    <d v="2021-10-22T00:00:00"/>
    <m/>
    <n v="0.33333333333333331"/>
    <s v=""/>
    <s v=""/>
    <s v=""/>
    <n v="0"/>
    <s v="Concepto No Favorable"/>
    <s v="Concepto No Favorable"/>
    <s v="Concepto Favorable"/>
    <m/>
    <s v="No se cuenta con la evidencia (Avaluos entregados)"/>
    <s v="La actividad cuenta con evidencias"/>
    <s v="se revisa evidencia cumple con el producto esperado"/>
    <m/>
    <x v="1"/>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s v="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
    <s v="De acuerdo a los soportes, informe de avaluos, se evidencia el avance reportado."/>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1"/>
    <n v="1"/>
    <n v="0.25"/>
    <n v="0.25"/>
    <n v="0.25"/>
    <n v="0.25"/>
    <n v="0.25"/>
    <s v="Se ha dado respuesta a 18 oficios de ley 1561 a los juzgados de competencia en jurisdiccion de la Territorial Risaralda, los demas se remiten se remiten por competencia al AMCO."/>
    <n v="0.25"/>
    <s v="Se ha dado respuesta a 28 oficios de ley 1561 a los juzgados de competencia en jurisdiccion de la Territorial Risaralda, los demas se remiten se remiten por competencia al AMCO."/>
    <n v="0.25"/>
    <s v="Durante los meses de julio, agosto y septiembre se respondieron 19 oficios de ley 1561 a los juzgados de competenciaa de la Territorial Risaralda."/>
    <m/>
    <m/>
    <n v="0.75"/>
    <d v="2021-04-14T00:00:00"/>
    <d v="2021-07-13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Se observa avance para el primer trimestre del año 2021, donde se evidencia el recibido de solicitudes las cuales se encuentran en proceso de respuesta a cada entidad solicitante."/>
    <s v="Se observa ejecución de la actividad con la Relación de Respuestas a Oficios Ley 1561 de 2012 DT Risaralda y con los 27 oficios relacionados con regularización de la propiedad Ley 1561 de 2012."/>
    <s v="De acuerdo a los soportes, relación de respuestas a oficios ley 1561 de 2012 - DT Risaralda 2021, se evidencia el avance reportado."/>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1"/>
    <n v="1"/>
    <n v="0.25"/>
    <n v="0.25"/>
    <n v="0.25"/>
    <n v="0.25"/>
    <n v="0.25"/>
    <s v="Se ha dado respuesta a todos los tramites solicitados por los juzgados de Restitucion de Tierras de Risaralda y Choco, ademas lo solicitado por la Unidad de Restitucion de Victimas de estos Departamentos."/>
    <n v="0.25"/>
    <s v="Se ha dado respuesta a 60 peticiones solicitadas por los Juzgados de Restitucion de Tierras de Risaralda y Choco, ademas lo solicitado por la Unidad de Restitucion de Victimas de estos Departamentos."/>
    <n v="0.25"/>
    <s v="Durante los meses de julio, agosto y septiembre se dieron respuesta a 15 peticiones solicitadas por los juzgados de Restitucion de Tierras de Risaralda y Choco, ademas los solicitado por la Unidad de Restitucion de Victimas de estos departamentos."/>
    <m/>
    <m/>
    <n v="0.75"/>
    <d v="2021-04-14T00:00:00"/>
    <d v="2021-07-13T00:00:00"/>
    <d v="2021-10-22T00:00:00"/>
    <m/>
    <n v="0.75"/>
    <n v="1"/>
    <n v="1"/>
    <n v="1"/>
    <n v="0"/>
    <s v="Concepto Favorable"/>
    <s v="Concepto Favorable"/>
    <s v="Concepto Favorable"/>
    <m/>
    <s v="La actividad cuenta con evidencias"/>
    <s v="La actividad cuenta con las evidencias"/>
    <s v="se revisa evidencia cumple con el producto esperado"/>
    <m/>
    <x v="0"/>
    <x v="0"/>
    <x v="0"/>
    <x v="0"/>
    <s v="Se evidencia documentos sobre solicitudes recibidas para el cumplimiento de la Política de Restitución de Tierras y Ley de Víctimas y en estado de respuesta."/>
    <s v="Se observa ejeucón de la actividad mediante los 60 oficios aportados por la Territorial que guardan relación con la Política de Restitución de Tierras. "/>
    <s v="De acuerdo a los soportes, relación oficios contestados procesos restitución de tierras, se evidencia el avance reportado."/>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1"/>
    <n v="1"/>
    <n v="0.25"/>
    <n v="0.25"/>
    <n v="0.25"/>
    <n v="0.25"/>
    <n v="0.25"/>
    <s v="Se ha dado respuesta oportuna a las PQRD radicas en el SIGAC, pero se debe tener en cuenta que dicha plataforma presenta problemas para remitir la respuesta al usuario inicial."/>
    <n v="0.25"/>
    <s v="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
    <n v="0.25"/>
    <s v="Durante el tercer semestre se dio respuesta a las PQRD radicadas en el SIGAC."/>
    <m/>
    <m/>
    <n v="0.75"/>
    <d v="2021-04-14T00:00:00"/>
    <d v="2021-07-15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Para esta actividad se soportan los reportes correspondientes a los meses de enero, febrero y marzo sobre las solicitudes allegadas a la D.T, de igual manera se evidencia las respuestas a estas."/>
    <s v="Se observa ejecución de la actividad con los soportes suministrados por la Territorial."/>
    <s v="De acuerdo a los soportes, PQRS III trimestre julio agosto septiembre t Rda, se evidencia el avance reportado."/>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1"/>
    <n v="1"/>
    <n v="0.25"/>
    <n v="0.25"/>
    <n v="0.25"/>
    <n v="0.25"/>
    <n v="0.25"/>
    <s v="Se realizaron las actas correspondientes de copasst de enero, febrero y marzo, al igual que el acta de c convivencia del primer trimestre 2021"/>
    <n v="0.25"/>
    <s v="Se realizaron las actas correspondientes de copasst de abril, mayo y junio, al igual que el acta de c convivencia del segundo trimestre 2021"/>
    <n v="0.25"/>
    <s v="Se realizaron las actas correspondientes de copasst de julio, agosto y septiembre, al igual que el acta de c convivencia del  tercer trimestre 2021"/>
    <m/>
    <m/>
    <n v="0.75"/>
    <d v="2021-04-14T00:00:00"/>
    <d v="2021-07-13T00:00:00"/>
    <d v="2021-10-22T00:00:00"/>
    <m/>
    <n v="0.75"/>
    <n v="1"/>
    <n v="1"/>
    <n v="1"/>
    <n v="0"/>
    <s v="Concepto Favorable"/>
    <s v="Concepto Favorable"/>
    <s v="Concepto Favorable"/>
    <m/>
    <s v="La actividad cuenta con las evidencias"/>
    <s v="La actividad cuenta con las evidencias"/>
    <s v="se revisa evidencia cumple con el producto esperado"/>
    <m/>
    <x v="0"/>
    <x v="0"/>
    <x v="0"/>
    <x v="0"/>
    <s v="Esta actividad se soporta con las actas de Comités Copasst correspondiente a los meses de enero, febrero y marzo.  Así mismo se soporta el acta de comité de Convivencia Laboral realizada el día 05/03/2021."/>
    <s v="Se soporta ejecución de la actividad con actas de Copasst de abril, mayo y junio 2021 y acta Comité Convivencia del 25/06/2021."/>
    <s v="De acuerdo a los soportes, acta de convivencia y copass, se evidencia el avance reportado."/>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1"/>
    <n v="1"/>
    <n v="0.25"/>
    <n v="0.25"/>
    <n v="0.25"/>
    <n v="0.25"/>
    <n v="0.25"/>
    <s v=" A pesar de que no se conoce de forma oficial el acta 06-01-2021, la territorial Risaralda ha cumplido con las actividades ahi propuestas."/>
    <m/>
    <m/>
    <m/>
    <m/>
    <m/>
    <m/>
    <n v="0.25"/>
    <d v="2021-04-14T00:00:00"/>
    <m/>
    <m/>
    <m/>
    <n v="0.25"/>
    <n v="1"/>
    <n v="0"/>
    <n v="0"/>
    <n v="0"/>
    <s v="Concepto No Favorable"/>
    <s v="Concepto No Favorable"/>
    <s v="Concepto No Favorable"/>
    <m/>
    <s v="No aporta evidencias "/>
    <s v="No cargaron avance ni evidencias"/>
    <s v="no se revisa evidencia no cumple con el producto esperado"/>
    <m/>
    <x v="2"/>
    <x v="2"/>
    <x v="1"/>
    <x v="0"/>
    <s v="No se soportan evidencias para validar esta actividad."/>
    <s v="No se aportaron evidencias ni se reporto avance."/>
    <s v="No se aporta evidencia"/>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1"/>
    <n v="341887132.94983864"/>
    <n v="67507050.973703712"/>
    <n v="87511420.72932592"/>
    <n v="89097008.150636837"/>
    <n v="97771653.096172184"/>
    <n v="32000000"/>
    <s v="En el primer trimestre, se efectuaron ventas por el valor de $32.000.000."/>
    <n v="21071546"/>
    <s v="En el primer trimestre, se efectuaron ventas por el valor de $ 21.071.546."/>
    <n v="23036178"/>
    <s v="En el tercer trimestre se efectuaron ventas por valor de $23.036.178."/>
    <m/>
    <m/>
    <n v="76107724"/>
    <d v="2021-04-14T00:00:00"/>
    <d v="2021-07-09T00:00:00"/>
    <d v="2021-10-22T00:00:00"/>
    <m/>
    <n v="0.22261067078873206"/>
    <n v="0.47402455800454218"/>
    <n v="0.240786240520247"/>
    <n v="0.25855164475391362"/>
    <n v="0"/>
    <s v="Concepto Favorable"/>
    <s v="Concepto Favorable"/>
    <s v="Concepto Favorable"/>
    <m/>
    <s v="La actividad cuenta con las evidencias"/>
    <s v="La actividad cuenta con las evidencias"/>
    <s v="se revisa evidencia cumple con el producto esperado"/>
    <m/>
    <x v="0"/>
    <x v="0"/>
    <x v="1"/>
    <x v="0"/>
    <s v="Se evidencian reportes de relación de ingresos de contado ventas correspondientes a los meses de enero, febrero y marzo por valores de (5’987.369, 12’868.558 y 8’896.938 pesos m/cte, respectivamente)."/>
    <s v="Se observa ejecuión de la actividad con las evidencias aportadas de Facturación detallada meses de abril, mayo y junio 2021 y Relación de Ingresos Ventas de Contado del segundo trimestre 2021."/>
    <s v="De acuerdo a los soportes, relación de ingresos mensuales, se evidencia el avance reportado, aunque no se cumple con lo programado."/>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1"/>
    <n v="1"/>
    <n v="0.25"/>
    <n v="0.25"/>
    <n v="0.25"/>
    <n v="0.25"/>
    <n v="0"/>
    <s v="La territorial Risaralda tiene pendiente el cobro de una cartera por valor de $ 352.000.000 con la Gobernacion de Risaralda, quedando pendiente la liquidacion del contrato por revision del contratante de los productos entregados"/>
    <n v="1"/>
    <s v="La Gobernacion de Risaralda realizo el pago del saldo pendiente por el proceso de actualizacion catastral realizado en ocho municipios del departamento dentro del contrato interadministrativo 5150/2019, por valor de $ 332.842.115."/>
    <n v="0"/>
    <s v="No se tiene pendiente ningun cobro."/>
    <m/>
    <m/>
    <n v="1"/>
    <d v="2021-04-14T00:00:00"/>
    <d v="2021-07-15T00:00:00"/>
    <d v="2021-10-22T00:00:00"/>
    <m/>
    <n v="1"/>
    <n v="0"/>
    <n v="1"/>
    <n v="0"/>
    <n v="0"/>
    <s v="Concepto No Favorable"/>
    <s v="Concepto Favorable"/>
    <s v="Concepto Favorable"/>
    <m/>
    <s v="La actividad no cuenta con la evidencia del ingreso por  la gestion de cobro de cartera"/>
    <s v="La actividad cuenta con las evidencias"/>
    <s v="se revisa evidencia cumple con el producto esperado"/>
    <m/>
    <x v="2"/>
    <x v="0"/>
    <x v="1"/>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s v="Se observó recaudo mediante comprobante de pago 88224321 del 26/05/2021 por $332.842.115 de la Gobernación de Risaralda. "/>
    <s v="De acuerdo a los soportes, se evidencia el avance reportado, no se cumple con lo programado"/>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1111111111111111"/>
    <n v="21982"/>
    <n v="0"/>
    <n v="0"/>
    <n v="0"/>
    <n v="21982"/>
    <n v="3605"/>
    <s v="Se realizaron los trámites de oficina de conformidad con lo que ha llegado de Registro en el presente año."/>
    <n v="5101"/>
    <s v="Se realizaron 5101 mutaciones de tramites de oficina en el segundo trimestre, de acuerdo con lo allegado por la oficina de registro y solicitudes de los usuarios."/>
    <n v="1678"/>
    <s v="Se realizaron 1678 tramites de oficina en el tercer trimestre, de acuerdo con lo allegado por la oficina de registro y solicitudes de los usuarios  de vigencias anteriores"/>
    <m/>
    <m/>
    <n v="10384"/>
    <d v="2021-04-14T00:00:00"/>
    <d v="2021-07-15T00:00:00"/>
    <d v="2021-10-14T00:00:00"/>
    <m/>
    <n v="0.47238649804385408"/>
    <s v=""/>
    <s v=""/>
    <s v=""/>
    <n v="0"/>
    <s v="Concepto Favorable"/>
    <s v="Concepto Favorable"/>
    <s v="Concepto Favorable"/>
    <m/>
    <s v="Se observa que la DT avanzó en los Tramites de conservación Catastral realizados (mutaciones de Oficina) durante el primer trimestre de 2021"/>
    <s v="La territorial evidencia la ejecución de 5101 mutaciones para el segundo trimestre de 2021"/>
    <s v="De acuerdo con las evidencias, se observa que durante el tercer trimestre se realizaron 1678 tramites de oficina "/>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s v="De acuerdo con las evidencias suministradas se observa que la Dirección Territorial Santander para los meses de abril, mayo y junio finalizo 5101 trámites de oficina."/>
    <s v="A pesar de  no tener meta fijada para el periodo se observan avances con archivo Excel: Reporte MAESTRO RADICADOR SEP 30, TRAMITADAS TERCER TRIMESTRE 2021 e “INFORME DE AVANCE - METAS FISICAS 2021” en el que se observan avances % así: julio 3,24, agosto 13,84 ;  septiembre1,53; "/>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1111111111111111"/>
    <n v="15660"/>
    <n v="0"/>
    <n v="0"/>
    <n v="0"/>
    <n v="15660"/>
    <n v="137"/>
    <s v="Son trámites de terreno realizados desde oficina.  "/>
    <n v="414"/>
    <s v="Se realizaron 414 mutaciones de tramites de terreno en el segundo trimestre, de acuerdo con lo solicitudes presentadas por los usuarios y al presupuesto asignado para comisiones."/>
    <n v="4790"/>
    <s v="Se realizaron 4790 tramites de terreno en el tercer trimestre, de acuerdo con lo solicitudes presentadas por los usuarios y al presupuesto asignado para comisiones; asi como la depuracion de saldos de vigencias anteriores. "/>
    <m/>
    <m/>
    <n v="5341"/>
    <d v="2021-04-14T00:00:00"/>
    <d v="2021-07-15T00:00:00"/>
    <d v="2021-10-14T00:00:00"/>
    <m/>
    <n v="0.34106002554278414"/>
    <s v=""/>
    <s v=""/>
    <s v=""/>
    <n v="0"/>
    <s v="Concepto Favorable"/>
    <s v="Concepto Favorable"/>
    <s v="Concepto Favorable"/>
    <m/>
    <s v="Se observa que la DT avanzó en los Tramites de terreno (mutaciones de terreno) durante el primer trimestre de 2021"/>
    <s v="Se evidencia la realización de 404  trámites de terreno, se recomienda avanzar en mayores cantidades en la ejecución de la meta, ya que se encuentra en un avance del 3,52%"/>
    <s v="De acuerdo con las evidencias, se observa que durante el tercer trimestre se realizaron 4790 tramites de terreno "/>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s v="De acuerdo con las evidencias suministradas se observa que la Dirección Territorial Santander para los meses de abril, mayo y junio finalizo 414 trámites de terreno."/>
    <s v="A pesar de que para el tercer trimestre no tiene meta fijada, se observan avances asi:Con archivo Excel: TRAMITADAS TERCER TRIMESTRE 2021 e INFORME DE AVANCE - METAS FISICAS 2021.avances en los meses julio 3,24, agosto 13,84;  septiembre1,53; _x000d__x000a__x000d__x000a_"/>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1111111111111111"/>
    <n v="40"/>
    <n v="0"/>
    <n v="0"/>
    <n v="0"/>
    <n v="40"/>
    <n v="1"/>
    <s v="Durante el primer trimestre del 2021 se elaboró el avalúo del predio la Cabaña del municipio de Puerto Parra."/>
    <n v="4"/>
    <s v="Se realizó la elaboarción de el avaluo del predio la  plamita del municpio de Sabana de Torres  y eleboracion de 3 avaluos para la Contraloria del Municpio de San Jose de Miranda, para un total de 4 avalúos, de acuerdo a las solicitudes presentadas."/>
    <n v="100"/>
    <s v="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
    <m/>
    <m/>
    <n v="105"/>
    <d v="2021-04-14T00:00:00"/>
    <d v="2021-07-15T00:00:00"/>
    <d v="2021-10-12T00:00:00"/>
    <m/>
    <n v="1"/>
    <s v=""/>
    <s v=""/>
    <s v=""/>
    <n v="0"/>
    <s v="Concepto Favorable"/>
    <s v="Concepto Favorable"/>
    <s v="Concepto Favorable"/>
    <m/>
    <s v="Se observa que la DT  recibió atendió 1  solicitud de elaboración de avalúos comerciales "/>
    <s v="Se observa en las evidencias que la territorial atendió cuatro solicitudes de elaboración de avalúos comerciales"/>
    <s v="De acuerdo con las evidencias, se observa que durante el tercer trimestre se realizaron 100 avalúos IVP"/>
    <m/>
    <x v="0"/>
    <x v="0"/>
    <x v="0"/>
    <x v="0"/>
    <s v="De acuerdo con las evidencias suministradas por la Dirección Territorial Santander y el radicado 6019-2021-0004055 EE-001 del 06 de abril se hace entrega del informe de avalúo comercial rural del predio ubicado en municipio de Puerto Parra."/>
    <s v="De acuerdo con las evidencias suministradas la Dirección Territorial Sanatander recibe 2 solicitudes para avalúos en el marco de la política de restitución de tierras y 1 solicitud para un avalúo comercial de 2 predios."/>
    <s v="Con correos: Del 08-07-2021 de Asignación Investigación Índice de Valoración Predial 2020-2021; del 12-07-2021 ASUNTO: respuesta a oficio con radicado IGAC 6019-2021-0022-0708957-ER-000; del 22-07-2021 con asunto: Su oficio con radicado IGAC 6019-2021-0008957-ER-000;  del 18-08-2021 Asunto: Traslado por No Competencia del 20-08-2021 asunto: incorporar al área urbana 50 predios municipio de Betulia  caso 139713; del 20-08-202 1asunto: traslado predios suita –Oiba  caso 112504; del 15-09-2021 asunto: avaluó predios radicado no: 2619 DTS-2021-0001415-ER-000 _x000d__x000a_Correo del 06/10/2021 Myriam Leal Castillo, reenvío Inicio orden Desacato DOCUMENTACION PROC. 2019-00126-00 ID 75582 Y75601 Orden de practica de Avaluo- fecha 09/08/2021A pesarde que no se tenia meta para este periodo, se evidencia avance"/>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1111111111111111"/>
    <n v="1"/>
    <n v="0.25"/>
    <n v="0.25"/>
    <n v="0.25"/>
    <n v="0.25"/>
    <n v="0.25"/>
    <s v="en el primer Trimestre se respondierón 1100 solicitudes, cumpliendo con las solicitudes en materia de regularizacion de la propiedad"/>
    <n v="0.25"/>
    <s v="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
    <n v="0.25"/>
    <s v="Se realizaron a cabalidad los trámites y/o solicitudes referentes a la regularización de la Ley 1561 y 1564 de 2012 de conformidad con lo que ha llegado en el presente año."/>
    <m/>
    <m/>
    <n v="0.75"/>
    <d v="2021-04-14T00:00:00"/>
    <d v="2021-07-15T00:00:00"/>
    <d v="2021-10-14T00:00:00"/>
    <m/>
    <n v="0.75"/>
    <n v="1"/>
    <n v="1"/>
    <n v="1"/>
    <n v="0"/>
    <s v="Concepto Favorable"/>
    <s v="Concepto Favorable"/>
    <s v="Concepto Favorable"/>
    <m/>
    <s v="Se observa que durante el primer trimestre la DT atendió solicitudes concernientes a Regularización de la Propiedad"/>
    <s v="Se observa que en el segundo trimestre la territorial atendió las  solicitudes concernientes a Regularización de la Propiedad, para un total de 225 solicitudes"/>
    <s v="Se observa que durante el tercer trimestre se realizaron los trámites y/o solicitudes referentes a la regularización de la Ley 1561 y 1564 de 2012 "/>
    <m/>
    <x v="2"/>
    <x v="0"/>
    <x v="0"/>
    <x v="0"/>
    <s v="Las evidencias suministradas por la Dirección Territorial Santander no corresponden  a la actividad dado que se presenta reporte de SIGAC, por lo que no es posible validar si las respuestas entregads hacen parte del tramite de Regularización de la propiedad."/>
    <s v="De acuerdo con las evidencias suministradas se observa que la Dirección Territorial Santander genero los certificados prediales necesarios para la regularización de la propiedad. Muestra de ello se presentan dos certificados."/>
    <s v="Con VENTAS TOTALIZADAS POR PRODUCTO del 01-07-2021 al 30-09-2021 con total  de reporte  $5,219,676 se evidencia que la Dirección Territorial Santander genero los certificados prediales necesarios para la regularización de la propiedad"/>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1111111111111111"/>
    <n v="1"/>
    <n v="0.25"/>
    <n v="0.25"/>
    <n v="0.25"/>
    <n v="0.25"/>
    <n v="0.25"/>
    <s v="Se respondieron 100 solicitudes para el cumplimiento de de la Política de Restitución de Tierras y Ley de Víctimas"/>
    <n v="0.25"/>
    <s v="Se respondieron en total 84 solicitudes para el cumplimiento de la Política de Tierras, distribuidas así: de 56 procedentes de los Juzgados, Tribunal, y ORIP. _x000d__x000a_28 solicitudes de la Unidad de Restitución de Tierras de Barrancabermeja y Bucaramanga. Cumpliendo a cabalidad con los requerimientos solicitados."/>
    <n v="0.25"/>
    <s v="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
    <m/>
    <m/>
    <n v="0.75"/>
    <d v="2021-04-14T00:00:00"/>
    <d v="2021-07-15T00:00:00"/>
    <d v="2021-10-14T00:00:00"/>
    <m/>
    <n v="0.75"/>
    <n v="1"/>
    <n v="1"/>
    <n v="1"/>
    <n v="0"/>
    <s v="Concepto Favorable"/>
    <s v="Concepto Favorable"/>
    <s v="Concepto Favorable"/>
    <m/>
    <s v="Se observa que la DT realizó seguimiento para el cumplimiento de la Política de Restitución de Tierras y Ley de Víctimas durante el primer trimestre de 2021"/>
    <s v="La evidencia da cumplimiento a la actividad para el segundo trimestre"/>
    <s v="De acuerdo con la evidencia, se observa que durante el tercer trimestre se respondieron las solicitudes para el cumplimiento de la Política de Tierras"/>
    <m/>
    <x v="0"/>
    <x v="0"/>
    <x v="0"/>
    <x v="0"/>
    <s v="De acuerdo con las evidencias suministradas por la Dirección Territorial Santader se observa la respuesta a solicitudes relacionadas con la Política de Restitución de Tierras y Ley de Víctimas"/>
    <s v="De acuerdo con las evidencias suministradas se observa que la Dirección Territorial Santander atiende 22 solicitudes referentes a procesos de restitución de tierras."/>
    <s v="  Su   comunicación   con   radicado   IGAC   6019-2021-0007697-ER-000,   referente   al   proceso   de Restitución de Tierras con radicado 68081-3121-001-2017-00177-01 la evidencia, se observa que durante el tercer trimestre se respondieron las solicitudes para el cumplimiento de la Política de Tierras"/>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1111111111111111"/>
    <n v="1"/>
    <n v="0.25"/>
    <n v="0.25"/>
    <n v="0.25"/>
    <n v="0.25"/>
    <n v="0.25"/>
    <s v="Se atendieron 35 peticiones de PQRS en el primer Trimestre"/>
    <n v="0.25"/>
    <s v="Se recibieron 7 PQRSD en el segundo trimestre del 2021, de las cuales se tramitaron 4 del trimestre mas el acumulado que se tenía pendiente del primer trimestre, quedando solo un saldo de 10 PQRSD  en el semestre."/>
    <n v="0.25"/>
    <s v="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
    <m/>
    <m/>
    <n v="0.75"/>
    <d v="2021-04-14T00:00:00"/>
    <d v="2021-07-15T00:00:00"/>
    <d v="2021-10-14T00:00:00"/>
    <m/>
    <n v="0.75"/>
    <n v="1"/>
    <n v="1"/>
    <n v="1"/>
    <n v="0"/>
    <s v="Concepto Favorable"/>
    <s v="Concepto Favorable"/>
    <s v="Concepto Favorable"/>
    <m/>
    <s v="Se observa que la DT realizó seguimiento durante el primer trimestre para atender oportunamente las PQRS"/>
    <s v="Se verifica el seguimiento a las PQRS del segundo trimestre con base a la evidencia reportada por la territorial"/>
    <s v="De acuerdo con el seguimiento de la DT Se han atendido en términos de ley las peticiones, quejas, reclamos, sugerencias, y demas tramites y/o solicitudes presentadas por los usuarios durante el tercer trimestre del 2021. "/>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s v="De acuerdo con información proporcionada por el GIT de Servicio al Ciudadano y participación la Dirección Territorial Santander recibió 8 peticiones, de las cuales atendió oportunamente 4 con un porcentaje del 50% .Se recomienda revisar el proceso de atención de las PQRS."/>
    <s v="Con INFORMES 2021-JULIO-AGOSTO-SEPTIEMBRE se evidencia que han atendido en términos de ley las peticiones, quejas, reclamos, sugerencias, y demas tramites y/o solicitudes "/>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1111111111111111"/>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n v="0.25"/>
    <s v="Se realizó envio de las actas correspondientes al Git de Talento Humano del II trimestre de acuerdo con las metas asignadas; tal como se evidencia en las actas y los informes enviados a sede central."/>
    <n v="0.25"/>
    <s v="Se realizó envio de las actas correspondientes al Git de Talento Humano correspondiente a lo ejecutado en el tercer trimestre tal como se muestra en los soportes de evidenia"/>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territorial cumple con la actividad para el segundo trimestre"/>
    <s v="De acuerdo con las evidencias, se observa que durante el tercer trimestre se realizaron las Actas de Copasst  y el Acta de Convivencia Laboral "/>
    <m/>
    <x v="0"/>
    <x v="0"/>
    <x v="0"/>
    <x v="0"/>
    <s v="De acuerdo con las evidencias suministradas por la Direección Territorial Santander se observa acta de COPASST del 30 de enero de 2021"/>
    <s v="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
    <s v="Se evidencia  acta de reunión Comité Copasst del 30/09/2021 se sugiere para el proximo periodo la inclusión de las  Actas de Copasst  y el Acta de Convivencia Laboral completas del periodo."/>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1111111111111111"/>
    <n v="1"/>
    <n v="0.25"/>
    <n v="0.25"/>
    <n v="0.25"/>
    <n v="0.25"/>
    <n v="0.25"/>
    <s v="En el primer trimestres, se realizaron los controles mensuales de asistencia, los cuales se envian mensualmente a la sede central, Git Talento Humano. "/>
    <n v="0.25"/>
    <s v="Se realizó envio de los informes correspondientes a las actvidades de seguridad y salud en el trabajo de acuerdo al cronograma de trabajo para el II trimestre del 2021."/>
    <n v="0.25"/>
    <s v="Se realizó envio de los informes correspondientes a las actvidades de seguridad y salud en el trabajo de las activades ejecutadas durante tercer trimestre del 2021 como se evidencia en los soportes adjuntos."/>
    <m/>
    <m/>
    <n v="0.75"/>
    <d v="2021-04-14T00:00:00"/>
    <d v="2021-07-15T00:00:00"/>
    <d v="2021-10-14T00:00:00"/>
    <m/>
    <n v="0.75"/>
    <n v="1"/>
    <n v="1"/>
    <n v="1"/>
    <n v="0"/>
    <s v="Concepto Favorable"/>
    <s v="Concepto Favorable"/>
    <s v="Concepto Favorable"/>
    <m/>
    <s v="Se observa que se atendieron las responsabilidades y rendición de cuentas en el SG - SST por parte de la DT durante el primer trimestre."/>
    <s v="La territorial realiza el seguimiento a las responsabilidades  en el SG - SST para el segundo trimestre"/>
    <s v="De acuerdo con las evidencias, se observa que durante el tercer trimestre se realizaron los informes correspondientes a las actvidades de seguridad y salud en el trabajo "/>
    <m/>
    <x v="2"/>
    <x v="0"/>
    <x v="0"/>
    <x v="0"/>
    <s v="De acuerdo con las eviencias suministradas por la Dirección Territorial Sanatander radicado número 2010-2021-0003913- IE-001 del 17 de febrero de 2021 se realiza reporte de ausentismo para el mes de enero, no se presentan evidencias de ejecución en los meses de febrero y marzo. "/>
    <s v="De acuerdo con las evidencias suministradas la Dirección Territorial Santander Presenta acata del 23-06-2021 en la que se mencionan temas relacionados con el SG-SST como el ausentismo laboral."/>
    <s v="Con reporte de informe de ausentismo de julio, agosto y septiembre, Sistema de Gestión de Seguridad y Salud en el trabajo Direcciones Territoriales-Informe de gestión trimestral elaborado el 02/10/2021. se evidencia l cumplimiento de la meta."/>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1111111111111111"/>
    <n v="342048958.83722198"/>
    <n v="67539004.175142452"/>
    <n v="87552842.62547484"/>
    <n v="89139180.554970324"/>
    <n v="97817931.481634408"/>
    <n v="28605649"/>
    <s v="Las ventas están representadas en certificados catastrales, información catastral y publicaciones por un valor total de $ 28.605.649.  Se realizó la validación del 100% de las ventas reportadas por el CIG con el movimiento bancario."/>
    <n v="38155744"/>
    <s v="Las ventas están representadas en certificados catastrales, información catastral y publicaciones por un valor total de $ 38.155.744.  Se realizó la validación del 100% de las ventas reportadas por el CIG con el movimiento bancario."/>
    <n v="42374176"/>
    <s v="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
    <m/>
    <m/>
    <n v="109135569"/>
    <d v="2021-04-14T00:00:00"/>
    <d v="2021-07-15T00:00:00"/>
    <d v="2021-10-13T00:00:00"/>
    <m/>
    <n v="0.31906417540635357"/>
    <n v="0.42354265286203657"/>
    <n v="0.4358024577593555"/>
    <n v="0.47537093942510167"/>
    <n v="0"/>
    <s v="Concepto Favorable"/>
    <s v="Concepto Favorable"/>
    <s v="Concepto Favorable"/>
    <m/>
    <s v=" Se observa que durante el primer trimestre la DT recaudó ingresos por venta de bienes y servicios"/>
    <s v="la territorial realizó ventas por un valor total de $ 38.155.744, actualmente se tiene un avance del 19,52%"/>
    <s v="De acuerdo con la relación de ventas de contado, se observa que durante el tercer trimestre se hicieron ventas por bienes y servicios._x000d__x000a__x000d__x000a_"/>
    <m/>
    <x v="0"/>
    <x v="0"/>
    <x v="0"/>
    <x v="0"/>
    <s v="De acuerdo con los soportes suministrados por la Dirección Territorial Santander los ingresos percibidos son por concepto de certificados catastrales e información catastral."/>
    <s v="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
    <s v="Se evidencia un  reporte de RELACION DE INGRESOS DE CONTADO, se sugierepara el proximo periodo incluir  otro tipo de evidencia que permita verificar el dato. "/>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1"/>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n v="0"/>
    <s v="DURANTE EL SEGUIMIENTO DEL SEGUNTO TRIMESTRE 2021, EN  TERRITORIAL  NO SE REALIZARON NI FIRMARON CONTRATOS PARA LA REALIZACION DE PROCESOS DE FORMACION O ACTUALIZACION CATASTRAL RURAL, POR LO ANTERIOR NO SE SUBEN EVIDENCIAS."/>
    <n v="0"/>
    <s v="DURANTE EL SEGUIMIENTO DEL TERCER TRIMESTRE DE 2021, EN  TERRITORIAL  NO SE REALIZARON NI FIRMARON CONTRATOS PARA LA REALIZACION DE PROCESOS DE FORMACION O ACTUALIZACION CATASTRAL RURAL, POR LO ANTERIOR NO SE SUBEN EVIDENCIAS."/>
    <m/>
    <m/>
    <n v="0"/>
    <d v="2021-04-14T00:00:00"/>
    <d v="2021-07-13T00:00:00"/>
    <d v="2021-10-08T00:00:00"/>
    <m/>
    <n v="0"/>
    <s v=""/>
    <s v=""/>
    <s v=""/>
    <n v="0"/>
    <s v="Sin meta asignada en el periodo"/>
    <s v="Sin meta asignada en el periodo"/>
    <s v="Concepto Favorable"/>
    <m/>
    <s v="Sin meta asignada en el periodo"/>
    <s v="Sin meta asignada en el periodo"/>
    <s v="no se adelanto procesos de formación"/>
    <m/>
    <x v="1"/>
    <x v="1"/>
    <x v="2"/>
    <x v="0"/>
    <s v="Sin meta asignada para el periodo, sin evidencias de ejecución de las actividades"/>
    <s v="Sin meta asignada para el periodo, sin evidencias de ejecución de las actividades"/>
    <s v="Sin meta asignada para el periodo, sin evidencias de ejecución de las actividades"/>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1"/>
    <n v="5789"/>
    <n v="0"/>
    <n v="0"/>
    <n v="0"/>
    <n v="5789"/>
    <n v="0"/>
    <s v="SE ATENDIERON LOS TRAMITES DE OFICINA RECIBIDOS EN EL TRIMESTRE EN SU TOTALIDAD."/>
    <n v="1507"/>
    <s v="EN EL SEGUNDO TRIMESTRE SE ATENDIERON LOS TRAMITES DE OFICINA RADICADOS EN LA TERRITORIAL"/>
    <n v="2639"/>
    <s v="EN EL TERCER TRIMESTRE SE ATENDIERON LOS TRAMITES DE OFICINA RADICADOS EN LA TERRITORIAL."/>
    <m/>
    <m/>
    <n v="4146"/>
    <d v="2021-04-14T00:00:00"/>
    <d v="2021-07-13T00:00:00"/>
    <d v="2021-10-14T00:00:00"/>
    <m/>
    <n v="0.71618586975297982"/>
    <s v=""/>
    <s v=""/>
    <s v=""/>
    <n v="0"/>
    <s v="Concepto Favorable"/>
    <s v="Concepto Favorable"/>
    <s v="Concepto Favorable"/>
    <m/>
    <s v="Con la evidencia aportada se observa cumplimiento a la actividad establecida. Faltó seguimiento cuantitativo"/>
    <s v="Con las evidencias adjuntas se constata la realización de 1507 trámites de oficina"/>
    <s v="se revisa la evidencia cumple con el producto esperado"/>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s v="De acuerdo con las evidencias suministradas se observa que la Dirección Territorial Sucre para los meses de abril, mayo y junio finalizo 1507 trámites de oficina."/>
    <s v="De acuerdo con las evidencias suministradas se observa que la Dirección Territorial Sucre para los meses de julio , agosto y  septiembre finalizo 2639 trámites de oficina."/>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1"/>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n v="514"/>
    <s v="UNA VEZ CONTRATADO EL PERSONAL, LA TERRITORIAL DURANTE EL SEGUNDO TRIMESTRE EMPEZO A REALIZAR LAS VISITAS PARA DAR TRAMITE A LAS MUTACIONES DE TERRENO RADICADAS."/>
    <n v="640"/>
    <s v="EN EL TERCER TRIMESTRE DE 2021 SE ATENDIERON LOS TRAMITES DE TERRENO APLICANDO LOS PROTOCOLOS SIN PONER EN RIESGO LA SALUD DE LOS FUNCIONARIOS Y CONTRATISTAS"/>
    <m/>
    <m/>
    <n v="1154"/>
    <d v="2021-04-14T00:00:00"/>
    <d v="2021-07-13T00:00:00"/>
    <d v="2021-10-08T00:00:00"/>
    <m/>
    <n v="0.23365053654585949"/>
    <s v=""/>
    <s v=""/>
    <s v=""/>
    <n v="0"/>
    <s v="Concepto Favorable"/>
    <s v="Concepto Favorable"/>
    <s v="Concepto Favorable"/>
    <m/>
    <s v="Con la evidencia aportada se observa cumplimiento a la actividad establecida. Faltó seguimiento cuantitativo"/>
    <s v="Con las evidencias adjuntas se constata la realización de 514 trámites de terreno"/>
    <s v="se revisa la evidencia cumple con el producto esperado"/>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s v="De acuerdo con las evidencias suministradas se observa que la Dirección Territorial Sucre para los meses de abril, mayo y junio finalizo 489 trámites de terreno."/>
    <s v="De acuerdo con las evidencias suministradas se observa que la Dirección Territorial Sucre para los meses de julio, agosto y septiembre finalizo 560  trámites de oficina."/>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1"/>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n v="7"/>
    <s v="EN EL SEGUNDO TRIMESTRE SE EMPIEZAN A ATENDER LAS SOLICITUDES RADICADAS EN LA TERRITORIAL, LAS CUALES CORRESPNDEN A PROCESOS DE RESTITUCION  DE TIERRAS Y UN SOLO AVALUO ADMINISTRATIVO DEL CUAL SE RECIBE EL ANTICIPO PARA INICIAR EL PROCESO."/>
    <n v="11"/>
    <s v="EN EL TERCER TRIMESTRE SE ATENDIERON LAS SOLICITUDES RADICADAS EN LA TERRITORIAL, LAS CUALES CORRESPONDEN A PROCESOS DE RESTITUCION  DE TIERRAS Y UN SOLO AVALUO ADMINISTRATIVO UNA VEZ RECIBIDOS LA DOCUMENTACION COMPLETA REQUERIDA PARA EJECUCION."/>
    <m/>
    <m/>
    <n v="18"/>
    <d v="2021-04-14T00:00:00"/>
    <d v="2021-07-15T00:00:00"/>
    <d v="2021-10-08T00:00:00"/>
    <m/>
    <n v="0.45"/>
    <s v=""/>
    <s v=""/>
    <s v=""/>
    <n v="0"/>
    <s v="Sin meta asignada en el periodo"/>
    <s v="Concepto Favorable"/>
    <s v="Concepto Favorable"/>
    <m/>
    <s v="Sin meta asignada en el periodo"/>
    <s v="Con las evidencias adjuntas se constata la realización de 7 avalúos"/>
    <s v="se revisa la evidencia cumple con el producto esperado"/>
    <m/>
    <x v="1"/>
    <x v="0"/>
    <x v="0"/>
    <x v="0"/>
    <s v="Sin meta asignada para el periodo y sin evidencias de ejecución de la actividad."/>
    <s v="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
    <s v="De acuerdo con las evidencias suministradas se observa que la Dirección Territorial Sucre, realizo 11 avalúos comerciales de los predios. Por lo que se presenta ejecución de la actividad."/>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1"/>
    <n v="1"/>
    <n v="0.25"/>
    <n v="0.25"/>
    <n v="0.25"/>
    <n v="0.25"/>
    <n v="0"/>
    <s v="SE ATENDIERON LA TOTALIDAD DE LAS SOLICITUDES DE INFORMACION PREDIAL, TENDIENTES A LA FORMALIZACION DE PREDIOS VIA LEY 1561 Y PROCESOS DE PERTENENCIA."/>
    <n v="0.24"/>
    <s v="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
    <n v="0.25"/>
    <s v="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
    <m/>
    <m/>
    <n v="0.49"/>
    <d v="2021-04-14T00:00:00"/>
    <d v="2021-07-14T00:00:00"/>
    <d v="2021-10-14T00:00:00"/>
    <m/>
    <n v="0.49"/>
    <n v="0"/>
    <n v="0.96"/>
    <n v="1"/>
    <n v="0"/>
    <s v="Concepto No Favorable"/>
    <s v="Concepto Favorable"/>
    <s v="Concepto Favorable"/>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s v="De acuerdo con información proporcionada por el GIT de Servicio al Ciudadano y participación la Dirección Territorial Súcre recibió 152 peticiones, de las cuales atendió oportunamente 145 con un porcentaje del 95%."/>
    <s v="De acuerdo con las evidencias suministradas por la Dirección Territorial Sucre &quot;trámites ley 1561 2021&quot; se listan las solicitudes relacionadas con regularización para el tercer trimestre se recibieron  9 solicitudes resueltas dentro del termino legal."/>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1"/>
    <n v="1"/>
    <n v="0.25"/>
    <n v="0.25"/>
    <n v="0.25"/>
    <n v="0.25"/>
    <n v="0"/>
    <s v="SE RECIBIERON 7 SOLICITUDES, ATENDIDAS EN SU TOTALIDAD INCLUYENDO UNA DE BLOQUEO DE PREDIOS, CON RESPECTO A LAS SOLCITUDES DE AVALUOS SE RECIBIERON 8 QUE SE VIENEN EJECUTANDO EN EL SEGUNDO TRIMESTRE."/>
    <n v="0.24"/>
    <s v="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
    <n v="0.25"/>
    <s v="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
    <m/>
    <m/>
    <n v="0.49"/>
    <d v="2021-04-14T00:00:00"/>
    <d v="2021-07-15T00:00:00"/>
    <d v="2021-10-14T00:00:00"/>
    <m/>
    <n v="0.49"/>
    <n v="0"/>
    <n v="0.96"/>
    <n v="1"/>
    <n v="0"/>
    <s v="Concepto Favorable"/>
    <s v="Concepto Favorable"/>
    <s v="Concepto Favorable"/>
    <m/>
    <s v="Con la evidencia aportada se observa cumplimiento a la actividad establecida. Faltó seguimiento cuantitativo"/>
    <s v="Con las evidencias adjuntas se constata el avance de esta actividad conforme lo indicó la dirección territorial"/>
    <s v="se revisa la evidencia cumple con el producto esperado"/>
    <m/>
    <x v="0"/>
    <x v="0"/>
    <x v="0"/>
    <x v="0"/>
    <s v="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
    <s v="De acuerdo con las evidencias suministradas la Dirección Territorial Sucre, recibió 24 solicitudes para la restitución de tierras que implican procesos judiciales de las cuales se han atendido oportunamente 23 y se encuentra en trámite 1."/>
    <s v="De acuerdo con las evidencias suministradas la Dirección Territorial Sucre, se resolvieron dentro de los tiempos 14 trámites con una ejecución del 100%"/>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1"/>
    <n v="1"/>
    <n v="0.25"/>
    <n v="0.25"/>
    <n v="0.25"/>
    <n v="0.25"/>
    <n v="0"/>
    <s v="DURANTE EL PRIMER TRIMESTRE EN LA TERRITORIAL SE RECIBIERON 230 SOLICITUDES DE LAS CUALES FUERON ATENDIDAS 166 CORRESPONDIENTE AL 72, 17% "/>
    <n v="0.1"/>
    <s v="EN EL SEGUNDO TRIMESTRE DE 2021 LA TERRITORIAL RECIBIO 159 PETICIONES, DE LAS CUALES SE ATENDIERON DENTRO DE LOS TERMINOS LEGALMENTE ESTABLECIDOS 64 PARA UN PORCENTAJE DE EJECUCION DEL 40.25%"/>
    <n v="0.09"/>
    <s v="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
    <m/>
    <m/>
    <n v="0.19"/>
    <d v="2021-04-14T00:00:00"/>
    <d v="2021-07-13T00:00:00"/>
    <d v="2021-10-14T00:00:00"/>
    <m/>
    <n v="0.19"/>
    <n v="0"/>
    <n v="0.4"/>
    <n v="0.36"/>
    <n v="0"/>
    <s v="Concepto No Favorable"/>
    <s v="Concepto Favorable"/>
    <s v="Concepto Favorable"/>
    <m/>
    <s v="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s v="Con las evidencias adjuntas se constata el avance de esta actividad conforme lo indicó la dirección territorial"/>
    <s v="se revisa la evidencia cumple con el producto esperado"/>
    <m/>
    <x v="2"/>
    <x v="0"/>
    <x v="1"/>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s v="De acuerdo con información proporcionada por el GIT de Servicio al Ciudadano y participación la Dirección Territorial Sucre recibió 152 peticiones, de las cuales atendió oportunamente 145 con un porcentaje del 95%."/>
    <s v="De acuerdo con las evidencias suministradas por la Dirección Territorial Sucre se observa que durante el tercer trimestre se recibieron 84 peticiones  de las cuales se atendieron dentro del termino legal 31. Se recomienda revisar los tiempos de respuesta de estas solicitudes."/>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1"/>
    <n v="1"/>
    <n v="0.25"/>
    <n v="0.25"/>
    <n v="0.25"/>
    <n v="0.25"/>
    <n v="0"/>
    <s v="LA TERRITORIAL REALIZO LOS COMITES E HIZO EL CARGUE Y ENVIO L GIT DE TALENTO HUMANO"/>
    <n v="0.25"/>
    <s v="DURANTE EL PERIODO OBJETO DE SEGUIMIENTO LA TERRITORIAL REALIZO LOS COMITES DE COPASST Y CONVIVENCIA RESPECTIVAMENTE Y SE REMITIERON VIA DRIVE A SEDE CENTRAL"/>
    <n v="0.25"/>
    <s v="DURANTE EL PERIODO OBJETO DE SEGUIMIENTO LA TERRITORIAL REALIZO LOS COMITES DE COPASST Y CONVIVENCIA RESPECTIVAMENTE Y SE REMITIERON VIA DRIVE A SEDE CENTRAL"/>
    <m/>
    <m/>
    <n v="0.5"/>
    <d v="2021-04-14T00:00:00"/>
    <d v="2021-07-13T00:00:00"/>
    <d v="2021-10-08T00:00:00"/>
    <m/>
    <n v="0.5"/>
    <n v="0"/>
    <n v="1"/>
    <n v="1"/>
    <n v="0"/>
    <s v="Concepto Favorable"/>
    <s v="Concepto Favorable"/>
    <s v="Concepto Favorable"/>
    <m/>
    <s v="No se realizó seguimiento cuantitativo. Con las tres actas del comité de COPASST se observa un cumplimiento parcial a la actividad, ya que faltó emviar evidencia de la realización de la reunión del Comité de Convivencia Laboral."/>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
    <s v="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
    <s v="De acuerdo con las evidencias suministradas por la Dirección Territorial Sucre se obseva que se han desarrollado los comités COPASTT y  comité de convivencia. "/>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1"/>
    <n v="1"/>
    <n v="0.25"/>
    <n v="0.25"/>
    <n v="0.25"/>
    <n v="0.25"/>
    <m/>
    <m/>
    <n v="0.15"/>
    <s v="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
    <n v="0.25"/>
    <s v="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
    <m/>
    <m/>
    <n v="0.4"/>
    <m/>
    <d v="2021-07-14T00:00:00"/>
    <d v="2021-10-14T00:00:00"/>
    <m/>
    <n v="0.4"/>
    <n v="0"/>
    <n v="0.6"/>
    <n v="1"/>
    <n v="0"/>
    <s v="Concepto No Favorable"/>
    <s v="Concepto Favorable"/>
    <s v="Concepto Favorable"/>
    <m/>
    <s v="No realizó seguimiento cualitativo ni cuantitativo"/>
    <s v="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
    <s v="se revisa la evidencia cumple con el producto esperado"/>
    <m/>
    <x v="2"/>
    <x v="0"/>
    <x v="0"/>
    <x v="0"/>
    <s v="Se presentan evidencias de actividades relacionadas con bienestar, siendo esta una de las áreas del Plan estratégico de Talento Humano sin embargo, no se presentan evidencias de cpacitación, seguridad y Salud en el Trabajo, plan anual de provisiones entre otros."/>
    <s v="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
    <s v="De acuerdo con las evidencias suminnistradas por la Dirección Territorial Sucre, se observa ejecución de actividades relacionadas con el SD-SST tales como capacitaciones, participacion de simulacro nacional y comites copasst."/>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1"/>
    <n v="205652053.22484106"/>
    <n v="40606862.036931559"/>
    <n v="52639896.676805563"/>
    <n v="53593659.709495969"/>
    <n v="58811634.801607959"/>
    <n v="0"/>
    <s v="DURANTE EL PRIMER TRIMESTRE DE 2021, SE GENERARON INGRESOS CORRESPONDIENTE A LA VENTA DE PRODUCTOS Y SERVICIOS CATASTRALES GENERADOS EN EL CIG, A PESAR DE LA PANDEMIALA TERRITORIAL CON SU EQUIPO DE TRABAJO HA LOGRADO MANTENER UN ALTO PORCENTAJE DE INGRESOS."/>
    <n v="27616839"/>
    <s v="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
    <n v="20421208"/>
    <s v="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
    <m/>
    <m/>
    <n v="48038047"/>
    <d v="2021-04-14T00:00:00"/>
    <d v="2021-07-15T00:00:00"/>
    <d v="2021-10-08T00:00:00"/>
    <m/>
    <n v="0.23358894913380521"/>
    <n v="0"/>
    <n v="0.52463702901165954"/>
    <n v="0.38103775914339505"/>
    <n v="0"/>
    <s v="Concepto Favorable"/>
    <s v="Concepto Favorable"/>
    <s v="Concepto Favorable"/>
    <m/>
    <s v="No se realizó seguimiento cuantitativo. En el reporte de ventas totalizadas por producto se observa por $42.336.359 antes de IVA. Faltan firmas en ese reporte"/>
    <s v="Con las evidencias adjuntas se constata el avance de esta actividad conforme lo indicó la dirección territorial"/>
    <s v="se revisa la evidencia cumple con el producto esperado"/>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s v="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
    <s v="De acuerdo con las evidencias suministradas por la Dirección Territorial Sucre Sucre Ventas totalizadas por producto con corte 30 de septiembre 2021 se observa que se han generado ingresos por un total de $10.091.516"/>
    <m/>
  </r>
  <r>
    <n v="1"/>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9.0909090909090912E-2"/>
    <n v="39"/>
    <n v="0"/>
    <n v="0"/>
    <n v="0"/>
    <n v="39"/>
    <n v="0"/>
    <s v="La meta asignada a la direccion territorial corresponde al muncipio de Rioblanco, el cual esta siendo intervenido por la agencia nacional de tierras y no se tiene asignado presupuesto para atender el componente urbano."/>
    <n v="0"/>
    <s v="Para el proceso de actualizacion de la zona urbana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Sin meta asignada en el periodo"/>
    <m/>
    <s v="Se requiere revision de la meta para la Territorial"/>
    <s v="El seguimiento al proceso de actualizacion del municipio de rio blanco le esta haciendo la sede central  "/>
    <s v="N/A "/>
    <m/>
    <x v="2"/>
    <x v="1"/>
    <x v="2"/>
    <x v="0"/>
    <s v="No se presentan evidencias de ejecución de la actividad."/>
    <s v="Sin meta asignada para el periodo, sin evidencias de ejecución de las actividades dado que los procesos de actualización de acuerdo con correos electrónicos del 10 de junio se estan llevando a cabo desde Sede Central."/>
    <s v="Sin meta asignada en tercer trimestre"/>
    <m/>
  </r>
  <r>
    <n v="2"/>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9.0909090909090912E-2"/>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n v="0"/>
    <s v="Para el proceso de actualizacion de la zona rural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Concepto Favorable"/>
    <m/>
    <s v="Se requiere revision de la meta para la Territorial"/>
    <s v="El seguimiento al proceso de actualizacion del municipio de rio blanco le esta haciendo la sede central  "/>
    <s v="NA"/>
    <m/>
    <x v="2"/>
    <x v="1"/>
    <x v="2"/>
    <x v="0"/>
    <s v="No se prsentan evidencias de ejecución de la actividad"/>
    <s v="Sin meta asignada para el periodo, sin evidencias de ejecución de las actividades dado que los procesos de actualización de acuerdo con correos electrónicos del 10 de junio se estan llevando a cabo desde Sede Central."/>
    <s v="Sin meta asignada en tercer trimestre."/>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9.0909090909090912E-2"/>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n v="7346"/>
    <s v="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
    <n v="1068"/>
    <s v="Con las dificultades del ingreso al SNC se disminuyo el rendimiento de tramites de oficina y esta complicado llegar a cumplir la meta asignada. "/>
    <m/>
    <m/>
    <n v="13651"/>
    <d v="2021-04-09T00:00:00"/>
    <d v="2021-07-12T00:00:00"/>
    <d v="2021-10-13T00:00:00"/>
    <m/>
    <n v="0.81899448044156464"/>
    <s v=""/>
    <s v=""/>
    <s v=""/>
    <n v="0"/>
    <s v="Concepto Favorable"/>
    <s v="Concepto Favorable"/>
    <s v="Concepto No Favorable"/>
    <m/>
    <s v="La actividad cuenta con evidencias "/>
    <s v="La actividad cuenta con las evidencias"/>
    <s v="No se observa evidencia"/>
    <m/>
    <x v="0"/>
    <x v="0"/>
    <x v="1"/>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s v="De acuerdo con las evidencias suministradas se observa que la Dirección Territorial Tolima para los meses de abril, mayo y junio finalizo 7,346 trámites de oficina."/>
    <s v="Se evidencian 1068 tràmites de oficina reportados para el tercer trimestre de 2021 por la Territorial a travès del excel Reporte de Proyecciòn de Meta 2020-2021."/>
    <m/>
  </r>
  <r>
    <n v="5"/>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9.0909090909090912E-2"/>
    <n v="22254"/>
    <n v="0"/>
    <n v="0"/>
    <n v="0"/>
    <n v="22254"/>
    <n v="2499"/>
    <s v="Se alcanza el 11,22% de la meta asignada. A finales del mes de febrero se realiza la contrataciion de 5 reconocedores y 9 auxiliares de apoyo. "/>
    <n v="8910"/>
    <s v="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
    <n v="72"/>
    <s v="Los problemas generados y reportados a traves de incidencias del SNC han frenado el cumplimiento de tranites de terreno debido a la problematica evidenciada con el editor grafico del sistema. "/>
    <m/>
    <m/>
    <n v="11481"/>
    <d v="2021-04-09T00:00:00"/>
    <d v="2021-07-12T00:00:00"/>
    <d v="2021-10-13T00:00:00"/>
    <m/>
    <n v="0.51590725262874093"/>
    <s v=""/>
    <s v=""/>
    <s v=""/>
    <n v="0"/>
    <s v="Concepto Favorable"/>
    <s v="Concepto Favorable"/>
    <s v="Concepto Favorable"/>
    <m/>
    <s v="La actividad cuenta con evidencias "/>
    <s v="La actividad cuenta con las evidencias"/>
    <s v="Se la valida la evidencia "/>
    <m/>
    <x v="0"/>
    <x v="0"/>
    <x v="1"/>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s v="De acuerdo con las evidencias suministradas se observa que la Dirección Territorial Tolima para los meses de abril, mayo y junio finalizo 8910 trámites de terreno."/>
    <s v="No se aportó evidencia que permita verificar trámites reportados en tercer trimestre."/>
    <m/>
  </r>
  <r>
    <n v="7"/>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9.0909090909090912E-2"/>
    <n v="40"/>
    <n v="0"/>
    <n v="0"/>
    <n v="0"/>
    <n v="40"/>
    <n v="0"/>
    <s v="En el trimestre no se han realizado avaluos comerciales. Se tiene en negociacion 8 solicitudes."/>
    <n v="0"/>
    <s v="Se ha realizado avaluos para los juzgados de restitucion de tierrras y estan en proceso avaluos contratados con externos. "/>
    <n v="0"/>
    <s v="Se ha realizadao la gestion con el IMDRI, pero desafortunadamente desde sede central no se ha podido finiquitar la negociacion por falta de aporte de documentos soporte requeridos. "/>
    <m/>
    <m/>
    <n v="0"/>
    <d v="2021-04-13T00:00:00"/>
    <d v="2021-07-12T00:00:00"/>
    <d v="2021-10-13T00:00:00"/>
    <m/>
    <n v="0"/>
    <s v=""/>
    <s v=""/>
    <s v=""/>
    <n v="0"/>
    <s v="Concepto No Favorable"/>
    <s v="Concepto No Favorable"/>
    <s v="Sin meta asignada en el periodo"/>
    <m/>
    <s v="No hay evidencia de avaluos elaborados para el periodo"/>
    <s v="La actividad no cuenta con evidencias de avaluos comerciales "/>
    <s v="No hay meta asiganada"/>
    <m/>
    <x v="2"/>
    <x v="2"/>
    <x v="2"/>
    <x v="0"/>
    <s v="No hay evidencias de ejecución de la actividad"/>
    <s v="De acuerdo con las evidencias suministradas por la Dirección Territorial Tolima se observa que se han realizado avalúos, sin embargo no es claro si estos son en el marco de la política de restitución de tierras o son comerciales."/>
    <s v="No se asignó meta."/>
    <m/>
  </r>
  <r>
    <n v="8"/>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9.0909090909090912E-2"/>
    <n v="1"/>
    <n v="0.25"/>
    <n v="0.25"/>
    <n v="0.25"/>
    <n v="0.25"/>
    <n v="0.17"/>
    <s v="Se han recibido 117 solicitudes, de las cuales se han atendido 81. 19 faltantes corresponden a certficados especiales y 17 a inspecciones judiciales en terreno."/>
    <n v="0.2"/>
    <s v="En el trimestre se recepcionaron 140 solicitudes del las cuales se atendieron 125."/>
    <n v="0.25"/>
    <s v="Gracias a las reuniones sostenidas con los juzgados y jueces se ha logrado aclarar los alcances de las solicitudes envidas y en el trimestre se recibieron 86, las cuales fueron atendidas en su totalidad. "/>
    <m/>
    <m/>
    <n v="0.62"/>
    <d v="2021-04-13T00:00:00"/>
    <d v="2021-07-14T00:00:00"/>
    <d v="2021-10-13T00:00:00"/>
    <m/>
    <n v="0.62"/>
    <n v="0.68"/>
    <n v="0.8"/>
    <n v="1"/>
    <n v="0"/>
    <s v="Concepto Favorable"/>
    <s v="Concepto Favorable"/>
    <s v="Concepto Favorable"/>
    <m/>
    <s v="La actividad cuenta con evidencias "/>
    <s v="La actividad cuenta con las evidencias"/>
    <s v="Se validan los trámites"/>
    <m/>
    <x v="2"/>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s v="De acuerdo con las evidencias suministradas por la Dirección Territorial Tolima y el documento &quot;segundo trimestre 2021_tierras&quot; se han recibido 140 solicitudes de las cuales se han atendido 125 y 15 están en trámite con un 89,28% de oportunidad en la atención"/>
    <s v="Se observa ejecución a través de Herramienta de Monitoreo 2021 y excel URT Herramienta de Monitoreo tercer trimestre 2021."/>
    <m/>
  </r>
  <r>
    <n v="9"/>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9.0909090909090912E-2"/>
    <n v="1"/>
    <n v="0.25"/>
    <n v="0.25"/>
    <n v="0.25"/>
    <n v="0.25"/>
    <n v="0.16"/>
    <s v="Se ha recibido 8 sentencias de los juzgados, de las cuales se han tramitado 5 y las 3 restantes esta pendiente el envio por parte de la ORIP la anotacion en el certificado de tradicion. "/>
    <n v="7.0000000000000007E-2"/>
    <s v="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
    <n v="0"/>
    <s v="En el trimestre se recibieron 44 posfallos de los cuales 28 estan sin resolucion (Las ORIP no han realizadao la anotacion en el folio de matricula inmobiliara o la ANT no ha realizado la entrega del predio) y 16 estan por atender."/>
    <m/>
    <m/>
    <n v="0.23"/>
    <d v="2021-04-13T00:00:00"/>
    <d v="2021-07-10T00:00:00"/>
    <d v="2021-10-13T00:00:00"/>
    <m/>
    <n v="0.23"/>
    <n v="0.64"/>
    <n v="0.28000000000000003"/>
    <n v="0"/>
    <n v="0"/>
    <s v="Concepto Favorable"/>
    <s v="Concepto Favorable"/>
    <s v="Sin meta asignada en el periodo"/>
    <m/>
    <s v="La actividad cuenta con evidencias "/>
    <s v="La actividad cuenta con las evidencias"/>
    <s v="Sin meta asignada en el periodo"/>
    <m/>
    <x v="0"/>
    <x v="0"/>
    <x v="1"/>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s v="De acuerdo con las evidencias suministradas por la Dirección Territorial Tolima  y el documento &quot;Herramienta de monitoreo 2020 Tolima&quot;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
    <s v="La meta se fijó en 0.25 y se reporta ejecución de 0 en el trimestre, se recibieron 44 posfallos de los cuales 28 estan sin resolución y 16 no han sido atendidos.  "/>
    <m/>
  </r>
  <r>
    <n v="10"/>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9.0909090909090912E-2"/>
    <n v="1"/>
    <n v="0.25"/>
    <n v="0.25"/>
    <n v="0.25"/>
    <n v="0.25"/>
    <n v="0.19"/>
    <s v="El sistema de correspondencia externa recibida reporta la radicaciion de 2847 solicitudes, de las cuales se atendieros 2216 y aparecen vencidas"/>
    <n v="0.16"/>
    <s v="El reporte generado informa 2136 radicvados en el trimestre de los cuales se atendieron 1379, quedando vencidas 757. El SIGAC sigue presentando dificultades para el cierre de los radicados y envio de respuestas que no permite ser abiertas por los destinatarios. "/>
    <n v="0.23"/>
    <s v="En el trimestre se recibieron 11.031 solicitudes de los usuarios por los diferentes medios establecidos para su atencion de los cuales 8841 estan en tramite y 706 vencidos. "/>
    <m/>
    <m/>
    <n v="0.58000000000000007"/>
    <d v="2021-04-13T00:00:00"/>
    <d v="2021-07-10T00:00:00"/>
    <d v="2021-10-13T00:00:00"/>
    <m/>
    <n v="0.57999999999999996"/>
    <n v="0.76"/>
    <n v="0.64"/>
    <n v="0.92"/>
    <n v="0"/>
    <s v="Concepto Favorable"/>
    <s v="Concepto Favorable"/>
    <s v="Concepto Favorable"/>
    <m/>
    <s v="La actividad cuenta con evidencias "/>
    <s v="La actividad cuenta con las evidencias"/>
    <s v="La actividad cuenta con la evidencia"/>
    <m/>
    <x v="2"/>
    <x v="0"/>
    <x v="1"/>
    <x v="0"/>
    <s v="De acuerdo con las evidencias suministradas por la Dirección Territorial Tolima &quot;Informe Tolima&quot; de los meses de enero, febrero y marzo se observa que existen solicitudes radicadas vencidas por 86, 427 y 108 de los meses mencionados."/>
    <s v="De acuerdo con información proporcionada por el GIT de Servicio al Ciudadano y participación la Dirección Territorial Tolima recibió 357 peticiones, de las cuales atendió oportunamente 314 con un porcentaje del 88%."/>
    <s v="No se cumplió con la meta, no se atendieron la totalidad de solicitudes recibidas en el trimestre, de las 11.031 recibidas hay 8841 en trámite y 706 vencidas. Deben atenderse todas las solicitudes recibidas dentro de los términos de ley."/>
    <m/>
  </r>
  <r>
    <n v="11"/>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9.0909090909090912E-2"/>
    <n v="1"/>
    <n v="0.25"/>
    <n v="0.25"/>
    <n v="0.25"/>
    <n v="0.25"/>
    <n v="0.25"/>
    <s v="Se han realizado tres comit4es de copasst y 1 de CCL en el trimestre. "/>
    <n v="0.25"/>
    <s v="Se realizaron los comites de SST y conviviencia en segundo trimestre del año. Se esta en proceso de eleccion de comites, pero no se ha podido realizar debido a la no inscripcion de cadidatos. "/>
    <n v="0.25"/>
    <s v="Se cumple con la realizacion de los comie de SST y convivencia en el tercer rimestre del año."/>
    <m/>
    <m/>
    <n v="0.75"/>
    <d v="2021-04-13T00:00:00"/>
    <d v="2021-07-10T00:00:00"/>
    <d v="2021-10-09T00:00:00"/>
    <m/>
    <n v="0.75"/>
    <n v="1"/>
    <n v="1"/>
    <n v="1"/>
    <n v="0"/>
    <s v="Concepto Favorable"/>
    <s v="Concepto Favorable"/>
    <s v="Concepto Favorable"/>
    <m/>
    <s v="La actividad cuenta con evidencias "/>
    <s v="La actividad cuenta con las evidencias"/>
    <s v="se evidencia con actas de comite de SST."/>
    <m/>
    <x v="0"/>
    <x v="0"/>
    <x v="0"/>
    <x v="0"/>
    <s v="De acuerdo con las evidencias suministradas por la Dirección Territorial Tolima &quot;Acta COPASST&quot; del 29-01-2021, 26-02-2021, 05-04-2021 y el acta de comité de convivencia laboral con fecha 26-02-2021 se observa el desarrollo de la actividad."/>
    <s v="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
    <s v="Se verifica cumplimiento de la actividad con las actas COPASST de julio, agosto y septiembre 2021 y acta del CCL del 13/09/2021.  "/>
    <m/>
  </r>
  <r>
    <n v="12"/>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9.0909090909090912E-2"/>
    <n v="1"/>
    <n v="0.25"/>
    <n v="0.25"/>
    <n v="0.25"/>
    <n v="0.25"/>
    <n v="0.25"/>
    <s v="Se ha realizado los comites acorde a lo convenido, se ha hecho seguimiento en la plataforma de la ARL del autodiagnodtivo de covid 19, se siguen multiplicando las campañas de autocuidado y demas actividades convenidas. "/>
    <n v="0.25"/>
    <s v="Se realizaron  los comites acorde a lo convenido, se ha hecho seguimiento en la plataforma de la ARL del autodiagnodtivo de covid 19, se siguen multiplicando las campañas de autocuidado y demas actividades convenidas. "/>
    <n v="0.25"/>
    <s v="Se realiza el comite de SST acorde a lo establecido, se sigue realizando el autodiagnostico en la plataforma de la ARL y se continua con las campañas de autocuidado. "/>
    <m/>
    <m/>
    <n v="0.75"/>
    <d v="2021-04-13T00:00:00"/>
    <d v="2021-07-10T00:00:00"/>
    <d v="2021-10-09T00:00:00"/>
    <m/>
    <n v="0.75"/>
    <n v="1"/>
    <n v="1"/>
    <n v="1"/>
    <n v="0"/>
    <s v="Concepto Favorable"/>
    <s v="Concepto Favorable"/>
    <s v="Concepto Favorable"/>
    <m/>
    <s v="La actividad cuenta con evidencias "/>
    <s v="La actividad cuenta con las evidencias"/>
    <s v="La actividad cuenta con las evidencias"/>
    <m/>
    <x v="0"/>
    <x v="2"/>
    <x v="0"/>
    <x v="0"/>
    <s v="De acuerdo con los soportes suministrados por la Dirección Territorial Tolima se observa que se ha venido realizando seguimiento a las actividades del SG-SST"/>
    <s v="De acuerdo con las evidencias suministradas por la Dirección Territorial Tolima no es posible evidenciar el desarrollo de actividades en el marco del SG-SST, ni tampoco lo mencionado en el autoseguimiento."/>
    <s v="Se verifica ejecución de la actividad mediante actas COPASST de julio, agosto y septiembre 2021, acta CCL del 13/09/2021 y correo del 06/07/2021 sobre autocuidado."/>
    <m/>
  </r>
  <r>
    <n v="14"/>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9.0909090909090912E-2"/>
    <n v="288303006.95085412"/>
    <n v="56926640.140501812"/>
    <n v="73795715.916889057"/>
    <n v="75132793.499783784"/>
    <n v="82447857.39367947"/>
    <n v="22434459"/>
    <s v="En el primer  trimestre se obtuvo ingresos por valor de $.22.434.459, donde prevalece la expedicion de certificados catastrales. "/>
    <n v="27104781"/>
    <s v="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
    <n v="31964399"/>
    <s v="Se obtiene un ingreso promedio de $.10.600.000, pero sigue siendo dificil el cumplimiento de la meta asignada. En el mes de octubre se hace entrega del catastro del municipio de Ibague, el cual genera la mayor parte de los ingresos propios a la territorial. "/>
    <m/>
    <m/>
    <n v="81503639"/>
    <d v="2021-04-14T00:00:00"/>
    <d v="2021-07-10T00:00:00"/>
    <d v="2021-10-13T00:00:00"/>
    <m/>
    <n v="0.28270131436365353"/>
    <n v="0.39409420518458582"/>
    <n v="0.36729477671205485"/>
    <n v="0.4254387133907378"/>
    <n v="0"/>
    <s v="Concepto Favorable"/>
    <s v="Concepto Favorable"/>
    <s v="Concepto Favorable"/>
    <m/>
    <s v="La actividad cuenta con evidencias "/>
    <s v="La actividad cuenta con las evidencias"/>
    <s v="Se validan las evidencias"/>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s v="De acuerdo con las evidencias suministradas por la Dirección Territorial Tolima Ventas totalizadas por producto con corte 30 de junio 2021 se observa que se han generado ingresos por venta por valor de $27.104.781"/>
    <s v="Según las evidencias aportadas por la Territorial las ventas por productos han generado ingresos de 31964399 para el tercer trimestre."/>
    <m/>
  </r>
  <r>
    <n v="15"/>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Tolima"/>
    <s v="Porcentaje"/>
    <s v="Recursos obtenidos por recuperación de cartera"/>
    <s v="Eficiencia"/>
    <n v="9.0909090909090912E-2"/>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No se tiene contablemente cartera en la territorial."/>
    <m/>
    <m/>
    <n v="0"/>
    <d v="2021-04-13T00:00:00"/>
    <d v="2021-07-10T00:00:00"/>
    <d v="2021-10-13T00:00:00"/>
    <m/>
    <n v="0"/>
    <n v="0"/>
    <n v="0"/>
    <n v="0"/>
    <n v="0"/>
    <s v="Concepto Favorable"/>
    <s v="Sin meta asignada en el periodo"/>
    <s v="Sin meta asignada en el periodo"/>
    <m/>
    <s v="No cuentan con cartera venciada"/>
    <s v="La territorial no tiene cartera por cobrar "/>
    <s v="Sin meta asignada en el periodo"/>
    <m/>
    <x v="1"/>
    <x v="1"/>
    <x v="2"/>
    <x v="0"/>
    <s v="Sin meta asignada para el periodo y sin evidencias de ejecución de la actividad."/>
    <s v="Sin meta asignada para el trimestre y sin evidencias de ejecución de la actividad."/>
    <s v="Según manifiesta la Territorial Tolima, no se tiene contablemente cartera."/>
    <m/>
  </r>
  <r>
    <n v="1"/>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1111111111111111"/>
    <n v="17588"/>
    <n v="0"/>
    <n v="0"/>
    <n v="0"/>
    <n v="17588"/>
    <n v="5704"/>
    <s v="Durante el mes de enero se tramitan 12 mutaciones, en febrero 1402 y en marzo 4290."/>
    <n v="26781"/>
    <s v="Durante el mes de Abril se tramitan 6868 mutaciones, en mayo 8895y en junio 11018."/>
    <n v="3132"/>
    <s v="Durante el mes de Julio se tramitan 2164 mutaciones, en Agosto 907 y en Septiembre 1117."/>
    <m/>
    <m/>
    <n v="35617"/>
    <d v="2021-04-14T00:00:00"/>
    <d v="2021-07-13T00:00:00"/>
    <d v="2021-10-14T00:00:00"/>
    <m/>
    <n v="1"/>
    <s v=""/>
    <s v=""/>
    <s v=""/>
    <n v="0"/>
    <s v="Concepto Favorable"/>
    <s v="Concepto Favorable"/>
    <s v="Concepto No Favorable"/>
    <m/>
    <s v="se revisa las evidencias, se encuentra acordes con el producto esperado"/>
    <s v="se revisa evidencia, cumple con producto esperado"/>
    <s v="Realizaron los tramites de oficina de acuerdo a los reportes"/>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s v="Se evidencia Informe del área de Conservación Territorial a junio 30 del 2021,donde se tramitan en abril 6868 mutaciones, en mayo 8895y en junio 11018"/>
    <s v="Se evidencia reporte de trámites de oficina donde se realizaron 3132 para el tercer trimestre."/>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1111111111111111"/>
    <n v="8263"/>
    <n v="0"/>
    <n v="0"/>
    <n v="0"/>
    <n v="8263"/>
    <n v="1195"/>
    <s v="Se tramita mutaciones de terreno asi: en enero 70, febrero 434 y en marzo 691"/>
    <n v="3449"/>
    <s v="Se tramitan mutaciones de terreno asi:En abril 842, en mayo 1002, en junio 1605. "/>
    <n v="397"/>
    <s v="Se tramitan mutaciones de terreno asi:En Julio 67, en agosto 89, en septiembre 241. "/>
    <m/>
    <m/>
    <n v="5041"/>
    <d v="2021-04-14T00:00:00"/>
    <d v="2021-07-13T00:00:00"/>
    <d v="2021-10-14T00:00:00"/>
    <m/>
    <n v="0.61006898220985117"/>
    <s v=""/>
    <s v=""/>
    <s v=""/>
    <n v="0"/>
    <s v="Concepto Favorable"/>
    <s v="Concepto Favorable"/>
    <s v="Concepto Favorable"/>
    <m/>
    <s v="se revisa las evidencias, se encuentra acordes con el producto esperado"/>
    <s v="se revisa evidencia, cumple con producto esperado"/>
    <s v="Según reporte realizaron 397  tramites de terreno"/>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s v="Se evidencia Informe área de Conservación Territorial a junio 30 del 2021 ,  tramitan mutaciones de terreno asi:En abril 842, en mayo 1002, en junio 1605. "/>
    <s v="Se evidencia reporte de trámites de terreno donde se realizaron 397 para el tercer trimestre."/>
    <m/>
  </r>
  <r>
    <n v="5"/>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1111111111111111"/>
    <n v="40"/>
    <n v="0"/>
    <n v="0"/>
    <n v="0"/>
    <n v="40"/>
    <n v="7"/>
    <s v="Durante el trilmestre enero a marzo 2021 se han recibido 7 solicitudes de avalúos, los cuales se encuentran en fase de elaboración y/o en control de calidad."/>
    <n v="7"/>
    <s v="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
    <n v="1"/>
    <s v="Para el trimestre Julio a Septiembre se realiza el avaluo de la sede Territorial Valle, el cual se encuentra en proceso de control de calidad en sede central. En el momento, la territorial no cuenta con funcionario que apoye la labor de elaboración de avalúos."/>
    <m/>
    <m/>
    <n v="15"/>
    <d v="2021-04-14T00:00:00"/>
    <d v="2021-07-14T00:00:00"/>
    <d v="2021-10-14T00:00:00"/>
    <m/>
    <n v="0.375"/>
    <s v=""/>
    <s v=""/>
    <s v=""/>
    <n v="0"/>
    <s v="Concepto Favorable"/>
    <s v="Concepto Favorable"/>
    <s v="Concepto Favorable"/>
    <m/>
    <s v="se revisa las evidencias, se encuentra acordes con el producto esperado"/>
    <s v="se revisa evidencia, cumple con producto esperado"/>
    <s v="Realizaron sólo un avalúo en el trimestre. "/>
    <m/>
    <x v="0"/>
    <x v="0"/>
    <x v="0"/>
    <x v="0"/>
    <s v="Conforme las evidencias suminitradas por la Dirección Territorial Valle del Cauca &quot; Avalúos -Evidencias de Avance GIT AVALUOS - MARZO&quot; se han recibido 7 solicitudes para realizar avalúos comerciales los cuales se encuentran en trámite."/>
    <s v="Conforme las evidencias suminitradas por la Dirección Territorial Valle del Cauca para el segundo trimestre Abril a Junio se finalizan y entregan 3 avaluos, de los 7 avaluos solicitados "/>
    <s v="Se evidencia reporte de avalúos realizados con 1 para el tercer trimestre."/>
    <m/>
  </r>
  <r>
    <n v="6"/>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1111111111111111"/>
    <n v="1"/>
    <n v="0.25"/>
    <n v="0.25"/>
    <n v="0.25"/>
    <n v="0.25"/>
    <n v="0.25"/>
    <s v="Durante el trimestre de enero a marzo del 2021 se han recibido 83 solicitudes en materia de regulación de la propiedad (Ley 1561 y 1564 del 2012), las cuales han sido analizadas y atendidas."/>
    <n v="0.25"/>
    <s v="Durante el segundo trimestre de Abril a junio se han recibido 108 solicitudes en materia de regulacion de la propiedad (ley 1561 y 1564 de 2012), las cuales han sido analizadas y atendidas"/>
    <n v="0.25"/>
    <s v="Durante el trimestre de Julio a Septiembre se han recibido 190 solicitudes en materia de regulacion de la propiedad (ley 1561 y 1564 de 2012)."/>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se verifica en el reporte la atención a las solicitudes en materia de regulación"/>
    <m/>
    <x v="0"/>
    <x v="0"/>
    <x v="0"/>
    <x v="0"/>
    <s v="De acuerdo con las evidencias suministradas por la Dirección Territorial Valle del Cauca &quot;INFORME PRIMER TRIMESTRE 2021 REGULARIZACIÓN DE LA PROPIEDAD (LEY 1561 Y LEY 1564 DE 2012)&quot; se han recibido 83 solicitudes, de las cuales se ha proyectado rspuesta de 54, esta pendiente por responder 6  y pendiente por revisar 3."/>
    <s v="De acuerdo con las evidencias suministradas por la Dirección Territorial Valle del Cauca  se atendieron solicitudes en materia de regulacion de la propiedad (ley 1561 y 1564 de 2012."/>
    <s v="De acuerdo con las evidencias suministradas por la Dirección Territorial Valle del Cauca se atendieron solicitudes en materia de regulación de la propiedad (ley 1561 y 1564 de 2012."/>
    <m/>
  </r>
  <r>
    <n v="7"/>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1111111111111111"/>
    <n v="1"/>
    <n v="0.25"/>
    <n v="0.25"/>
    <n v="0.25"/>
    <n v="0.25"/>
    <n v="0.25"/>
    <s v="Durante el trimestre enero a marzo 2021 se reciben 79 solicitudes de URT Administrativas y de Juzgados, de las cuales hay 5 en proceso de finalización de trámite."/>
    <n v="0.25"/>
    <s v="Durante el segundo trimestre abril a junio, se reciben 87 solicitudes de URT administrativas y de juzgados, de las cuales hay en proceso de finalizacion de tramite 1"/>
    <n v="0.25"/>
    <s v="Durante el trimestre Julio a Septiembre, se reciben 84 solicitudes de URT administrativas y de juzgados, de las cuales hay en proceso de finalizacion de tramite 2"/>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Recibieron 84 solicitudes y tienen pendientes de atender 2 solicitudes"/>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
    <s v="De acuerdo con las evidencias suministradas por la Dirección Territorial Valle del Cauca se observa informe II trimestre de restitucion de Tierras."/>
    <s v="De acuerdo con las evidencias suministradas por la Dirección Territorial Valle del Cauca se observa informe III trimestre de restitucion de Tierras."/>
    <m/>
  </r>
  <r>
    <n v="8"/>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1111111111111111"/>
    <n v="1"/>
    <n v="0.25"/>
    <n v="0.25"/>
    <n v="0.25"/>
    <n v="0.25"/>
    <n v="0.10796545105566219"/>
    <s v="Durante el trimestre enero a marzo del 2021, se recibieron 521 peticiones, se finalizan 225 y hay pendientes por finalizar 296, alcanzando una gestión del 43.18%"/>
    <n v="0.15"/>
    <s v="Durante el segundo trimestre Abril a Junio del 2021, se recibieron 1367 peticiones, se finalizan 795 y hay pendientes por finalizar572, alcanzando una gestión del 58.31%"/>
    <n v="0.25"/>
    <s v="Durante el trimestre Julio a Septiembre del 2021, se recibieron 1081 peticiones, se finalizan 1326.  El aplicativo aun no permite reportes automáticos, es necesario acudir a reportes manuales."/>
    <m/>
    <m/>
    <n v="0.50796545105566215"/>
    <d v="2021-04-14T00:00:00"/>
    <d v="2021-07-13T00:00:00"/>
    <d v="2021-10-13T00:00:00"/>
    <m/>
    <n v="0.50796545105566215"/>
    <n v="0.43186180422264875"/>
    <n v="0.6"/>
    <n v="1"/>
    <n v="0"/>
    <s v="Concepto Favorable"/>
    <s v="Concepto Favorable"/>
    <s v="Concepto Favorable"/>
    <m/>
    <s v="se revisa las evidencias, se encuentra acordes con el producto esperado"/>
    <s v="se revisa evidencia, cumple con producto esperado"/>
    <s v="para el proximo reporte incluir los saldos que traen de meses anteriores ya que registran saldos negativos pero es por los saldos que sacan de meses anteriores"/>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s v="De acuerdo con las evidencias suministradas por la Dirección Territorial Valle del Cauca se observa informe de PQRS de segundo informe."/>
    <s v="De acuerdo con las evidencias suministradas por la Dirección Territorial Valle del Cauca se observa informe de PQRS del tercer trimestre."/>
    <m/>
  </r>
  <r>
    <n v="9"/>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1111111111111111"/>
    <n v="1"/>
    <n v="0.25"/>
    <n v="0.25"/>
    <n v="0.25"/>
    <n v="0.25"/>
    <n v="0.25"/>
    <s v="Durante el trimestre de enero a marzo del 2021, se cumplio con la entrega de un acta deL Comité de Convivencia y tres actas del COPASST."/>
    <n v="0.25"/>
    <s v="Durante el segundo trimestre de Abril a Junio del 2021, se cumplio con la entrega de un acta deL Comité de Convivencia y tres actas del COPASST."/>
    <n v="0.25"/>
    <s v="Durante el trimestre de Julio a Septiembre del 2021, se cumplio con la entrega de un acta deL Comité de Convivencia y tres actas del COPASST."/>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De acuerdo a registro se realizaron los comités de convivencia y COPASST"/>
    <m/>
    <x v="0"/>
    <x v="0"/>
    <x v="0"/>
    <x v="0"/>
    <s v="De acuerdo con las evidencias suministradas por la Dirección Territorial Valle del Cauca se han realizado tres comites de COPASST los días 04-02-2021, 01-03-2021 y 31-03-2021 y un comite de convicencia laboral el 23-03-2021."/>
    <s v="De acuerdo con las evidencias suministradas por la Dirección Territorial Valle del Cauca acta de comite de convivencia y actas del COPASST."/>
    <s v="De acuerdo con las evidencias suministradas por la Dirección Territorial Valle del Cauca acta de conformación de comité de convivencia y actas del COPASST."/>
    <m/>
  </r>
  <r>
    <n v="10"/>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1111111111111111"/>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n v="0.25"/>
    <s v="Durante el segundo trimestre Abril a Junio del 2021, la profesional especializada rindió informe en el cual no se presentaron novedades y/o situaciones de riesgo asociadas al personal de la DT Valle."/>
    <n v="0.25"/>
    <s v="Durante el Julio a Septiembre del 2021, la profesional especializada rindió informe en el cual no se presentaron novedades y/o situaciones de riesgo asociadas al personal de la DT Valle."/>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Realizaron varias actividades como encuestas de satisfacion al usuario, simulacro"/>
    <m/>
    <x v="0"/>
    <x v="0"/>
    <x v="0"/>
    <x v="0"/>
    <s v="De acuerdo con las evidencias suministradas por la Dirección Territorial Valle del Cauca mediante correo electrónico del 13 de abril de 2021 se informa a Sede Central que no han habido accidentes laborales ni casos positivos de COVID "/>
    <s v="De acuerdo con las evidencias suministradas por la Dirección Territorial Valle del Cauca se rindió informe en el cual no se presentaron novedades y/o situaciones de riesgo asociadas al personal."/>
    <s v="Se evidencia encuesta de satisfacción y percepción, informe de emergencias ambientales e informe de evaluación de simulacro."/>
    <m/>
  </r>
  <r>
    <n v="12"/>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1111111111111111"/>
    <n v="257647595.56882262"/>
    <n v="50873600.352396414"/>
    <n v="65948978.369509257"/>
    <n v="67143883.785048425"/>
    <n v="73681133.061868519"/>
    <n v="25231815"/>
    <s v="Durante el trimeste enero a marzo de 2021 se recaudaron: en Enero $5.682.813, en Febrero $8.245.949 y en Marzo $11.303.053 para un total de $25.231.815"/>
    <n v="15331016"/>
    <s v="Durante el segundo trimestre abril a junio de 2021, se recaudaron: Abril $7.514.741, en Mayo $973.074 y en Junio $6.843.201, para un total de $15.331.016"/>
    <n v="27699703"/>
    <s v="Durante el trimestre julio a septiembre de 2021, se recaudaron: Julio $9.877.347, en Agosto $7.614.098 y en Septiembre $10.208.258, para un total de $27699703"/>
    <m/>
    <m/>
    <n v="68262534"/>
    <d v="2021-04-14T00:00:00"/>
    <d v="2021-07-13T00:00:00"/>
    <d v="2021-10-14T00:00:00"/>
    <m/>
    <n v="0.26494535626964844"/>
    <n v="0.49597069649526876"/>
    <n v="0.2324678316334331"/>
    <n v="0.41254246013943208"/>
    <n v="0"/>
    <s v="Concepto Favorable"/>
    <s v="Concepto Favorable"/>
    <s v="Concepto Favorable"/>
    <m/>
    <s v="se revisa las evidencias, se encuentra acordes con el producto esperado"/>
    <s v="se revisa evidencia, cumple con producto esperado"/>
    <s v="se registra unas ventas por 27.699.703 en el trimestre"/>
    <m/>
    <x v="0"/>
    <x v="0"/>
    <x v="0"/>
    <x v="0"/>
    <s v="De acuerdo con las evidencias suministradas por la Dirección Territorial Valle &quot; Relación Ingresos de Contado&quot; durante el primer semestre se han recibido $25.231.815 por concepto de certificados catastrales e información catastral"/>
    <s v="De acuerdo con las evidencias suministradas por la Dirección Territorial Valle Relación Ingresos de Contado"/>
    <s v="Se evidencian reportes mensuales con las ventas de la Territorial donde el monto por esto fue de $ 27.699.703"/>
    <m/>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s v="04-03-00"/>
    <s v="INSTITUTO GEOGRAFICO AGUSTIN CODAZZI - IGAC"/>
    <s v="A-01-01-01"/>
    <s v="A"/>
    <s v="01"/>
    <s v="01"/>
    <s v="01"/>
    <m/>
    <m/>
    <m/>
    <m/>
    <m/>
    <s v="Nación"/>
    <x v="0"/>
    <s v="CSF"/>
    <x v="0"/>
    <n v="33040000000"/>
    <n v="8283571415"/>
    <n v="505000000"/>
    <n v="40818571415"/>
    <n v="0"/>
    <n v="29572683318"/>
    <n v="11245888097"/>
    <n v="29565934242"/>
    <n v="29554839717"/>
    <n v="29554839717"/>
    <n v="29554839717"/>
  </r>
  <r>
    <s v="04-03-00"/>
    <s v="INSTITUTO GEOGRAFICO AGUSTIN CODAZZI - IGAC"/>
    <s v="A-01-01-02"/>
    <s v="A"/>
    <s v="01"/>
    <s v="01"/>
    <s v="02"/>
    <m/>
    <m/>
    <m/>
    <m/>
    <m/>
    <s v="Nación"/>
    <x v="0"/>
    <s v="CSF"/>
    <x v="1"/>
    <n v="11004000000"/>
    <n v="3431977472"/>
    <n v="0"/>
    <n v="14435977472"/>
    <n v="0"/>
    <n v="10554833007"/>
    <n v="3881144465"/>
    <n v="10249413207"/>
    <n v="10249413207"/>
    <n v="10249413207"/>
    <n v="10249413207"/>
  </r>
  <r>
    <s v="04-03-00"/>
    <s v="INSTITUTO GEOGRAFICO AGUSTIN CODAZZI - IGAC"/>
    <s v="A-01-01-03"/>
    <s v="A"/>
    <s v="01"/>
    <s v="01"/>
    <s v="03"/>
    <m/>
    <m/>
    <m/>
    <m/>
    <m/>
    <s v="Nación"/>
    <x v="0"/>
    <s v="CSF"/>
    <x v="2"/>
    <n v="2983000000"/>
    <n v="617687803"/>
    <n v="0"/>
    <n v="3600687803"/>
    <n v="0"/>
    <n v="2512942158"/>
    <n v="1087745645"/>
    <n v="2511796894"/>
    <n v="2504044784"/>
    <n v="2504044784"/>
    <n v="2504044784"/>
  </r>
  <r>
    <s v="04-03-00"/>
    <s v="INSTITUTO GEOGRAFICO AGUSTIN CODAZZI - IGAC"/>
    <s v="A-02-02"/>
    <s v="A"/>
    <s v="02"/>
    <s v="02"/>
    <m/>
    <m/>
    <m/>
    <m/>
    <m/>
    <m/>
    <s v="Nación"/>
    <x v="0"/>
    <s v="CSF"/>
    <x v="3"/>
    <n v="10770000000"/>
    <n v="114686345"/>
    <n v="0"/>
    <n v="10884686345"/>
    <n v="0"/>
    <n v="10816500323.85"/>
    <n v="68186021.150000006"/>
    <n v="10476659011.25"/>
    <n v="8414620971.7600002"/>
    <n v="8386845705.7600002"/>
    <n v="8386845705.7600002"/>
  </r>
  <r>
    <s v="04-03-00"/>
    <s v="INSTITUTO GEOGRAFICO AGUSTIN CODAZZI - IGAC"/>
    <s v="A-02-02"/>
    <s v="A"/>
    <s v="02"/>
    <s v="02"/>
    <m/>
    <m/>
    <m/>
    <m/>
    <m/>
    <m/>
    <s v="Nación"/>
    <x v="1"/>
    <s v="CSF"/>
    <x v="3"/>
    <n v="0"/>
    <n v="1617000000"/>
    <n v="0"/>
    <n v="1617000000"/>
    <n v="0"/>
    <n v="1617000000"/>
    <n v="0"/>
    <n v="1617000000"/>
    <n v="1330000000"/>
    <n v="1330000000"/>
    <n v="1330000000"/>
  </r>
  <r>
    <s v="04-03-00"/>
    <s v="INSTITUTO GEOGRAFICO AGUSTIN CODAZZI - IGAC"/>
    <s v="A-02-02"/>
    <s v="A"/>
    <s v="02"/>
    <s v="02"/>
    <m/>
    <m/>
    <m/>
    <m/>
    <m/>
    <m/>
    <s v="Propios"/>
    <x v="2"/>
    <s v="CSF"/>
    <x v="3"/>
    <n v="7737000000"/>
    <n v="0"/>
    <n v="0"/>
    <n v="7737000000"/>
    <n v="0"/>
    <n v="5957184598"/>
    <n v="1779815402"/>
    <n v="5679034158"/>
    <n v="4777752541.6599998"/>
    <n v="4683434439.6599998"/>
    <n v="4683434439.6599998"/>
  </r>
  <r>
    <s v="04-03-00"/>
    <s v="INSTITUTO GEOGRAFICO AGUSTIN CODAZZI - IGAC"/>
    <s v="A-03-03-01-999"/>
    <s v="A"/>
    <s v="03"/>
    <s v="03"/>
    <s v="01"/>
    <s v="999"/>
    <m/>
    <m/>
    <m/>
    <m/>
    <s v="Nación"/>
    <x v="0"/>
    <s v="CSF"/>
    <x v="4"/>
    <n v="14148984173"/>
    <n v="0"/>
    <n v="11133639390"/>
    <n v="3015344783"/>
    <n v="3015344783"/>
    <n v="0"/>
    <n v="0"/>
    <n v="0"/>
    <n v="0"/>
    <n v="0"/>
    <n v="0"/>
  </r>
  <r>
    <s v="04-03-00"/>
    <s v="INSTITUTO GEOGRAFICO AGUSTIN CODAZZI - IGAC"/>
    <s v="A-03-03-01-999"/>
    <s v="A"/>
    <s v="03"/>
    <s v="03"/>
    <s v="01"/>
    <s v="999"/>
    <m/>
    <m/>
    <m/>
    <m/>
    <s v="Nación"/>
    <x v="1"/>
    <s v="CSF"/>
    <x v="4"/>
    <n v="3591272693"/>
    <n v="0"/>
    <n v="2016304913"/>
    <n v="1574967780"/>
    <n v="1574967780"/>
    <n v="0"/>
    <n v="0"/>
    <n v="0"/>
    <n v="0"/>
    <n v="0"/>
    <n v="0"/>
  </r>
  <r>
    <s v="04-03-00"/>
    <s v="INSTITUTO GEOGRAFICO AGUSTIN CODAZZI - IGAC"/>
    <s v="A-03-04-02-012"/>
    <s v="A"/>
    <s v="03"/>
    <s v="04"/>
    <s v="02"/>
    <s v="012"/>
    <m/>
    <m/>
    <m/>
    <m/>
    <s v="Nación"/>
    <x v="0"/>
    <s v="CSF"/>
    <x v="5"/>
    <n v="207000000"/>
    <n v="35402700"/>
    <n v="0"/>
    <n v="242402700"/>
    <n v="0"/>
    <n v="181484915"/>
    <n v="60917785"/>
    <n v="149615419"/>
    <n v="140129641"/>
    <n v="140129641"/>
    <n v="140129641"/>
  </r>
  <r>
    <s v="04-03-00"/>
    <s v="INSTITUTO GEOGRAFICO AGUSTIN CODAZZI - IGAC"/>
    <s v="A-03-10-01-001"/>
    <s v="A"/>
    <s v="03"/>
    <s v="10"/>
    <s v="01"/>
    <s v="001"/>
    <m/>
    <m/>
    <m/>
    <m/>
    <s v="Propios"/>
    <x v="2"/>
    <s v="CSF"/>
    <x v="6"/>
    <n v="721000000"/>
    <n v="0"/>
    <n v="0"/>
    <n v="721000000"/>
    <n v="0"/>
    <n v="1505209.62"/>
    <n v="719494790.38"/>
    <n v="1505209.62"/>
    <n v="1505209.62"/>
    <n v="1505209.62"/>
    <n v="1505209.62"/>
  </r>
  <r>
    <s v="04-03-00"/>
    <s v="INSTITUTO GEOGRAFICO AGUSTIN CODAZZI - IGAC"/>
    <s v="A-03-10-01-002"/>
    <s v="A"/>
    <s v="03"/>
    <s v="10"/>
    <s v="01"/>
    <s v="002"/>
    <m/>
    <m/>
    <m/>
    <m/>
    <s v="Propios"/>
    <x v="2"/>
    <s v="CSF"/>
    <x v="7"/>
    <n v="52000000"/>
    <n v="0"/>
    <n v="0"/>
    <n v="52000000"/>
    <n v="0"/>
    <n v="0"/>
    <n v="52000000"/>
    <n v="0"/>
    <n v="0"/>
    <n v="0"/>
    <n v="0"/>
  </r>
  <r>
    <s v="04-03-00"/>
    <s v="INSTITUTO GEOGRAFICO AGUSTIN CODAZZI - IGAC"/>
    <s v="A-08-01"/>
    <s v="A"/>
    <s v="08"/>
    <s v="01"/>
    <m/>
    <m/>
    <m/>
    <m/>
    <m/>
    <m/>
    <s v="Nación"/>
    <x v="0"/>
    <s v="CSF"/>
    <x v="8"/>
    <n v="425000000"/>
    <n v="0"/>
    <n v="114686345"/>
    <n v="310313655"/>
    <n v="0"/>
    <n v="309236554"/>
    <n v="1077101"/>
    <n v="309236554"/>
    <n v="304844554"/>
    <n v="304844554"/>
    <n v="304844554"/>
  </r>
  <r>
    <s v="04-03-00"/>
    <s v="INSTITUTO GEOGRAFICO AGUSTIN CODAZZI - IGAC"/>
    <s v="A-08-01"/>
    <s v="A"/>
    <s v="08"/>
    <s v="01"/>
    <m/>
    <m/>
    <m/>
    <m/>
    <m/>
    <m/>
    <s v="Propios"/>
    <x v="2"/>
    <s v="CSF"/>
    <x v="8"/>
    <n v="469000000"/>
    <n v="0"/>
    <n v="0"/>
    <n v="469000000"/>
    <n v="0"/>
    <n v="138881319"/>
    <n v="330118681"/>
    <n v="138760319"/>
    <n v="138760319"/>
    <n v="138760319"/>
    <n v="138760319"/>
  </r>
  <r>
    <s v="04-03-00"/>
    <s v="INSTITUTO GEOGRAFICO AGUSTIN CODAZZI - IGAC"/>
    <s v="A-08-04-01"/>
    <s v="A"/>
    <s v="08"/>
    <s v="04"/>
    <s v="01"/>
    <m/>
    <m/>
    <m/>
    <m/>
    <m/>
    <s v="Nación"/>
    <x v="1"/>
    <s v="CSF"/>
    <x v="9"/>
    <n v="0"/>
    <n v="399304913"/>
    <n v="399304913"/>
    <n v="0"/>
    <n v="0"/>
    <n v="0"/>
    <n v="0"/>
    <n v="0"/>
    <n v="0"/>
    <n v="0"/>
    <n v="0"/>
  </r>
  <r>
    <s v="04-03-00"/>
    <s v="INSTITUTO GEOGRAFICO AGUSTIN CODAZZI - IGAC"/>
    <s v="A-08-04-01"/>
    <s v="A"/>
    <s v="08"/>
    <s v="04"/>
    <s v="01"/>
    <m/>
    <m/>
    <m/>
    <m/>
    <m/>
    <s v="Nación"/>
    <x v="1"/>
    <s v="SSF"/>
    <x v="9"/>
    <n v="0"/>
    <n v="399304913"/>
    <n v="0"/>
    <n v="399304913"/>
    <n v="0"/>
    <n v="399304913"/>
    <n v="0"/>
    <n v="0"/>
    <n v="0"/>
    <n v="0"/>
    <n v="0"/>
  </r>
  <r>
    <s v="04-03-00"/>
    <s v="INSTITUTO GEOGRAFICO AGUSTIN CODAZZI - IGAC"/>
    <s v="A-08-04-01"/>
    <s v="A"/>
    <s v="08"/>
    <s v="04"/>
    <s v="01"/>
    <m/>
    <m/>
    <m/>
    <m/>
    <m/>
    <s v="Propios"/>
    <x v="2"/>
    <s v="CSF"/>
    <x v="9"/>
    <n v="280000000"/>
    <n v="0"/>
    <n v="0"/>
    <n v="280000000"/>
    <n v="0"/>
    <n v="280000000"/>
    <n v="0"/>
    <n v="280000000"/>
    <n v="280000000"/>
    <n v="280000000"/>
    <n v="280000000"/>
  </r>
  <r>
    <s v="04-03-00"/>
    <s v="INSTITUTO GEOGRAFICO AGUSTIN CODAZZI - IGAC"/>
    <s v="C-0402-1003-7"/>
    <s v="C"/>
    <s v="0402"/>
    <s v="1003"/>
    <s v="7"/>
    <m/>
    <m/>
    <m/>
    <m/>
    <m/>
    <s v="Nación"/>
    <x v="1"/>
    <s v="CSF"/>
    <x v="10"/>
    <n v="1036559168"/>
    <n v="0"/>
    <n v="0"/>
    <n v="1036559168"/>
    <n v="0"/>
    <n v="1036281979"/>
    <n v="277189"/>
    <n v="1014272315"/>
    <n v="878641193"/>
    <n v="878641193"/>
    <n v="838063075"/>
  </r>
  <r>
    <s v="04-03-00"/>
    <s v="INSTITUTO GEOGRAFICO AGUSTIN CODAZZI - IGAC"/>
    <s v="C-0402-1003-7"/>
    <s v="C"/>
    <s v="0402"/>
    <s v="1003"/>
    <s v="7"/>
    <m/>
    <m/>
    <m/>
    <m/>
    <m/>
    <s v="Propios"/>
    <x v="2"/>
    <s v="CSF"/>
    <x v="10"/>
    <n v="834778626"/>
    <n v="0"/>
    <n v="0"/>
    <n v="834778626"/>
    <n v="0"/>
    <n v="797631229"/>
    <n v="37147397"/>
    <n v="774104965"/>
    <n v="691832122"/>
    <n v="683547376"/>
    <n v="683547376"/>
  </r>
  <r>
    <s v="04-03-00"/>
    <s v="INSTITUTO GEOGRAFICO AGUSTIN CODAZZI - IGAC"/>
    <s v="C-0402-1003-8"/>
    <s v="C"/>
    <s v="0402"/>
    <s v="1003"/>
    <s v="8"/>
    <m/>
    <m/>
    <m/>
    <m/>
    <m/>
    <s v="Nación"/>
    <x v="1"/>
    <s v="CSF"/>
    <x v="11"/>
    <n v="3839249599"/>
    <n v="0"/>
    <n v="0"/>
    <n v="3839249599"/>
    <n v="0"/>
    <n v="3839249598.2199998"/>
    <n v="0.78"/>
    <n v="3744778854.2199998"/>
    <n v="3230872179.5799999"/>
    <n v="3165272864.0799999"/>
    <n v="3008378467.0799999"/>
  </r>
  <r>
    <s v="04-03-00"/>
    <s v="INSTITUTO GEOGRAFICO AGUSTIN CODAZZI - IGAC"/>
    <s v="C-0402-1003-8"/>
    <s v="C"/>
    <s v="0402"/>
    <s v="1003"/>
    <s v="8"/>
    <m/>
    <m/>
    <m/>
    <m/>
    <m/>
    <s v="Propios"/>
    <x v="2"/>
    <s v="CSF"/>
    <x v="11"/>
    <n v="5990764260"/>
    <n v="0"/>
    <n v="0"/>
    <n v="5990764260"/>
    <n v="0"/>
    <n v="5074207634.1599998"/>
    <n v="916556625.84000003"/>
    <n v="4678929078.1599998"/>
    <n v="3268447875.8000002"/>
    <n v="2903283789.8000002"/>
    <n v="2900612306.8000002"/>
  </r>
  <r>
    <s v="04-03-00"/>
    <s v="INSTITUTO GEOGRAFICO AGUSTIN CODAZZI - IGAC"/>
    <s v="C-0403-1003-2"/>
    <s v="C"/>
    <s v="0403"/>
    <s v="1003"/>
    <s v="2"/>
    <m/>
    <m/>
    <m/>
    <m/>
    <m/>
    <s v="Nación"/>
    <x v="1"/>
    <s v="CSF"/>
    <x v="12"/>
    <n v="1170510266"/>
    <n v="0"/>
    <n v="0"/>
    <n v="1170510266"/>
    <n v="0"/>
    <n v="1168915841"/>
    <n v="1594425"/>
    <n v="1168915840"/>
    <n v="1137595916"/>
    <n v="1132612871"/>
    <n v="1132612871"/>
  </r>
  <r>
    <s v="04-03-00"/>
    <s v="INSTITUTO GEOGRAFICO AGUSTIN CODAZZI - IGAC"/>
    <s v="C-0403-1003-2"/>
    <s v="C"/>
    <s v="0403"/>
    <s v="1003"/>
    <s v="2"/>
    <m/>
    <m/>
    <m/>
    <m/>
    <m/>
    <s v="Propios"/>
    <x v="2"/>
    <s v="CSF"/>
    <x v="12"/>
    <n v="11116476893"/>
    <n v="0"/>
    <n v="0"/>
    <n v="11116476893"/>
    <n v="0"/>
    <n v="1049057258.78"/>
    <n v="10067419634.219999"/>
    <n v="412550815.77999997"/>
    <n v="218378259.78"/>
    <n v="208637560.78"/>
    <n v="208637560.78"/>
  </r>
  <r>
    <s v="04-03-00"/>
    <s v="INSTITUTO GEOGRAFICO AGUSTIN CODAZZI - IGAC"/>
    <s v="C-0404-1003-2"/>
    <s v="C"/>
    <s v="0404"/>
    <s v="1003"/>
    <s v="2"/>
    <m/>
    <m/>
    <m/>
    <m/>
    <m/>
    <s v="Nación"/>
    <x v="1"/>
    <s v="CSF"/>
    <x v="13"/>
    <n v="10334515783"/>
    <n v="0"/>
    <n v="0"/>
    <n v="10334515783"/>
    <n v="0"/>
    <n v="9949786760"/>
    <n v="384729023"/>
    <n v="9253738888.0300007"/>
    <n v="7415354513.9899998"/>
    <n v="7310024392.9899998"/>
    <n v="7285112991.9899998"/>
  </r>
  <r>
    <s v="04-03-00"/>
    <s v="INSTITUTO GEOGRAFICO AGUSTIN CODAZZI - IGAC"/>
    <s v="C-0404-1003-2"/>
    <s v="C"/>
    <s v="0404"/>
    <s v="1003"/>
    <s v="2"/>
    <m/>
    <m/>
    <m/>
    <m/>
    <m/>
    <s v="Nación"/>
    <x v="3"/>
    <s v="CSF"/>
    <x v="13"/>
    <n v="134445997196"/>
    <n v="0"/>
    <n v="0"/>
    <n v="134445997196"/>
    <n v="0"/>
    <n v="60450665807.019997"/>
    <n v="73995331388.979996"/>
    <n v="29589312278.43"/>
    <n v="7506082286.0299997"/>
    <n v="7469332926.0299997"/>
    <n v="7469332926.0299997"/>
  </r>
  <r>
    <s v="04-03-00"/>
    <s v="INSTITUTO GEOGRAFICO AGUSTIN CODAZZI - IGAC"/>
    <s v="C-0404-1003-2"/>
    <s v="C"/>
    <s v="0404"/>
    <s v="1003"/>
    <s v="2"/>
    <m/>
    <m/>
    <m/>
    <m/>
    <m/>
    <s v="Propios"/>
    <x v="2"/>
    <s v="CSF"/>
    <x v="13"/>
    <n v="28514586583"/>
    <n v="0"/>
    <n v="0"/>
    <n v="28514586583"/>
    <n v="0"/>
    <n v="18989989418.950001"/>
    <n v="9524597164.0499992"/>
    <n v="15886537987.190001"/>
    <n v="11320863757.85"/>
    <n v="11101127084.85"/>
    <n v="11101127084.85"/>
  </r>
  <r>
    <s v="04-03-00"/>
    <s v="INSTITUTO GEOGRAFICO AGUSTIN CODAZZI - IGAC"/>
    <s v="C-0405-1003-4"/>
    <s v="C"/>
    <s v="0405"/>
    <s v="1003"/>
    <s v="4"/>
    <m/>
    <m/>
    <m/>
    <m/>
    <m/>
    <s v="Nación"/>
    <x v="1"/>
    <s v="CSF"/>
    <x v="14"/>
    <n v="117931087"/>
    <n v="0"/>
    <n v="0"/>
    <n v="117931087"/>
    <n v="0"/>
    <n v="117774174"/>
    <n v="156913"/>
    <n v="117774174"/>
    <n v="117529828"/>
    <n v="117529828"/>
    <n v="117529828"/>
  </r>
  <r>
    <s v="04-03-00"/>
    <s v="INSTITUTO GEOGRAFICO AGUSTIN CODAZZI - IGAC"/>
    <s v="C-0405-1003-4"/>
    <s v="C"/>
    <s v="0405"/>
    <s v="1003"/>
    <s v="4"/>
    <m/>
    <m/>
    <m/>
    <m/>
    <m/>
    <s v="Propios"/>
    <x v="2"/>
    <s v="CSF"/>
    <x v="14"/>
    <n v="3673814716"/>
    <n v="0"/>
    <n v="0"/>
    <n v="3673814716"/>
    <n v="0"/>
    <n v="1080423572.8199999"/>
    <n v="2593391143.1799998"/>
    <n v="1051131180.8200001"/>
    <n v="840179497.82000005"/>
    <n v="772137241.82000005"/>
    <n v="772137241.82000005"/>
  </r>
  <r>
    <s v="04-03-00"/>
    <s v="INSTITUTO GEOGRAFICO AGUSTIN CODAZZI - IGAC"/>
    <s v="C-0499-1003-5"/>
    <s v="C"/>
    <s v="0499"/>
    <s v="1003"/>
    <s v="5"/>
    <m/>
    <m/>
    <m/>
    <m/>
    <m/>
    <s v="Nación"/>
    <x v="1"/>
    <s v="CSF"/>
    <x v="15"/>
    <n v="2562805098"/>
    <n v="0"/>
    <n v="0"/>
    <n v="2562805098"/>
    <n v="0"/>
    <n v="2496618136.7199998"/>
    <n v="66186961.280000001"/>
    <n v="2395063284.7600002"/>
    <n v="1931832968.24"/>
    <n v="1867136537.24"/>
    <n v="1803025998.24"/>
  </r>
  <r>
    <s v="04-03-00"/>
    <s v="INSTITUTO GEOGRAFICO AGUSTIN CODAZZI - IGAC"/>
    <s v="C-0499-1003-5"/>
    <s v="C"/>
    <s v="0499"/>
    <s v="1003"/>
    <s v="5"/>
    <m/>
    <m/>
    <m/>
    <m/>
    <m/>
    <s v="Propios"/>
    <x v="2"/>
    <s v="CSF"/>
    <x v="15"/>
    <n v="3402445240"/>
    <n v="0"/>
    <n v="0"/>
    <n v="3402445240"/>
    <n v="0"/>
    <n v="3225685494"/>
    <n v="176759746"/>
    <n v="3225685494"/>
    <n v="2876237352"/>
    <n v="2788377599"/>
    <n v="2788377599"/>
  </r>
  <r>
    <s v="04-03-00"/>
    <s v="INSTITUTO GEOGRAFICO AGUSTIN CODAZZI - IGAC"/>
    <s v="C-0499-1003-6"/>
    <s v="C"/>
    <s v="0499"/>
    <s v="1003"/>
    <s v="6"/>
    <m/>
    <m/>
    <m/>
    <m/>
    <m/>
    <s v="Nación"/>
    <x v="1"/>
    <s v="CSF"/>
    <x v="16"/>
    <n v="1000000000"/>
    <n v="0"/>
    <n v="0"/>
    <n v="1000000000"/>
    <n v="0"/>
    <n v="935183003.40999997"/>
    <n v="64816996.590000004"/>
    <n v="439419196.94"/>
    <n v="229213194"/>
    <n v="229213194"/>
    <n v="221882828"/>
  </r>
  <r>
    <s v="04-03-00"/>
    <s v="INSTITUTO GEOGRAFICO AGUSTIN CODAZZI - IGAC"/>
    <s v="C-0499-1003-6"/>
    <s v="C"/>
    <s v="0499"/>
    <s v="1003"/>
    <s v="6"/>
    <m/>
    <m/>
    <m/>
    <m/>
    <m/>
    <s v="Propios"/>
    <x v="2"/>
    <s v="CSF"/>
    <x v="16"/>
    <n v="793530741"/>
    <n v="0"/>
    <n v="0"/>
    <n v="793530741"/>
    <n v="0"/>
    <n v="104087600"/>
    <n v="689443141"/>
    <n v="104087600"/>
    <n v="83578903.870000005"/>
    <n v="83578903.870000005"/>
    <n v="83578903.870000005"/>
  </r>
  <r>
    <s v="04-03-00"/>
    <s v="INSTITUTO GEOGRAFICO AGUSTIN CODAZZI - IGAC"/>
    <s v="C-0499-1003-7"/>
    <s v="C"/>
    <s v="0499"/>
    <s v="1003"/>
    <s v="7"/>
    <m/>
    <m/>
    <m/>
    <m/>
    <m/>
    <s v="Nación"/>
    <x v="1"/>
    <s v="CSF"/>
    <x v="17"/>
    <n v="206818844"/>
    <n v="0"/>
    <n v="0"/>
    <n v="206818844"/>
    <n v="0"/>
    <n v="204340906"/>
    <n v="2477938"/>
    <n v="204340906"/>
    <n v="172892877"/>
    <n v="169252641"/>
    <n v="164055641"/>
  </r>
  <r>
    <s v="04-03-00"/>
    <s v="INSTITUTO GEOGRAFICO AGUSTIN CODAZZI - IGAC"/>
    <s v="C-0499-1003-8"/>
    <s v="C"/>
    <s v="0499"/>
    <s v="1003"/>
    <s v="8"/>
    <m/>
    <m/>
    <m/>
    <m/>
    <m/>
    <s v="Nación"/>
    <x v="1"/>
    <s v="CSF"/>
    <x v="18"/>
    <n v="54006100"/>
    <n v="0"/>
    <n v="0"/>
    <n v="54006100"/>
    <n v="0"/>
    <n v="28778040"/>
    <n v="25228060"/>
    <n v="23214645"/>
    <n v="11334213"/>
    <n v="11334213"/>
    <n v="11334213"/>
  </r>
  <r>
    <s v="04-03-00"/>
    <s v="INSTITUTO GEOGRAFICO AGUSTIN CODAZZI - IGAC"/>
    <s v="C-0499-1003-8"/>
    <s v="C"/>
    <s v="0499"/>
    <s v="1003"/>
    <s v="8"/>
    <m/>
    <m/>
    <m/>
    <m/>
    <m/>
    <s v="Propios"/>
    <x v="2"/>
    <s v="CSF"/>
    <x v="18"/>
    <n v="969041818"/>
    <n v="0"/>
    <n v="0"/>
    <n v="969041818"/>
    <n v="0"/>
    <n v="932735602"/>
    <n v="36306216"/>
    <n v="925082658"/>
    <n v="787543958"/>
    <n v="762439993"/>
    <n v="762439993"/>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1">
  <r>
    <s v="04-03-00-002"/>
    <x v="0"/>
    <s v="A-01-01-01-001-001"/>
    <x v="0"/>
    <s v="01"/>
    <s v="01"/>
    <s v="01"/>
    <s v="001"/>
    <s v="001"/>
    <m/>
    <m/>
    <m/>
    <s v="Nación"/>
    <x v="0"/>
    <s v="CSF"/>
    <x v="0"/>
    <m/>
    <n v="660000000"/>
    <n v="30000000"/>
    <n v="0"/>
    <n v="690000000"/>
    <n v="0"/>
    <n v="633870838"/>
    <n v="56129162"/>
    <n v="633870838"/>
    <n v="633870838"/>
    <n v="633870838"/>
    <n v="633870838"/>
  </r>
  <r>
    <s v="04-03-00-002"/>
    <x v="0"/>
    <s v="A-01-01-01-001-003"/>
    <x v="0"/>
    <s v="01"/>
    <s v="01"/>
    <s v="01"/>
    <s v="001"/>
    <s v="003"/>
    <m/>
    <m/>
    <m/>
    <s v="Nación"/>
    <x v="0"/>
    <s v="CSF"/>
    <x v="1"/>
    <m/>
    <n v="0"/>
    <n v="9000000"/>
    <n v="0"/>
    <n v="9000000"/>
    <n v="0"/>
    <n v="8366809"/>
    <n v="633191"/>
    <n v="8366809"/>
    <n v="8366809"/>
    <n v="8366809"/>
    <n v="8366809"/>
  </r>
  <r>
    <s v="04-03-00-002"/>
    <x v="0"/>
    <s v="A-01-01-01-001-004"/>
    <x v="0"/>
    <s v="01"/>
    <s v="01"/>
    <s v="01"/>
    <s v="001"/>
    <s v="004"/>
    <m/>
    <m/>
    <m/>
    <s v="Nación"/>
    <x v="0"/>
    <s v="CSF"/>
    <x v="2"/>
    <m/>
    <n v="15000000"/>
    <n v="0"/>
    <n v="0"/>
    <n v="15000000"/>
    <n v="0"/>
    <n v="13928658"/>
    <n v="1071342"/>
    <n v="13928658"/>
    <n v="13928658"/>
    <n v="13928658"/>
    <n v="13928658"/>
  </r>
  <r>
    <s v="04-03-00-002"/>
    <x v="0"/>
    <s v="A-01-01-01-001-005"/>
    <x v="0"/>
    <s v="01"/>
    <s v="01"/>
    <s v="01"/>
    <s v="001"/>
    <s v="005"/>
    <m/>
    <m/>
    <m/>
    <s v="Nación"/>
    <x v="0"/>
    <s v="CSF"/>
    <x v="3"/>
    <m/>
    <n v="10166000"/>
    <n v="3510000"/>
    <n v="10166000"/>
    <n v="3510000"/>
    <n v="0"/>
    <n v="3509434"/>
    <n v="566"/>
    <n v="3509434"/>
    <n v="3509434"/>
    <n v="3509434"/>
    <n v="3509434"/>
  </r>
  <r>
    <s v="04-03-00-002"/>
    <x v="0"/>
    <s v="A-01-01-01-001-006"/>
    <x v="0"/>
    <s v="01"/>
    <s v="01"/>
    <s v="01"/>
    <s v="001"/>
    <s v="006"/>
    <m/>
    <m/>
    <m/>
    <s v="Nación"/>
    <x v="0"/>
    <s v="CSF"/>
    <x v="4"/>
    <m/>
    <n v="66300000"/>
    <n v="2720362"/>
    <n v="28"/>
    <n v="69020334"/>
    <n v="0"/>
    <n v="69020334"/>
    <n v="0"/>
    <n v="69020334"/>
    <n v="69020334"/>
    <n v="69020334"/>
    <n v="69020334"/>
  </r>
  <r>
    <s v="04-03-00-002"/>
    <x v="0"/>
    <s v="A-01-01-01-001-007"/>
    <x v="0"/>
    <s v="01"/>
    <s v="01"/>
    <s v="01"/>
    <s v="001"/>
    <s v="007"/>
    <m/>
    <m/>
    <m/>
    <s v="Nación"/>
    <x v="0"/>
    <s v="CSF"/>
    <x v="5"/>
    <m/>
    <n v="25000000"/>
    <n v="2000000"/>
    <n v="0"/>
    <n v="27000000"/>
    <n v="0"/>
    <n v="22874927"/>
    <n v="4125073"/>
    <n v="22874927"/>
    <n v="22874927"/>
    <n v="22874927"/>
    <n v="22874927"/>
  </r>
  <r>
    <s v="04-03-00-002"/>
    <x v="0"/>
    <s v="A-01-01-01-001-009"/>
    <x v="0"/>
    <s v="01"/>
    <s v="01"/>
    <s v="01"/>
    <s v="001"/>
    <s v="009"/>
    <m/>
    <m/>
    <m/>
    <s v="Nación"/>
    <x v="0"/>
    <s v="CSF"/>
    <x v="6"/>
    <m/>
    <n v="84000000"/>
    <n v="4744000"/>
    <n v="0"/>
    <n v="88744000"/>
    <n v="0"/>
    <n v="88743533"/>
    <n v="467"/>
    <n v="88743533"/>
    <n v="88743533"/>
    <n v="88743533"/>
    <n v="88743533"/>
  </r>
  <r>
    <s v="04-03-00-002"/>
    <x v="0"/>
    <s v="A-01-01-01-001-010"/>
    <x v="0"/>
    <s v="01"/>
    <s v="01"/>
    <s v="01"/>
    <s v="001"/>
    <s v="010"/>
    <m/>
    <m/>
    <m/>
    <s v="Nación"/>
    <x v="0"/>
    <s v="CSF"/>
    <x v="7"/>
    <m/>
    <n v="49000000"/>
    <n v="0"/>
    <n v="0"/>
    <n v="49000000"/>
    <n v="0"/>
    <n v="36509503"/>
    <n v="12490497"/>
    <n v="36509503"/>
    <n v="36509503"/>
    <n v="36509503"/>
    <n v="36509503"/>
  </r>
  <r>
    <s v="04-03-00-002"/>
    <x v="0"/>
    <s v="A-01-01-01-001-012"/>
    <x v="0"/>
    <s v="01"/>
    <s v="01"/>
    <s v="01"/>
    <s v="001"/>
    <s v="012"/>
    <m/>
    <m/>
    <m/>
    <s v="Nación"/>
    <x v="0"/>
    <s v="CSF"/>
    <x v="8"/>
    <m/>
    <n v="10000000"/>
    <n v="10000000"/>
    <n v="3755118"/>
    <n v="16244882"/>
    <n v="0"/>
    <n v="16244882"/>
    <n v="0"/>
    <n v="16244882"/>
    <n v="16244882"/>
    <n v="16244882"/>
    <n v="16244882"/>
  </r>
  <r>
    <s v="04-03-00-002"/>
    <x v="0"/>
    <s v="A-01-01-02-001"/>
    <x v="0"/>
    <s v="01"/>
    <s v="01"/>
    <s v="02"/>
    <s v="001"/>
    <m/>
    <m/>
    <m/>
    <m/>
    <s v="Nación"/>
    <x v="0"/>
    <s v="CSF"/>
    <x v="9"/>
    <m/>
    <n v="80000000"/>
    <n v="9000000"/>
    <n v="0"/>
    <n v="89000000"/>
    <n v="0"/>
    <n v="84205600"/>
    <n v="4794400"/>
    <n v="84205600"/>
    <n v="84205600"/>
    <n v="84205600"/>
    <n v="84205600"/>
  </r>
  <r>
    <s v="04-03-00-002"/>
    <x v="0"/>
    <s v="A-01-01-02-002"/>
    <x v="0"/>
    <s v="01"/>
    <s v="01"/>
    <s v="02"/>
    <s v="002"/>
    <m/>
    <m/>
    <m/>
    <m/>
    <s v="Nación"/>
    <x v="0"/>
    <s v="CSF"/>
    <x v="10"/>
    <m/>
    <n v="62000000"/>
    <n v="0"/>
    <n v="0"/>
    <n v="62000000"/>
    <n v="0"/>
    <n v="60612000"/>
    <n v="1388000"/>
    <n v="60612000"/>
    <n v="60612000"/>
    <n v="60612000"/>
    <n v="60612000"/>
  </r>
  <r>
    <s v="04-03-00-002"/>
    <x v="0"/>
    <s v="A-01-01-02-004"/>
    <x v="0"/>
    <s v="01"/>
    <s v="01"/>
    <s v="02"/>
    <s v="004"/>
    <m/>
    <m/>
    <m/>
    <m/>
    <s v="Nación"/>
    <x v="0"/>
    <s v="CSF"/>
    <x v="11"/>
    <m/>
    <n v="35000000"/>
    <n v="2000000"/>
    <n v="0"/>
    <n v="37000000"/>
    <n v="0"/>
    <n v="33797500"/>
    <n v="3202500"/>
    <n v="33797500"/>
    <n v="33797500"/>
    <n v="33797500"/>
    <n v="33797500"/>
  </r>
  <r>
    <s v="04-03-00-002"/>
    <x v="0"/>
    <s v="A-01-01-02-005"/>
    <x v="0"/>
    <s v="01"/>
    <s v="01"/>
    <s v="02"/>
    <s v="005"/>
    <m/>
    <m/>
    <m/>
    <m/>
    <s v="Nación"/>
    <x v="0"/>
    <s v="CSF"/>
    <x v="12"/>
    <m/>
    <n v="7000000"/>
    <n v="1000000"/>
    <n v="0"/>
    <n v="8000000"/>
    <n v="0"/>
    <n v="7921900"/>
    <n v="78100"/>
    <n v="7921900"/>
    <n v="7921900"/>
    <n v="7921900"/>
    <n v="7921900"/>
  </r>
  <r>
    <s v="04-03-00-002"/>
    <x v="0"/>
    <s v="A-01-01-02-006"/>
    <x v="0"/>
    <s v="01"/>
    <s v="01"/>
    <s v="02"/>
    <s v="006"/>
    <m/>
    <m/>
    <m/>
    <m/>
    <s v="Nación"/>
    <x v="0"/>
    <s v="CSF"/>
    <x v="13"/>
    <m/>
    <n v="27000000"/>
    <n v="1000000"/>
    <n v="0"/>
    <n v="28000000"/>
    <n v="0"/>
    <n v="24752100"/>
    <n v="3247900"/>
    <n v="24752100"/>
    <n v="24752100"/>
    <n v="24752100"/>
    <n v="24752100"/>
  </r>
  <r>
    <s v="04-03-00-002"/>
    <x v="0"/>
    <s v="A-01-01-02-007"/>
    <x v="0"/>
    <s v="01"/>
    <s v="01"/>
    <s v="02"/>
    <s v="007"/>
    <m/>
    <m/>
    <m/>
    <m/>
    <s v="Nación"/>
    <x v="0"/>
    <s v="CSF"/>
    <x v="14"/>
    <m/>
    <n v="4000000"/>
    <n v="13505000"/>
    <n v="0"/>
    <n v="17505000"/>
    <n v="0"/>
    <n v="17504100"/>
    <n v="900"/>
    <n v="17504100"/>
    <n v="17504100"/>
    <n v="17504100"/>
    <n v="17504100"/>
  </r>
  <r>
    <s v="04-03-00-002"/>
    <x v="0"/>
    <s v="A-01-01-02-008"/>
    <x v="0"/>
    <s v="01"/>
    <s v="01"/>
    <s v="02"/>
    <s v="008"/>
    <m/>
    <m/>
    <m/>
    <m/>
    <s v="Nación"/>
    <x v="0"/>
    <s v="CSF"/>
    <x v="15"/>
    <m/>
    <n v="4000000"/>
    <n v="0"/>
    <n v="4000000"/>
    <n v="0"/>
    <n v="0"/>
    <n v="0"/>
    <n v="0"/>
    <n v="0"/>
    <n v="0"/>
    <n v="0"/>
    <n v="0"/>
  </r>
  <r>
    <s v="04-03-00-002"/>
    <x v="0"/>
    <s v="A-01-01-02-009"/>
    <x v="0"/>
    <s v="01"/>
    <s v="01"/>
    <s v="02"/>
    <s v="009"/>
    <m/>
    <m/>
    <m/>
    <m/>
    <s v="Nación"/>
    <x v="0"/>
    <s v="CSF"/>
    <x v="16"/>
    <m/>
    <n v="8000000"/>
    <n v="0"/>
    <n v="8000000"/>
    <n v="0"/>
    <n v="0"/>
    <n v="0"/>
    <n v="0"/>
    <n v="0"/>
    <n v="0"/>
    <n v="0"/>
    <n v="0"/>
  </r>
  <r>
    <s v="04-03-00-002"/>
    <x v="0"/>
    <s v="A-01-01-03-001-001"/>
    <x v="0"/>
    <s v="01"/>
    <s v="01"/>
    <s v="03"/>
    <s v="001"/>
    <s v="001"/>
    <m/>
    <m/>
    <m/>
    <s v="Nación"/>
    <x v="0"/>
    <s v="CSF"/>
    <x v="17"/>
    <m/>
    <n v="52000000"/>
    <n v="0"/>
    <n v="0"/>
    <n v="52000000"/>
    <n v="0"/>
    <n v="38096363"/>
    <n v="13903637"/>
    <n v="38096363"/>
    <n v="38096363"/>
    <n v="38096363"/>
    <n v="38096363"/>
  </r>
  <r>
    <s v="04-03-00-002"/>
    <x v="0"/>
    <s v="A-01-01-03-001-002"/>
    <x v="0"/>
    <s v="01"/>
    <s v="01"/>
    <s v="03"/>
    <s v="001"/>
    <s v="002"/>
    <m/>
    <m/>
    <m/>
    <s v="Nación"/>
    <x v="0"/>
    <s v="CSF"/>
    <x v="18"/>
    <m/>
    <n v="0"/>
    <n v="1422500"/>
    <n v="0"/>
    <n v="1422500"/>
    <n v="0"/>
    <n v="1306171"/>
    <n v="116329"/>
    <n v="1306171"/>
    <n v="1306171"/>
    <n v="1306171"/>
    <n v="1306171"/>
  </r>
  <r>
    <s v="04-03-00-002"/>
    <x v="0"/>
    <s v="A-01-01-03-001-003"/>
    <x v="0"/>
    <s v="01"/>
    <s v="01"/>
    <s v="03"/>
    <s v="001"/>
    <s v="003"/>
    <m/>
    <m/>
    <m/>
    <s v="Nación"/>
    <x v="0"/>
    <s v="CSF"/>
    <x v="19"/>
    <m/>
    <n v="4000000"/>
    <n v="0"/>
    <n v="0"/>
    <n v="4000000"/>
    <n v="0"/>
    <n v="2967860"/>
    <n v="1032140"/>
    <n v="2967860"/>
    <n v="2967860"/>
    <n v="2967860"/>
    <n v="2967860"/>
  </r>
  <r>
    <s v="04-03-00-002"/>
    <x v="0"/>
    <s v="A-01-01-03-002"/>
    <x v="0"/>
    <s v="01"/>
    <s v="01"/>
    <s v="03"/>
    <s v="002"/>
    <m/>
    <m/>
    <m/>
    <m/>
    <s v="Nación"/>
    <x v="0"/>
    <s v="CSF"/>
    <x v="20"/>
    <m/>
    <n v="29000000"/>
    <n v="0"/>
    <n v="0"/>
    <n v="29000000"/>
    <n v="0"/>
    <n v="20678991"/>
    <n v="8321009"/>
    <n v="20678991"/>
    <n v="20678991"/>
    <n v="20678991"/>
    <n v="20678991"/>
  </r>
  <r>
    <s v="04-03-00-002"/>
    <x v="0"/>
    <s v="A-02-02-02-006-004"/>
    <x v="0"/>
    <s v="02"/>
    <s v="02"/>
    <s v="02"/>
    <s v="006"/>
    <s v="004"/>
    <m/>
    <m/>
    <m/>
    <s v="Nación"/>
    <x v="0"/>
    <s v="CSF"/>
    <x v="21"/>
    <m/>
    <n v="0"/>
    <n v="120000"/>
    <n v="0"/>
    <n v="120000"/>
    <n v="0"/>
    <n v="120000"/>
    <n v="0"/>
    <n v="120000"/>
    <n v="120000"/>
    <n v="120000"/>
    <n v="120000"/>
  </r>
  <r>
    <s v="04-03-00-002"/>
    <x v="0"/>
    <s v="A-02-02-02-006-004"/>
    <x v="0"/>
    <s v="02"/>
    <s v="02"/>
    <s v="02"/>
    <s v="006"/>
    <s v="004"/>
    <m/>
    <m/>
    <m/>
    <s v="Propios"/>
    <x v="1"/>
    <s v="CSF"/>
    <x v="21"/>
    <m/>
    <n v="0"/>
    <n v="210000"/>
    <n v="0"/>
    <n v="210000"/>
    <n v="0"/>
    <n v="210000"/>
    <n v="0"/>
    <n v="210000"/>
    <n v="210000"/>
    <n v="210000"/>
    <n v="210000"/>
  </r>
  <r>
    <s v="04-03-00-002"/>
    <x v="0"/>
    <s v="A-02-02-02-006-009"/>
    <x v="0"/>
    <s v="02"/>
    <s v="02"/>
    <s v="02"/>
    <s v="006"/>
    <s v="009"/>
    <m/>
    <m/>
    <m/>
    <s v="Nación"/>
    <x v="0"/>
    <s v="CSF"/>
    <x v="22"/>
    <m/>
    <n v="61000000"/>
    <n v="50100000"/>
    <n v="0"/>
    <n v="111100000"/>
    <n v="0"/>
    <n v="111100000"/>
    <n v="0"/>
    <n v="103655983"/>
    <n v="103655983"/>
    <n v="103655983"/>
    <n v="103655983"/>
  </r>
  <r>
    <s v="04-03-00-002"/>
    <x v="0"/>
    <s v="A-02-02-02-008-004"/>
    <x v="0"/>
    <s v="02"/>
    <s v="02"/>
    <s v="02"/>
    <s v="008"/>
    <s v="004"/>
    <m/>
    <m/>
    <m/>
    <s v="Nación"/>
    <x v="0"/>
    <s v="CSF"/>
    <x v="23"/>
    <m/>
    <n v="400000"/>
    <n v="0"/>
    <n v="400000"/>
    <n v="0"/>
    <n v="0"/>
    <n v="0"/>
    <n v="0"/>
    <n v="0"/>
    <n v="0"/>
    <n v="0"/>
    <n v="0"/>
  </r>
  <r>
    <s v="04-03-00-002"/>
    <x v="0"/>
    <s v="A-02-02-02-009-004"/>
    <x v="0"/>
    <s v="02"/>
    <s v="02"/>
    <s v="02"/>
    <s v="009"/>
    <s v="004"/>
    <m/>
    <m/>
    <m/>
    <s v="Nación"/>
    <x v="0"/>
    <s v="CSF"/>
    <x v="24"/>
    <m/>
    <n v="1500000"/>
    <n v="11164400"/>
    <n v="9264400"/>
    <n v="3400000"/>
    <n v="0"/>
    <n v="3400000"/>
    <n v="0"/>
    <n v="3107352"/>
    <n v="3107352"/>
    <n v="3107352"/>
    <n v="3107352"/>
  </r>
  <r>
    <s v="04-03-00-002"/>
    <x v="0"/>
    <s v="A-02-02-02-010"/>
    <x v="0"/>
    <s v="02"/>
    <s v="02"/>
    <s v="02"/>
    <s v="010"/>
    <m/>
    <m/>
    <m/>
    <m/>
    <s v="Nación"/>
    <x v="0"/>
    <s v="CSF"/>
    <x v="25"/>
    <m/>
    <n v="0"/>
    <n v="2421346"/>
    <n v="0"/>
    <n v="2421346"/>
    <n v="0"/>
    <n v="2421346"/>
    <n v="0"/>
    <n v="2421346"/>
    <n v="2421346"/>
    <n v="2421346"/>
    <n v="2421346"/>
  </r>
  <r>
    <s v="04-03-00-002"/>
    <x v="0"/>
    <s v="A-03-04-02-012-001"/>
    <x v="0"/>
    <s v="03"/>
    <s v="04"/>
    <s v="02"/>
    <s v="012"/>
    <s v="001"/>
    <m/>
    <m/>
    <m/>
    <s v="Nación"/>
    <x v="0"/>
    <s v="CSF"/>
    <x v="26"/>
    <m/>
    <n v="0"/>
    <n v="1715000"/>
    <n v="0"/>
    <n v="1715000"/>
    <n v="0"/>
    <n v="1099394"/>
    <n v="615606"/>
    <n v="1099394"/>
    <n v="1099394"/>
    <n v="1099394"/>
    <n v="1099394"/>
  </r>
  <r>
    <s v="04-03-00-002"/>
    <x v="0"/>
    <s v="A-08-01-02-001"/>
    <x v="0"/>
    <s v="08"/>
    <s v="01"/>
    <s v="02"/>
    <s v="001"/>
    <m/>
    <m/>
    <m/>
    <m/>
    <s v="Nación"/>
    <x v="0"/>
    <s v="CSF"/>
    <x v="27"/>
    <m/>
    <n v="0"/>
    <n v="18286020"/>
    <n v="0"/>
    <n v="18286020"/>
    <n v="0"/>
    <n v="18286020"/>
    <n v="0"/>
    <n v="18286020"/>
    <n v="18286020"/>
    <n v="18286020"/>
    <n v="18286020"/>
  </r>
  <r>
    <s v="04-03-00-002"/>
    <x v="0"/>
    <s v="A-08-01-02-003"/>
    <x v="0"/>
    <s v="08"/>
    <s v="01"/>
    <s v="02"/>
    <s v="003"/>
    <m/>
    <m/>
    <m/>
    <m/>
    <s v="Propios"/>
    <x v="1"/>
    <s v="CSF"/>
    <x v="28"/>
    <m/>
    <n v="0"/>
    <n v="1102567"/>
    <n v="49720"/>
    <n v="1052847"/>
    <n v="0"/>
    <n v="1052847"/>
    <n v="0"/>
    <n v="1052847"/>
    <n v="1052847"/>
    <n v="1052847"/>
    <n v="1052847"/>
  </r>
  <r>
    <s v="04-03-00-002"/>
    <x v="0"/>
    <s v="A-08-01-02-006"/>
    <x v="0"/>
    <s v="08"/>
    <s v="01"/>
    <s v="02"/>
    <s v="006"/>
    <m/>
    <m/>
    <m/>
    <m/>
    <s v="Nación"/>
    <x v="0"/>
    <s v="CSF"/>
    <x v="29"/>
    <m/>
    <n v="0"/>
    <n v="951852"/>
    <n v="0"/>
    <n v="951852"/>
    <n v="0"/>
    <n v="687399"/>
    <n v="264453"/>
    <n v="687399"/>
    <n v="687399"/>
    <n v="687399"/>
    <n v="687399"/>
  </r>
  <r>
    <s v="04-03-00-003"/>
    <x v="1"/>
    <s v="A-01-01-01-001-001"/>
    <x v="0"/>
    <s v="01"/>
    <s v="01"/>
    <s v="01"/>
    <s v="001"/>
    <s v="001"/>
    <m/>
    <m/>
    <m/>
    <s v="Nación"/>
    <x v="0"/>
    <s v="CSF"/>
    <x v="0"/>
    <m/>
    <n v="529000000"/>
    <n v="0"/>
    <n v="0"/>
    <n v="529000000"/>
    <n v="0"/>
    <n v="418664237"/>
    <n v="110335763"/>
    <n v="418664237"/>
    <n v="418664237"/>
    <n v="418664237"/>
    <n v="418664237"/>
  </r>
  <r>
    <s v="04-03-00-003"/>
    <x v="1"/>
    <s v="A-01-01-01-001-003"/>
    <x v="0"/>
    <s v="01"/>
    <s v="01"/>
    <s v="01"/>
    <s v="001"/>
    <s v="003"/>
    <m/>
    <m/>
    <m/>
    <s v="Nación"/>
    <x v="0"/>
    <s v="CSF"/>
    <x v="1"/>
    <m/>
    <n v="0"/>
    <n v="7683804"/>
    <n v="0"/>
    <n v="7683804"/>
    <n v="0"/>
    <n v="5122536"/>
    <n v="2561268"/>
    <n v="5122536"/>
    <n v="5122536"/>
    <n v="5122536"/>
    <n v="5122536"/>
  </r>
  <r>
    <s v="04-03-00-003"/>
    <x v="1"/>
    <s v="A-01-01-01-001-004"/>
    <x v="0"/>
    <s v="01"/>
    <s v="01"/>
    <s v="01"/>
    <s v="001"/>
    <s v="004"/>
    <m/>
    <m/>
    <m/>
    <s v="Nación"/>
    <x v="0"/>
    <s v="CSF"/>
    <x v="2"/>
    <m/>
    <n v="9665000"/>
    <n v="0"/>
    <n v="0"/>
    <n v="9665000"/>
    <n v="0"/>
    <n v="6973138"/>
    <n v="2691862"/>
    <n v="6973138"/>
    <n v="6973138"/>
    <n v="6973138"/>
    <n v="6973138"/>
  </r>
  <r>
    <s v="04-03-00-003"/>
    <x v="1"/>
    <s v="A-01-01-01-001-005"/>
    <x v="0"/>
    <s v="01"/>
    <s v="01"/>
    <s v="01"/>
    <s v="001"/>
    <s v="005"/>
    <m/>
    <m/>
    <m/>
    <s v="Nación"/>
    <x v="0"/>
    <s v="CSF"/>
    <x v="3"/>
    <m/>
    <n v="6508000"/>
    <n v="3200000"/>
    <n v="6508000"/>
    <n v="3200000"/>
    <n v="0"/>
    <n v="1380354"/>
    <n v="1819646"/>
    <n v="1380354"/>
    <n v="1380354"/>
    <n v="1380354"/>
    <n v="1380354"/>
  </r>
  <r>
    <s v="04-03-00-003"/>
    <x v="1"/>
    <s v="A-01-01-01-001-006"/>
    <x v="0"/>
    <s v="01"/>
    <s v="01"/>
    <s v="01"/>
    <s v="001"/>
    <s v="006"/>
    <m/>
    <m/>
    <m/>
    <s v="Nación"/>
    <x v="0"/>
    <s v="CSF"/>
    <x v="4"/>
    <m/>
    <n v="53000000"/>
    <n v="1174000"/>
    <n v="8196372"/>
    <n v="45977628"/>
    <n v="0"/>
    <n v="45977103"/>
    <n v="525"/>
    <n v="45977103"/>
    <n v="45977103"/>
    <n v="45977103"/>
    <n v="45977103"/>
  </r>
  <r>
    <s v="04-03-00-003"/>
    <x v="1"/>
    <s v="A-01-01-01-001-007"/>
    <x v="0"/>
    <s v="01"/>
    <s v="01"/>
    <s v="01"/>
    <s v="001"/>
    <s v="007"/>
    <m/>
    <m/>
    <m/>
    <s v="Nación"/>
    <x v="0"/>
    <s v="CSF"/>
    <x v="5"/>
    <m/>
    <n v="18000000"/>
    <n v="2300000"/>
    <n v="0"/>
    <n v="20300000"/>
    <n v="0"/>
    <n v="18902524"/>
    <n v="1397476"/>
    <n v="18902524"/>
    <n v="18902524"/>
    <n v="18902524"/>
    <n v="18902524"/>
  </r>
  <r>
    <s v="04-03-00-003"/>
    <x v="1"/>
    <s v="A-01-01-01-001-009"/>
    <x v="0"/>
    <s v="01"/>
    <s v="01"/>
    <s v="01"/>
    <s v="001"/>
    <s v="009"/>
    <m/>
    <m/>
    <m/>
    <s v="Nación"/>
    <x v="0"/>
    <s v="CSF"/>
    <x v="6"/>
    <m/>
    <n v="67000000"/>
    <n v="0"/>
    <n v="0"/>
    <n v="67000000"/>
    <n v="0"/>
    <n v="56523652"/>
    <n v="10476348"/>
    <n v="56523652"/>
    <n v="56523652"/>
    <n v="56523652"/>
    <n v="56523652"/>
  </r>
  <r>
    <s v="04-03-00-003"/>
    <x v="1"/>
    <s v="A-01-01-01-001-010"/>
    <x v="0"/>
    <s v="01"/>
    <s v="01"/>
    <s v="01"/>
    <s v="001"/>
    <s v="010"/>
    <m/>
    <m/>
    <m/>
    <s v="Nación"/>
    <x v="0"/>
    <s v="CSF"/>
    <x v="7"/>
    <m/>
    <n v="34000000"/>
    <n v="800000"/>
    <n v="0"/>
    <n v="34800000"/>
    <n v="0"/>
    <n v="33387926"/>
    <n v="1412074"/>
    <n v="33387926"/>
    <n v="33387926"/>
    <n v="33387926"/>
    <n v="33387926"/>
  </r>
  <r>
    <s v="04-03-00-003"/>
    <x v="1"/>
    <s v="A-01-01-01-001-012"/>
    <x v="0"/>
    <s v="01"/>
    <s v="01"/>
    <s v="01"/>
    <s v="001"/>
    <s v="012"/>
    <m/>
    <m/>
    <m/>
    <s v="Nación"/>
    <x v="0"/>
    <s v="CSF"/>
    <x v="8"/>
    <m/>
    <n v="6000000"/>
    <n v="2000000"/>
    <n v="218214"/>
    <n v="7781786"/>
    <n v="0"/>
    <n v="7781786"/>
    <n v="0"/>
    <n v="7781786"/>
    <n v="7781786"/>
    <n v="7781786"/>
    <n v="7781786"/>
  </r>
  <r>
    <s v="04-03-00-003"/>
    <x v="1"/>
    <s v="A-01-01-02-001"/>
    <x v="0"/>
    <s v="01"/>
    <s v="01"/>
    <s v="02"/>
    <s v="001"/>
    <m/>
    <m/>
    <m/>
    <m/>
    <s v="Nación"/>
    <x v="0"/>
    <s v="CSF"/>
    <x v="9"/>
    <m/>
    <n v="70000000"/>
    <n v="0"/>
    <n v="0"/>
    <n v="70000000"/>
    <n v="0"/>
    <n v="57014700"/>
    <n v="12985300"/>
    <n v="57014700"/>
    <n v="57014700"/>
    <n v="57014700"/>
    <n v="57014700"/>
  </r>
  <r>
    <s v="04-03-00-003"/>
    <x v="1"/>
    <s v="A-01-01-02-002"/>
    <x v="0"/>
    <s v="01"/>
    <s v="01"/>
    <s v="02"/>
    <s v="002"/>
    <m/>
    <m/>
    <m/>
    <m/>
    <s v="Nación"/>
    <x v="0"/>
    <s v="CSF"/>
    <x v="10"/>
    <m/>
    <n v="49000000"/>
    <n v="2000000"/>
    <n v="0"/>
    <n v="51000000"/>
    <n v="0"/>
    <n v="40376800"/>
    <n v="10623200"/>
    <n v="40376800"/>
    <n v="40376800"/>
    <n v="40376800"/>
    <n v="40376800"/>
  </r>
  <r>
    <s v="04-03-00-003"/>
    <x v="1"/>
    <s v="A-01-01-02-004"/>
    <x v="0"/>
    <s v="01"/>
    <s v="01"/>
    <s v="02"/>
    <s v="004"/>
    <m/>
    <m/>
    <m/>
    <m/>
    <s v="Nación"/>
    <x v="0"/>
    <s v="CSF"/>
    <x v="11"/>
    <m/>
    <n v="28000000"/>
    <n v="800000"/>
    <n v="0"/>
    <n v="28800000"/>
    <n v="0"/>
    <n v="22860800"/>
    <n v="5939200"/>
    <n v="22860800"/>
    <n v="22860800"/>
    <n v="22860800"/>
    <n v="22860800"/>
  </r>
  <r>
    <s v="04-03-00-003"/>
    <x v="1"/>
    <s v="A-01-01-02-005"/>
    <x v="0"/>
    <s v="01"/>
    <s v="01"/>
    <s v="02"/>
    <s v="005"/>
    <m/>
    <m/>
    <m/>
    <m/>
    <s v="Nación"/>
    <x v="0"/>
    <s v="CSF"/>
    <x v="12"/>
    <m/>
    <n v="7000000"/>
    <n v="0"/>
    <n v="0"/>
    <n v="7000000"/>
    <n v="0"/>
    <n v="5936300"/>
    <n v="1063700"/>
    <n v="5936300"/>
    <n v="5936300"/>
    <n v="5936300"/>
    <n v="5936300"/>
  </r>
  <r>
    <s v="04-03-00-003"/>
    <x v="1"/>
    <s v="A-01-01-02-006"/>
    <x v="0"/>
    <s v="01"/>
    <s v="01"/>
    <s v="02"/>
    <s v="006"/>
    <m/>
    <m/>
    <m/>
    <m/>
    <s v="Nación"/>
    <x v="0"/>
    <s v="CSF"/>
    <x v="13"/>
    <m/>
    <n v="21000000"/>
    <n v="1000000"/>
    <n v="0"/>
    <n v="22000000"/>
    <n v="0"/>
    <n v="17148900"/>
    <n v="4851100"/>
    <n v="17148900"/>
    <n v="17148900"/>
    <n v="17148900"/>
    <n v="17148900"/>
  </r>
  <r>
    <s v="04-03-00-003"/>
    <x v="1"/>
    <s v="A-01-01-02-007"/>
    <x v="0"/>
    <s v="01"/>
    <s v="01"/>
    <s v="02"/>
    <s v="007"/>
    <m/>
    <m/>
    <m/>
    <m/>
    <s v="Nación"/>
    <x v="0"/>
    <s v="CSF"/>
    <x v="14"/>
    <m/>
    <n v="3000000"/>
    <n v="9600000"/>
    <n v="0"/>
    <n v="12600000"/>
    <n v="0"/>
    <n v="11436100"/>
    <n v="1163900"/>
    <n v="11436100"/>
    <n v="11436100"/>
    <n v="11436100"/>
    <n v="11436100"/>
  </r>
  <r>
    <s v="04-03-00-003"/>
    <x v="1"/>
    <s v="A-01-01-02-008"/>
    <x v="0"/>
    <s v="01"/>
    <s v="01"/>
    <s v="02"/>
    <s v="008"/>
    <m/>
    <m/>
    <m/>
    <m/>
    <s v="Nación"/>
    <x v="0"/>
    <s v="CSF"/>
    <x v="15"/>
    <m/>
    <n v="3000000"/>
    <n v="0"/>
    <n v="3000000"/>
    <n v="0"/>
    <n v="0"/>
    <n v="0"/>
    <n v="0"/>
    <n v="0"/>
    <n v="0"/>
    <n v="0"/>
    <n v="0"/>
  </r>
  <r>
    <s v="04-03-00-003"/>
    <x v="1"/>
    <s v="A-01-01-02-009"/>
    <x v="0"/>
    <s v="01"/>
    <s v="01"/>
    <s v="02"/>
    <s v="009"/>
    <m/>
    <m/>
    <m/>
    <m/>
    <s v="Nación"/>
    <x v="0"/>
    <s v="CSF"/>
    <x v="16"/>
    <m/>
    <n v="6000000"/>
    <n v="0"/>
    <n v="6000000"/>
    <n v="0"/>
    <n v="0"/>
    <n v="0"/>
    <n v="0"/>
    <n v="0"/>
    <n v="0"/>
    <n v="0"/>
    <n v="0"/>
  </r>
  <r>
    <s v="04-03-00-003"/>
    <x v="1"/>
    <s v="A-01-01-03-001-001"/>
    <x v="0"/>
    <s v="01"/>
    <s v="01"/>
    <s v="03"/>
    <s v="001"/>
    <s v="001"/>
    <m/>
    <m/>
    <m/>
    <s v="Nación"/>
    <x v="0"/>
    <s v="CSF"/>
    <x v="17"/>
    <m/>
    <n v="40000000"/>
    <n v="0"/>
    <n v="0"/>
    <n v="40000000"/>
    <n v="0"/>
    <n v="24031245"/>
    <n v="15968755"/>
    <n v="24031245"/>
    <n v="24031245"/>
    <n v="24031245"/>
    <n v="24031245"/>
  </r>
  <r>
    <s v="04-03-00-003"/>
    <x v="1"/>
    <s v="A-01-01-03-001-002"/>
    <x v="0"/>
    <s v="01"/>
    <s v="01"/>
    <s v="03"/>
    <s v="001"/>
    <s v="002"/>
    <m/>
    <m/>
    <m/>
    <s v="Nación"/>
    <x v="0"/>
    <s v="CSF"/>
    <x v="18"/>
    <m/>
    <n v="0"/>
    <n v="11782035"/>
    <n v="0"/>
    <n v="11782035"/>
    <n v="0"/>
    <n v="11759678"/>
    <n v="22357"/>
    <n v="11759678"/>
    <n v="11759678"/>
    <n v="11759678"/>
    <n v="11759678"/>
  </r>
  <r>
    <s v="04-03-00-003"/>
    <x v="1"/>
    <s v="A-01-01-03-001-003"/>
    <x v="0"/>
    <s v="01"/>
    <s v="01"/>
    <s v="03"/>
    <s v="001"/>
    <s v="003"/>
    <m/>
    <m/>
    <m/>
    <s v="Nación"/>
    <x v="0"/>
    <s v="CSF"/>
    <x v="19"/>
    <m/>
    <n v="3000000"/>
    <n v="0"/>
    <n v="0"/>
    <n v="3000000"/>
    <n v="0"/>
    <n v="2927288"/>
    <n v="72712"/>
    <n v="2927288"/>
    <n v="2927288"/>
    <n v="2927288"/>
    <n v="2927288"/>
  </r>
  <r>
    <s v="04-03-00-003"/>
    <x v="1"/>
    <s v="A-01-01-03-002"/>
    <x v="0"/>
    <s v="01"/>
    <s v="01"/>
    <s v="03"/>
    <s v="002"/>
    <m/>
    <m/>
    <m/>
    <m/>
    <s v="Nación"/>
    <x v="0"/>
    <s v="CSF"/>
    <x v="20"/>
    <m/>
    <n v="29000000"/>
    <n v="0"/>
    <n v="0"/>
    <n v="29000000"/>
    <n v="0"/>
    <n v="23923264"/>
    <n v="5076736"/>
    <n v="23923264"/>
    <n v="23923264"/>
    <n v="23923264"/>
    <n v="23923264"/>
  </r>
  <r>
    <s v="04-03-00-003"/>
    <x v="1"/>
    <s v="A-02-02-02-006-004"/>
    <x v="0"/>
    <s v="02"/>
    <s v="02"/>
    <s v="02"/>
    <s v="006"/>
    <s v="004"/>
    <m/>
    <m/>
    <m/>
    <s v="Propios"/>
    <x v="1"/>
    <s v="CSF"/>
    <x v="21"/>
    <m/>
    <n v="0"/>
    <n v="1326600"/>
    <n v="1"/>
    <n v="1326599"/>
    <n v="0"/>
    <n v="1326599"/>
    <n v="0"/>
    <n v="1326599"/>
    <n v="1326599"/>
    <n v="1326599"/>
    <n v="1326599"/>
  </r>
  <r>
    <s v="04-03-00-003"/>
    <x v="1"/>
    <s v="A-02-02-02-006-009"/>
    <x v="0"/>
    <s v="02"/>
    <s v="02"/>
    <s v="02"/>
    <s v="006"/>
    <s v="009"/>
    <m/>
    <m/>
    <m/>
    <s v="Nación"/>
    <x v="0"/>
    <s v="CSF"/>
    <x v="22"/>
    <m/>
    <n v="53000000"/>
    <n v="13000000"/>
    <n v="0"/>
    <n v="66000000"/>
    <n v="0"/>
    <n v="66000000"/>
    <n v="0"/>
    <n v="61427690"/>
    <n v="61427690"/>
    <n v="61427690"/>
    <n v="61427690"/>
  </r>
  <r>
    <s v="04-03-00-003"/>
    <x v="1"/>
    <s v="A-02-02-02-007-002"/>
    <x v="0"/>
    <s v="02"/>
    <s v="02"/>
    <s v="02"/>
    <s v="007"/>
    <s v="002"/>
    <m/>
    <m/>
    <m/>
    <s v="Nación"/>
    <x v="0"/>
    <s v="CSF"/>
    <x v="30"/>
    <m/>
    <n v="80000000"/>
    <n v="10878162.67"/>
    <n v="1284139.67"/>
    <n v="89594023"/>
    <n v="0"/>
    <n v="89594023"/>
    <n v="0"/>
    <n v="89594022.989999995"/>
    <n v="78586588"/>
    <n v="78586588"/>
    <n v="78586588"/>
  </r>
  <r>
    <s v="04-03-00-003"/>
    <x v="1"/>
    <s v="A-02-02-02-008-004"/>
    <x v="0"/>
    <s v="02"/>
    <s v="02"/>
    <s v="02"/>
    <s v="008"/>
    <s v="004"/>
    <m/>
    <m/>
    <m/>
    <s v="Nación"/>
    <x v="0"/>
    <s v="CSF"/>
    <x v="23"/>
    <m/>
    <n v="3000000"/>
    <n v="3150000"/>
    <n v="0"/>
    <n v="6150000"/>
    <n v="0"/>
    <n v="6150000"/>
    <n v="0"/>
    <n v="5725184"/>
    <n v="5725184"/>
    <n v="5725184"/>
    <n v="5725184"/>
  </r>
  <r>
    <s v="04-03-00-003"/>
    <x v="1"/>
    <s v="A-02-02-02-009-004"/>
    <x v="0"/>
    <s v="02"/>
    <s v="02"/>
    <s v="02"/>
    <s v="009"/>
    <s v="004"/>
    <m/>
    <m/>
    <m/>
    <s v="Nación"/>
    <x v="0"/>
    <s v="CSF"/>
    <x v="24"/>
    <m/>
    <n v="2000000"/>
    <n v="1690000"/>
    <n v="670000"/>
    <n v="3020000"/>
    <n v="0"/>
    <n v="3020000"/>
    <n v="0"/>
    <n v="2807096"/>
    <n v="2807096"/>
    <n v="2807096"/>
    <n v="2807096"/>
  </r>
  <r>
    <s v="04-03-00-003"/>
    <x v="1"/>
    <s v="A-02-02-02-010"/>
    <x v="0"/>
    <s v="02"/>
    <s v="02"/>
    <s v="02"/>
    <s v="010"/>
    <m/>
    <m/>
    <m/>
    <m/>
    <s v="Nación"/>
    <x v="0"/>
    <s v="CSF"/>
    <x v="25"/>
    <m/>
    <n v="0"/>
    <n v="2998639"/>
    <n v="0"/>
    <n v="2998639"/>
    <n v="0"/>
    <n v="2998639"/>
    <n v="0"/>
    <n v="2998639"/>
    <n v="2998639"/>
    <n v="2998639"/>
    <n v="2998639"/>
  </r>
  <r>
    <s v="04-03-00-003"/>
    <x v="1"/>
    <s v="A-02-02-02-010"/>
    <x v="0"/>
    <s v="02"/>
    <s v="02"/>
    <s v="02"/>
    <s v="010"/>
    <m/>
    <m/>
    <m/>
    <m/>
    <s v="Propios"/>
    <x v="1"/>
    <s v="CSF"/>
    <x v="25"/>
    <m/>
    <n v="0"/>
    <n v="1523040"/>
    <n v="0"/>
    <n v="1523040"/>
    <n v="0"/>
    <n v="1523040"/>
    <n v="0"/>
    <n v="1523040"/>
    <n v="1523040"/>
    <n v="1523040"/>
    <n v="1523040"/>
  </r>
  <r>
    <s v="04-03-00-003"/>
    <x v="1"/>
    <s v="A-03-04-02-012-001"/>
    <x v="0"/>
    <s v="03"/>
    <s v="04"/>
    <s v="02"/>
    <s v="012"/>
    <s v="001"/>
    <m/>
    <m/>
    <m/>
    <s v="Nación"/>
    <x v="0"/>
    <s v="CSF"/>
    <x v="26"/>
    <m/>
    <n v="0"/>
    <n v="4646128"/>
    <n v="0"/>
    <n v="4646128"/>
    <n v="0"/>
    <n v="3119371"/>
    <n v="1526757"/>
    <n v="3119371"/>
    <n v="3119371"/>
    <n v="3119371"/>
    <n v="3119371"/>
  </r>
  <r>
    <s v="04-03-00-003"/>
    <x v="1"/>
    <s v="A-08-01-02-001"/>
    <x v="0"/>
    <s v="08"/>
    <s v="01"/>
    <s v="02"/>
    <s v="001"/>
    <m/>
    <m/>
    <m/>
    <m/>
    <s v="Nación"/>
    <x v="0"/>
    <s v="CSF"/>
    <x v="27"/>
    <m/>
    <n v="0"/>
    <n v="50701699"/>
    <n v="0"/>
    <n v="50701699"/>
    <n v="0"/>
    <n v="50701699"/>
    <n v="0"/>
    <n v="50701699"/>
    <n v="50701699"/>
    <n v="50701699"/>
    <n v="50701699"/>
  </r>
  <r>
    <s v="04-03-00-003"/>
    <x v="1"/>
    <s v="A-08-01-02-003"/>
    <x v="0"/>
    <s v="08"/>
    <s v="01"/>
    <s v="02"/>
    <s v="003"/>
    <m/>
    <m/>
    <m/>
    <m/>
    <s v="Propios"/>
    <x v="1"/>
    <s v="CSF"/>
    <x v="28"/>
    <m/>
    <n v="0"/>
    <n v="1520000"/>
    <n v="0"/>
    <n v="1520000"/>
    <n v="0"/>
    <n v="1520000"/>
    <n v="0"/>
    <n v="1520000"/>
    <n v="1520000"/>
    <n v="1520000"/>
    <n v="1520000"/>
  </r>
  <r>
    <s v="04-03-00-004"/>
    <x v="2"/>
    <s v="A-01-01-01-001-001"/>
    <x v="0"/>
    <s v="01"/>
    <s v="01"/>
    <s v="01"/>
    <s v="001"/>
    <s v="001"/>
    <m/>
    <m/>
    <m/>
    <s v="Nación"/>
    <x v="0"/>
    <s v="CSF"/>
    <x v="0"/>
    <m/>
    <n v="932000000"/>
    <n v="0"/>
    <n v="0"/>
    <n v="932000000"/>
    <n v="0"/>
    <n v="818586543"/>
    <n v="113413457"/>
    <n v="818586543"/>
    <n v="818586543"/>
    <n v="818586543"/>
    <n v="818586543"/>
  </r>
  <r>
    <s v="04-03-00-004"/>
    <x v="2"/>
    <s v="A-01-01-01-001-003"/>
    <x v="0"/>
    <s v="01"/>
    <s v="01"/>
    <s v="01"/>
    <s v="001"/>
    <s v="003"/>
    <m/>
    <m/>
    <m/>
    <s v="Nación"/>
    <x v="0"/>
    <s v="CSF"/>
    <x v="1"/>
    <m/>
    <n v="0"/>
    <n v="10000000"/>
    <n v="0"/>
    <n v="10000000"/>
    <n v="0"/>
    <n v="8366809"/>
    <n v="1633191"/>
    <n v="8366809"/>
    <n v="8366809"/>
    <n v="8366809"/>
    <n v="8366809"/>
  </r>
  <r>
    <s v="04-03-00-004"/>
    <x v="2"/>
    <s v="A-01-01-01-001-004"/>
    <x v="0"/>
    <s v="01"/>
    <s v="01"/>
    <s v="01"/>
    <s v="001"/>
    <s v="004"/>
    <m/>
    <m/>
    <m/>
    <s v="Nación"/>
    <x v="0"/>
    <s v="CSF"/>
    <x v="2"/>
    <m/>
    <n v="23000000"/>
    <n v="0"/>
    <n v="0"/>
    <n v="23000000"/>
    <n v="0"/>
    <n v="17526171"/>
    <n v="5473829"/>
    <n v="17526171"/>
    <n v="17526171"/>
    <n v="17526171"/>
    <n v="17526171"/>
  </r>
  <r>
    <s v="04-03-00-004"/>
    <x v="2"/>
    <s v="A-01-01-01-001-005"/>
    <x v="0"/>
    <s v="01"/>
    <s v="01"/>
    <s v="01"/>
    <s v="001"/>
    <s v="005"/>
    <m/>
    <m/>
    <m/>
    <s v="Nación"/>
    <x v="0"/>
    <s v="CSF"/>
    <x v="3"/>
    <m/>
    <n v="18896000"/>
    <n v="4300000"/>
    <n v="18896000"/>
    <n v="4300000"/>
    <n v="0"/>
    <n v="4034606"/>
    <n v="265394"/>
    <n v="4034606"/>
    <n v="4034606"/>
    <n v="4034606"/>
    <n v="4034606"/>
  </r>
  <r>
    <s v="04-03-00-004"/>
    <x v="2"/>
    <s v="A-01-01-01-001-006"/>
    <x v="0"/>
    <s v="01"/>
    <s v="01"/>
    <s v="01"/>
    <s v="001"/>
    <s v="006"/>
    <m/>
    <m/>
    <m/>
    <s v="Nación"/>
    <x v="0"/>
    <s v="CSF"/>
    <x v="4"/>
    <m/>
    <n v="90000000"/>
    <n v="3120000"/>
    <n v="875"/>
    <n v="93119125"/>
    <n v="0"/>
    <n v="93116831"/>
    <n v="2294"/>
    <n v="93116831"/>
    <n v="93116831"/>
    <n v="93116831"/>
    <n v="93116831"/>
  </r>
  <r>
    <s v="04-03-00-004"/>
    <x v="2"/>
    <s v="A-01-01-01-001-007"/>
    <x v="0"/>
    <s v="01"/>
    <s v="01"/>
    <s v="01"/>
    <s v="001"/>
    <s v="007"/>
    <m/>
    <m/>
    <m/>
    <s v="Nación"/>
    <x v="0"/>
    <s v="CSF"/>
    <x v="5"/>
    <m/>
    <n v="35000000"/>
    <n v="8500000"/>
    <n v="0"/>
    <n v="43500000"/>
    <n v="0"/>
    <n v="34655041"/>
    <n v="8844959"/>
    <n v="34655041"/>
    <n v="34655041"/>
    <n v="34655041"/>
    <n v="34655041"/>
  </r>
  <r>
    <s v="04-03-00-004"/>
    <x v="2"/>
    <s v="A-01-01-01-001-009"/>
    <x v="0"/>
    <s v="01"/>
    <s v="01"/>
    <s v="01"/>
    <s v="001"/>
    <s v="009"/>
    <m/>
    <m/>
    <m/>
    <s v="Nación"/>
    <x v="0"/>
    <s v="CSF"/>
    <x v="6"/>
    <m/>
    <n v="122000000"/>
    <n v="0"/>
    <n v="0"/>
    <n v="122000000"/>
    <n v="0"/>
    <n v="106673068"/>
    <n v="15326932"/>
    <n v="106673068"/>
    <n v="106673068"/>
    <n v="106673068"/>
    <n v="106673068"/>
  </r>
  <r>
    <s v="04-03-00-004"/>
    <x v="2"/>
    <s v="A-01-01-01-001-010"/>
    <x v="0"/>
    <s v="01"/>
    <s v="01"/>
    <s v="01"/>
    <s v="001"/>
    <s v="010"/>
    <m/>
    <m/>
    <m/>
    <s v="Nación"/>
    <x v="0"/>
    <s v="CSF"/>
    <x v="7"/>
    <m/>
    <n v="57000000"/>
    <n v="18220000"/>
    <n v="0"/>
    <n v="75220000"/>
    <n v="0"/>
    <n v="73348664"/>
    <n v="1871336"/>
    <n v="73348664"/>
    <n v="73348664"/>
    <n v="73348664"/>
    <n v="73348664"/>
  </r>
  <r>
    <s v="04-03-00-004"/>
    <x v="2"/>
    <s v="A-01-01-01-001-012"/>
    <x v="0"/>
    <s v="01"/>
    <s v="01"/>
    <s v="01"/>
    <s v="001"/>
    <s v="012"/>
    <m/>
    <m/>
    <m/>
    <s v="Nación"/>
    <x v="0"/>
    <s v="CSF"/>
    <x v="8"/>
    <m/>
    <n v="18000000"/>
    <n v="4800000"/>
    <n v="430468"/>
    <n v="22369532"/>
    <n v="0"/>
    <n v="22369532"/>
    <n v="0"/>
    <n v="22369532"/>
    <n v="22369532"/>
    <n v="22369532"/>
    <n v="22369532"/>
  </r>
  <r>
    <s v="04-03-00-004"/>
    <x v="2"/>
    <s v="A-01-01-02-001"/>
    <x v="0"/>
    <s v="01"/>
    <s v="01"/>
    <s v="02"/>
    <s v="001"/>
    <m/>
    <m/>
    <m/>
    <m/>
    <s v="Nación"/>
    <x v="0"/>
    <s v="CSF"/>
    <x v="9"/>
    <m/>
    <n v="115000000"/>
    <n v="6000000"/>
    <n v="0"/>
    <n v="121000000"/>
    <n v="0"/>
    <n v="110735200"/>
    <n v="10264800"/>
    <n v="110735200"/>
    <n v="110735200"/>
    <n v="110735200"/>
    <n v="110735200"/>
  </r>
  <r>
    <s v="04-03-00-004"/>
    <x v="2"/>
    <s v="A-01-01-02-002"/>
    <x v="0"/>
    <s v="01"/>
    <s v="01"/>
    <s v="02"/>
    <s v="002"/>
    <m/>
    <m/>
    <m/>
    <m/>
    <s v="Nación"/>
    <x v="0"/>
    <s v="CSF"/>
    <x v="10"/>
    <m/>
    <n v="86000000"/>
    <n v="4500000"/>
    <n v="0"/>
    <n v="90500000"/>
    <n v="0"/>
    <n v="78448600"/>
    <n v="12051400"/>
    <n v="78448600"/>
    <n v="78448600"/>
    <n v="78448600"/>
    <n v="78448600"/>
  </r>
  <r>
    <s v="04-03-00-004"/>
    <x v="2"/>
    <s v="A-01-01-02-004"/>
    <x v="0"/>
    <s v="01"/>
    <s v="01"/>
    <s v="02"/>
    <s v="004"/>
    <m/>
    <m/>
    <m/>
    <m/>
    <s v="Nación"/>
    <x v="0"/>
    <s v="CSF"/>
    <x v="11"/>
    <m/>
    <n v="51000000"/>
    <n v="2000000"/>
    <n v="0"/>
    <n v="53000000"/>
    <n v="0"/>
    <n v="46671300"/>
    <n v="6328700"/>
    <n v="46671300"/>
    <n v="46671300"/>
    <n v="46671300"/>
    <n v="46671300"/>
  </r>
  <r>
    <s v="04-03-00-004"/>
    <x v="2"/>
    <s v="A-01-01-02-005"/>
    <x v="0"/>
    <s v="01"/>
    <s v="01"/>
    <s v="02"/>
    <s v="005"/>
    <m/>
    <m/>
    <m/>
    <m/>
    <s v="Nación"/>
    <x v="0"/>
    <s v="CSF"/>
    <x v="12"/>
    <m/>
    <n v="16000000"/>
    <n v="0"/>
    <n v="0"/>
    <n v="16000000"/>
    <n v="0"/>
    <n v="14295600"/>
    <n v="1704400"/>
    <n v="14295600"/>
    <n v="14295600"/>
    <n v="14295600"/>
    <n v="14295600"/>
  </r>
  <r>
    <s v="04-03-00-004"/>
    <x v="2"/>
    <s v="A-01-01-02-006"/>
    <x v="0"/>
    <s v="01"/>
    <s v="01"/>
    <s v="02"/>
    <s v="006"/>
    <m/>
    <m/>
    <m/>
    <m/>
    <s v="Nación"/>
    <x v="0"/>
    <s v="CSF"/>
    <x v="13"/>
    <m/>
    <n v="38000000"/>
    <n v="3900000"/>
    <n v="0"/>
    <n v="41900000"/>
    <n v="0"/>
    <n v="35007100"/>
    <n v="6892900"/>
    <n v="35007100"/>
    <n v="35007100"/>
    <n v="35007100"/>
    <n v="35007100"/>
  </r>
  <r>
    <s v="04-03-00-004"/>
    <x v="2"/>
    <s v="A-01-01-02-007"/>
    <x v="0"/>
    <s v="01"/>
    <s v="01"/>
    <s v="02"/>
    <s v="007"/>
    <m/>
    <m/>
    <m/>
    <m/>
    <s v="Nación"/>
    <x v="0"/>
    <s v="CSF"/>
    <x v="14"/>
    <m/>
    <n v="5000000"/>
    <n v="19220000"/>
    <n v="0"/>
    <n v="24220000"/>
    <n v="0"/>
    <n v="23349100"/>
    <n v="870900"/>
    <n v="23349100"/>
    <n v="23349100"/>
    <n v="23349100"/>
    <n v="23349100"/>
  </r>
  <r>
    <s v="04-03-00-004"/>
    <x v="2"/>
    <s v="A-01-01-02-008"/>
    <x v="0"/>
    <s v="01"/>
    <s v="01"/>
    <s v="02"/>
    <s v="008"/>
    <m/>
    <m/>
    <m/>
    <m/>
    <s v="Nación"/>
    <x v="0"/>
    <s v="CSF"/>
    <x v="15"/>
    <m/>
    <n v="5000000"/>
    <n v="0"/>
    <n v="5000000"/>
    <n v="0"/>
    <n v="0"/>
    <n v="0"/>
    <n v="0"/>
    <n v="0"/>
    <n v="0"/>
    <n v="0"/>
    <n v="0"/>
  </r>
  <r>
    <s v="04-03-00-004"/>
    <x v="2"/>
    <s v="A-01-01-02-009"/>
    <x v="0"/>
    <s v="01"/>
    <s v="01"/>
    <s v="02"/>
    <s v="009"/>
    <m/>
    <m/>
    <m/>
    <m/>
    <s v="Nación"/>
    <x v="0"/>
    <s v="CSF"/>
    <x v="16"/>
    <m/>
    <n v="10000000"/>
    <n v="0"/>
    <n v="10000000"/>
    <n v="0"/>
    <n v="0"/>
    <n v="0"/>
    <n v="0"/>
    <n v="0"/>
    <n v="0"/>
    <n v="0"/>
    <n v="0"/>
  </r>
  <r>
    <s v="04-03-00-004"/>
    <x v="2"/>
    <s v="A-01-01-03-001-001"/>
    <x v="0"/>
    <s v="01"/>
    <s v="01"/>
    <s v="03"/>
    <s v="001"/>
    <s v="001"/>
    <m/>
    <m/>
    <m/>
    <s v="Nación"/>
    <x v="0"/>
    <s v="CSF"/>
    <x v="17"/>
    <m/>
    <n v="63000000"/>
    <n v="0"/>
    <n v="0"/>
    <n v="63000000"/>
    <n v="0"/>
    <n v="47085356"/>
    <n v="15914644"/>
    <n v="47085356"/>
    <n v="47085356"/>
    <n v="47085356"/>
    <n v="47085356"/>
  </r>
  <r>
    <s v="04-03-00-004"/>
    <x v="2"/>
    <s v="A-01-01-03-001-002"/>
    <x v="0"/>
    <s v="01"/>
    <s v="01"/>
    <s v="03"/>
    <s v="001"/>
    <s v="002"/>
    <m/>
    <m/>
    <m/>
    <s v="Nación"/>
    <x v="0"/>
    <s v="CSF"/>
    <x v="18"/>
    <m/>
    <n v="0"/>
    <n v="32426692"/>
    <n v="0"/>
    <n v="32426692"/>
    <n v="0"/>
    <n v="31348099"/>
    <n v="1078593"/>
    <n v="31348099"/>
    <n v="31348099"/>
    <n v="31348099"/>
    <n v="31348099"/>
  </r>
  <r>
    <s v="04-03-00-004"/>
    <x v="2"/>
    <s v="A-01-01-03-001-003"/>
    <x v="0"/>
    <s v="01"/>
    <s v="01"/>
    <s v="03"/>
    <s v="001"/>
    <s v="003"/>
    <m/>
    <m/>
    <m/>
    <s v="Nación"/>
    <x v="0"/>
    <s v="CSF"/>
    <x v="19"/>
    <m/>
    <n v="5000000"/>
    <n v="1000000"/>
    <n v="0"/>
    <n v="6000000"/>
    <n v="0"/>
    <n v="5823059"/>
    <n v="176941"/>
    <n v="5823059"/>
    <n v="5823059"/>
    <n v="5823059"/>
    <n v="5823059"/>
  </r>
  <r>
    <s v="04-03-00-004"/>
    <x v="2"/>
    <s v="A-01-01-03-002"/>
    <x v="0"/>
    <s v="01"/>
    <s v="01"/>
    <s v="03"/>
    <s v="002"/>
    <m/>
    <m/>
    <m/>
    <m/>
    <s v="Nación"/>
    <x v="0"/>
    <s v="CSF"/>
    <x v="20"/>
    <m/>
    <n v="29000000"/>
    <n v="0"/>
    <n v="0"/>
    <n v="29000000"/>
    <n v="0"/>
    <n v="18971478"/>
    <n v="10028522"/>
    <n v="18971478"/>
    <n v="18971478"/>
    <n v="18971478"/>
    <n v="18971478"/>
  </r>
  <r>
    <s v="04-03-00-004"/>
    <x v="2"/>
    <s v="A-02-02-02-006-004"/>
    <x v="0"/>
    <s v="02"/>
    <s v="02"/>
    <s v="02"/>
    <s v="006"/>
    <s v="004"/>
    <m/>
    <m/>
    <m/>
    <s v="Propios"/>
    <x v="1"/>
    <s v="CSF"/>
    <x v="21"/>
    <m/>
    <n v="1440000"/>
    <n v="2587000"/>
    <n v="733000"/>
    <n v="3294000"/>
    <n v="0"/>
    <n v="3294000"/>
    <n v="0"/>
    <n v="3294000"/>
    <n v="3294000"/>
    <n v="3294000"/>
    <n v="3294000"/>
  </r>
  <r>
    <s v="04-03-00-004"/>
    <x v="2"/>
    <s v="A-02-02-02-006-009"/>
    <x v="0"/>
    <s v="02"/>
    <s v="02"/>
    <s v="02"/>
    <s v="006"/>
    <s v="009"/>
    <m/>
    <m/>
    <m/>
    <s v="Nación"/>
    <x v="0"/>
    <s v="CSF"/>
    <x v="22"/>
    <m/>
    <n v="11600000"/>
    <n v="5600000"/>
    <n v="0"/>
    <n v="17200000"/>
    <n v="0"/>
    <n v="17200000"/>
    <n v="0"/>
    <n v="16151627"/>
    <n v="16112077"/>
    <n v="16112077"/>
    <n v="16112077"/>
  </r>
  <r>
    <s v="04-03-00-004"/>
    <x v="2"/>
    <s v="A-02-02-02-007-002"/>
    <x v="0"/>
    <s v="02"/>
    <s v="02"/>
    <s v="02"/>
    <s v="007"/>
    <s v="002"/>
    <m/>
    <m/>
    <m/>
    <s v="Nación"/>
    <x v="0"/>
    <s v="CSF"/>
    <x v="30"/>
    <m/>
    <n v="4000000"/>
    <n v="666975"/>
    <n v="5"/>
    <n v="4666970"/>
    <n v="0"/>
    <n v="4666970"/>
    <n v="0"/>
    <n v="4666970"/>
    <n v="2927463"/>
    <n v="2927463"/>
    <n v="2927463"/>
  </r>
  <r>
    <s v="04-03-00-004"/>
    <x v="2"/>
    <s v="A-02-02-02-007-002"/>
    <x v="0"/>
    <s v="02"/>
    <s v="02"/>
    <s v="02"/>
    <s v="007"/>
    <s v="002"/>
    <m/>
    <m/>
    <m/>
    <s v="Propios"/>
    <x v="1"/>
    <s v="CSF"/>
    <x v="30"/>
    <m/>
    <n v="0"/>
    <n v="38500000"/>
    <n v="0"/>
    <n v="38500000"/>
    <n v="0"/>
    <n v="38500000"/>
    <n v="0"/>
    <n v="38500000"/>
    <n v="34650000"/>
    <n v="34650000"/>
    <n v="34650000"/>
  </r>
  <r>
    <s v="04-03-00-004"/>
    <x v="2"/>
    <s v="A-02-02-02-008-004"/>
    <x v="0"/>
    <s v="02"/>
    <s v="02"/>
    <s v="02"/>
    <s v="008"/>
    <s v="004"/>
    <m/>
    <m/>
    <m/>
    <s v="Nación"/>
    <x v="0"/>
    <s v="CSF"/>
    <x v="23"/>
    <m/>
    <n v="2800000"/>
    <n v="0"/>
    <n v="0"/>
    <n v="2800000"/>
    <n v="0"/>
    <n v="2800000"/>
    <n v="0"/>
    <n v="1804000"/>
    <n v="1804000"/>
    <n v="1804000"/>
    <n v="1804000"/>
  </r>
  <r>
    <s v="04-03-00-004"/>
    <x v="2"/>
    <s v="A-02-02-02-009-004"/>
    <x v="0"/>
    <s v="02"/>
    <s v="02"/>
    <s v="02"/>
    <s v="009"/>
    <s v="004"/>
    <m/>
    <m/>
    <m/>
    <s v="Nación"/>
    <x v="0"/>
    <s v="CSF"/>
    <x v="24"/>
    <m/>
    <n v="1500000"/>
    <n v="670000"/>
    <n v="0"/>
    <n v="2170000"/>
    <n v="0"/>
    <n v="2170000"/>
    <n v="0"/>
    <n v="1812444"/>
    <n v="1812444"/>
    <n v="1812444"/>
    <n v="1812444"/>
  </r>
  <r>
    <s v="04-03-00-004"/>
    <x v="2"/>
    <s v="A-02-02-02-010"/>
    <x v="0"/>
    <s v="02"/>
    <s v="02"/>
    <s v="02"/>
    <s v="010"/>
    <m/>
    <m/>
    <m/>
    <m/>
    <s v="Nación"/>
    <x v="0"/>
    <s v="CSF"/>
    <x v="25"/>
    <m/>
    <n v="0"/>
    <n v="1023976"/>
    <n v="0"/>
    <n v="1023976"/>
    <n v="0"/>
    <n v="1023976"/>
    <n v="0"/>
    <n v="1023976"/>
    <n v="1023976"/>
    <n v="1023976"/>
    <n v="1023976"/>
  </r>
  <r>
    <s v="04-03-00-004"/>
    <x v="2"/>
    <s v="A-02-02-02-010"/>
    <x v="0"/>
    <s v="02"/>
    <s v="02"/>
    <s v="02"/>
    <s v="010"/>
    <m/>
    <m/>
    <m/>
    <m/>
    <s v="Propios"/>
    <x v="1"/>
    <s v="CSF"/>
    <x v="25"/>
    <m/>
    <n v="1706531"/>
    <n v="9234"/>
    <n v="9234"/>
    <n v="1706531"/>
    <n v="0"/>
    <n v="1706531"/>
    <n v="0"/>
    <n v="1706531"/>
    <n v="1706531"/>
    <n v="1706531"/>
    <n v="1706531"/>
  </r>
  <r>
    <s v="04-03-00-004"/>
    <x v="2"/>
    <s v="A-03-04-02-012-001"/>
    <x v="0"/>
    <s v="03"/>
    <s v="04"/>
    <s v="02"/>
    <s v="012"/>
    <s v="001"/>
    <m/>
    <m/>
    <m/>
    <s v="Nación"/>
    <x v="0"/>
    <s v="CSF"/>
    <x v="26"/>
    <m/>
    <n v="0"/>
    <n v="7619468"/>
    <n v="0"/>
    <n v="7619468"/>
    <n v="0"/>
    <n v="5587094"/>
    <n v="2032374"/>
    <n v="5587094"/>
    <n v="5587094"/>
    <n v="5587094"/>
    <n v="5587094"/>
  </r>
  <r>
    <s v="04-03-00-004"/>
    <x v="2"/>
    <s v="A-03-04-02-012-002"/>
    <x v="0"/>
    <s v="03"/>
    <s v="04"/>
    <s v="02"/>
    <s v="012"/>
    <s v="002"/>
    <m/>
    <m/>
    <m/>
    <s v="Nación"/>
    <x v="0"/>
    <s v="CSF"/>
    <x v="31"/>
    <m/>
    <n v="0"/>
    <n v="10400000"/>
    <n v="0"/>
    <n v="10400000"/>
    <n v="0"/>
    <n v="10225247"/>
    <n v="174753"/>
    <n v="10225247"/>
    <n v="10225247"/>
    <n v="10225247"/>
    <n v="10225247"/>
  </r>
  <r>
    <s v="04-03-00-004"/>
    <x v="2"/>
    <s v="A-08-01-02-001"/>
    <x v="0"/>
    <s v="08"/>
    <s v="01"/>
    <s v="02"/>
    <s v="001"/>
    <m/>
    <m/>
    <m/>
    <m/>
    <s v="Nación"/>
    <x v="0"/>
    <s v="CSF"/>
    <x v="27"/>
    <m/>
    <n v="0"/>
    <n v="33208000"/>
    <n v="0"/>
    <n v="33208000"/>
    <n v="0"/>
    <n v="33208000"/>
    <n v="0"/>
    <n v="33208000"/>
    <n v="33208000"/>
    <n v="33208000"/>
    <n v="33208000"/>
  </r>
  <r>
    <s v="04-03-00-004"/>
    <x v="2"/>
    <s v="A-08-01-02-003"/>
    <x v="0"/>
    <s v="08"/>
    <s v="01"/>
    <s v="02"/>
    <s v="003"/>
    <m/>
    <m/>
    <m/>
    <m/>
    <s v="Propios"/>
    <x v="1"/>
    <s v="CSF"/>
    <x v="28"/>
    <m/>
    <n v="0"/>
    <n v="3542000"/>
    <n v="762000"/>
    <n v="2780000"/>
    <n v="0"/>
    <n v="2780000"/>
    <n v="0"/>
    <n v="2780000"/>
    <n v="2780000"/>
    <n v="2780000"/>
    <n v="2780000"/>
  </r>
  <r>
    <s v="04-03-00-005"/>
    <x v="3"/>
    <s v="A-01-01-01-001-001"/>
    <x v="0"/>
    <s v="01"/>
    <s v="01"/>
    <s v="01"/>
    <s v="001"/>
    <s v="001"/>
    <m/>
    <m/>
    <m/>
    <s v="Nación"/>
    <x v="0"/>
    <s v="CSF"/>
    <x v="0"/>
    <m/>
    <n v="445000000"/>
    <n v="42694000"/>
    <n v="0"/>
    <n v="487694000"/>
    <n v="0"/>
    <n v="448369197"/>
    <n v="39324803"/>
    <n v="448369197"/>
    <n v="448369197"/>
    <n v="448369197"/>
    <n v="448369197"/>
  </r>
  <r>
    <s v="04-03-00-005"/>
    <x v="3"/>
    <s v="A-01-01-01-001-003"/>
    <x v="0"/>
    <s v="01"/>
    <s v="01"/>
    <s v="01"/>
    <s v="001"/>
    <s v="003"/>
    <m/>
    <m/>
    <m/>
    <s v="Nación"/>
    <x v="0"/>
    <s v="CSF"/>
    <x v="1"/>
    <m/>
    <n v="0"/>
    <n v="10928077"/>
    <n v="0"/>
    <n v="10928077"/>
    <n v="0"/>
    <n v="8366809"/>
    <n v="2561268"/>
    <n v="8366809"/>
    <n v="8366809"/>
    <n v="8366809"/>
    <n v="8366809"/>
  </r>
  <r>
    <s v="04-03-00-005"/>
    <x v="3"/>
    <s v="A-01-01-01-001-004"/>
    <x v="0"/>
    <s v="01"/>
    <s v="01"/>
    <s v="01"/>
    <s v="001"/>
    <s v="004"/>
    <m/>
    <m/>
    <m/>
    <s v="Nación"/>
    <x v="0"/>
    <s v="CSF"/>
    <x v="2"/>
    <m/>
    <n v="9000000"/>
    <n v="0"/>
    <n v="0"/>
    <n v="9000000"/>
    <n v="0"/>
    <n v="8387250"/>
    <n v="612750"/>
    <n v="8387250"/>
    <n v="8387250"/>
    <n v="8387250"/>
    <n v="8387250"/>
  </r>
  <r>
    <s v="04-03-00-005"/>
    <x v="3"/>
    <s v="A-01-01-01-001-005"/>
    <x v="0"/>
    <s v="01"/>
    <s v="01"/>
    <s v="01"/>
    <s v="001"/>
    <s v="005"/>
    <m/>
    <m/>
    <m/>
    <s v="Nación"/>
    <x v="0"/>
    <s v="CSF"/>
    <x v="3"/>
    <m/>
    <n v="5771000"/>
    <n v="3247000"/>
    <n v="5771000"/>
    <n v="3247000"/>
    <n v="0"/>
    <n v="1877140"/>
    <n v="1369860"/>
    <n v="1877140"/>
    <n v="1877140"/>
    <n v="1877140"/>
    <n v="1877140"/>
  </r>
  <r>
    <s v="04-03-00-005"/>
    <x v="3"/>
    <s v="A-01-01-01-001-006"/>
    <x v="0"/>
    <s v="01"/>
    <s v="01"/>
    <s v="01"/>
    <s v="001"/>
    <s v="006"/>
    <m/>
    <m/>
    <m/>
    <s v="Nación"/>
    <x v="0"/>
    <s v="CSF"/>
    <x v="4"/>
    <m/>
    <n v="41000000"/>
    <n v="7714210"/>
    <n v="6"/>
    <n v="48714204"/>
    <n v="0"/>
    <n v="48714204"/>
    <n v="0"/>
    <n v="48714204"/>
    <n v="48714204"/>
    <n v="48714204"/>
    <n v="48714204"/>
  </r>
  <r>
    <s v="04-03-00-005"/>
    <x v="3"/>
    <s v="A-01-01-01-001-007"/>
    <x v="0"/>
    <s v="01"/>
    <s v="01"/>
    <s v="01"/>
    <s v="001"/>
    <s v="007"/>
    <m/>
    <m/>
    <m/>
    <s v="Nación"/>
    <x v="0"/>
    <s v="CSF"/>
    <x v="5"/>
    <m/>
    <n v="14000000"/>
    <n v="8900000"/>
    <n v="0"/>
    <n v="22900000"/>
    <n v="0"/>
    <n v="18602975"/>
    <n v="4297025"/>
    <n v="18602975"/>
    <n v="18602975"/>
    <n v="18602975"/>
    <n v="18602975"/>
  </r>
  <r>
    <s v="04-03-00-005"/>
    <x v="3"/>
    <s v="A-01-01-01-001-009"/>
    <x v="0"/>
    <s v="01"/>
    <s v="01"/>
    <s v="01"/>
    <s v="001"/>
    <s v="009"/>
    <m/>
    <m/>
    <m/>
    <s v="Nación"/>
    <x v="0"/>
    <s v="CSF"/>
    <x v="6"/>
    <m/>
    <n v="53000000"/>
    <n v="4011934"/>
    <n v="0"/>
    <n v="57011934"/>
    <n v="0"/>
    <n v="56993970"/>
    <n v="17964"/>
    <n v="56993970"/>
    <n v="56993970"/>
    <n v="56993970"/>
    <n v="56993970"/>
  </r>
  <r>
    <s v="04-03-00-005"/>
    <x v="3"/>
    <s v="A-01-01-01-001-010"/>
    <x v="0"/>
    <s v="01"/>
    <s v="01"/>
    <s v="01"/>
    <s v="001"/>
    <s v="010"/>
    <m/>
    <m/>
    <m/>
    <s v="Nación"/>
    <x v="0"/>
    <s v="CSF"/>
    <x v="7"/>
    <m/>
    <n v="28000000"/>
    <n v="2500000"/>
    <n v="0"/>
    <n v="30500000"/>
    <n v="0"/>
    <n v="27833342"/>
    <n v="2666658"/>
    <n v="27833342"/>
    <n v="27833342"/>
    <n v="27833342"/>
    <n v="27833342"/>
  </r>
  <r>
    <s v="04-03-00-005"/>
    <x v="3"/>
    <s v="A-01-01-01-001-012"/>
    <x v="0"/>
    <s v="01"/>
    <s v="01"/>
    <s v="01"/>
    <s v="001"/>
    <s v="012"/>
    <m/>
    <m/>
    <m/>
    <s v="Nación"/>
    <x v="0"/>
    <s v="CSF"/>
    <x v="8"/>
    <m/>
    <n v="5000000"/>
    <n v="5762920"/>
    <n v="770439"/>
    <n v="9992481"/>
    <n v="0"/>
    <n v="9992481"/>
    <n v="0"/>
    <n v="9992481"/>
    <n v="9992481"/>
    <n v="9992481"/>
    <n v="9992481"/>
  </r>
  <r>
    <s v="04-03-00-005"/>
    <x v="3"/>
    <s v="A-01-01-02-001"/>
    <x v="0"/>
    <s v="01"/>
    <s v="01"/>
    <s v="02"/>
    <s v="001"/>
    <m/>
    <m/>
    <m/>
    <m/>
    <s v="Nación"/>
    <x v="0"/>
    <s v="CSF"/>
    <x v="9"/>
    <m/>
    <n v="57000000"/>
    <n v="6000000"/>
    <n v="0"/>
    <n v="63000000"/>
    <n v="0"/>
    <n v="59046600"/>
    <n v="3953400"/>
    <n v="59046600"/>
    <n v="59046600"/>
    <n v="59046600"/>
    <n v="59046600"/>
  </r>
  <r>
    <s v="04-03-00-005"/>
    <x v="3"/>
    <s v="A-01-01-02-002"/>
    <x v="0"/>
    <s v="01"/>
    <s v="01"/>
    <s v="02"/>
    <s v="002"/>
    <m/>
    <m/>
    <m/>
    <m/>
    <s v="Nación"/>
    <x v="0"/>
    <s v="CSF"/>
    <x v="10"/>
    <m/>
    <n v="40000000"/>
    <n v="4000000"/>
    <n v="0"/>
    <n v="44000000"/>
    <n v="0"/>
    <n v="41813700"/>
    <n v="2186300"/>
    <n v="41813700"/>
    <n v="41813700"/>
    <n v="41813700"/>
    <n v="41813700"/>
  </r>
  <r>
    <s v="04-03-00-005"/>
    <x v="3"/>
    <s v="A-01-01-02-004"/>
    <x v="0"/>
    <s v="01"/>
    <s v="01"/>
    <s v="02"/>
    <s v="004"/>
    <m/>
    <m/>
    <m/>
    <m/>
    <s v="Nación"/>
    <x v="0"/>
    <s v="CSF"/>
    <x v="11"/>
    <m/>
    <n v="23000000"/>
    <n v="4000000"/>
    <n v="0"/>
    <n v="27000000"/>
    <n v="0"/>
    <n v="24546400"/>
    <n v="2453600"/>
    <n v="24546400"/>
    <n v="24546400"/>
    <n v="24546400"/>
    <n v="24546400"/>
  </r>
  <r>
    <s v="04-03-00-005"/>
    <x v="3"/>
    <s v="A-01-01-02-005"/>
    <x v="0"/>
    <s v="01"/>
    <s v="01"/>
    <s v="02"/>
    <s v="005"/>
    <m/>
    <m/>
    <m/>
    <m/>
    <s v="Nación"/>
    <x v="0"/>
    <s v="CSF"/>
    <x v="12"/>
    <m/>
    <n v="5000000"/>
    <n v="2000000"/>
    <n v="0"/>
    <n v="7000000"/>
    <n v="0"/>
    <n v="6130000"/>
    <n v="870000"/>
    <n v="6130000"/>
    <n v="6130000"/>
    <n v="6130000"/>
    <n v="6130000"/>
  </r>
  <r>
    <s v="04-03-00-005"/>
    <x v="3"/>
    <s v="A-01-01-02-006"/>
    <x v="0"/>
    <s v="01"/>
    <s v="01"/>
    <s v="02"/>
    <s v="006"/>
    <m/>
    <m/>
    <m/>
    <m/>
    <s v="Nación"/>
    <x v="0"/>
    <s v="CSF"/>
    <x v="13"/>
    <m/>
    <n v="17000000"/>
    <n v="2000000"/>
    <n v="0"/>
    <n v="19000000"/>
    <n v="0"/>
    <n v="18414300"/>
    <n v="585700"/>
    <n v="18414300"/>
    <n v="18414300"/>
    <n v="18414300"/>
    <n v="18414300"/>
  </r>
  <r>
    <s v="04-03-00-005"/>
    <x v="3"/>
    <s v="A-01-01-02-007"/>
    <x v="0"/>
    <s v="01"/>
    <s v="01"/>
    <s v="02"/>
    <s v="007"/>
    <m/>
    <m/>
    <m/>
    <m/>
    <s v="Nación"/>
    <x v="0"/>
    <s v="CSF"/>
    <x v="14"/>
    <m/>
    <n v="2500000"/>
    <n v="11500000"/>
    <n v="0"/>
    <n v="14000000"/>
    <n v="0"/>
    <n v="12279800"/>
    <n v="1720200"/>
    <n v="12279800"/>
    <n v="12279800"/>
    <n v="12279800"/>
    <n v="12279800"/>
  </r>
  <r>
    <s v="04-03-00-005"/>
    <x v="3"/>
    <s v="A-01-01-02-008"/>
    <x v="0"/>
    <s v="01"/>
    <s v="01"/>
    <s v="02"/>
    <s v="008"/>
    <m/>
    <m/>
    <m/>
    <m/>
    <s v="Nación"/>
    <x v="0"/>
    <s v="CSF"/>
    <x v="15"/>
    <m/>
    <n v="2500000"/>
    <n v="0"/>
    <n v="2500000"/>
    <n v="0"/>
    <n v="0"/>
    <n v="0"/>
    <n v="0"/>
    <n v="0"/>
    <n v="0"/>
    <n v="0"/>
    <n v="0"/>
  </r>
  <r>
    <s v="04-03-00-005"/>
    <x v="3"/>
    <s v="A-01-01-02-009"/>
    <x v="0"/>
    <s v="01"/>
    <s v="01"/>
    <s v="02"/>
    <s v="009"/>
    <m/>
    <m/>
    <m/>
    <m/>
    <s v="Nación"/>
    <x v="0"/>
    <s v="CSF"/>
    <x v="16"/>
    <m/>
    <n v="5000000"/>
    <n v="0"/>
    <n v="5000000"/>
    <n v="0"/>
    <n v="0"/>
    <n v="0"/>
    <n v="0"/>
    <n v="0"/>
    <n v="0"/>
    <n v="0"/>
    <n v="0"/>
  </r>
  <r>
    <s v="04-03-00-005"/>
    <x v="3"/>
    <s v="A-01-01-03-001-001"/>
    <x v="0"/>
    <s v="01"/>
    <s v="01"/>
    <s v="03"/>
    <s v="001"/>
    <s v="001"/>
    <m/>
    <m/>
    <m/>
    <s v="Nación"/>
    <x v="0"/>
    <s v="CSF"/>
    <x v="17"/>
    <m/>
    <n v="25000000"/>
    <n v="0"/>
    <n v="0"/>
    <n v="25000000"/>
    <n v="0"/>
    <n v="17537427"/>
    <n v="7462573"/>
    <n v="17537427"/>
    <n v="17537427"/>
    <n v="17537427"/>
    <n v="17537427"/>
  </r>
  <r>
    <s v="04-03-00-005"/>
    <x v="3"/>
    <s v="A-01-01-03-001-002"/>
    <x v="0"/>
    <s v="01"/>
    <s v="01"/>
    <s v="03"/>
    <s v="001"/>
    <s v="002"/>
    <m/>
    <m/>
    <m/>
    <s v="Nación"/>
    <x v="0"/>
    <s v="CSF"/>
    <x v="18"/>
    <m/>
    <n v="0"/>
    <n v="14495678"/>
    <n v="0"/>
    <n v="14495678"/>
    <n v="0"/>
    <n v="13508558"/>
    <n v="987120"/>
    <n v="13508558"/>
    <n v="13508558"/>
    <n v="13508558"/>
    <n v="13508558"/>
  </r>
  <r>
    <s v="04-03-00-005"/>
    <x v="3"/>
    <s v="A-01-01-03-001-003"/>
    <x v="0"/>
    <s v="01"/>
    <s v="01"/>
    <s v="03"/>
    <s v="001"/>
    <s v="003"/>
    <m/>
    <m/>
    <m/>
    <s v="Nación"/>
    <x v="0"/>
    <s v="CSF"/>
    <x v="19"/>
    <m/>
    <n v="2000000"/>
    <n v="540000"/>
    <n v="0"/>
    <n v="2540000"/>
    <n v="0"/>
    <n v="2440173"/>
    <n v="99827"/>
    <n v="2440173"/>
    <n v="2440173"/>
    <n v="2440173"/>
    <n v="2440173"/>
  </r>
  <r>
    <s v="04-03-00-005"/>
    <x v="3"/>
    <s v="A-01-01-03-002"/>
    <x v="0"/>
    <s v="01"/>
    <s v="01"/>
    <s v="03"/>
    <s v="002"/>
    <m/>
    <m/>
    <m/>
    <m/>
    <s v="Nación"/>
    <x v="0"/>
    <s v="CSF"/>
    <x v="20"/>
    <m/>
    <n v="14000000"/>
    <n v="9129802"/>
    <n v="0"/>
    <n v="23129802"/>
    <n v="0"/>
    <n v="20678991"/>
    <n v="2450811"/>
    <n v="20678991"/>
    <n v="20678991"/>
    <n v="20678991"/>
    <n v="20678991"/>
  </r>
  <r>
    <s v="04-03-00-005"/>
    <x v="3"/>
    <s v="A-02-02-02-006-004"/>
    <x v="0"/>
    <s v="02"/>
    <s v="02"/>
    <s v="02"/>
    <s v="006"/>
    <s v="004"/>
    <m/>
    <m/>
    <m/>
    <s v="Propios"/>
    <x v="1"/>
    <s v="CSF"/>
    <x v="21"/>
    <m/>
    <n v="0"/>
    <n v="30000"/>
    <n v="30000"/>
    <n v="0"/>
    <n v="0"/>
    <n v="0"/>
    <n v="0"/>
    <n v="0"/>
    <n v="0"/>
    <n v="0"/>
    <n v="0"/>
  </r>
  <r>
    <s v="04-03-00-005"/>
    <x v="3"/>
    <s v="A-02-02-02-006-009"/>
    <x v="0"/>
    <s v="02"/>
    <s v="02"/>
    <s v="02"/>
    <s v="006"/>
    <s v="009"/>
    <m/>
    <m/>
    <m/>
    <s v="Nación"/>
    <x v="0"/>
    <s v="CSF"/>
    <x v="22"/>
    <m/>
    <n v="16000000"/>
    <n v="8929112"/>
    <n v="0"/>
    <n v="24929112"/>
    <n v="0"/>
    <n v="24876640"/>
    <n v="52472"/>
    <n v="22379402"/>
    <n v="22379402"/>
    <n v="22379402"/>
    <n v="22379402"/>
  </r>
  <r>
    <s v="04-03-00-005"/>
    <x v="3"/>
    <s v="A-02-02-02-007-002"/>
    <x v="0"/>
    <s v="02"/>
    <s v="02"/>
    <s v="02"/>
    <s v="007"/>
    <s v="002"/>
    <m/>
    <m/>
    <m/>
    <s v="Nación"/>
    <x v="0"/>
    <s v="CSF"/>
    <x v="30"/>
    <m/>
    <n v="57000000"/>
    <n v="12000"/>
    <n v="0"/>
    <n v="57012000"/>
    <n v="0"/>
    <n v="57012000"/>
    <n v="0"/>
    <n v="52261000"/>
    <n v="52261000"/>
    <n v="52261000"/>
    <n v="52261000"/>
  </r>
  <r>
    <s v="04-03-00-005"/>
    <x v="3"/>
    <s v="A-02-02-02-008-004"/>
    <x v="0"/>
    <s v="02"/>
    <s v="02"/>
    <s v="02"/>
    <s v="008"/>
    <s v="004"/>
    <m/>
    <m/>
    <m/>
    <s v="Nación"/>
    <x v="0"/>
    <s v="CSF"/>
    <x v="23"/>
    <m/>
    <n v="4000000"/>
    <n v="2114292"/>
    <n v="0"/>
    <n v="6114292"/>
    <n v="0"/>
    <n v="6114292"/>
    <n v="0"/>
    <n v="5563076"/>
    <n v="5563076"/>
    <n v="5563076"/>
    <n v="5563076"/>
  </r>
  <r>
    <s v="04-03-00-005"/>
    <x v="3"/>
    <s v="A-02-02-02-009-004"/>
    <x v="0"/>
    <s v="02"/>
    <s v="02"/>
    <s v="02"/>
    <s v="009"/>
    <s v="004"/>
    <m/>
    <m/>
    <m/>
    <s v="Nación"/>
    <x v="0"/>
    <s v="CSF"/>
    <x v="24"/>
    <m/>
    <n v="500000"/>
    <n v="0"/>
    <n v="500000"/>
    <n v="0"/>
    <n v="0"/>
    <n v="0"/>
    <n v="0"/>
    <n v="0"/>
    <n v="0"/>
    <n v="0"/>
    <n v="0"/>
  </r>
  <r>
    <s v="04-03-00-005"/>
    <x v="3"/>
    <s v="A-02-02-02-010"/>
    <x v="0"/>
    <s v="02"/>
    <s v="02"/>
    <s v="02"/>
    <s v="010"/>
    <m/>
    <m/>
    <m/>
    <m/>
    <s v="Nación"/>
    <x v="0"/>
    <s v="CSF"/>
    <x v="25"/>
    <m/>
    <n v="0"/>
    <n v="271546"/>
    <n v="0"/>
    <n v="271546"/>
    <n v="0"/>
    <n v="271546"/>
    <n v="0"/>
    <n v="271546"/>
    <n v="271546"/>
    <n v="271546"/>
    <n v="271546"/>
  </r>
  <r>
    <s v="04-03-00-005"/>
    <x v="3"/>
    <s v="A-03-04-02-012-001"/>
    <x v="0"/>
    <s v="03"/>
    <s v="04"/>
    <s v="02"/>
    <s v="012"/>
    <s v="001"/>
    <m/>
    <m/>
    <m/>
    <s v="Nación"/>
    <x v="0"/>
    <s v="CSF"/>
    <x v="26"/>
    <m/>
    <n v="0"/>
    <n v="867206"/>
    <n v="0"/>
    <n v="867206"/>
    <n v="0"/>
    <n v="756201"/>
    <n v="111005"/>
    <n v="756201"/>
    <n v="756201"/>
    <n v="756201"/>
    <n v="756201"/>
  </r>
  <r>
    <s v="04-03-00-005"/>
    <x v="3"/>
    <s v="A-08-01-02-001"/>
    <x v="0"/>
    <s v="08"/>
    <s v="01"/>
    <s v="02"/>
    <s v="001"/>
    <m/>
    <m/>
    <m/>
    <m/>
    <s v="Nación"/>
    <x v="0"/>
    <s v="CSF"/>
    <x v="27"/>
    <m/>
    <n v="0"/>
    <n v="8800000"/>
    <n v="258800"/>
    <n v="8541200"/>
    <n v="0"/>
    <n v="8541200"/>
    <n v="0"/>
    <n v="8541200"/>
    <n v="8541200"/>
    <n v="8541200"/>
    <n v="8541200"/>
  </r>
  <r>
    <s v="04-03-00-005"/>
    <x v="3"/>
    <s v="A-08-01-02-003"/>
    <x v="0"/>
    <s v="08"/>
    <s v="01"/>
    <s v="02"/>
    <s v="003"/>
    <m/>
    <m/>
    <m/>
    <m/>
    <s v="Propios"/>
    <x v="1"/>
    <s v="CSF"/>
    <x v="28"/>
    <m/>
    <n v="0"/>
    <n v="785114"/>
    <n v="158000"/>
    <n v="627114"/>
    <n v="0"/>
    <n v="627114"/>
    <n v="0"/>
    <n v="627114"/>
    <n v="627114"/>
    <n v="627114"/>
    <n v="627114"/>
  </r>
  <r>
    <s v="04-03-00-006"/>
    <x v="4"/>
    <s v="A-01-01-01-001-001"/>
    <x v="0"/>
    <s v="01"/>
    <s v="01"/>
    <s v="01"/>
    <s v="001"/>
    <s v="001"/>
    <m/>
    <m/>
    <m/>
    <s v="Nación"/>
    <x v="0"/>
    <s v="CSF"/>
    <x v="0"/>
    <m/>
    <n v="409000000"/>
    <n v="0"/>
    <n v="0"/>
    <n v="409000000"/>
    <n v="0"/>
    <n v="367800552"/>
    <n v="41199448"/>
    <n v="367800552"/>
    <n v="367800552"/>
    <n v="367800552"/>
    <n v="367800552"/>
  </r>
  <r>
    <s v="04-03-00-006"/>
    <x v="4"/>
    <s v="A-01-01-01-001-003"/>
    <x v="0"/>
    <s v="01"/>
    <s v="01"/>
    <s v="01"/>
    <s v="001"/>
    <s v="003"/>
    <m/>
    <m/>
    <m/>
    <s v="Nación"/>
    <x v="0"/>
    <s v="CSF"/>
    <x v="1"/>
    <m/>
    <n v="0"/>
    <n v="11000000"/>
    <n v="0"/>
    <n v="11000000"/>
    <n v="0"/>
    <n v="8366809"/>
    <n v="2633191"/>
    <n v="8366809"/>
    <n v="8366809"/>
    <n v="8366809"/>
    <n v="8366809"/>
  </r>
  <r>
    <s v="04-03-00-006"/>
    <x v="4"/>
    <s v="A-01-01-01-001-004"/>
    <x v="0"/>
    <s v="01"/>
    <s v="01"/>
    <s v="01"/>
    <s v="001"/>
    <s v="004"/>
    <m/>
    <m/>
    <m/>
    <s v="Nación"/>
    <x v="0"/>
    <s v="CSF"/>
    <x v="2"/>
    <m/>
    <n v="5000000"/>
    <n v="0"/>
    <n v="0"/>
    <n v="5000000"/>
    <n v="0"/>
    <n v="4967303"/>
    <n v="32697"/>
    <n v="4967303"/>
    <n v="4967303"/>
    <n v="4967303"/>
    <n v="4967303"/>
  </r>
  <r>
    <s v="04-03-00-006"/>
    <x v="4"/>
    <s v="A-01-01-01-001-005"/>
    <x v="0"/>
    <s v="01"/>
    <s v="01"/>
    <s v="01"/>
    <s v="001"/>
    <s v="005"/>
    <m/>
    <m/>
    <m/>
    <s v="Nación"/>
    <x v="0"/>
    <s v="CSF"/>
    <x v="3"/>
    <m/>
    <n v="2712000"/>
    <n v="1680000"/>
    <n v="2712000"/>
    <n v="1680000"/>
    <n v="0"/>
    <n v="518076"/>
    <n v="1161924"/>
    <n v="518076"/>
    <n v="518076"/>
    <n v="518076"/>
    <n v="518076"/>
  </r>
  <r>
    <s v="04-03-00-006"/>
    <x v="4"/>
    <s v="A-01-01-01-001-006"/>
    <x v="0"/>
    <s v="01"/>
    <s v="01"/>
    <s v="01"/>
    <s v="001"/>
    <s v="006"/>
    <m/>
    <m/>
    <m/>
    <s v="Nación"/>
    <x v="0"/>
    <s v="CSF"/>
    <x v="4"/>
    <m/>
    <n v="39000000"/>
    <n v="2423266"/>
    <n v="0"/>
    <n v="41423266"/>
    <n v="0"/>
    <n v="41423226"/>
    <n v="40"/>
    <n v="41423226"/>
    <n v="41423226"/>
    <n v="41423226"/>
    <n v="41423226"/>
  </r>
  <r>
    <s v="04-03-00-006"/>
    <x v="4"/>
    <s v="A-01-01-01-001-007"/>
    <x v="0"/>
    <s v="01"/>
    <s v="01"/>
    <s v="01"/>
    <s v="001"/>
    <s v="007"/>
    <m/>
    <m/>
    <m/>
    <s v="Nación"/>
    <x v="0"/>
    <s v="CSF"/>
    <x v="5"/>
    <m/>
    <n v="14000000"/>
    <n v="6268331"/>
    <n v="4536000"/>
    <n v="15732331"/>
    <n v="0"/>
    <n v="14921669"/>
    <n v="810662"/>
    <n v="14921669"/>
    <n v="14921669"/>
    <n v="14921669"/>
    <n v="14921669"/>
  </r>
  <r>
    <s v="04-03-00-006"/>
    <x v="4"/>
    <s v="A-01-01-01-001-009"/>
    <x v="0"/>
    <s v="01"/>
    <s v="01"/>
    <s v="01"/>
    <s v="001"/>
    <s v="009"/>
    <m/>
    <m/>
    <m/>
    <s v="Nación"/>
    <x v="0"/>
    <s v="CSF"/>
    <x v="6"/>
    <m/>
    <n v="50000000"/>
    <n v="0"/>
    <n v="5470218"/>
    <n v="44529782"/>
    <n v="0"/>
    <n v="44529782"/>
    <n v="0"/>
    <n v="44529782"/>
    <n v="44529782"/>
    <n v="44529782"/>
    <n v="44529782"/>
  </r>
  <r>
    <s v="04-03-00-006"/>
    <x v="4"/>
    <s v="A-01-01-01-001-010"/>
    <x v="0"/>
    <s v="01"/>
    <s v="01"/>
    <s v="01"/>
    <s v="001"/>
    <s v="010"/>
    <m/>
    <m/>
    <m/>
    <s v="Nación"/>
    <x v="0"/>
    <s v="CSF"/>
    <x v="7"/>
    <m/>
    <n v="15000000"/>
    <n v="22500000"/>
    <n v="0"/>
    <n v="37500000"/>
    <n v="0"/>
    <n v="34409655"/>
    <n v="3090345"/>
    <n v="34409655"/>
    <n v="34409655"/>
    <n v="34409655"/>
    <n v="34409655"/>
  </r>
  <r>
    <s v="04-03-00-006"/>
    <x v="4"/>
    <s v="A-01-01-01-001-012"/>
    <x v="0"/>
    <s v="01"/>
    <s v="01"/>
    <s v="01"/>
    <s v="001"/>
    <s v="012"/>
    <m/>
    <m/>
    <m/>
    <s v="Nación"/>
    <x v="0"/>
    <s v="CSF"/>
    <x v="8"/>
    <m/>
    <n v="3000000"/>
    <n v="4860000"/>
    <n v="2317296"/>
    <n v="5542704"/>
    <n v="0"/>
    <n v="5542704"/>
    <n v="0"/>
    <n v="5542704"/>
    <n v="5542704"/>
    <n v="5542704"/>
    <n v="5542704"/>
  </r>
  <r>
    <s v="04-03-00-006"/>
    <x v="4"/>
    <s v="A-01-01-02-001"/>
    <x v="0"/>
    <s v="01"/>
    <s v="01"/>
    <s v="02"/>
    <s v="001"/>
    <m/>
    <m/>
    <m/>
    <m/>
    <s v="Nación"/>
    <x v="0"/>
    <s v="CSF"/>
    <x v="9"/>
    <m/>
    <n v="50000000"/>
    <n v="2000000"/>
    <n v="0"/>
    <n v="52000000"/>
    <n v="0"/>
    <n v="48596600"/>
    <n v="3403400"/>
    <n v="48596600"/>
    <n v="48596600"/>
    <n v="48596600"/>
    <n v="48596600"/>
  </r>
  <r>
    <s v="04-03-00-006"/>
    <x v="4"/>
    <s v="A-01-01-02-002"/>
    <x v="0"/>
    <s v="01"/>
    <s v="01"/>
    <s v="02"/>
    <s v="002"/>
    <m/>
    <m/>
    <m/>
    <m/>
    <s v="Nación"/>
    <x v="0"/>
    <s v="CSF"/>
    <x v="10"/>
    <m/>
    <n v="37000000"/>
    <n v="620000"/>
    <n v="0"/>
    <n v="37620000"/>
    <n v="0"/>
    <n v="34324400"/>
    <n v="3295600"/>
    <n v="34324400"/>
    <n v="34324400"/>
    <n v="34324400"/>
    <n v="34324400"/>
  </r>
  <r>
    <s v="04-03-00-006"/>
    <x v="4"/>
    <s v="A-01-01-02-004"/>
    <x v="0"/>
    <s v="01"/>
    <s v="01"/>
    <s v="02"/>
    <s v="004"/>
    <m/>
    <m/>
    <m/>
    <m/>
    <s v="Nación"/>
    <x v="0"/>
    <s v="CSF"/>
    <x v="11"/>
    <m/>
    <n v="22000000"/>
    <n v="1000000"/>
    <n v="0"/>
    <n v="23000000"/>
    <n v="0"/>
    <n v="20646500"/>
    <n v="2353500"/>
    <n v="20646500"/>
    <n v="20646500"/>
    <n v="20646500"/>
    <n v="20646500"/>
  </r>
  <r>
    <s v="04-03-00-006"/>
    <x v="4"/>
    <s v="A-01-01-02-005"/>
    <x v="0"/>
    <s v="01"/>
    <s v="01"/>
    <s v="02"/>
    <s v="005"/>
    <m/>
    <m/>
    <m/>
    <m/>
    <s v="Nación"/>
    <x v="0"/>
    <s v="CSF"/>
    <x v="12"/>
    <m/>
    <n v="5000000"/>
    <n v="1000000"/>
    <n v="0"/>
    <n v="6000000"/>
    <n v="0"/>
    <n v="5052900"/>
    <n v="947100"/>
    <n v="5052900"/>
    <n v="5052900"/>
    <n v="5052900"/>
    <n v="5052900"/>
  </r>
  <r>
    <s v="04-03-00-006"/>
    <x v="4"/>
    <s v="A-01-01-02-006"/>
    <x v="0"/>
    <s v="01"/>
    <s v="01"/>
    <s v="02"/>
    <s v="006"/>
    <m/>
    <m/>
    <m/>
    <m/>
    <s v="Nación"/>
    <x v="0"/>
    <s v="CSF"/>
    <x v="13"/>
    <m/>
    <n v="16000000"/>
    <n v="500000"/>
    <n v="0"/>
    <n v="16500000"/>
    <n v="0"/>
    <n v="15486000"/>
    <n v="1014000"/>
    <n v="15486000"/>
    <n v="15486000"/>
    <n v="15486000"/>
    <n v="15486000"/>
  </r>
  <r>
    <s v="04-03-00-006"/>
    <x v="4"/>
    <s v="A-01-01-02-007"/>
    <x v="0"/>
    <s v="01"/>
    <s v="01"/>
    <s v="02"/>
    <s v="007"/>
    <m/>
    <m/>
    <m/>
    <m/>
    <s v="Nación"/>
    <x v="0"/>
    <s v="CSF"/>
    <x v="14"/>
    <m/>
    <n v="2500000"/>
    <n v="8180000"/>
    <n v="0"/>
    <n v="10680000"/>
    <n v="0"/>
    <n v="10327600"/>
    <n v="352400"/>
    <n v="10327600"/>
    <n v="10327600"/>
    <n v="10327600"/>
    <n v="10327600"/>
  </r>
  <r>
    <s v="04-03-00-006"/>
    <x v="4"/>
    <s v="A-01-01-02-008"/>
    <x v="0"/>
    <s v="01"/>
    <s v="01"/>
    <s v="02"/>
    <s v="008"/>
    <m/>
    <m/>
    <m/>
    <m/>
    <s v="Nación"/>
    <x v="0"/>
    <s v="CSF"/>
    <x v="15"/>
    <m/>
    <n v="2500000"/>
    <n v="0"/>
    <n v="2500000"/>
    <n v="0"/>
    <n v="0"/>
    <n v="0"/>
    <n v="0"/>
    <n v="0"/>
    <n v="0"/>
    <n v="0"/>
    <n v="0"/>
  </r>
  <r>
    <s v="04-03-00-006"/>
    <x v="4"/>
    <s v="A-01-01-02-009"/>
    <x v="0"/>
    <s v="01"/>
    <s v="01"/>
    <s v="02"/>
    <s v="009"/>
    <m/>
    <m/>
    <m/>
    <m/>
    <s v="Nación"/>
    <x v="0"/>
    <s v="CSF"/>
    <x v="16"/>
    <m/>
    <n v="5000000"/>
    <n v="0"/>
    <n v="5000000"/>
    <n v="0"/>
    <n v="0"/>
    <n v="0"/>
    <n v="0"/>
    <n v="0"/>
    <n v="0"/>
    <n v="0"/>
    <n v="0"/>
  </r>
  <r>
    <s v="04-03-00-006"/>
    <x v="4"/>
    <s v="A-01-01-03-001-001"/>
    <x v="0"/>
    <s v="01"/>
    <s v="01"/>
    <s v="03"/>
    <s v="001"/>
    <s v="001"/>
    <m/>
    <m/>
    <m/>
    <s v="Nación"/>
    <x v="0"/>
    <s v="CSF"/>
    <x v="17"/>
    <m/>
    <n v="19000000"/>
    <n v="4000000"/>
    <n v="0"/>
    <n v="23000000"/>
    <n v="0"/>
    <n v="21510106"/>
    <n v="1489894"/>
    <n v="21510106"/>
    <n v="21510106"/>
    <n v="21510106"/>
    <n v="21510106"/>
  </r>
  <r>
    <s v="04-03-00-006"/>
    <x v="4"/>
    <s v="A-01-01-03-001-002"/>
    <x v="0"/>
    <s v="01"/>
    <s v="01"/>
    <s v="03"/>
    <s v="001"/>
    <s v="002"/>
    <m/>
    <m/>
    <m/>
    <s v="Nación"/>
    <x v="0"/>
    <s v="CSF"/>
    <x v="18"/>
    <m/>
    <n v="0"/>
    <n v="18704000"/>
    <n v="380756"/>
    <n v="18323244"/>
    <n v="0"/>
    <n v="18323244"/>
    <n v="0"/>
    <n v="18323244"/>
    <n v="18323244"/>
    <n v="18323244"/>
    <n v="18323244"/>
  </r>
  <r>
    <s v="04-03-00-006"/>
    <x v="4"/>
    <s v="A-01-01-03-001-003"/>
    <x v="0"/>
    <s v="01"/>
    <s v="01"/>
    <s v="03"/>
    <s v="001"/>
    <s v="003"/>
    <m/>
    <m/>
    <m/>
    <s v="Nación"/>
    <x v="0"/>
    <s v="CSF"/>
    <x v="19"/>
    <m/>
    <n v="1000000"/>
    <n v="2600000"/>
    <n v="0"/>
    <n v="3600000"/>
    <n v="0"/>
    <n v="3129754"/>
    <n v="470246"/>
    <n v="3129754"/>
    <n v="3129754"/>
    <n v="3129754"/>
    <n v="3129754"/>
  </r>
  <r>
    <s v="04-03-00-006"/>
    <x v="4"/>
    <s v="A-01-01-03-002"/>
    <x v="0"/>
    <s v="01"/>
    <s v="01"/>
    <s v="03"/>
    <s v="002"/>
    <m/>
    <m/>
    <m/>
    <m/>
    <s v="Nación"/>
    <x v="0"/>
    <s v="CSF"/>
    <x v="20"/>
    <m/>
    <n v="29000000"/>
    <n v="0"/>
    <n v="10028522"/>
    <n v="18971478"/>
    <n v="0"/>
    <n v="18971478"/>
    <n v="0"/>
    <n v="18971478"/>
    <n v="18971478"/>
    <n v="18971478"/>
    <n v="18971478"/>
  </r>
  <r>
    <s v="04-03-00-006"/>
    <x v="4"/>
    <s v="A-02-02-02-006-004"/>
    <x v="0"/>
    <s v="02"/>
    <s v="02"/>
    <s v="02"/>
    <s v="006"/>
    <s v="004"/>
    <m/>
    <m/>
    <m/>
    <s v="Propios"/>
    <x v="1"/>
    <s v="CSF"/>
    <x v="21"/>
    <m/>
    <n v="0"/>
    <n v="889000"/>
    <n v="68000"/>
    <n v="821000"/>
    <n v="0"/>
    <n v="821000"/>
    <n v="0"/>
    <n v="821000"/>
    <n v="821000"/>
    <n v="821000"/>
    <n v="821000"/>
  </r>
  <r>
    <s v="04-03-00-006"/>
    <x v="4"/>
    <s v="A-02-02-02-006-009"/>
    <x v="0"/>
    <s v="02"/>
    <s v="02"/>
    <s v="02"/>
    <s v="006"/>
    <s v="009"/>
    <m/>
    <m/>
    <m/>
    <s v="Nación"/>
    <x v="0"/>
    <s v="CSF"/>
    <x v="22"/>
    <m/>
    <n v="20500000"/>
    <n v="7000000"/>
    <n v="847000"/>
    <n v="26653000"/>
    <n v="0"/>
    <n v="23962323"/>
    <n v="2690677"/>
    <n v="23962323"/>
    <n v="23962323"/>
    <n v="23962323"/>
    <n v="23962323"/>
  </r>
  <r>
    <s v="04-03-00-006"/>
    <x v="4"/>
    <s v="A-02-02-02-008-004"/>
    <x v="0"/>
    <s v="02"/>
    <s v="02"/>
    <s v="02"/>
    <s v="008"/>
    <s v="004"/>
    <m/>
    <m/>
    <m/>
    <s v="Nación"/>
    <x v="0"/>
    <s v="CSF"/>
    <x v="23"/>
    <m/>
    <n v="0"/>
    <n v="597000"/>
    <n v="597000"/>
    <n v="0"/>
    <n v="0"/>
    <n v="0"/>
    <n v="0"/>
    <n v="0"/>
    <n v="0"/>
    <n v="0"/>
    <n v="0"/>
  </r>
  <r>
    <s v="04-03-00-006"/>
    <x v="4"/>
    <s v="A-02-02-02-009-004"/>
    <x v="0"/>
    <s v="02"/>
    <s v="02"/>
    <s v="02"/>
    <s v="009"/>
    <s v="004"/>
    <m/>
    <m/>
    <m/>
    <s v="Nación"/>
    <x v="0"/>
    <s v="CSF"/>
    <x v="24"/>
    <m/>
    <n v="500000"/>
    <n v="797000"/>
    <n v="0"/>
    <n v="1297000"/>
    <n v="0"/>
    <n v="993675"/>
    <n v="303325"/>
    <n v="993675"/>
    <n v="993675"/>
    <n v="993675"/>
    <n v="993675"/>
  </r>
  <r>
    <s v="04-03-00-006"/>
    <x v="4"/>
    <s v="A-02-02-02-010"/>
    <x v="0"/>
    <s v="02"/>
    <s v="02"/>
    <s v="02"/>
    <s v="010"/>
    <m/>
    <m/>
    <m/>
    <m/>
    <s v="Nación"/>
    <x v="0"/>
    <s v="CSF"/>
    <x v="25"/>
    <m/>
    <n v="0"/>
    <n v="1826501"/>
    <n v="360106"/>
    <n v="1466395"/>
    <n v="0"/>
    <n v="1466395"/>
    <n v="0"/>
    <n v="1466395"/>
    <n v="1466395"/>
    <n v="1466395"/>
    <n v="1466395"/>
  </r>
  <r>
    <s v="04-03-00-006"/>
    <x v="4"/>
    <s v="A-02-02-02-010"/>
    <x v="0"/>
    <s v="02"/>
    <s v="02"/>
    <s v="02"/>
    <s v="010"/>
    <m/>
    <m/>
    <m/>
    <m/>
    <s v="Propios"/>
    <x v="1"/>
    <s v="CSF"/>
    <x v="25"/>
    <m/>
    <n v="0"/>
    <n v="990292"/>
    <n v="810239"/>
    <n v="180053"/>
    <n v="0"/>
    <n v="180053"/>
    <n v="0"/>
    <n v="180053"/>
    <n v="180053"/>
    <n v="180053"/>
    <n v="180053"/>
  </r>
  <r>
    <s v="04-03-00-006"/>
    <x v="4"/>
    <s v="A-03-04-02-012-001"/>
    <x v="0"/>
    <s v="03"/>
    <s v="04"/>
    <s v="02"/>
    <s v="012"/>
    <s v="001"/>
    <m/>
    <m/>
    <m/>
    <s v="Nación"/>
    <x v="0"/>
    <s v="CSF"/>
    <x v="26"/>
    <m/>
    <n v="0"/>
    <n v="6531000"/>
    <n v="0"/>
    <n v="6531000"/>
    <n v="0"/>
    <n v="3480522"/>
    <n v="3050478"/>
    <n v="3480522"/>
    <n v="3480522"/>
    <n v="3480522"/>
    <n v="3480522"/>
  </r>
  <r>
    <s v="04-03-00-006"/>
    <x v="4"/>
    <s v="A-08-01-02-001"/>
    <x v="0"/>
    <s v="08"/>
    <s v="01"/>
    <s v="02"/>
    <s v="001"/>
    <m/>
    <m/>
    <m/>
    <m/>
    <s v="Nación"/>
    <x v="0"/>
    <s v="CSF"/>
    <x v="27"/>
    <m/>
    <n v="0"/>
    <n v="8793814"/>
    <n v="0"/>
    <n v="8793814"/>
    <n v="0"/>
    <n v="8793814"/>
    <n v="0"/>
    <n v="8793814"/>
    <n v="8793814"/>
    <n v="8793814"/>
    <n v="8793814"/>
  </r>
  <r>
    <s v="04-03-00-006"/>
    <x v="4"/>
    <s v="A-08-01-02-003"/>
    <x v="0"/>
    <s v="08"/>
    <s v="01"/>
    <s v="02"/>
    <s v="003"/>
    <m/>
    <m/>
    <m/>
    <m/>
    <s v="Propios"/>
    <x v="1"/>
    <s v="CSF"/>
    <x v="28"/>
    <m/>
    <n v="0"/>
    <n v="132000"/>
    <n v="0"/>
    <n v="132000"/>
    <n v="0"/>
    <n v="132000"/>
    <n v="0"/>
    <n v="132000"/>
    <n v="132000"/>
    <n v="132000"/>
    <n v="132000"/>
  </r>
  <r>
    <s v="04-03-00-007"/>
    <x v="5"/>
    <s v="A-01-01-01-001-001"/>
    <x v="0"/>
    <s v="01"/>
    <s v="01"/>
    <s v="01"/>
    <s v="001"/>
    <s v="001"/>
    <m/>
    <m/>
    <m/>
    <s v="Nación"/>
    <x v="0"/>
    <s v="CSF"/>
    <x v="0"/>
    <m/>
    <n v="506000000"/>
    <n v="0"/>
    <n v="0"/>
    <n v="506000000"/>
    <n v="0"/>
    <n v="383651910"/>
    <n v="122348090"/>
    <n v="383651910"/>
    <n v="383651910"/>
    <n v="383651910"/>
    <n v="383651910"/>
  </r>
  <r>
    <s v="04-03-00-007"/>
    <x v="5"/>
    <s v="A-01-01-01-001-004"/>
    <x v="0"/>
    <s v="01"/>
    <s v="01"/>
    <s v="01"/>
    <s v="001"/>
    <s v="004"/>
    <m/>
    <m/>
    <m/>
    <s v="Nación"/>
    <x v="0"/>
    <s v="CSF"/>
    <x v="2"/>
    <m/>
    <n v="11640000"/>
    <n v="0"/>
    <n v="0"/>
    <n v="11640000"/>
    <n v="0"/>
    <n v="8233763"/>
    <n v="3406237"/>
    <n v="8233763"/>
    <n v="8233763"/>
    <n v="8233763"/>
    <n v="8233763"/>
  </r>
  <r>
    <s v="04-03-00-007"/>
    <x v="5"/>
    <s v="A-01-01-01-001-005"/>
    <x v="0"/>
    <s v="01"/>
    <s v="01"/>
    <s v="01"/>
    <s v="001"/>
    <s v="005"/>
    <m/>
    <m/>
    <m/>
    <s v="Nación"/>
    <x v="0"/>
    <s v="CSF"/>
    <x v="3"/>
    <m/>
    <n v="7852000"/>
    <n v="2600000"/>
    <n v="7852000"/>
    <n v="2600000"/>
    <n v="0"/>
    <n v="1958754"/>
    <n v="641246"/>
    <n v="1958754"/>
    <n v="1958754"/>
    <n v="1958754"/>
    <n v="1958754"/>
  </r>
  <r>
    <s v="04-03-00-007"/>
    <x v="5"/>
    <s v="A-01-01-01-001-006"/>
    <x v="0"/>
    <s v="01"/>
    <s v="01"/>
    <s v="01"/>
    <s v="001"/>
    <s v="006"/>
    <m/>
    <m/>
    <m/>
    <s v="Nación"/>
    <x v="0"/>
    <s v="CSF"/>
    <x v="4"/>
    <m/>
    <n v="57000000"/>
    <n v="942500"/>
    <n v="17737340"/>
    <n v="40205160"/>
    <n v="0"/>
    <n v="40199839"/>
    <n v="5321"/>
    <n v="40199839"/>
    <n v="40199839"/>
    <n v="40199839"/>
    <n v="40199839"/>
  </r>
  <r>
    <s v="04-03-00-007"/>
    <x v="5"/>
    <s v="A-01-01-01-001-007"/>
    <x v="0"/>
    <s v="01"/>
    <s v="01"/>
    <s v="01"/>
    <s v="001"/>
    <s v="007"/>
    <m/>
    <m/>
    <m/>
    <s v="Nación"/>
    <x v="0"/>
    <s v="CSF"/>
    <x v="5"/>
    <m/>
    <n v="21000000"/>
    <n v="0"/>
    <n v="0"/>
    <n v="21000000"/>
    <n v="0"/>
    <n v="11840143"/>
    <n v="9159857"/>
    <n v="11840143"/>
    <n v="11840143"/>
    <n v="11840143"/>
    <n v="11840143"/>
  </r>
  <r>
    <s v="04-03-00-007"/>
    <x v="5"/>
    <s v="A-01-01-01-001-009"/>
    <x v="0"/>
    <s v="01"/>
    <s v="01"/>
    <s v="01"/>
    <s v="001"/>
    <s v="009"/>
    <m/>
    <m/>
    <m/>
    <s v="Nación"/>
    <x v="0"/>
    <s v="CSF"/>
    <x v="6"/>
    <m/>
    <n v="59000000"/>
    <n v="0"/>
    <n v="0"/>
    <n v="59000000"/>
    <n v="0"/>
    <n v="49962412"/>
    <n v="9037588"/>
    <n v="49962412"/>
    <n v="49962412"/>
    <n v="49962412"/>
    <n v="49962412"/>
  </r>
  <r>
    <s v="04-03-00-007"/>
    <x v="5"/>
    <s v="A-01-01-01-001-010"/>
    <x v="0"/>
    <s v="01"/>
    <s v="01"/>
    <s v="01"/>
    <s v="001"/>
    <s v="010"/>
    <m/>
    <m/>
    <m/>
    <s v="Nación"/>
    <x v="0"/>
    <s v="CSF"/>
    <x v="7"/>
    <m/>
    <n v="38000000"/>
    <n v="1000000"/>
    <n v="0"/>
    <n v="39000000"/>
    <n v="0"/>
    <n v="32297272"/>
    <n v="6702728"/>
    <n v="32297272"/>
    <n v="32297272"/>
    <n v="32297272"/>
    <n v="32297272"/>
  </r>
  <r>
    <s v="04-03-00-007"/>
    <x v="5"/>
    <s v="A-01-01-01-001-012"/>
    <x v="0"/>
    <s v="01"/>
    <s v="01"/>
    <s v="01"/>
    <s v="001"/>
    <s v="012"/>
    <m/>
    <m/>
    <m/>
    <s v="Nación"/>
    <x v="0"/>
    <s v="CSF"/>
    <x v="8"/>
    <m/>
    <n v="8000000"/>
    <n v="1120000"/>
    <n v="46569"/>
    <n v="9073431"/>
    <n v="0"/>
    <n v="9073431"/>
    <n v="0"/>
    <n v="9073431"/>
    <n v="9073431"/>
    <n v="9073431"/>
    <n v="9073431"/>
  </r>
  <r>
    <s v="04-03-00-007"/>
    <x v="5"/>
    <s v="A-01-01-02-001"/>
    <x v="0"/>
    <s v="01"/>
    <s v="01"/>
    <s v="02"/>
    <s v="001"/>
    <m/>
    <m/>
    <m/>
    <m/>
    <s v="Nación"/>
    <x v="0"/>
    <s v="CSF"/>
    <x v="9"/>
    <m/>
    <n v="60000000"/>
    <n v="0"/>
    <n v="0"/>
    <n v="60000000"/>
    <n v="0"/>
    <n v="50378600"/>
    <n v="9621400"/>
    <n v="50378600"/>
    <n v="50378600"/>
    <n v="50378600"/>
    <n v="50378600"/>
  </r>
  <r>
    <s v="04-03-00-007"/>
    <x v="5"/>
    <s v="A-01-01-02-002"/>
    <x v="0"/>
    <s v="01"/>
    <s v="01"/>
    <s v="02"/>
    <s v="002"/>
    <m/>
    <m/>
    <m/>
    <m/>
    <s v="Nación"/>
    <x v="0"/>
    <s v="CSF"/>
    <x v="10"/>
    <m/>
    <n v="48000000"/>
    <n v="0"/>
    <n v="0"/>
    <n v="48000000"/>
    <n v="0"/>
    <n v="35685100"/>
    <n v="12314900"/>
    <n v="35685100"/>
    <n v="35685100"/>
    <n v="35685100"/>
    <n v="35685100"/>
  </r>
  <r>
    <s v="04-03-00-007"/>
    <x v="5"/>
    <s v="A-01-01-02-004"/>
    <x v="0"/>
    <s v="01"/>
    <s v="01"/>
    <s v="02"/>
    <s v="004"/>
    <m/>
    <m/>
    <m/>
    <m/>
    <s v="Nación"/>
    <x v="0"/>
    <s v="CSF"/>
    <x v="11"/>
    <m/>
    <n v="28000000"/>
    <n v="0"/>
    <n v="0"/>
    <n v="28000000"/>
    <n v="0"/>
    <n v="19771900"/>
    <n v="8228100"/>
    <n v="19771900"/>
    <n v="19771900"/>
    <n v="19771900"/>
    <n v="19771900"/>
  </r>
  <r>
    <s v="04-03-00-007"/>
    <x v="5"/>
    <s v="A-01-01-02-005"/>
    <x v="0"/>
    <s v="01"/>
    <s v="01"/>
    <s v="02"/>
    <s v="005"/>
    <m/>
    <m/>
    <m/>
    <m/>
    <s v="Nación"/>
    <x v="0"/>
    <s v="CSF"/>
    <x v="12"/>
    <m/>
    <n v="8000000"/>
    <n v="0"/>
    <n v="0"/>
    <n v="8000000"/>
    <n v="0"/>
    <n v="6183500"/>
    <n v="1816500"/>
    <n v="6183500"/>
    <n v="6183500"/>
    <n v="6183500"/>
    <n v="6183500"/>
  </r>
  <r>
    <s v="04-03-00-007"/>
    <x v="5"/>
    <s v="A-01-01-02-006"/>
    <x v="0"/>
    <s v="01"/>
    <s v="01"/>
    <s v="02"/>
    <s v="006"/>
    <m/>
    <m/>
    <m/>
    <m/>
    <s v="Nación"/>
    <x v="0"/>
    <s v="CSF"/>
    <x v="13"/>
    <m/>
    <n v="21000000"/>
    <n v="0"/>
    <n v="0"/>
    <n v="21000000"/>
    <n v="0"/>
    <n v="15087200"/>
    <n v="5912800"/>
    <n v="15087200"/>
    <n v="15087200"/>
    <n v="15087200"/>
    <n v="15087200"/>
  </r>
  <r>
    <s v="04-03-00-007"/>
    <x v="5"/>
    <s v="A-01-01-02-007"/>
    <x v="0"/>
    <s v="01"/>
    <s v="01"/>
    <s v="02"/>
    <s v="007"/>
    <m/>
    <m/>
    <m/>
    <m/>
    <s v="Nación"/>
    <x v="0"/>
    <s v="CSF"/>
    <x v="14"/>
    <m/>
    <n v="3000000"/>
    <n v="9000000"/>
    <n v="0"/>
    <n v="12000000"/>
    <n v="0"/>
    <n v="10061600"/>
    <n v="1938400"/>
    <n v="10061600"/>
    <n v="10061600"/>
    <n v="10061600"/>
    <n v="10061600"/>
  </r>
  <r>
    <s v="04-03-00-007"/>
    <x v="5"/>
    <s v="A-01-01-02-008"/>
    <x v="0"/>
    <s v="01"/>
    <s v="01"/>
    <s v="02"/>
    <s v="008"/>
    <m/>
    <m/>
    <m/>
    <m/>
    <s v="Nación"/>
    <x v="0"/>
    <s v="CSF"/>
    <x v="15"/>
    <m/>
    <n v="3000000"/>
    <n v="0"/>
    <n v="3000000"/>
    <n v="0"/>
    <n v="0"/>
    <n v="0"/>
    <n v="0"/>
    <n v="0"/>
    <n v="0"/>
    <n v="0"/>
    <n v="0"/>
  </r>
  <r>
    <s v="04-03-00-007"/>
    <x v="5"/>
    <s v="A-01-01-02-009"/>
    <x v="0"/>
    <s v="01"/>
    <s v="01"/>
    <s v="02"/>
    <s v="009"/>
    <m/>
    <m/>
    <m/>
    <m/>
    <s v="Nación"/>
    <x v="0"/>
    <s v="CSF"/>
    <x v="16"/>
    <m/>
    <n v="6000000"/>
    <n v="0"/>
    <n v="6000000"/>
    <n v="0"/>
    <n v="0"/>
    <n v="0"/>
    <n v="0"/>
    <n v="0"/>
    <n v="0"/>
    <n v="0"/>
    <n v="0"/>
  </r>
  <r>
    <s v="04-03-00-007"/>
    <x v="5"/>
    <s v="A-01-01-03-001-001"/>
    <x v="0"/>
    <s v="01"/>
    <s v="01"/>
    <s v="03"/>
    <s v="001"/>
    <s v="001"/>
    <m/>
    <m/>
    <m/>
    <s v="Nación"/>
    <x v="0"/>
    <s v="CSF"/>
    <x v="17"/>
    <m/>
    <n v="35000000"/>
    <n v="0"/>
    <n v="0"/>
    <n v="35000000"/>
    <n v="0"/>
    <n v="21299614"/>
    <n v="13700386"/>
    <n v="21299614"/>
    <n v="21299614"/>
    <n v="21299614"/>
    <n v="21299614"/>
  </r>
  <r>
    <s v="04-03-00-007"/>
    <x v="5"/>
    <s v="A-01-01-03-001-002"/>
    <x v="0"/>
    <s v="01"/>
    <s v="01"/>
    <s v="03"/>
    <s v="001"/>
    <s v="002"/>
    <m/>
    <m/>
    <m/>
    <s v="Nación"/>
    <x v="0"/>
    <s v="CSF"/>
    <x v="18"/>
    <m/>
    <n v="0"/>
    <n v="13173258"/>
    <n v="0"/>
    <n v="13173258"/>
    <n v="0"/>
    <n v="12600042"/>
    <n v="573216"/>
    <n v="12600042"/>
    <n v="12600042"/>
    <n v="12600042"/>
    <n v="12600042"/>
  </r>
  <r>
    <s v="04-03-00-007"/>
    <x v="5"/>
    <s v="A-01-01-03-001-003"/>
    <x v="0"/>
    <s v="01"/>
    <s v="01"/>
    <s v="03"/>
    <s v="001"/>
    <s v="003"/>
    <m/>
    <m/>
    <m/>
    <s v="Nación"/>
    <x v="0"/>
    <s v="CSF"/>
    <x v="19"/>
    <m/>
    <n v="3000000"/>
    <n v="0"/>
    <n v="0"/>
    <n v="3000000"/>
    <n v="0"/>
    <n v="2696971"/>
    <n v="303029"/>
    <n v="2696971"/>
    <n v="2696971"/>
    <n v="2696971"/>
    <n v="2696971"/>
  </r>
  <r>
    <s v="04-03-00-007"/>
    <x v="5"/>
    <s v="A-01-01-03-002"/>
    <x v="0"/>
    <s v="01"/>
    <s v="01"/>
    <s v="03"/>
    <s v="002"/>
    <m/>
    <m/>
    <m/>
    <m/>
    <s v="Nación"/>
    <x v="0"/>
    <s v="CSF"/>
    <x v="20"/>
    <m/>
    <n v="25000000"/>
    <n v="0"/>
    <n v="0"/>
    <n v="25000000"/>
    <n v="0"/>
    <n v="0"/>
    <n v="25000000"/>
    <n v="0"/>
    <n v="0"/>
    <n v="0"/>
    <n v="0"/>
  </r>
  <r>
    <s v="04-03-00-007"/>
    <x v="5"/>
    <s v="A-02-02-01-003-003"/>
    <x v="0"/>
    <s v="02"/>
    <s v="02"/>
    <s v="01"/>
    <s v="003"/>
    <s v="003"/>
    <m/>
    <m/>
    <m/>
    <s v="Nación"/>
    <x v="0"/>
    <s v="CSF"/>
    <x v="32"/>
    <m/>
    <n v="0"/>
    <n v="1157000"/>
    <n v="257000"/>
    <n v="900000"/>
    <n v="0"/>
    <n v="900000"/>
    <n v="0"/>
    <n v="0"/>
    <n v="0"/>
    <n v="0"/>
    <n v="0"/>
  </r>
  <r>
    <s v="04-03-00-007"/>
    <x v="5"/>
    <s v="A-02-02-02-006-004"/>
    <x v="0"/>
    <s v="02"/>
    <s v="02"/>
    <s v="02"/>
    <s v="006"/>
    <s v="004"/>
    <m/>
    <m/>
    <m/>
    <s v="Propios"/>
    <x v="1"/>
    <s v="CSF"/>
    <x v="21"/>
    <m/>
    <n v="0"/>
    <n v="630000"/>
    <n v="120200"/>
    <n v="509800"/>
    <n v="0"/>
    <n v="509800"/>
    <n v="0"/>
    <n v="509800"/>
    <n v="509800"/>
    <n v="509800"/>
    <n v="509800"/>
  </r>
  <r>
    <s v="04-03-00-007"/>
    <x v="5"/>
    <s v="A-02-02-02-006-009"/>
    <x v="0"/>
    <s v="02"/>
    <s v="02"/>
    <s v="02"/>
    <s v="006"/>
    <s v="009"/>
    <m/>
    <m/>
    <m/>
    <s v="Nación"/>
    <x v="0"/>
    <s v="CSF"/>
    <x v="22"/>
    <m/>
    <n v="18360000"/>
    <n v="7500000"/>
    <n v="0"/>
    <n v="25860000"/>
    <n v="0"/>
    <n v="25860000"/>
    <n v="0"/>
    <n v="25859999.059999999"/>
    <n v="23378598"/>
    <n v="23378598"/>
    <n v="23378598"/>
  </r>
  <r>
    <s v="04-03-00-007"/>
    <x v="5"/>
    <s v="A-02-02-02-007-002"/>
    <x v="0"/>
    <s v="02"/>
    <s v="02"/>
    <s v="02"/>
    <s v="007"/>
    <s v="002"/>
    <m/>
    <m/>
    <m/>
    <s v="Nación"/>
    <x v="0"/>
    <s v="CSF"/>
    <x v="30"/>
    <m/>
    <n v="0"/>
    <n v="33600000"/>
    <n v="0"/>
    <n v="33600000"/>
    <n v="0"/>
    <n v="33600000"/>
    <n v="0"/>
    <n v="30800000"/>
    <n v="28000000"/>
    <n v="28000000"/>
    <n v="28000000"/>
  </r>
  <r>
    <s v="04-03-00-007"/>
    <x v="5"/>
    <s v="A-02-02-02-008-004"/>
    <x v="0"/>
    <s v="02"/>
    <s v="02"/>
    <s v="02"/>
    <s v="008"/>
    <s v="004"/>
    <m/>
    <m/>
    <m/>
    <s v="Nación"/>
    <x v="0"/>
    <s v="CSF"/>
    <x v="23"/>
    <m/>
    <n v="800000"/>
    <n v="0"/>
    <n v="0"/>
    <n v="800000"/>
    <n v="0"/>
    <n v="800000"/>
    <n v="0"/>
    <n v="800000"/>
    <n v="676820"/>
    <n v="676820"/>
    <n v="676820"/>
  </r>
  <r>
    <s v="04-03-00-007"/>
    <x v="5"/>
    <s v="A-02-02-02-009-004"/>
    <x v="0"/>
    <s v="02"/>
    <s v="02"/>
    <s v="02"/>
    <s v="009"/>
    <s v="004"/>
    <m/>
    <m/>
    <m/>
    <s v="Nación"/>
    <x v="0"/>
    <s v="CSF"/>
    <x v="24"/>
    <m/>
    <n v="900000"/>
    <n v="1552000"/>
    <n v="0"/>
    <n v="2452000"/>
    <n v="0"/>
    <n v="2452000"/>
    <n v="0"/>
    <n v="2452000"/>
    <n v="2062812"/>
    <n v="2062812"/>
    <n v="2062812"/>
  </r>
  <r>
    <s v="04-03-00-007"/>
    <x v="5"/>
    <s v="A-02-02-02-010"/>
    <x v="0"/>
    <s v="02"/>
    <s v="02"/>
    <s v="02"/>
    <s v="010"/>
    <m/>
    <m/>
    <m/>
    <m/>
    <s v="Nación"/>
    <x v="0"/>
    <s v="CSF"/>
    <x v="25"/>
    <m/>
    <n v="0"/>
    <n v="1670214"/>
    <n v="0"/>
    <n v="1670214"/>
    <n v="0"/>
    <n v="1670214"/>
    <n v="0"/>
    <n v="1670214"/>
    <n v="1670214"/>
    <n v="1670214"/>
    <n v="1670214"/>
  </r>
  <r>
    <s v="04-03-00-007"/>
    <x v="5"/>
    <s v="A-03-04-02-012-001"/>
    <x v="0"/>
    <s v="03"/>
    <s v="04"/>
    <s v="02"/>
    <s v="012"/>
    <s v="001"/>
    <m/>
    <m/>
    <m/>
    <s v="Nación"/>
    <x v="0"/>
    <s v="CSF"/>
    <x v="26"/>
    <m/>
    <n v="0"/>
    <n v="6377804"/>
    <n v="0"/>
    <n v="6377804"/>
    <n v="0"/>
    <n v="6344048"/>
    <n v="33756"/>
    <n v="5935865"/>
    <n v="3645835"/>
    <n v="3645835"/>
    <n v="3645835"/>
  </r>
  <r>
    <s v="04-03-00-007"/>
    <x v="5"/>
    <s v="A-08-01-02-001"/>
    <x v="0"/>
    <s v="08"/>
    <s v="01"/>
    <s v="02"/>
    <s v="001"/>
    <m/>
    <m/>
    <m/>
    <m/>
    <s v="Nación"/>
    <x v="0"/>
    <s v="CSF"/>
    <x v="27"/>
    <m/>
    <n v="0"/>
    <n v="6787000"/>
    <n v="0"/>
    <n v="6787000"/>
    <n v="0"/>
    <n v="6787000"/>
    <n v="0"/>
    <n v="6787000"/>
    <n v="6787000"/>
    <n v="6787000"/>
    <n v="6787000"/>
  </r>
  <r>
    <s v="04-03-00-008"/>
    <x v="6"/>
    <s v="A-01-01-01-001-001"/>
    <x v="0"/>
    <s v="01"/>
    <s v="01"/>
    <s v="01"/>
    <s v="001"/>
    <s v="001"/>
    <m/>
    <m/>
    <m/>
    <s v="Nación"/>
    <x v="0"/>
    <s v="CSF"/>
    <x v="0"/>
    <m/>
    <n v="530000000"/>
    <n v="30000000"/>
    <n v="0"/>
    <n v="560000000"/>
    <n v="0"/>
    <n v="526058575"/>
    <n v="33941425"/>
    <n v="526058575"/>
    <n v="526058575"/>
    <n v="526058575"/>
    <n v="526058575"/>
  </r>
  <r>
    <s v="04-03-00-008"/>
    <x v="6"/>
    <s v="A-01-01-01-001-003"/>
    <x v="0"/>
    <s v="01"/>
    <s v="01"/>
    <s v="01"/>
    <s v="001"/>
    <s v="003"/>
    <m/>
    <m/>
    <m/>
    <s v="Nación"/>
    <x v="0"/>
    <s v="CSF"/>
    <x v="1"/>
    <m/>
    <n v="0"/>
    <n v="9071924"/>
    <n v="0"/>
    <n v="9071924"/>
    <n v="0"/>
    <n v="8366809"/>
    <n v="705115"/>
    <n v="8366809"/>
    <n v="8366809"/>
    <n v="8366809"/>
    <n v="8366809"/>
  </r>
  <r>
    <s v="04-03-00-008"/>
    <x v="6"/>
    <s v="A-01-01-01-001-004"/>
    <x v="0"/>
    <s v="01"/>
    <s v="01"/>
    <s v="01"/>
    <s v="001"/>
    <s v="004"/>
    <m/>
    <m/>
    <m/>
    <s v="Nación"/>
    <x v="0"/>
    <s v="CSF"/>
    <x v="2"/>
    <m/>
    <n v="13000000"/>
    <n v="0"/>
    <n v="0"/>
    <n v="13000000"/>
    <n v="0"/>
    <n v="10438116"/>
    <n v="2561884"/>
    <n v="10438116"/>
    <n v="10438116"/>
    <n v="10438116"/>
    <n v="10438116"/>
  </r>
  <r>
    <s v="04-03-00-008"/>
    <x v="6"/>
    <s v="A-01-01-01-001-005"/>
    <x v="0"/>
    <s v="01"/>
    <s v="01"/>
    <s v="01"/>
    <s v="001"/>
    <s v="005"/>
    <m/>
    <m/>
    <m/>
    <s v="Nación"/>
    <x v="0"/>
    <s v="CSF"/>
    <x v="3"/>
    <m/>
    <n v="7605000"/>
    <n v="3200000"/>
    <n v="7605000"/>
    <n v="3200000"/>
    <n v="0"/>
    <n v="2512315"/>
    <n v="687685"/>
    <n v="2512315"/>
    <n v="2512315"/>
    <n v="2512315"/>
    <n v="2512315"/>
  </r>
  <r>
    <s v="04-03-00-008"/>
    <x v="6"/>
    <s v="A-01-01-01-001-006"/>
    <x v="0"/>
    <s v="01"/>
    <s v="01"/>
    <s v="01"/>
    <s v="001"/>
    <s v="006"/>
    <m/>
    <m/>
    <m/>
    <s v="Nación"/>
    <x v="0"/>
    <s v="CSF"/>
    <x v="4"/>
    <m/>
    <n v="52000000"/>
    <n v="5819442"/>
    <n v="0"/>
    <n v="57819442"/>
    <n v="0"/>
    <n v="57819442"/>
    <n v="0"/>
    <n v="57819442"/>
    <n v="57819442"/>
    <n v="57819442"/>
    <n v="57819442"/>
  </r>
  <r>
    <s v="04-03-00-008"/>
    <x v="6"/>
    <s v="A-01-01-01-001-007"/>
    <x v="0"/>
    <s v="01"/>
    <s v="01"/>
    <s v="01"/>
    <s v="001"/>
    <s v="007"/>
    <m/>
    <m/>
    <m/>
    <s v="Nación"/>
    <x v="0"/>
    <s v="CSF"/>
    <x v="5"/>
    <m/>
    <n v="21000000"/>
    <n v="5000000"/>
    <n v="0"/>
    <n v="26000000"/>
    <n v="0"/>
    <n v="23248081"/>
    <n v="2751919"/>
    <n v="23248081"/>
    <n v="23248081"/>
    <n v="23248081"/>
    <n v="23248081"/>
  </r>
  <r>
    <s v="04-03-00-008"/>
    <x v="6"/>
    <s v="A-01-01-01-001-009"/>
    <x v="0"/>
    <s v="01"/>
    <s v="01"/>
    <s v="01"/>
    <s v="001"/>
    <s v="009"/>
    <m/>
    <m/>
    <m/>
    <s v="Nación"/>
    <x v="0"/>
    <s v="CSF"/>
    <x v="6"/>
    <m/>
    <n v="68000000"/>
    <n v="6077809"/>
    <n v="0"/>
    <n v="74077809"/>
    <n v="0"/>
    <n v="74077809"/>
    <n v="0"/>
    <n v="74077809"/>
    <n v="74077809"/>
    <n v="74077809"/>
    <n v="74077809"/>
  </r>
  <r>
    <s v="04-03-00-008"/>
    <x v="6"/>
    <s v="A-01-01-01-001-010"/>
    <x v="0"/>
    <s v="01"/>
    <s v="01"/>
    <s v="01"/>
    <s v="001"/>
    <s v="010"/>
    <m/>
    <m/>
    <m/>
    <s v="Nación"/>
    <x v="0"/>
    <s v="CSF"/>
    <x v="7"/>
    <m/>
    <n v="31000000"/>
    <n v="2500000"/>
    <n v="0"/>
    <n v="33500000"/>
    <n v="0"/>
    <n v="25923274"/>
    <n v="7576726"/>
    <n v="25923274"/>
    <n v="25923274"/>
    <n v="25923274"/>
    <n v="25923274"/>
  </r>
  <r>
    <s v="04-03-00-008"/>
    <x v="6"/>
    <s v="A-01-01-01-001-012"/>
    <x v="0"/>
    <s v="01"/>
    <s v="01"/>
    <s v="01"/>
    <s v="001"/>
    <s v="012"/>
    <m/>
    <m/>
    <m/>
    <s v="Nación"/>
    <x v="0"/>
    <s v="CSF"/>
    <x v="8"/>
    <m/>
    <n v="8000000"/>
    <n v="3850000"/>
    <n v="154256"/>
    <n v="11695744"/>
    <n v="0"/>
    <n v="11695744"/>
    <n v="0"/>
    <n v="11695744"/>
    <n v="11695744"/>
    <n v="11695744"/>
    <n v="11695744"/>
  </r>
  <r>
    <s v="04-03-00-008"/>
    <x v="6"/>
    <s v="A-01-01-02-001"/>
    <x v="0"/>
    <s v="01"/>
    <s v="01"/>
    <s v="02"/>
    <s v="001"/>
    <m/>
    <m/>
    <m/>
    <m/>
    <s v="Nación"/>
    <x v="0"/>
    <s v="CSF"/>
    <x v="9"/>
    <m/>
    <n v="73000000"/>
    <n v="1200000"/>
    <n v="0"/>
    <n v="74200000"/>
    <n v="0"/>
    <n v="70315049"/>
    <n v="3884951"/>
    <n v="70315049"/>
    <n v="70315049"/>
    <n v="70315049"/>
    <n v="70315049"/>
  </r>
  <r>
    <s v="04-03-00-008"/>
    <x v="6"/>
    <s v="A-01-01-02-002"/>
    <x v="0"/>
    <s v="01"/>
    <s v="01"/>
    <s v="02"/>
    <s v="002"/>
    <m/>
    <m/>
    <m/>
    <m/>
    <s v="Nación"/>
    <x v="0"/>
    <s v="CSF"/>
    <x v="10"/>
    <m/>
    <n v="52000000"/>
    <n v="2000000"/>
    <n v="0"/>
    <n v="54000000"/>
    <n v="0"/>
    <n v="49943608"/>
    <n v="4056392"/>
    <n v="49923608"/>
    <n v="49923608"/>
    <n v="49923608"/>
    <n v="49923608"/>
  </r>
  <r>
    <s v="04-03-00-008"/>
    <x v="6"/>
    <s v="A-01-01-02-004"/>
    <x v="0"/>
    <s v="01"/>
    <s v="01"/>
    <s v="02"/>
    <s v="004"/>
    <m/>
    <m/>
    <m/>
    <m/>
    <s v="Nación"/>
    <x v="0"/>
    <s v="CSF"/>
    <x v="11"/>
    <m/>
    <n v="28000000"/>
    <n v="3000000"/>
    <n v="0"/>
    <n v="31000000"/>
    <n v="0"/>
    <n v="28392900"/>
    <n v="2607100"/>
    <n v="28392900"/>
    <n v="28392900"/>
    <n v="28392900"/>
    <n v="28392900"/>
  </r>
  <r>
    <s v="04-03-00-008"/>
    <x v="6"/>
    <s v="A-01-01-02-005"/>
    <x v="0"/>
    <s v="01"/>
    <s v="01"/>
    <s v="02"/>
    <s v="005"/>
    <m/>
    <m/>
    <m/>
    <m/>
    <s v="Nación"/>
    <x v="0"/>
    <s v="CSF"/>
    <x v="12"/>
    <m/>
    <n v="8000000"/>
    <n v="2000000"/>
    <n v="0"/>
    <n v="10000000"/>
    <n v="0"/>
    <n v="9723300"/>
    <n v="276700"/>
    <n v="9723300"/>
    <n v="9723300"/>
    <n v="9723300"/>
    <n v="9723300"/>
  </r>
  <r>
    <s v="04-03-00-008"/>
    <x v="6"/>
    <s v="A-01-01-02-006"/>
    <x v="0"/>
    <s v="01"/>
    <s v="01"/>
    <s v="02"/>
    <s v="006"/>
    <m/>
    <m/>
    <m/>
    <m/>
    <s v="Nación"/>
    <x v="0"/>
    <s v="CSF"/>
    <x v="13"/>
    <m/>
    <n v="21000000"/>
    <n v="2000000"/>
    <n v="0"/>
    <n v="23000000"/>
    <n v="0"/>
    <n v="21298400"/>
    <n v="1701600"/>
    <n v="21298400"/>
    <n v="21298400"/>
    <n v="21298400"/>
    <n v="21298400"/>
  </r>
  <r>
    <s v="04-03-00-008"/>
    <x v="6"/>
    <s v="A-01-01-02-007"/>
    <x v="0"/>
    <s v="01"/>
    <s v="01"/>
    <s v="02"/>
    <s v="007"/>
    <m/>
    <m/>
    <m/>
    <m/>
    <s v="Nación"/>
    <x v="0"/>
    <s v="CSF"/>
    <x v="14"/>
    <m/>
    <n v="3000000"/>
    <n v="11500000"/>
    <n v="0"/>
    <n v="14500000"/>
    <n v="0"/>
    <n v="13996150"/>
    <n v="503850"/>
    <n v="13996150"/>
    <n v="13996150"/>
    <n v="13996150"/>
    <n v="13996150"/>
  </r>
  <r>
    <s v="04-03-00-008"/>
    <x v="6"/>
    <s v="A-01-01-02-008"/>
    <x v="0"/>
    <s v="01"/>
    <s v="01"/>
    <s v="02"/>
    <s v="008"/>
    <m/>
    <m/>
    <m/>
    <m/>
    <s v="Nación"/>
    <x v="0"/>
    <s v="CSF"/>
    <x v="15"/>
    <m/>
    <n v="3000000"/>
    <n v="0"/>
    <n v="3000000"/>
    <n v="0"/>
    <n v="0"/>
    <n v="0"/>
    <n v="0"/>
    <n v="0"/>
    <n v="0"/>
    <n v="0"/>
    <n v="0"/>
  </r>
  <r>
    <s v="04-03-00-008"/>
    <x v="6"/>
    <s v="A-01-01-02-009"/>
    <x v="0"/>
    <s v="01"/>
    <s v="01"/>
    <s v="02"/>
    <s v="009"/>
    <m/>
    <m/>
    <m/>
    <m/>
    <s v="Nación"/>
    <x v="0"/>
    <s v="CSF"/>
    <x v="16"/>
    <m/>
    <n v="6000000"/>
    <n v="0"/>
    <n v="6000000"/>
    <n v="0"/>
    <n v="0"/>
    <n v="0"/>
    <n v="0"/>
    <n v="0"/>
    <n v="0"/>
    <n v="0"/>
    <n v="0"/>
  </r>
  <r>
    <s v="04-03-00-008"/>
    <x v="6"/>
    <s v="A-01-01-03-001-001"/>
    <x v="0"/>
    <s v="01"/>
    <s v="01"/>
    <s v="03"/>
    <s v="001"/>
    <s v="001"/>
    <m/>
    <m/>
    <m/>
    <s v="Nación"/>
    <x v="0"/>
    <s v="CSF"/>
    <x v="17"/>
    <m/>
    <n v="34000000"/>
    <n v="0"/>
    <n v="0"/>
    <n v="34000000"/>
    <n v="0"/>
    <n v="14632101"/>
    <n v="19367899"/>
    <n v="14632101"/>
    <n v="14632101"/>
    <n v="14632101"/>
    <n v="14632101"/>
  </r>
  <r>
    <s v="04-03-00-008"/>
    <x v="6"/>
    <s v="A-01-01-03-001-002"/>
    <x v="0"/>
    <s v="01"/>
    <s v="01"/>
    <s v="03"/>
    <s v="001"/>
    <s v="002"/>
    <m/>
    <m/>
    <m/>
    <s v="Nación"/>
    <x v="0"/>
    <s v="CSF"/>
    <x v="18"/>
    <m/>
    <n v="200000"/>
    <n v="14097991"/>
    <n v="0"/>
    <n v="14297991"/>
    <n v="0"/>
    <n v="14180861"/>
    <n v="117130"/>
    <n v="14180861"/>
    <n v="14180861"/>
    <n v="14180861"/>
    <n v="14180861"/>
  </r>
  <r>
    <s v="04-03-00-008"/>
    <x v="6"/>
    <s v="A-01-01-03-001-003"/>
    <x v="0"/>
    <s v="01"/>
    <s v="01"/>
    <s v="03"/>
    <s v="001"/>
    <s v="003"/>
    <m/>
    <m/>
    <m/>
    <s v="Nación"/>
    <x v="0"/>
    <s v="CSF"/>
    <x v="19"/>
    <m/>
    <n v="3000000"/>
    <n v="0"/>
    <n v="0"/>
    <n v="3000000"/>
    <n v="0"/>
    <n v="2209475"/>
    <n v="790525"/>
    <n v="2209475"/>
    <n v="2209475"/>
    <n v="2209475"/>
    <n v="2209475"/>
  </r>
  <r>
    <s v="04-03-00-008"/>
    <x v="6"/>
    <s v="A-01-01-03-002"/>
    <x v="0"/>
    <s v="01"/>
    <s v="01"/>
    <s v="03"/>
    <s v="002"/>
    <m/>
    <m/>
    <m/>
    <m/>
    <s v="Nación"/>
    <x v="0"/>
    <s v="CSF"/>
    <x v="20"/>
    <m/>
    <n v="15000000"/>
    <n v="10000000"/>
    <n v="0"/>
    <n v="25000000"/>
    <n v="0"/>
    <n v="20678991"/>
    <n v="4321009"/>
    <n v="20678991"/>
    <n v="20678991"/>
    <n v="20678991"/>
    <n v="20678991"/>
  </r>
  <r>
    <s v="04-03-00-008"/>
    <x v="6"/>
    <s v="A-02-02-01-003-003"/>
    <x v="0"/>
    <s v="02"/>
    <s v="02"/>
    <s v="01"/>
    <s v="003"/>
    <s v="003"/>
    <m/>
    <m/>
    <m/>
    <s v="Nación"/>
    <x v="0"/>
    <s v="CSF"/>
    <x v="32"/>
    <m/>
    <n v="1000000"/>
    <n v="0"/>
    <n v="1000000"/>
    <n v="0"/>
    <n v="0"/>
    <n v="0"/>
    <n v="0"/>
    <n v="0"/>
    <n v="0"/>
    <n v="0"/>
    <n v="0"/>
  </r>
  <r>
    <s v="04-03-00-008"/>
    <x v="6"/>
    <s v="A-02-02-02-006-004"/>
    <x v="0"/>
    <s v="02"/>
    <s v="02"/>
    <s v="02"/>
    <s v="006"/>
    <s v="004"/>
    <m/>
    <m/>
    <m/>
    <s v="Propios"/>
    <x v="1"/>
    <s v="CSF"/>
    <x v="21"/>
    <m/>
    <n v="70000"/>
    <n v="518000"/>
    <n v="458000"/>
    <n v="130000"/>
    <n v="0"/>
    <n v="130000"/>
    <n v="0"/>
    <n v="130000"/>
    <n v="130000"/>
    <n v="130000"/>
    <n v="130000"/>
  </r>
  <r>
    <s v="04-03-00-008"/>
    <x v="6"/>
    <s v="A-02-02-02-006-009"/>
    <x v="0"/>
    <s v="02"/>
    <s v="02"/>
    <s v="02"/>
    <s v="006"/>
    <s v="009"/>
    <m/>
    <m/>
    <m/>
    <s v="Nación"/>
    <x v="0"/>
    <s v="CSF"/>
    <x v="22"/>
    <m/>
    <n v="32900000"/>
    <n v="15000000"/>
    <n v="0"/>
    <n v="47900000"/>
    <n v="0"/>
    <n v="47900000"/>
    <n v="0"/>
    <n v="46889060"/>
    <n v="45510595"/>
    <n v="45510595"/>
    <n v="45510595"/>
  </r>
  <r>
    <s v="04-03-00-008"/>
    <x v="6"/>
    <s v="A-02-02-02-007-002"/>
    <x v="0"/>
    <s v="02"/>
    <s v="02"/>
    <s v="02"/>
    <s v="007"/>
    <s v="002"/>
    <m/>
    <m/>
    <m/>
    <s v="Nación"/>
    <x v="0"/>
    <s v="CSF"/>
    <x v="30"/>
    <m/>
    <n v="8500000"/>
    <n v="0"/>
    <n v="0"/>
    <n v="8500000"/>
    <n v="0"/>
    <n v="8500000"/>
    <n v="0"/>
    <n v="8500000"/>
    <n v="8468200"/>
    <n v="8468200"/>
    <n v="8468200"/>
  </r>
  <r>
    <s v="04-03-00-008"/>
    <x v="6"/>
    <s v="A-02-02-02-007-002"/>
    <x v="0"/>
    <s v="02"/>
    <s v="02"/>
    <s v="02"/>
    <s v="007"/>
    <s v="002"/>
    <m/>
    <m/>
    <m/>
    <s v="Propios"/>
    <x v="1"/>
    <s v="CSF"/>
    <x v="30"/>
    <m/>
    <n v="2600000"/>
    <n v="26180000"/>
    <n v="0"/>
    <n v="28780000"/>
    <n v="0"/>
    <n v="28780000"/>
    <n v="0"/>
    <n v="28780000"/>
    <n v="19115600.059999999"/>
    <n v="19115600.059999999"/>
    <n v="19115600.059999999"/>
  </r>
  <r>
    <s v="04-03-00-008"/>
    <x v="6"/>
    <s v="A-02-02-02-008-002"/>
    <x v="0"/>
    <s v="02"/>
    <s v="02"/>
    <s v="02"/>
    <s v="008"/>
    <s v="002"/>
    <m/>
    <m/>
    <m/>
    <s v="Propios"/>
    <x v="1"/>
    <s v="CSF"/>
    <x v="33"/>
    <m/>
    <n v="0"/>
    <n v="15623660"/>
    <n v="0"/>
    <n v="15623660"/>
    <n v="0"/>
    <n v="15623660"/>
    <n v="0"/>
    <n v="15623660"/>
    <n v="15623660"/>
    <n v="15623660"/>
    <n v="15623660"/>
  </r>
  <r>
    <s v="04-03-00-008"/>
    <x v="6"/>
    <s v="A-02-02-02-008-004"/>
    <x v="0"/>
    <s v="02"/>
    <s v="02"/>
    <s v="02"/>
    <s v="008"/>
    <s v="004"/>
    <m/>
    <m/>
    <m/>
    <s v="Nación"/>
    <x v="0"/>
    <s v="CSF"/>
    <x v="23"/>
    <m/>
    <n v="700000"/>
    <n v="0"/>
    <n v="0"/>
    <n v="700000"/>
    <n v="0"/>
    <n v="700000"/>
    <n v="0"/>
    <n v="700000"/>
    <n v="39269"/>
    <n v="39269"/>
    <n v="39269"/>
  </r>
  <r>
    <s v="04-03-00-008"/>
    <x v="6"/>
    <s v="A-02-02-02-009-004"/>
    <x v="0"/>
    <s v="02"/>
    <s v="02"/>
    <s v="02"/>
    <s v="009"/>
    <s v="004"/>
    <m/>
    <m/>
    <m/>
    <s v="Nación"/>
    <x v="0"/>
    <s v="CSF"/>
    <x v="24"/>
    <m/>
    <n v="100000"/>
    <n v="0"/>
    <n v="0"/>
    <n v="100000"/>
    <n v="0"/>
    <n v="100000"/>
    <n v="0"/>
    <n v="100000"/>
    <n v="71948"/>
    <n v="71948"/>
    <n v="71948"/>
  </r>
  <r>
    <s v="04-03-00-008"/>
    <x v="6"/>
    <s v="A-02-02-02-010"/>
    <x v="0"/>
    <s v="02"/>
    <s v="02"/>
    <s v="02"/>
    <s v="010"/>
    <m/>
    <m/>
    <m/>
    <m/>
    <s v="Nación"/>
    <x v="0"/>
    <s v="CSF"/>
    <x v="25"/>
    <m/>
    <n v="0"/>
    <n v="3591002"/>
    <n v="0"/>
    <n v="3591002"/>
    <n v="0"/>
    <n v="3591002"/>
    <n v="0"/>
    <n v="3591002"/>
    <n v="3591002"/>
    <n v="3591002"/>
    <n v="3591002"/>
  </r>
  <r>
    <s v="04-03-00-008"/>
    <x v="6"/>
    <s v="A-02-02-02-010"/>
    <x v="0"/>
    <s v="02"/>
    <s v="02"/>
    <s v="02"/>
    <s v="010"/>
    <m/>
    <m/>
    <m/>
    <m/>
    <s v="Propios"/>
    <x v="1"/>
    <s v="CSF"/>
    <x v="25"/>
    <m/>
    <n v="74197"/>
    <n v="0"/>
    <n v="0"/>
    <n v="74197"/>
    <n v="0"/>
    <n v="74197"/>
    <n v="0"/>
    <n v="74197"/>
    <n v="74197"/>
    <n v="74197"/>
    <n v="74197"/>
  </r>
  <r>
    <s v="04-03-00-008"/>
    <x v="6"/>
    <s v="A-03-04-02-012-001"/>
    <x v="0"/>
    <s v="03"/>
    <s v="04"/>
    <s v="02"/>
    <s v="012"/>
    <s v="001"/>
    <m/>
    <m/>
    <m/>
    <s v="Nación"/>
    <x v="0"/>
    <s v="CSF"/>
    <x v="26"/>
    <m/>
    <n v="0"/>
    <n v="600000"/>
    <n v="0"/>
    <n v="600000"/>
    <n v="0"/>
    <n v="556871"/>
    <n v="43129"/>
    <n v="556871"/>
    <n v="556871"/>
    <n v="556871"/>
    <n v="556871"/>
  </r>
  <r>
    <s v="04-03-00-008"/>
    <x v="6"/>
    <s v="A-08-01-02-001"/>
    <x v="0"/>
    <s v="08"/>
    <s v="01"/>
    <s v="02"/>
    <s v="001"/>
    <m/>
    <m/>
    <m/>
    <m/>
    <s v="Nación"/>
    <x v="0"/>
    <s v="CSF"/>
    <x v="27"/>
    <m/>
    <n v="4756050"/>
    <n v="0"/>
    <n v="0"/>
    <n v="4756050"/>
    <n v="0"/>
    <n v="4756050"/>
    <n v="0"/>
    <n v="4756050"/>
    <n v="4756050"/>
    <n v="4756050"/>
    <n v="4756050"/>
  </r>
  <r>
    <s v="04-03-00-009"/>
    <x v="7"/>
    <s v="A-01-01-01-001-001"/>
    <x v="0"/>
    <s v="01"/>
    <s v="01"/>
    <s v="01"/>
    <s v="001"/>
    <s v="001"/>
    <m/>
    <m/>
    <m/>
    <s v="Nación"/>
    <x v="0"/>
    <s v="CSF"/>
    <x v="0"/>
    <m/>
    <n v="571000000"/>
    <n v="0"/>
    <n v="0"/>
    <n v="571000000"/>
    <n v="0"/>
    <n v="520140479"/>
    <n v="50859521"/>
    <n v="520132489"/>
    <n v="520132489"/>
    <n v="520132489"/>
    <n v="520132489"/>
  </r>
  <r>
    <s v="04-03-00-009"/>
    <x v="7"/>
    <s v="A-01-01-01-001-004"/>
    <x v="0"/>
    <s v="01"/>
    <s v="01"/>
    <s v="01"/>
    <s v="001"/>
    <s v="004"/>
    <m/>
    <m/>
    <m/>
    <s v="Nación"/>
    <x v="0"/>
    <s v="CSF"/>
    <x v="2"/>
    <m/>
    <n v="16000000"/>
    <n v="0"/>
    <n v="0"/>
    <n v="16000000"/>
    <n v="0"/>
    <n v="12298819"/>
    <n v="3701181"/>
    <n v="12298531"/>
    <n v="12298531"/>
    <n v="12298531"/>
    <n v="12298531"/>
  </r>
  <r>
    <s v="04-03-00-009"/>
    <x v="7"/>
    <s v="A-01-01-01-001-005"/>
    <x v="0"/>
    <s v="01"/>
    <s v="01"/>
    <s v="01"/>
    <s v="001"/>
    <s v="005"/>
    <m/>
    <m/>
    <m/>
    <s v="Nación"/>
    <x v="0"/>
    <s v="CSF"/>
    <x v="3"/>
    <m/>
    <n v="10100000"/>
    <n v="3000000"/>
    <n v="10100000"/>
    <n v="3000000"/>
    <n v="0"/>
    <n v="2817484"/>
    <n v="182516"/>
    <n v="2817484"/>
    <n v="2817484"/>
    <n v="2817484"/>
    <n v="2817484"/>
  </r>
  <r>
    <s v="04-03-00-009"/>
    <x v="7"/>
    <s v="A-01-01-01-001-006"/>
    <x v="0"/>
    <s v="01"/>
    <s v="01"/>
    <s v="01"/>
    <s v="001"/>
    <s v="006"/>
    <m/>
    <m/>
    <m/>
    <s v="Nación"/>
    <x v="0"/>
    <s v="CSF"/>
    <x v="4"/>
    <m/>
    <n v="61000000"/>
    <n v="1385116"/>
    <n v="4003179"/>
    <n v="58381937"/>
    <n v="0"/>
    <n v="58377937"/>
    <n v="4000"/>
    <n v="58377937"/>
    <n v="58377937"/>
    <n v="58377937"/>
    <n v="58377937"/>
  </r>
  <r>
    <s v="04-03-00-009"/>
    <x v="7"/>
    <s v="A-01-01-01-001-007"/>
    <x v="0"/>
    <s v="01"/>
    <s v="01"/>
    <s v="01"/>
    <s v="001"/>
    <s v="007"/>
    <m/>
    <m/>
    <m/>
    <s v="Nación"/>
    <x v="0"/>
    <s v="CSF"/>
    <x v="5"/>
    <m/>
    <n v="24000000"/>
    <n v="2200000"/>
    <n v="0"/>
    <n v="26200000"/>
    <n v="0"/>
    <n v="24022177"/>
    <n v="2177823"/>
    <n v="24022177"/>
    <n v="24022177"/>
    <n v="24022177"/>
    <n v="24022177"/>
  </r>
  <r>
    <s v="04-03-00-009"/>
    <x v="7"/>
    <s v="A-01-01-01-001-009"/>
    <x v="0"/>
    <s v="01"/>
    <s v="01"/>
    <s v="01"/>
    <s v="001"/>
    <s v="009"/>
    <m/>
    <m/>
    <m/>
    <s v="Nación"/>
    <x v="0"/>
    <s v="CSF"/>
    <x v="6"/>
    <m/>
    <n v="71000000"/>
    <n v="0"/>
    <n v="0"/>
    <n v="71000000"/>
    <n v="0"/>
    <n v="65427472"/>
    <n v="5572528"/>
    <n v="65427472"/>
    <n v="65427472"/>
    <n v="65427472"/>
    <n v="65427472"/>
  </r>
  <r>
    <s v="04-03-00-009"/>
    <x v="7"/>
    <s v="A-01-01-01-001-010"/>
    <x v="0"/>
    <s v="01"/>
    <s v="01"/>
    <s v="01"/>
    <s v="001"/>
    <s v="010"/>
    <m/>
    <m/>
    <m/>
    <s v="Nación"/>
    <x v="0"/>
    <s v="CSF"/>
    <x v="7"/>
    <m/>
    <n v="45000000"/>
    <n v="3000000"/>
    <n v="0"/>
    <n v="48000000"/>
    <n v="0"/>
    <n v="44103550"/>
    <n v="3896450"/>
    <n v="44103550"/>
    <n v="44103550"/>
    <n v="44103550"/>
    <n v="44103550"/>
  </r>
  <r>
    <s v="04-03-00-009"/>
    <x v="7"/>
    <s v="A-01-01-01-001-012"/>
    <x v="0"/>
    <s v="01"/>
    <s v="01"/>
    <s v="01"/>
    <s v="001"/>
    <s v="012"/>
    <m/>
    <m/>
    <m/>
    <s v="Nación"/>
    <x v="0"/>
    <s v="CSF"/>
    <x v="8"/>
    <m/>
    <n v="10000000"/>
    <n v="5000000"/>
    <n v="692582"/>
    <n v="14307418"/>
    <n v="0"/>
    <n v="14307418"/>
    <n v="0"/>
    <n v="14307418"/>
    <n v="14307418"/>
    <n v="14307418"/>
    <n v="14307418"/>
  </r>
  <r>
    <s v="04-03-00-009"/>
    <x v="7"/>
    <s v="A-01-01-02-001"/>
    <x v="0"/>
    <s v="01"/>
    <s v="01"/>
    <s v="02"/>
    <s v="001"/>
    <m/>
    <m/>
    <m/>
    <m/>
    <s v="Nación"/>
    <x v="0"/>
    <s v="CSF"/>
    <x v="9"/>
    <m/>
    <n v="70000000"/>
    <n v="3500000"/>
    <n v="0"/>
    <n v="73500000"/>
    <n v="0"/>
    <n v="69040500"/>
    <n v="4459500"/>
    <n v="69040500"/>
    <n v="69040500"/>
    <n v="69040500"/>
    <n v="69040500"/>
  </r>
  <r>
    <s v="04-03-00-009"/>
    <x v="7"/>
    <s v="A-01-01-02-002"/>
    <x v="0"/>
    <s v="01"/>
    <s v="01"/>
    <s v="02"/>
    <s v="002"/>
    <m/>
    <m/>
    <m/>
    <m/>
    <s v="Nación"/>
    <x v="0"/>
    <s v="CSF"/>
    <x v="10"/>
    <m/>
    <n v="55000000"/>
    <n v="1000000"/>
    <n v="0"/>
    <n v="56000000"/>
    <n v="0"/>
    <n v="48933500"/>
    <n v="7066500"/>
    <n v="48933500"/>
    <n v="48933500"/>
    <n v="48933500"/>
    <n v="48933500"/>
  </r>
  <r>
    <s v="04-03-00-009"/>
    <x v="7"/>
    <s v="A-01-01-02-004"/>
    <x v="0"/>
    <s v="01"/>
    <s v="01"/>
    <s v="02"/>
    <s v="004"/>
    <m/>
    <m/>
    <m/>
    <m/>
    <s v="Nación"/>
    <x v="0"/>
    <s v="CSF"/>
    <x v="11"/>
    <m/>
    <n v="31000000"/>
    <n v="1000000"/>
    <n v="0"/>
    <n v="32000000"/>
    <n v="0"/>
    <n v="28519500"/>
    <n v="3480500"/>
    <n v="28519500"/>
    <n v="28519500"/>
    <n v="28519500"/>
    <n v="28519500"/>
  </r>
  <r>
    <s v="04-03-00-009"/>
    <x v="7"/>
    <s v="A-01-01-02-005"/>
    <x v="0"/>
    <s v="01"/>
    <s v="01"/>
    <s v="02"/>
    <s v="005"/>
    <m/>
    <m/>
    <m/>
    <m/>
    <s v="Nación"/>
    <x v="0"/>
    <s v="CSF"/>
    <x v="12"/>
    <m/>
    <n v="7000000"/>
    <n v="0"/>
    <n v="0"/>
    <n v="7000000"/>
    <n v="0"/>
    <n v="6163800"/>
    <n v="836200"/>
    <n v="6163800"/>
    <n v="6163800"/>
    <n v="6163800"/>
    <n v="6163800"/>
  </r>
  <r>
    <s v="04-03-00-009"/>
    <x v="7"/>
    <s v="A-01-01-02-006"/>
    <x v="0"/>
    <s v="01"/>
    <s v="01"/>
    <s v="02"/>
    <s v="006"/>
    <m/>
    <m/>
    <m/>
    <m/>
    <s v="Nación"/>
    <x v="0"/>
    <s v="CSF"/>
    <x v="13"/>
    <m/>
    <n v="23000000"/>
    <n v="0"/>
    <n v="0"/>
    <n v="23000000"/>
    <n v="0"/>
    <n v="21389800"/>
    <n v="1610200"/>
    <n v="21389800"/>
    <n v="21389800"/>
    <n v="21389800"/>
    <n v="21389800"/>
  </r>
  <r>
    <s v="04-03-00-009"/>
    <x v="7"/>
    <s v="A-01-01-02-007"/>
    <x v="0"/>
    <s v="01"/>
    <s v="01"/>
    <s v="02"/>
    <s v="007"/>
    <m/>
    <m/>
    <m/>
    <m/>
    <s v="Nación"/>
    <x v="0"/>
    <s v="CSF"/>
    <x v="14"/>
    <m/>
    <n v="4000000"/>
    <n v="12000000"/>
    <n v="0"/>
    <n v="16000000"/>
    <n v="0"/>
    <n v="14267200"/>
    <n v="1732800"/>
    <n v="14267200"/>
    <n v="14267200"/>
    <n v="14267200"/>
    <n v="14267200"/>
  </r>
  <r>
    <s v="04-03-00-009"/>
    <x v="7"/>
    <s v="A-01-01-02-008"/>
    <x v="0"/>
    <s v="01"/>
    <s v="01"/>
    <s v="02"/>
    <s v="008"/>
    <m/>
    <m/>
    <m/>
    <m/>
    <s v="Nación"/>
    <x v="0"/>
    <s v="CSF"/>
    <x v="15"/>
    <m/>
    <n v="4000000"/>
    <n v="0"/>
    <n v="4000000"/>
    <n v="0"/>
    <n v="0"/>
    <n v="0"/>
    <n v="0"/>
    <n v="0"/>
    <n v="0"/>
    <n v="0"/>
    <n v="0"/>
  </r>
  <r>
    <s v="04-03-00-009"/>
    <x v="7"/>
    <s v="A-01-01-02-009"/>
    <x v="0"/>
    <s v="01"/>
    <s v="01"/>
    <s v="02"/>
    <s v="009"/>
    <m/>
    <m/>
    <m/>
    <m/>
    <s v="Nación"/>
    <x v="0"/>
    <s v="CSF"/>
    <x v="16"/>
    <m/>
    <n v="8000000"/>
    <n v="0"/>
    <n v="8000000"/>
    <n v="0"/>
    <n v="0"/>
    <n v="0"/>
    <n v="0"/>
    <n v="0"/>
    <n v="0"/>
    <n v="0"/>
    <n v="0"/>
  </r>
  <r>
    <s v="04-03-00-009"/>
    <x v="7"/>
    <s v="A-01-01-03-001-001"/>
    <x v="0"/>
    <s v="01"/>
    <s v="01"/>
    <s v="03"/>
    <s v="001"/>
    <s v="001"/>
    <m/>
    <m/>
    <m/>
    <s v="Nación"/>
    <x v="0"/>
    <s v="CSF"/>
    <x v="17"/>
    <m/>
    <n v="40000000"/>
    <n v="0"/>
    <n v="0"/>
    <n v="40000000"/>
    <n v="0"/>
    <n v="26153085"/>
    <n v="13846915"/>
    <n v="26153085"/>
    <n v="26153085"/>
    <n v="26153085"/>
    <n v="26153085"/>
  </r>
  <r>
    <s v="04-03-00-009"/>
    <x v="7"/>
    <s v="A-01-01-03-001-002"/>
    <x v="0"/>
    <s v="01"/>
    <s v="01"/>
    <s v="03"/>
    <s v="001"/>
    <s v="002"/>
    <m/>
    <m/>
    <m/>
    <s v="Nación"/>
    <x v="0"/>
    <s v="CSF"/>
    <x v="18"/>
    <m/>
    <n v="0"/>
    <n v="18548614"/>
    <n v="0"/>
    <n v="18548614"/>
    <n v="0"/>
    <n v="18308610"/>
    <n v="240004"/>
    <n v="18308610"/>
    <n v="18308610"/>
    <n v="18308610"/>
    <n v="18308610"/>
  </r>
  <r>
    <s v="04-03-00-009"/>
    <x v="7"/>
    <s v="A-01-01-03-001-003"/>
    <x v="0"/>
    <s v="01"/>
    <s v="01"/>
    <s v="03"/>
    <s v="001"/>
    <s v="003"/>
    <m/>
    <m/>
    <m/>
    <s v="Nación"/>
    <x v="0"/>
    <s v="CSF"/>
    <x v="19"/>
    <m/>
    <n v="4000000"/>
    <n v="0"/>
    <n v="0"/>
    <n v="4000000"/>
    <n v="0"/>
    <n v="3571752"/>
    <n v="428248"/>
    <n v="3571752"/>
    <n v="3571752"/>
    <n v="3571752"/>
    <n v="3571752"/>
  </r>
  <r>
    <s v="04-03-00-009"/>
    <x v="7"/>
    <s v="A-01-01-03-002"/>
    <x v="0"/>
    <s v="01"/>
    <s v="01"/>
    <s v="03"/>
    <s v="002"/>
    <m/>
    <m/>
    <m/>
    <m/>
    <s v="Nación"/>
    <x v="0"/>
    <s v="CSF"/>
    <x v="20"/>
    <m/>
    <n v="29000000"/>
    <n v="0"/>
    <n v="0"/>
    <n v="29000000"/>
    <n v="0"/>
    <n v="27150440"/>
    <n v="1849560"/>
    <n v="27150440"/>
    <n v="27150440"/>
    <n v="27150440"/>
    <n v="27150440"/>
  </r>
  <r>
    <s v="04-03-00-009"/>
    <x v="7"/>
    <s v="A-02-02-01-004-003"/>
    <x v="0"/>
    <s v="02"/>
    <s v="02"/>
    <s v="01"/>
    <s v="004"/>
    <s v="003"/>
    <m/>
    <m/>
    <m/>
    <s v="Propios"/>
    <x v="1"/>
    <s v="CSF"/>
    <x v="34"/>
    <m/>
    <n v="680000"/>
    <n v="0"/>
    <n v="680000"/>
    <n v="0"/>
    <n v="0"/>
    <n v="0"/>
    <n v="0"/>
    <n v="0"/>
    <n v="0"/>
    <n v="0"/>
    <n v="0"/>
  </r>
  <r>
    <s v="04-03-00-009"/>
    <x v="7"/>
    <s v="A-02-02-02-006-004"/>
    <x v="0"/>
    <s v="02"/>
    <s v="02"/>
    <s v="02"/>
    <s v="006"/>
    <s v="004"/>
    <m/>
    <m/>
    <m/>
    <s v="Nación"/>
    <x v="0"/>
    <s v="CSF"/>
    <x v="21"/>
    <m/>
    <n v="0"/>
    <n v="180000"/>
    <n v="0"/>
    <n v="180000"/>
    <n v="0"/>
    <n v="180000"/>
    <n v="0"/>
    <n v="120000"/>
    <n v="120000"/>
    <n v="120000"/>
    <n v="120000"/>
  </r>
  <r>
    <s v="04-03-00-009"/>
    <x v="7"/>
    <s v="A-02-02-02-006-004"/>
    <x v="0"/>
    <s v="02"/>
    <s v="02"/>
    <s v="02"/>
    <s v="006"/>
    <s v="004"/>
    <m/>
    <m/>
    <m/>
    <s v="Propios"/>
    <x v="1"/>
    <s v="CSF"/>
    <x v="21"/>
    <m/>
    <n v="0"/>
    <n v="240000"/>
    <n v="0"/>
    <n v="240000"/>
    <n v="0"/>
    <n v="240000"/>
    <n v="0"/>
    <n v="240000"/>
    <n v="240000"/>
    <n v="240000"/>
    <n v="240000"/>
  </r>
  <r>
    <s v="04-03-00-009"/>
    <x v="7"/>
    <s v="A-02-02-02-006-009"/>
    <x v="0"/>
    <s v="02"/>
    <s v="02"/>
    <s v="02"/>
    <s v="006"/>
    <s v="009"/>
    <m/>
    <m/>
    <m/>
    <s v="Nación"/>
    <x v="0"/>
    <s v="CSF"/>
    <x v="22"/>
    <m/>
    <n v="40000000"/>
    <n v="23300000"/>
    <n v="0"/>
    <n v="63300000"/>
    <n v="0"/>
    <n v="63300000"/>
    <n v="0"/>
    <n v="57356477"/>
    <n v="57227563"/>
    <n v="57227563"/>
    <n v="57227563"/>
  </r>
  <r>
    <s v="04-03-00-009"/>
    <x v="7"/>
    <s v="A-02-02-02-008-004"/>
    <x v="0"/>
    <s v="02"/>
    <s v="02"/>
    <s v="02"/>
    <s v="008"/>
    <s v="004"/>
    <m/>
    <m/>
    <m/>
    <s v="Nación"/>
    <x v="0"/>
    <s v="CSF"/>
    <x v="23"/>
    <m/>
    <n v="600000"/>
    <n v="440000"/>
    <n v="0"/>
    <n v="1040000"/>
    <n v="0"/>
    <n v="1040000"/>
    <n v="0"/>
    <n v="860840"/>
    <n v="860840"/>
    <n v="860840"/>
    <n v="860840"/>
  </r>
  <r>
    <s v="04-03-00-009"/>
    <x v="7"/>
    <s v="A-02-02-02-009-004"/>
    <x v="0"/>
    <s v="02"/>
    <s v="02"/>
    <s v="02"/>
    <s v="009"/>
    <s v="004"/>
    <m/>
    <m/>
    <m/>
    <s v="Nación"/>
    <x v="0"/>
    <s v="CSF"/>
    <x v="24"/>
    <m/>
    <n v="1500000"/>
    <n v="0"/>
    <n v="0"/>
    <n v="1500000"/>
    <n v="0"/>
    <n v="1500000"/>
    <n v="0"/>
    <n v="1070706"/>
    <n v="947790.21"/>
    <n v="947790.21"/>
    <n v="947790.21"/>
  </r>
  <r>
    <s v="04-03-00-009"/>
    <x v="7"/>
    <s v="A-02-02-02-010"/>
    <x v="0"/>
    <s v="02"/>
    <s v="02"/>
    <s v="02"/>
    <s v="010"/>
    <m/>
    <m/>
    <m/>
    <m/>
    <s v="Nación"/>
    <x v="0"/>
    <s v="CSF"/>
    <x v="25"/>
    <m/>
    <n v="0"/>
    <n v="6014115"/>
    <n v="0"/>
    <n v="6014115"/>
    <n v="0"/>
    <n v="6014115"/>
    <n v="0"/>
    <n v="5046705"/>
    <n v="5046705"/>
    <n v="5046705"/>
    <n v="5046705"/>
  </r>
  <r>
    <s v="04-03-00-009"/>
    <x v="7"/>
    <s v="A-03-04-02-012-001"/>
    <x v="0"/>
    <s v="03"/>
    <s v="04"/>
    <s v="02"/>
    <s v="012"/>
    <s v="001"/>
    <m/>
    <m/>
    <m/>
    <s v="Nación"/>
    <x v="0"/>
    <s v="CSF"/>
    <x v="26"/>
    <m/>
    <n v="0"/>
    <n v="8281087"/>
    <n v="0"/>
    <n v="8281087"/>
    <n v="0"/>
    <n v="6452426"/>
    <n v="1828661"/>
    <n v="6452426"/>
    <n v="6452426"/>
    <n v="6452426"/>
    <n v="6452426"/>
  </r>
  <r>
    <s v="04-03-00-009"/>
    <x v="7"/>
    <s v="A-08-01-02-001"/>
    <x v="0"/>
    <s v="08"/>
    <s v="01"/>
    <s v="02"/>
    <s v="001"/>
    <m/>
    <m/>
    <m/>
    <m/>
    <s v="Nación"/>
    <x v="0"/>
    <s v="CSF"/>
    <x v="27"/>
    <m/>
    <n v="0"/>
    <n v="19099207"/>
    <n v="0"/>
    <n v="19099207"/>
    <n v="0"/>
    <n v="19099207"/>
    <n v="0"/>
    <n v="19099207"/>
    <n v="19099207"/>
    <n v="19099207"/>
    <n v="19099207"/>
  </r>
  <r>
    <s v="04-03-00-009"/>
    <x v="7"/>
    <s v="A-08-01-02-003"/>
    <x v="0"/>
    <s v="08"/>
    <s v="01"/>
    <s v="02"/>
    <s v="003"/>
    <m/>
    <m/>
    <m/>
    <m/>
    <s v="Propios"/>
    <x v="1"/>
    <s v="CSF"/>
    <x v="28"/>
    <m/>
    <n v="0"/>
    <n v="1649000"/>
    <n v="0"/>
    <n v="1649000"/>
    <n v="0"/>
    <n v="1649000"/>
    <n v="0"/>
    <n v="1649000"/>
    <n v="1649000"/>
    <n v="1649000"/>
    <n v="1649000"/>
  </r>
  <r>
    <s v="04-03-00-010"/>
    <x v="8"/>
    <s v="A-01-01-01-001-001"/>
    <x v="0"/>
    <s v="01"/>
    <s v="01"/>
    <s v="01"/>
    <s v="001"/>
    <s v="001"/>
    <m/>
    <m/>
    <m/>
    <s v="Nación"/>
    <x v="0"/>
    <s v="CSF"/>
    <x v="0"/>
    <m/>
    <n v="944000000"/>
    <n v="0"/>
    <n v="0"/>
    <n v="944000000"/>
    <n v="0"/>
    <n v="791454948"/>
    <n v="152545052"/>
    <n v="791454948"/>
    <n v="791454948"/>
    <n v="791454948"/>
    <n v="791454948"/>
  </r>
  <r>
    <s v="04-03-00-010"/>
    <x v="8"/>
    <s v="A-01-01-01-001-003"/>
    <x v="0"/>
    <s v="01"/>
    <s v="01"/>
    <s v="01"/>
    <s v="001"/>
    <s v="003"/>
    <m/>
    <m/>
    <m/>
    <s v="Nación"/>
    <x v="0"/>
    <s v="CSF"/>
    <x v="1"/>
    <m/>
    <n v="0"/>
    <n v="8000000"/>
    <n v="0"/>
    <n v="8000000"/>
    <n v="0"/>
    <n v="5122536"/>
    <n v="2877464"/>
    <n v="5122536"/>
    <n v="5122536"/>
    <n v="5122536"/>
    <n v="5122536"/>
  </r>
  <r>
    <s v="04-03-00-010"/>
    <x v="8"/>
    <s v="A-01-01-01-001-004"/>
    <x v="0"/>
    <s v="01"/>
    <s v="01"/>
    <s v="01"/>
    <s v="001"/>
    <s v="004"/>
    <m/>
    <m/>
    <m/>
    <s v="Nación"/>
    <x v="0"/>
    <s v="CSF"/>
    <x v="2"/>
    <m/>
    <n v="24000000"/>
    <n v="6000000"/>
    <n v="0"/>
    <n v="30000000"/>
    <n v="0"/>
    <n v="17018063"/>
    <n v="12981937"/>
    <n v="17018063"/>
    <n v="17018063"/>
    <n v="17018063"/>
    <n v="17018063"/>
  </r>
  <r>
    <s v="04-03-00-010"/>
    <x v="8"/>
    <s v="A-01-01-01-001-005"/>
    <x v="0"/>
    <s v="01"/>
    <s v="01"/>
    <s v="01"/>
    <s v="001"/>
    <s v="005"/>
    <m/>
    <m/>
    <m/>
    <s v="Nación"/>
    <x v="0"/>
    <s v="CSF"/>
    <x v="3"/>
    <m/>
    <n v="16992000"/>
    <n v="9000000"/>
    <n v="16992000"/>
    <n v="9000000"/>
    <n v="0"/>
    <n v="3257494"/>
    <n v="5742506"/>
    <n v="3257494"/>
    <n v="3257494"/>
    <n v="3257494"/>
    <n v="3257494"/>
  </r>
  <r>
    <s v="04-03-00-010"/>
    <x v="8"/>
    <s v="A-01-01-01-001-006"/>
    <x v="0"/>
    <s v="01"/>
    <s v="01"/>
    <s v="01"/>
    <s v="001"/>
    <s v="006"/>
    <m/>
    <m/>
    <m/>
    <s v="Nación"/>
    <x v="0"/>
    <s v="CSF"/>
    <x v="4"/>
    <m/>
    <n v="95000000"/>
    <n v="2300000"/>
    <n v="861192"/>
    <n v="96438808"/>
    <n v="0"/>
    <n v="96323173"/>
    <n v="115635"/>
    <n v="96323173"/>
    <n v="96323173"/>
    <n v="96323173"/>
    <n v="96323173"/>
  </r>
  <r>
    <s v="04-03-00-010"/>
    <x v="8"/>
    <s v="A-01-01-01-001-007"/>
    <x v="0"/>
    <s v="01"/>
    <s v="01"/>
    <s v="01"/>
    <s v="001"/>
    <s v="007"/>
    <m/>
    <m/>
    <m/>
    <s v="Nación"/>
    <x v="0"/>
    <s v="CSF"/>
    <x v="5"/>
    <m/>
    <n v="35000000"/>
    <n v="3000000"/>
    <n v="0"/>
    <n v="38000000"/>
    <n v="0"/>
    <n v="33751214"/>
    <n v="4248786"/>
    <n v="33751214"/>
    <n v="33751214"/>
    <n v="33751214"/>
    <n v="33751214"/>
  </r>
  <r>
    <s v="04-03-00-010"/>
    <x v="8"/>
    <s v="A-01-01-01-001-008"/>
    <x v="0"/>
    <s v="01"/>
    <s v="01"/>
    <s v="01"/>
    <s v="001"/>
    <s v="008"/>
    <m/>
    <m/>
    <m/>
    <s v="Nación"/>
    <x v="0"/>
    <s v="CSF"/>
    <x v="35"/>
    <m/>
    <n v="0"/>
    <n v="1113000"/>
    <n v="0"/>
    <n v="1113000"/>
    <n v="0"/>
    <n v="474644"/>
    <n v="638356"/>
    <n v="474644"/>
    <n v="474644"/>
    <n v="474644"/>
    <n v="474644"/>
  </r>
  <r>
    <s v="04-03-00-010"/>
    <x v="8"/>
    <s v="A-01-01-01-001-009"/>
    <x v="0"/>
    <s v="01"/>
    <s v="01"/>
    <s v="01"/>
    <s v="001"/>
    <s v="009"/>
    <m/>
    <m/>
    <m/>
    <s v="Nación"/>
    <x v="0"/>
    <s v="CSF"/>
    <x v="6"/>
    <m/>
    <n v="114000000"/>
    <n v="0"/>
    <n v="0"/>
    <n v="114000000"/>
    <n v="0"/>
    <n v="96246563"/>
    <n v="17753437"/>
    <n v="96246563"/>
    <n v="96246563"/>
    <n v="96246563"/>
    <n v="96246563"/>
  </r>
  <r>
    <s v="04-03-00-010"/>
    <x v="8"/>
    <s v="A-01-01-01-001-010"/>
    <x v="0"/>
    <s v="01"/>
    <s v="01"/>
    <s v="01"/>
    <s v="001"/>
    <s v="010"/>
    <m/>
    <m/>
    <m/>
    <s v="Nación"/>
    <x v="0"/>
    <s v="CSF"/>
    <x v="7"/>
    <m/>
    <n v="43000000"/>
    <n v="37500000"/>
    <n v="0"/>
    <n v="80500000"/>
    <n v="0"/>
    <n v="70896778"/>
    <n v="9603222"/>
    <n v="70896778"/>
    <n v="70896778"/>
    <n v="70896778"/>
    <n v="70896778"/>
  </r>
  <r>
    <s v="04-03-00-010"/>
    <x v="8"/>
    <s v="A-01-01-01-001-012"/>
    <x v="0"/>
    <s v="01"/>
    <s v="01"/>
    <s v="01"/>
    <s v="001"/>
    <s v="012"/>
    <m/>
    <m/>
    <m/>
    <s v="Nación"/>
    <x v="0"/>
    <s v="CSF"/>
    <x v="8"/>
    <m/>
    <n v="16000000"/>
    <n v="13100000"/>
    <n v="7550162"/>
    <n v="21549838"/>
    <n v="0"/>
    <n v="21549838"/>
    <n v="0"/>
    <n v="21549838"/>
    <n v="21549838"/>
    <n v="21549838"/>
    <n v="21549838"/>
  </r>
  <r>
    <s v="04-03-00-010"/>
    <x v="8"/>
    <s v="A-01-01-02-001"/>
    <x v="0"/>
    <s v="01"/>
    <s v="01"/>
    <s v="02"/>
    <s v="001"/>
    <m/>
    <m/>
    <m/>
    <m/>
    <s v="Nación"/>
    <x v="0"/>
    <s v="CSF"/>
    <x v="9"/>
    <m/>
    <n v="120000000"/>
    <n v="3000000"/>
    <n v="0"/>
    <n v="123000000"/>
    <n v="0"/>
    <n v="108057425"/>
    <n v="14942575"/>
    <n v="108057425"/>
    <n v="108057425"/>
    <n v="108057425"/>
    <n v="108057425"/>
  </r>
  <r>
    <s v="04-03-00-010"/>
    <x v="8"/>
    <s v="A-01-01-02-002"/>
    <x v="0"/>
    <s v="01"/>
    <s v="01"/>
    <s v="02"/>
    <s v="002"/>
    <m/>
    <m/>
    <m/>
    <m/>
    <s v="Nación"/>
    <x v="0"/>
    <s v="CSF"/>
    <x v="10"/>
    <m/>
    <n v="88000000"/>
    <n v="0"/>
    <n v="0"/>
    <n v="88000000"/>
    <n v="0"/>
    <n v="76419976"/>
    <n v="11580024"/>
    <n v="76419976"/>
    <n v="76419976"/>
    <n v="76419976"/>
    <n v="76419976"/>
  </r>
  <r>
    <s v="04-03-00-010"/>
    <x v="8"/>
    <s v="A-01-01-02-004"/>
    <x v="0"/>
    <s v="01"/>
    <s v="01"/>
    <s v="02"/>
    <s v="004"/>
    <m/>
    <m/>
    <m/>
    <m/>
    <s v="Nación"/>
    <x v="0"/>
    <s v="CSF"/>
    <x v="11"/>
    <m/>
    <n v="48000000"/>
    <n v="12000000"/>
    <n v="0"/>
    <n v="60000000"/>
    <n v="0"/>
    <n v="50857999"/>
    <n v="9142001"/>
    <n v="50857999"/>
    <n v="50857999"/>
    <n v="50857999"/>
    <n v="50857999"/>
  </r>
  <r>
    <s v="04-03-00-010"/>
    <x v="8"/>
    <s v="A-01-01-02-005"/>
    <x v="0"/>
    <s v="01"/>
    <s v="01"/>
    <s v="02"/>
    <s v="005"/>
    <m/>
    <m/>
    <m/>
    <m/>
    <s v="Nación"/>
    <x v="0"/>
    <s v="CSF"/>
    <x v="12"/>
    <m/>
    <n v="16000000"/>
    <n v="0"/>
    <n v="0"/>
    <n v="16000000"/>
    <n v="0"/>
    <n v="11708500"/>
    <n v="4291500"/>
    <n v="11708500"/>
    <n v="11708500"/>
    <n v="11708500"/>
    <n v="11708500"/>
  </r>
  <r>
    <s v="04-03-00-010"/>
    <x v="8"/>
    <s v="A-01-01-02-006"/>
    <x v="0"/>
    <s v="01"/>
    <s v="01"/>
    <s v="02"/>
    <s v="006"/>
    <m/>
    <m/>
    <m/>
    <m/>
    <s v="Nación"/>
    <x v="0"/>
    <s v="CSF"/>
    <x v="13"/>
    <m/>
    <n v="36000000"/>
    <n v="6100000"/>
    <n v="0"/>
    <n v="42100000"/>
    <n v="0"/>
    <n v="38175000"/>
    <n v="3925000"/>
    <n v="38175000"/>
    <n v="38175000"/>
    <n v="38175000"/>
    <n v="38175000"/>
  </r>
  <r>
    <s v="04-03-00-010"/>
    <x v="8"/>
    <s v="A-01-01-02-007"/>
    <x v="0"/>
    <s v="01"/>
    <s v="01"/>
    <s v="02"/>
    <s v="007"/>
    <m/>
    <m/>
    <m/>
    <m/>
    <s v="Nación"/>
    <x v="0"/>
    <s v="CSF"/>
    <x v="14"/>
    <m/>
    <n v="5000000"/>
    <n v="24400000"/>
    <n v="0"/>
    <n v="29400000"/>
    <n v="0"/>
    <n v="25462500"/>
    <n v="3937500"/>
    <n v="25462500"/>
    <n v="25462500"/>
    <n v="25462500"/>
    <n v="25462500"/>
  </r>
  <r>
    <s v="04-03-00-010"/>
    <x v="8"/>
    <s v="A-01-01-02-008"/>
    <x v="0"/>
    <s v="01"/>
    <s v="01"/>
    <s v="02"/>
    <s v="008"/>
    <m/>
    <m/>
    <m/>
    <m/>
    <s v="Nación"/>
    <x v="0"/>
    <s v="CSF"/>
    <x v="15"/>
    <m/>
    <n v="5000000"/>
    <n v="0"/>
    <n v="5000000"/>
    <n v="0"/>
    <n v="0"/>
    <n v="0"/>
    <n v="0"/>
    <n v="0"/>
    <n v="0"/>
    <n v="0"/>
    <n v="0"/>
  </r>
  <r>
    <s v="04-03-00-010"/>
    <x v="8"/>
    <s v="A-01-01-02-009"/>
    <x v="0"/>
    <s v="01"/>
    <s v="01"/>
    <s v="02"/>
    <s v="009"/>
    <m/>
    <m/>
    <m/>
    <m/>
    <s v="Nación"/>
    <x v="0"/>
    <s v="CSF"/>
    <x v="16"/>
    <m/>
    <n v="10000000"/>
    <n v="0"/>
    <n v="10000000"/>
    <n v="0"/>
    <n v="0"/>
    <n v="0"/>
    <n v="0"/>
    <n v="0"/>
    <n v="0"/>
    <n v="0"/>
    <n v="0"/>
  </r>
  <r>
    <s v="04-03-00-010"/>
    <x v="8"/>
    <s v="A-01-01-03-001-001"/>
    <x v="0"/>
    <s v="01"/>
    <s v="01"/>
    <s v="03"/>
    <s v="001"/>
    <s v="001"/>
    <m/>
    <m/>
    <m/>
    <s v="Nación"/>
    <x v="0"/>
    <s v="CSF"/>
    <x v="17"/>
    <m/>
    <n v="44000000"/>
    <n v="7350000"/>
    <n v="0"/>
    <n v="51350000"/>
    <n v="0"/>
    <n v="42505704"/>
    <n v="8844296"/>
    <n v="42505704"/>
    <n v="42505704"/>
    <n v="42505704"/>
    <n v="42505704"/>
  </r>
  <r>
    <s v="04-03-00-010"/>
    <x v="8"/>
    <s v="A-01-01-03-001-002"/>
    <x v="0"/>
    <s v="01"/>
    <s v="01"/>
    <s v="03"/>
    <s v="001"/>
    <s v="002"/>
    <m/>
    <m/>
    <m/>
    <s v="Nación"/>
    <x v="0"/>
    <s v="CSF"/>
    <x v="18"/>
    <m/>
    <n v="0"/>
    <n v="61400000"/>
    <n v="14400000"/>
    <n v="47000000"/>
    <n v="0"/>
    <n v="44853335"/>
    <n v="2146665"/>
    <n v="44853335"/>
    <n v="44853335"/>
    <n v="44853335"/>
    <n v="44853335"/>
  </r>
  <r>
    <s v="04-03-00-010"/>
    <x v="8"/>
    <s v="A-01-01-03-001-003"/>
    <x v="0"/>
    <s v="01"/>
    <s v="01"/>
    <s v="03"/>
    <s v="001"/>
    <s v="003"/>
    <m/>
    <m/>
    <m/>
    <s v="Nación"/>
    <x v="0"/>
    <s v="CSF"/>
    <x v="19"/>
    <m/>
    <n v="4000000"/>
    <n v="9000000"/>
    <n v="0"/>
    <n v="13000000"/>
    <n v="0"/>
    <n v="6390569"/>
    <n v="6609431"/>
    <n v="6390569"/>
    <n v="6390569"/>
    <n v="6390569"/>
    <n v="6390569"/>
  </r>
  <r>
    <s v="04-03-00-010"/>
    <x v="8"/>
    <s v="A-01-01-03-002"/>
    <x v="0"/>
    <s v="01"/>
    <s v="01"/>
    <s v="03"/>
    <s v="002"/>
    <m/>
    <m/>
    <m/>
    <m/>
    <s v="Nación"/>
    <x v="0"/>
    <s v="CSF"/>
    <x v="20"/>
    <m/>
    <n v="0"/>
    <n v="23235674"/>
    <n v="0"/>
    <n v="23235674"/>
    <n v="0"/>
    <n v="14456417"/>
    <n v="8779257"/>
    <n v="14456417"/>
    <n v="14456417"/>
    <n v="14456417"/>
    <n v="14456417"/>
  </r>
  <r>
    <s v="04-03-00-010"/>
    <x v="8"/>
    <s v="A-02-02-02-006-004"/>
    <x v="0"/>
    <s v="02"/>
    <s v="02"/>
    <s v="02"/>
    <s v="006"/>
    <s v="004"/>
    <m/>
    <m/>
    <m/>
    <s v="Propios"/>
    <x v="1"/>
    <s v="CSF"/>
    <x v="21"/>
    <m/>
    <n v="0"/>
    <n v="36400"/>
    <n v="0"/>
    <n v="36400"/>
    <n v="0"/>
    <n v="36400"/>
    <n v="0"/>
    <n v="36400"/>
    <n v="36400"/>
    <n v="36400"/>
    <n v="36400"/>
  </r>
  <r>
    <s v="04-03-00-010"/>
    <x v="8"/>
    <s v="A-02-02-02-006-009"/>
    <x v="0"/>
    <s v="02"/>
    <s v="02"/>
    <s v="02"/>
    <s v="006"/>
    <s v="009"/>
    <m/>
    <m/>
    <m/>
    <s v="Nación"/>
    <x v="0"/>
    <s v="CSF"/>
    <x v="22"/>
    <m/>
    <n v="1100000"/>
    <n v="900000"/>
    <n v="0"/>
    <n v="2000000"/>
    <n v="0"/>
    <n v="1989563"/>
    <n v="10437"/>
    <n v="1989563"/>
    <n v="1989563"/>
    <n v="1989563"/>
    <n v="1989563"/>
  </r>
  <r>
    <s v="04-03-00-010"/>
    <x v="8"/>
    <s v="A-02-02-02-007-001"/>
    <x v="0"/>
    <s v="02"/>
    <s v="02"/>
    <s v="02"/>
    <s v="007"/>
    <s v="001"/>
    <m/>
    <m/>
    <m/>
    <s v="Nación"/>
    <x v="0"/>
    <s v="CSF"/>
    <x v="36"/>
    <m/>
    <n v="0"/>
    <n v="280000"/>
    <n v="0"/>
    <n v="280000"/>
    <n v="0"/>
    <n v="280000"/>
    <n v="0"/>
    <n v="0"/>
    <n v="0"/>
    <n v="0"/>
    <n v="0"/>
  </r>
  <r>
    <s v="04-03-00-010"/>
    <x v="8"/>
    <s v="A-02-02-02-008-004"/>
    <x v="0"/>
    <s v="02"/>
    <s v="02"/>
    <s v="02"/>
    <s v="008"/>
    <s v="004"/>
    <m/>
    <m/>
    <m/>
    <s v="Nación"/>
    <x v="0"/>
    <s v="CSF"/>
    <x v="23"/>
    <m/>
    <n v="300000"/>
    <n v="1366606"/>
    <n v="0"/>
    <n v="1666606"/>
    <n v="0"/>
    <n v="1611121"/>
    <n v="55485"/>
    <n v="1611121"/>
    <n v="1611121"/>
    <n v="1611121"/>
    <n v="1611121"/>
  </r>
  <r>
    <s v="04-03-00-010"/>
    <x v="8"/>
    <s v="A-02-02-02-009-004"/>
    <x v="0"/>
    <s v="02"/>
    <s v="02"/>
    <s v="02"/>
    <s v="009"/>
    <s v="004"/>
    <m/>
    <m/>
    <m/>
    <s v="Nación"/>
    <x v="0"/>
    <s v="CSF"/>
    <x v="24"/>
    <m/>
    <n v="150000"/>
    <n v="200000"/>
    <n v="182606"/>
    <n v="167394"/>
    <n v="0"/>
    <n v="167394"/>
    <n v="0"/>
    <n v="167394"/>
    <n v="167394"/>
    <n v="167394"/>
    <n v="167394"/>
  </r>
  <r>
    <s v="04-03-00-010"/>
    <x v="8"/>
    <s v="A-03-04-02-012-001"/>
    <x v="0"/>
    <s v="03"/>
    <s v="04"/>
    <s v="02"/>
    <s v="012"/>
    <s v="001"/>
    <m/>
    <m/>
    <m/>
    <s v="Nación"/>
    <x v="0"/>
    <s v="CSF"/>
    <x v="26"/>
    <m/>
    <n v="0"/>
    <n v="9850000"/>
    <n v="0"/>
    <n v="9850000"/>
    <n v="0"/>
    <n v="8268803"/>
    <n v="1581197"/>
    <n v="8268803"/>
    <n v="8268803"/>
    <n v="8268803"/>
    <n v="8268803"/>
  </r>
  <r>
    <s v="04-03-00-011"/>
    <x v="9"/>
    <s v="A-01-01-01-001-001"/>
    <x v="0"/>
    <s v="01"/>
    <s v="01"/>
    <s v="01"/>
    <s v="001"/>
    <s v="001"/>
    <m/>
    <m/>
    <m/>
    <s v="Nación"/>
    <x v="0"/>
    <s v="CSF"/>
    <x v="0"/>
    <m/>
    <n v="364000000"/>
    <n v="0"/>
    <n v="0"/>
    <n v="364000000"/>
    <n v="0"/>
    <n v="315670990"/>
    <n v="48329010"/>
    <n v="315670990"/>
    <n v="315670990"/>
    <n v="315670990"/>
    <n v="315670990"/>
  </r>
  <r>
    <s v="04-03-00-011"/>
    <x v="9"/>
    <s v="A-01-01-01-001-003"/>
    <x v="0"/>
    <s v="01"/>
    <s v="01"/>
    <s v="01"/>
    <s v="001"/>
    <s v="003"/>
    <m/>
    <m/>
    <m/>
    <s v="Nación"/>
    <x v="0"/>
    <s v="CSF"/>
    <x v="1"/>
    <m/>
    <n v="0"/>
    <n v="10928076"/>
    <n v="0"/>
    <n v="10928076"/>
    <n v="0"/>
    <n v="8366809"/>
    <n v="2561267"/>
    <n v="8366809"/>
    <n v="8366809"/>
    <n v="8366809"/>
    <n v="8366809"/>
  </r>
  <r>
    <s v="04-03-00-011"/>
    <x v="9"/>
    <s v="A-01-01-01-001-004"/>
    <x v="0"/>
    <s v="01"/>
    <s v="01"/>
    <s v="01"/>
    <s v="001"/>
    <s v="004"/>
    <m/>
    <m/>
    <m/>
    <s v="Nación"/>
    <x v="0"/>
    <s v="CSF"/>
    <x v="2"/>
    <m/>
    <n v="6450000"/>
    <n v="0"/>
    <n v="0"/>
    <n v="6450000"/>
    <n v="0"/>
    <n v="4419866"/>
    <n v="2030134"/>
    <n v="4419866"/>
    <n v="4419866"/>
    <n v="4419866"/>
    <n v="4419866"/>
  </r>
  <r>
    <s v="04-03-00-011"/>
    <x v="9"/>
    <s v="A-01-01-01-001-005"/>
    <x v="0"/>
    <s v="01"/>
    <s v="01"/>
    <s v="01"/>
    <s v="001"/>
    <s v="005"/>
    <m/>
    <m/>
    <m/>
    <s v="Nación"/>
    <x v="0"/>
    <s v="CSF"/>
    <x v="3"/>
    <m/>
    <n v="3767000"/>
    <n v="2600000"/>
    <n v="3767000"/>
    <n v="2600000"/>
    <n v="0"/>
    <n v="872922"/>
    <n v="1727078"/>
    <n v="872922"/>
    <n v="872922"/>
    <n v="872922"/>
    <n v="872922"/>
  </r>
  <r>
    <s v="04-03-00-011"/>
    <x v="9"/>
    <s v="A-01-01-01-001-006"/>
    <x v="0"/>
    <s v="01"/>
    <s v="01"/>
    <s v="01"/>
    <s v="001"/>
    <s v="006"/>
    <m/>
    <m/>
    <m/>
    <s v="Nación"/>
    <x v="0"/>
    <s v="CSF"/>
    <x v="4"/>
    <m/>
    <n v="36000000"/>
    <n v="798269"/>
    <n v="3429612"/>
    <n v="33368657"/>
    <n v="0"/>
    <n v="33368657"/>
    <n v="0"/>
    <n v="33368657"/>
    <n v="33368657"/>
    <n v="33368657"/>
    <n v="33368657"/>
  </r>
  <r>
    <s v="04-03-00-011"/>
    <x v="9"/>
    <s v="A-01-01-01-001-007"/>
    <x v="0"/>
    <s v="01"/>
    <s v="01"/>
    <s v="01"/>
    <s v="001"/>
    <s v="007"/>
    <m/>
    <m/>
    <m/>
    <s v="Nación"/>
    <x v="0"/>
    <s v="CSF"/>
    <x v="5"/>
    <m/>
    <n v="14000000"/>
    <n v="1200000"/>
    <n v="0"/>
    <n v="15200000"/>
    <n v="0"/>
    <n v="11179575"/>
    <n v="4020425"/>
    <n v="11179575"/>
    <n v="11179575"/>
    <n v="11179575"/>
    <n v="11179575"/>
  </r>
  <r>
    <s v="04-03-00-011"/>
    <x v="9"/>
    <s v="A-01-01-01-001-009"/>
    <x v="0"/>
    <s v="01"/>
    <s v="01"/>
    <s v="01"/>
    <s v="001"/>
    <s v="009"/>
    <m/>
    <m/>
    <m/>
    <s v="Nación"/>
    <x v="0"/>
    <s v="CSF"/>
    <x v="6"/>
    <m/>
    <n v="46000000"/>
    <n v="0"/>
    <n v="0"/>
    <n v="46000000"/>
    <n v="0"/>
    <n v="43464420"/>
    <n v="2535580"/>
    <n v="43464420"/>
    <n v="43464420"/>
    <n v="43464420"/>
    <n v="43464420"/>
  </r>
  <r>
    <s v="04-03-00-011"/>
    <x v="9"/>
    <s v="A-01-01-01-001-010"/>
    <x v="0"/>
    <s v="01"/>
    <s v="01"/>
    <s v="01"/>
    <s v="001"/>
    <s v="010"/>
    <m/>
    <m/>
    <m/>
    <s v="Nación"/>
    <x v="0"/>
    <s v="CSF"/>
    <x v="7"/>
    <m/>
    <n v="20000000"/>
    <n v="2000000"/>
    <n v="0"/>
    <n v="22000000"/>
    <n v="0"/>
    <n v="13518561"/>
    <n v="8481439"/>
    <n v="13518561"/>
    <n v="13518561"/>
    <n v="13518561"/>
    <n v="13518561"/>
  </r>
  <r>
    <s v="04-03-00-011"/>
    <x v="9"/>
    <s v="A-01-01-01-001-012"/>
    <x v="0"/>
    <s v="01"/>
    <s v="01"/>
    <s v="01"/>
    <s v="001"/>
    <s v="012"/>
    <m/>
    <m/>
    <m/>
    <s v="Nación"/>
    <x v="0"/>
    <s v="CSF"/>
    <x v="8"/>
    <m/>
    <n v="5000000"/>
    <n v="0"/>
    <n v="106663"/>
    <n v="4893337"/>
    <n v="0"/>
    <n v="4893337"/>
    <n v="0"/>
    <n v="4893337"/>
    <n v="4893337"/>
    <n v="4893337"/>
    <n v="4893337"/>
  </r>
  <r>
    <s v="04-03-00-011"/>
    <x v="9"/>
    <s v="A-01-01-02-001"/>
    <x v="0"/>
    <s v="01"/>
    <s v="01"/>
    <s v="02"/>
    <s v="001"/>
    <m/>
    <m/>
    <m/>
    <m/>
    <s v="Nación"/>
    <x v="0"/>
    <s v="CSF"/>
    <x v="9"/>
    <m/>
    <n v="48000000"/>
    <n v="0"/>
    <n v="0"/>
    <n v="48000000"/>
    <n v="0"/>
    <n v="41658300"/>
    <n v="6341700"/>
    <n v="41658300"/>
    <n v="41658300"/>
    <n v="41658300"/>
    <n v="41658300"/>
  </r>
  <r>
    <s v="04-03-00-011"/>
    <x v="9"/>
    <s v="A-01-01-02-002"/>
    <x v="0"/>
    <s v="01"/>
    <s v="01"/>
    <s v="02"/>
    <s v="002"/>
    <m/>
    <m/>
    <m/>
    <m/>
    <s v="Nación"/>
    <x v="0"/>
    <s v="CSF"/>
    <x v="10"/>
    <m/>
    <n v="33000000"/>
    <n v="1380000"/>
    <n v="0"/>
    <n v="34380000"/>
    <n v="0"/>
    <n v="29526500"/>
    <n v="4853500"/>
    <n v="29526500"/>
    <n v="29526500"/>
    <n v="29526500"/>
    <n v="29526500"/>
  </r>
  <r>
    <s v="04-03-00-011"/>
    <x v="9"/>
    <s v="A-01-01-02-004"/>
    <x v="0"/>
    <s v="01"/>
    <s v="01"/>
    <s v="02"/>
    <s v="004"/>
    <m/>
    <m/>
    <m/>
    <m/>
    <s v="Nación"/>
    <x v="0"/>
    <s v="CSF"/>
    <x v="11"/>
    <m/>
    <n v="18000000"/>
    <n v="1000000"/>
    <n v="0"/>
    <n v="19000000"/>
    <n v="0"/>
    <n v="16214000"/>
    <n v="2786000"/>
    <n v="16214000"/>
    <n v="16214000"/>
    <n v="16214000"/>
    <n v="16214000"/>
  </r>
  <r>
    <s v="04-03-00-011"/>
    <x v="9"/>
    <s v="A-01-01-02-005"/>
    <x v="0"/>
    <s v="01"/>
    <s v="01"/>
    <s v="02"/>
    <s v="005"/>
    <m/>
    <m/>
    <m/>
    <m/>
    <s v="Nación"/>
    <x v="0"/>
    <s v="CSF"/>
    <x v="12"/>
    <m/>
    <n v="5000000"/>
    <n v="0"/>
    <n v="0"/>
    <n v="5000000"/>
    <n v="0"/>
    <n v="3821800"/>
    <n v="1178200"/>
    <n v="3821800"/>
    <n v="3821800"/>
    <n v="3821800"/>
    <n v="3821800"/>
  </r>
  <r>
    <s v="04-03-00-011"/>
    <x v="9"/>
    <s v="A-01-01-02-006"/>
    <x v="0"/>
    <s v="01"/>
    <s v="01"/>
    <s v="02"/>
    <s v="006"/>
    <m/>
    <m/>
    <m/>
    <m/>
    <s v="Nación"/>
    <x v="0"/>
    <s v="CSF"/>
    <x v="13"/>
    <m/>
    <n v="14000000"/>
    <n v="2000000"/>
    <n v="0"/>
    <n v="16000000"/>
    <n v="0"/>
    <n v="12161900"/>
    <n v="3838100"/>
    <n v="12161900"/>
    <n v="12161900"/>
    <n v="12161900"/>
    <n v="12161900"/>
  </r>
  <r>
    <s v="04-03-00-011"/>
    <x v="9"/>
    <s v="A-01-01-02-007"/>
    <x v="0"/>
    <s v="01"/>
    <s v="01"/>
    <s v="02"/>
    <s v="007"/>
    <m/>
    <m/>
    <m/>
    <m/>
    <s v="Nación"/>
    <x v="0"/>
    <s v="CSF"/>
    <x v="14"/>
    <m/>
    <n v="2000000"/>
    <n v="8000000"/>
    <n v="0"/>
    <n v="10000000"/>
    <n v="0"/>
    <n v="8111500"/>
    <n v="1888500"/>
    <n v="8111500"/>
    <n v="8111500"/>
    <n v="8111500"/>
    <n v="8111500"/>
  </r>
  <r>
    <s v="04-03-00-011"/>
    <x v="9"/>
    <s v="A-01-01-02-008"/>
    <x v="0"/>
    <s v="01"/>
    <s v="01"/>
    <s v="02"/>
    <s v="008"/>
    <m/>
    <m/>
    <m/>
    <m/>
    <s v="Nación"/>
    <x v="0"/>
    <s v="CSF"/>
    <x v="15"/>
    <m/>
    <n v="2000000"/>
    <n v="0"/>
    <n v="2000000"/>
    <n v="0"/>
    <n v="0"/>
    <n v="0"/>
    <n v="0"/>
    <n v="0"/>
    <n v="0"/>
    <n v="0"/>
    <n v="0"/>
  </r>
  <r>
    <s v="04-03-00-011"/>
    <x v="9"/>
    <s v="A-01-01-02-009"/>
    <x v="0"/>
    <s v="01"/>
    <s v="01"/>
    <s v="02"/>
    <s v="009"/>
    <m/>
    <m/>
    <m/>
    <m/>
    <s v="Nación"/>
    <x v="0"/>
    <s v="CSF"/>
    <x v="16"/>
    <m/>
    <n v="4000000"/>
    <n v="0"/>
    <n v="4000000"/>
    <n v="0"/>
    <n v="0"/>
    <n v="0"/>
    <n v="0"/>
    <n v="0"/>
    <n v="0"/>
    <n v="0"/>
    <n v="0"/>
  </r>
  <r>
    <s v="04-03-00-011"/>
    <x v="9"/>
    <s v="A-01-01-03-001-001"/>
    <x v="0"/>
    <s v="01"/>
    <s v="01"/>
    <s v="03"/>
    <s v="001"/>
    <s v="001"/>
    <m/>
    <m/>
    <m/>
    <s v="Nación"/>
    <x v="0"/>
    <s v="CSF"/>
    <x v="17"/>
    <m/>
    <n v="19000000"/>
    <n v="0"/>
    <n v="0"/>
    <n v="19000000"/>
    <n v="0"/>
    <n v="10078090"/>
    <n v="8921910"/>
    <n v="10078090"/>
    <n v="10078090"/>
    <n v="10078090"/>
    <n v="10078090"/>
  </r>
  <r>
    <s v="04-03-00-011"/>
    <x v="9"/>
    <s v="A-01-01-03-001-002"/>
    <x v="0"/>
    <s v="01"/>
    <s v="01"/>
    <s v="03"/>
    <s v="001"/>
    <s v="002"/>
    <m/>
    <m/>
    <m/>
    <s v="Nación"/>
    <x v="0"/>
    <s v="CSF"/>
    <x v="18"/>
    <m/>
    <n v="0"/>
    <n v="4767277"/>
    <n v="0"/>
    <n v="4767277"/>
    <n v="0"/>
    <n v="4755950"/>
    <n v="11327"/>
    <n v="4755950"/>
    <n v="4755950"/>
    <n v="4755950"/>
    <n v="4755950"/>
  </r>
  <r>
    <s v="04-03-00-011"/>
    <x v="9"/>
    <s v="A-01-01-03-001-003"/>
    <x v="0"/>
    <s v="01"/>
    <s v="01"/>
    <s v="03"/>
    <s v="001"/>
    <s v="003"/>
    <m/>
    <m/>
    <m/>
    <s v="Nación"/>
    <x v="0"/>
    <s v="CSF"/>
    <x v="19"/>
    <m/>
    <n v="2000000"/>
    <n v="0"/>
    <n v="0"/>
    <n v="2000000"/>
    <n v="0"/>
    <n v="1175855"/>
    <n v="824145"/>
    <n v="1175855"/>
    <n v="1175855"/>
    <n v="1175855"/>
    <n v="1175855"/>
  </r>
  <r>
    <s v="04-03-00-011"/>
    <x v="9"/>
    <s v="A-01-01-03-002"/>
    <x v="0"/>
    <s v="01"/>
    <s v="01"/>
    <s v="03"/>
    <s v="002"/>
    <m/>
    <m/>
    <m/>
    <m/>
    <s v="Nación"/>
    <x v="0"/>
    <s v="CSF"/>
    <x v="20"/>
    <m/>
    <n v="29000000"/>
    <n v="0"/>
    <n v="0"/>
    <n v="29000000"/>
    <n v="0"/>
    <n v="18857914"/>
    <n v="10142086"/>
    <n v="18857914"/>
    <n v="18857914"/>
    <n v="18857914"/>
    <n v="18857914"/>
  </r>
  <r>
    <s v="04-03-00-011"/>
    <x v="9"/>
    <s v="A-02-02-02-006-004"/>
    <x v="0"/>
    <s v="02"/>
    <s v="02"/>
    <s v="02"/>
    <s v="006"/>
    <s v="004"/>
    <m/>
    <m/>
    <m/>
    <s v="Propios"/>
    <x v="1"/>
    <s v="CSF"/>
    <x v="21"/>
    <m/>
    <n v="0"/>
    <n v="170000"/>
    <n v="70000"/>
    <n v="100000"/>
    <n v="0"/>
    <n v="90000"/>
    <n v="10000"/>
    <n v="90000"/>
    <n v="90000"/>
    <n v="90000"/>
    <n v="90000"/>
  </r>
  <r>
    <s v="04-03-00-011"/>
    <x v="9"/>
    <s v="A-02-02-02-006-009"/>
    <x v="0"/>
    <s v="02"/>
    <s v="02"/>
    <s v="02"/>
    <s v="006"/>
    <s v="009"/>
    <m/>
    <m/>
    <m/>
    <s v="Nación"/>
    <x v="0"/>
    <s v="CSF"/>
    <x v="22"/>
    <m/>
    <n v="15500000"/>
    <n v="18500000"/>
    <n v="0"/>
    <n v="34000000"/>
    <n v="0"/>
    <n v="34000000"/>
    <n v="0"/>
    <n v="32443394"/>
    <n v="32443394"/>
    <n v="32443394"/>
    <n v="32443394"/>
  </r>
  <r>
    <s v="04-03-00-011"/>
    <x v="9"/>
    <s v="A-02-02-02-008-004"/>
    <x v="0"/>
    <s v="02"/>
    <s v="02"/>
    <s v="02"/>
    <s v="008"/>
    <s v="004"/>
    <m/>
    <m/>
    <m/>
    <s v="Nación"/>
    <x v="0"/>
    <s v="CSF"/>
    <x v="23"/>
    <m/>
    <n v="1500000"/>
    <n v="850000"/>
    <n v="0"/>
    <n v="2350000"/>
    <n v="0"/>
    <n v="2350000"/>
    <n v="0"/>
    <n v="2134200"/>
    <n v="2134200"/>
    <n v="2134200"/>
    <n v="2134200"/>
  </r>
  <r>
    <s v="04-03-00-011"/>
    <x v="9"/>
    <s v="A-02-02-02-009-004"/>
    <x v="0"/>
    <s v="02"/>
    <s v="02"/>
    <s v="02"/>
    <s v="009"/>
    <s v="004"/>
    <m/>
    <m/>
    <m/>
    <s v="Nación"/>
    <x v="0"/>
    <s v="CSF"/>
    <x v="24"/>
    <m/>
    <n v="100000"/>
    <n v="385600"/>
    <n v="0"/>
    <n v="485600"/>
    <n v="0"/>
    <n v="485600"/>
    <n v="0"/>
    <n v="318895"/>
    <n v="318895"/>
    <n v="318895"/>
    <n v="318895"/>
  </r>
  <r>
    <s v="04-03-00-011"/>
    <x v="9"/>
    <s v="A-02-02-02-010"/>
    <x v="0"/>
    <s v="02"/>
    <s v="02"/>
    <s v="02"/>
    <s v="010"/>
    <m/>
    <m/>
    <m/>
    <m/>
    <s v="Nación"/>
    <x v="0"/>
    <s v="CSF"/>
    <x v="25"/>
    <m/>
    <n v="0"/>
    <n v="1670516"/>
    <n v="0"/>
    <n v="1670516"/>
    <n v="0"/>
    <n v="1563026"/>
    <n v="107490"/>
    <n v="1563026"/>
    <n v="1563026"/>
    <n v="1563026"/>
    <n v="1563026"/>
  </r>
  <r>
    <s v="04-03-00-011"/>
    <x v="9"/>
    <s v="A-02-02-02-010"/>
    <x v="0"/>
    <s v="02"/>
    <s v="02"/>
    <s v="02"/>
    <s v="010"/>
    <m/>
    <m/>
    <m/>
    <m/>
    <s v="Propios"/>
    <x v="1"/>
    <s v="CSF"/>
    <x v="25"/>
    <m/>
    <n v="0"/>
    <n v="74197"/>
    <n v="74197"/>
    <n v="0"/>
    <n v="0"/>
    <n v="0"/>
    <n v="0"/>
    <n v="0"/>
    <n v="0"/>
    <n v="0"/>
    <n v="0"/>
  </r>
  <r>
    <s v="04-03-00-011"/>
    <x v="9"/>
    <s v="A-08-01-02-001"/>
    <x v="0"/>
    <s v="08"/>
    <s v="01"/>
    <s v="02"/>
    <s v="001"/>
    <m/>
    <m/>
    <m/>
    <m/>
    <s v="Nación"/>
    <x v="0"/>
    <s v="CSF"/>
    <x v="27"/>
    <m/>
    <n v="6400000"/>
    <n v="0"/>
    <n v="407990"/>
    <n v="5992010"/>
    <n v="0"/>
    <n v="5992010"/>
    <n v="0"/>
    <n v="5992010"/>
    <n v="5992010"/>
    <n v="5992010"/>
    <n v="5992010"/>
  </r>
  <r>
    <s v="04-03-00-011"/>
    <x v="9"/>
    <s v="A-08-01-02-003"/>
    <x v="0"/>
    <s v="08"/>
    <s v="01"/>
    <s v="02"/>
    <s v="003"/>
    <m/>
    <m/>
    <m/>
    <m/>
    <s v="Propios"/>
    <x v="1"/>
    <s v="CSF"/>
    <x v="28"/>
    <m/>
    <n v="0"/>
    <n v="1324000"/>
    <n v="0"/>
    <n v="1324000"/>
    <n v="0"/>
    <n v="1324000"/>
    <n v="0"/>
    <n v="1203000"/>
    <n v="1203000"/>
    <n v="1203000"/>
    <n v="1203000"/>
  </r>
  <r>
    <s v="04-03-00-012"/>
    <x v="10"/>
    <s v="A-01-01-01-001-001"/>
    <x v="0"/>
    <s v="01"/>
    <s v="01"/>
    <s v="01"/>
    <s v="001"/>
    <s v="001"/>
    <m/>
    <m/>
    <m/>
    <s v="Nación"/>
    <x v="0"/>
    <s v="CSF"/>
    <x v="0"/>
    <m/>
    <n v="593000000"/>
    <n v="0"/>
    <n v="0"/>
    <n v="593000000"/>
    <n v="0"/>
    <n v="512287705"/>
    <n v="80712295"/>
    <n v="512287705"/>
    <n v="512287705"/>
    <n v="512287705"/>
    <n v="512287705"/>
  </r>
  <r>
    <s v="04-03-00-012"/>
    <x v="10"/>
    <s v="A-01-01-01-001-004"/>
    <x v="0"/>
    <s v="01"/>
    <s v="01"/>
    <s v="01"/>
    <s v="001"/>
    <s v="004"/>
    <m/>
    <m/>
    <m/>
    <s v="Nación"/>
    <x v="0"/>
    <s v="CSF"/>
    <x v="2"/>
    <m/>
    <n v="11323000"/>
    <n v="0"/>
    <n v="0"/>
    <n v="11323000"/>
    <n v="0"/>
    <n v="9114219"/>
    <n v="2208781"/>
    <n v="9114219"/>
    <n v="9114219"/>
    <n v="9114219"/>
    <n v="9114219"/>
  </r>
  <r>
    <s v="04-03-00-012"/>
    <x v="10"/>
    <s v="A-01-01-01-001-005"/>
    <x v="0"/>
    <s v="01"/>
    <s v="01"/>
    <s v="01"/>
    <s v="001"/>
    <s v="005"/>
    <m/>
    <m/>
    <m/>
    <s v="Nación"/>
    <x v="0"/>
    <s v="CSF"/>
    <x v="3"/>
    <m/>
    <n v="8047000"/>
    <n v="2600000"/>
    <n v="5328874"/>
    <n v="5318126"/>
    <n v="0"/>
    <n v="4322033"/>
    <n v="996093"/>
    <n v="4322033"/>
    <n v="4322033"/>
    <n v="4322033"/>
    <n v="4322033"/>
  </r>
  <r>
    <s v="04-03-00-012"/>
    <x v="10"/>
    <s v="A-01-01-01-001-006"/>
    <x v="0"/>
    <s v="01"/>
    <s v="01"/>
    <s v="01"/>
    <s v="001"/>
    <s v="006"/>
    <m/>
    <m/>
    <m/>
    <s v="Nación"/>
    <x v="0"/>
    <s v="CSF"/>
    <x v="4"/>
    <m/>
    <n v="59000000"/>
    <n v="1779153"/>
    <n v="0"/>
    <n v="60779153"/>
    <n v="0"/>
    <n v="60779153"/>
    <n v="0"/>
    <n v="60779153"/>
    <n v="60779153"/>
    <n v="60779153"/>
    <n v="60779153"/>
  </r>
  <r>
    <s v="04-03-00-012"/>
    <x v="10"/>
    <s v="A-01-01-01-001-007"/>
    <x v="0"/>
    <s v="01"/>
    <s v="01"/>
    <s v="01"/>
    <s v="001"/>
    <s v="007"/>
    <m/>
    <m/>
    <m/>
    <s v="Nación"/>
    <x v="0"/>
    <s v="CSF"/>
    <x v="5"/>
    <m/>
    <n v="22000000"/>
    <n v="4000000"/>
    <n v="0"/>
    <n v="26000000"/>
    <n v="0"/>
    <n v="24164885"/>
    <n v="1835115"/>
    <n v="24164885"/>
    <n v="24164885"/>
    <n v="24164885"/>
    <n v="24164885"/>
  </r>
  <r>
    <s v="04-03-00-012"/>
    <x v="10"/>
    <s v="A-01-01-01-001-009"/>
    <x v="0"/>
    <s v="01"/>
    <s v="01"/>
    <s v="01"/>
    <s v="001"/>
    <s v="009"/>
    <m/>
    <m/>
    <m/>
    <s v="Nación"/>
    <x v="0"/>
    <s v="CSF"/>
    <x v="6"/>
    <m/>
    <n v="72000000"/>
    <n v="0"/>
    <n v="0"/>
    <n v="72000000"/>
    <n v="0"/>
    <n v="60482295"/>
    <n v="11517705"/>
    <n v="60482295"/>
    <n v="60482295"/>
    <n v="60482295"/>
    <n v="60482295"/>
  </r>
  <r>
    <s v="04-03-00-012"/>
    <x v="10"/>
    <s v="A-01-01-01-001-010"/>
    <x v="0"/>
    <s v="01"/>
    <s v="01"/>
    <s v="01"/>
    <s v="001"/>
    <s v="010"/>
    <m/>
    <m/>
    <m/>
    <s v="Nación"/>
    <x v="0"/>
    <s v="CSF"/>
    <x v="7"/>
    <m/>
    <n v="46000000"/>
    <n v="2800000"/>
    <n v="0"/>
    <n v="48800000"/>
    <n v="0"/>
    <n v="33373749"/>
    <n v="15426251"/>
    <n v="33373749"/>
    <n v="33373749"/>
    <n v="33373749"/>
    <n v="33373749"/>
  </r>
  <r>
    <s v="04-03-00-012"/>
    <x v="10"/>
    <s v="A-01-01-01-001-012"/>
    <x v="0"/>
    <s v="01"/>
    <s v="01"/>
    <s v="01"/>
    <s v="001"/>
    <s v="012"/>
    <m/>
    <m/>
    <m/>
    <s v="Nación"/>
    <x v="0"/>
    <s v="CSF"/>
    <x v="8"/>
    <m/>
    <n v="8000000"/>
    <n v="1500000"/>
    <n v="987227"/>
    <n v="8512773"/>
    <n v="0"/>
    <n v="8512773"/>
    <n v="0"/>
    <n v="8512773"/>
    <n v="8512773"/>
    <n v="8512773"/>
    <n v="8512773"/>
  </r>
  <r>
    <s v="04-03-00-012"/>
    <x v="10"/>
    <s v="A-01-01-02-001"/>
    <x v="0"/>
    <s v="01"/>
    <s v="01"/>
    <s v="02"/>
    <s v="001"/>
    <m/>
    <m/>
    <m/>
    <m/>
    <s v="Nación"/>
    <x v="0"/>
    <s v="CSF"/>
    <x v="9"/>
    <m/>
    <n v="78000000"/>
    <n v="2000000"/>
    <n v="0"/>
    <n v="80000000"/>
    <n v="0"/>
    <n v="69241500"/>
    <n v="10758500"/>
    <n v="69241500"/>
    <n v="69241500"/>
    <n v="69241500"/>
    <n v="69241500"/>
  </r>
  <r>
    <s v="04-03-00-012"/>
    <x v="10"/>
    <s v="A-01-01-02-002"/>
    <x v="0"/>
    <s v="01"/>
    <s v="01"/>
    <s v="02"/>
    <s v="002"/>
    <m/>
    <m/>
    <m/>
    <m/>
    <s v="Nación"/>
    <x v="0"/>
    <s v="CSF"/>
    <x v="10"/>
    <m/>
    <n v="55000000"/>
    <n v="1000000"/>
    <n v="0"/>
    <n v="56000000"/>
    <n v="0"/>
    <n v="49049600"/>
    <n v="6950400"/>
    <n v="49049600"/>
    <n v="49049600"/>
    <n v="49049600"/>
    <n v="49049600"/>
  </r>
  <r>
    <s v="04-03-00-012"/>
    <x v="10"/>
    <s v="A-01-01-02-004"/>
    <x v="0"/>
    <s v="01"/>
    <s v="01"/>
    <s v="02"/>
    <s v="004"/>
    <m/>
    <m/>
    <m/>
    <m/>
    <s v="Nación"/>
    <x v="0"/>
    <s v="CSF"/>
    <x v="11"/>
    <m/>
    <n v="31000000"/>
    <n v="1000000"/>
    <n v="0"/>
    <n v="32000000"/>
    <n v="0"/>
    <n v="27759100"/>
    <n v="4240900"/>
    <n v="27759100"/>
    <n v="27759100"/>
    <n v="27759100"/>
    <n v="27759100"/>
  </r>
  <r>
    <s v="04-03-00-012"/>
    <x v="10"/>
    <s v="A-01-01-02-005"/>
    <x v="0"/>
    <s v="01"/>
    <s v="01"/>
    <s v="02"/>
    <s v="005"/>
    <m/>
    <m/>
    <m/>
    <m/>
    <s v="Nación"/>
    <x v="0"/>
    <s v="CSF"/>
    <x v="12"/>
    <m/>
    <n v="8000000"/>
    <n v="0"/>
    <n v="0"/>
    <n v="8000000"/>
    <n v="0"/>
    <n v="7138200"/>
    <n v="861800"/>
    <n v="7138200"/>
    <n v="7138200"/>
    <n v="7138200"/>
    <n v="7138200"/>
  </r>
  <r>
    <s v="04-03-00-012"/>
    <x v="10"/>
    <s v="A-01-01-02-006"/>
    <x v="0"/>
    <s v="01"/>
    <s v="01"/>
    <s v="02"/>
    <s v="006"/>
    <m/>
    <m/>
    <m/>
    <m/>
    <s v="Nación"/>
    <x v="0"/>
    <s v="CSF"/>
    <x v="13"/>
    <m/>
    <n v="23000000"/>
    <n v="0"/>
    <n v="0"/>
    <n v="23000000"/>
    <n v="0"/>
    <n v="20822400"/>
    <n v="2177600"/>
    <n v="20822400"/>
    <n v="20822400"/>
    <n v="20822400"/>
    <n v="20822400"/>
  </r>
  <r>
    <s v="04-03-00-012"/>
    <x v="10"/>
    <s v="A-01-01-02-007"/>
    <x v="0"/>
    <s v="01"/>
    <s v="01"/>
    <s v="02"/>
    <s v="007"/>
    <m/>
    <m/>
    <m/>
    <m/>
    <s v="Nación"/>
    <x v="0"/>
    <s v="CSF"/>
    <x v="14"/>
    <m/>
    <n v="3000000"/>
    <n v="13000000"/>
    <n v="0"/>
    <n v="16000000"/>
    <n v="0"/>
    <n v="13887200"/>
    <n v="2112800"/>
    <n v="13887200"/>
    <n v="13887200"/>
    <n v="13887200"/>
    <n v="13887200"/>
  </r>
  <r>
    <s v="04-03-00-012"/>
    <x v="10"/>
    <s v="A-01-01-02-008"/>
    <x v="0"/>
    <s v="01"/>
    <s v="01"/>
    <s v="02"/>
    <s v="008"/>
    <m/>
    <m/>
    <m/>
    <m/>
    <s v="Nación"/>
    <x v="0"/>
    <s v="CSF"/>
    <x v="15"/>
    <m/>
    <n v="3000000"/>
    <n v="0"/>
    <n v="3000000"/>
    <n v="0"/>
    <n v="0"/>
    <n v="0"/>
    <n v="0"/>
    <n v="0"/>
    <n v="0"/>
    <n v="0"/>
    <n v="0"/>
  </r>
  <r>
    <s v="04-03-00-012"/>
    <x v="10"/>
    <s v="A-01-01-02-009"/>
    <x v="0"/>
    <s v="01"/>
    <s v="01"/>
    <s v="02"/>
    <s v="009"/>
    <m/>
    <m/>
    <m/>
    <m/>
    <s v="Nación"/>
    <x v="0"/>
    <s v="CSF"/>
    <x v="16"/>
    <m/>
    <n v="6000000"/>
    <n v="0"/>
    <n v="6000000"/>
    <n v="0"/>
    <n v="0"/>
    <n v="0"/>
    <n v="0"/>
    <n v="0"/>
    <n v="0"/>
    <n v="0"/>
    <n v="0"/>
  </r>
  <r>
    <s v="04-03-00-012"/>
    <x v="10"/>
    <s v="A-01-01-03-001-001"/>
    <x v="0"/>
    <s v="01"/>
    <s v="01"/>
    <s v="03"/>
    <s v="001"/>
    <s v="001"/>
    <m/>
    <m/>
    <m/>
    <s v="Nación"/>
    <x v="0"/>
    <s v="CSF"/>
    <x v="17"/>
    <m/>
    <n v="35000000"/>
    <n v="0"/>
    <n v="0"/>
    <n v="35000000"/>
    <n v="0"/>
    <n v="27210625"/>
    <n v="7789375"/>
    <n v="27210625"/>
    <n v="27210625"/>
    <n v="27210625"/>
    <n v="27210625"/>
  </r>
  <r>
    <s v="04-03-00-012"/>
    <x v="10"/>
    <s v="A-01-01-03-001-002"/>
    <x v="0"/>
    <s v="01"/>
    <s v="01"/>
    <s v="03"/>
    <s v="001"/>
    <s v="002"/>
    <m/>
    <m/>
    <m/>
    <s v="Nación"/>
    <x v="0"/>
    <s v="CSF"/>
    <x v="18"/>
    <m/>
    <n v="0"/>
    <n v="24061590"/>
    <n v="12030795"/>
    <n v="12030795"/>
    <n v="0"/>
    <n v="12030795"/>
    <n v="0"/>
    <n v="12030795"/>
    <n v="12030795"/>
    <n v="12030795"/>
    <n v="12030795"/>
  </r>
  <r>
    <s v="04-03-00-012"/>
    <x v="10"/>
    <s v="A-01-01-03-001-003"/>
    <x v="0"/>
    <s v="01"/>
    <s v="01"/>
    <s v="03"/>
    <s v="001"/>
    <s v="003"/>
    <m/>
    <m/>
    <m/>
    <s v="Nación"/>
    <x v="0"/>
    <s v="CSF"/>
    <x v="19"/>
    <m/>
    <n v="4000000"/>
    <n v="0"/>
    <n v="0"/>
    <n v="4000000"/>
    <n v="0"/>
    <n v="3144423"/>
    <n v="855577"/>
    <n v="3144423"/>
    <n v="3144423"/>
    <n v="3144423"/>
    <n v="3144423"/>
  </r>
  <r>
    <s v="04-03-00-012"/>
    <x v="10"/>
    <s v="A-01-01-03-002"/>
    <x v="0"/>
    <s v="01"/>
    <s v="01"/>
    <s v="03"/>
    <s v="002"/>
    <m/>
    <m/>
    <m/>
    <m/>
    <s v="Nación"/>
    <x v="0"/>
    <s v="CSF"/>
    <x v="20"/>
    <m/>
    <n v="20000000"/>
    <n v="14321000"/>
    <n v="0"/>
    <n v="34321000"/>
    <n v="0"/>
    <n v="27150440"/>
    <n v="7170560"/>
    <n v="27150440"/>
    <n v="27150440"/>
    <n v="27150440"/>
    <n v="27150440"/>
  </r>
  <r>
    <s v="04-03-00-012"/>
    <x v="10"/>
    <s v="A-02-02-02-006-004"/>
    <x v="0"/>
    <s v="02"/>
    <s v="02"/>
    <s v="02"/>
    <s v="006"/>
    <s v="004"/>
    <m/>
    <m/>
    <m/>
    <s v="Propios"/>
    <x v="1"/>
    <s v="CSF"/>
    <x v="21"/>
    <m/>
    <n v="0"/>
    <n v="580000"/>
    <n v="0"/>
    <n v="580000"/>
    <n v="0"/>
    <n v="580000"/>
    <n v="0"/>
    <n v="580000"/>
    <n v="580000"/>
    <n v="580000"/>
    <n v="580000"/>
  </r>
  <r>
    <s v="04-03-00-012"/>
    <x v="10"/>
    <s v="A-02-02-02-006-009"/>
    <x v="0"/>
    <s v="02"/>
    <s v="02"/>
    <s v="02"/>
    <s v="006"/>
    <s v="009"/>
    <m/>
    <m/>
    <m/>
    <s v="Nación"/>
    <x v="0"/>
    <s v="CSF"/>
    <x v="22"/>
    <m/>
    <n v="20360000"/>
    <n v="19800000"/>
    <n v="0"/>
    <n v="40160000"/>
    <n v="0"/>
    <n v="40160000"/>
    <n v="0"/>
    <n v="38936034"/>
    <n v="38486034"/>
    <n v="38486034"/>
    <n v="38486034"/>
  </r>
  <r>
    <s v="04-03-00-012"/>
    <x v="10"/>
    <s v="A-02-02-02-008-004"/>
    <x v="0"/>
    <s v="02"/>
    <s v="02"/>
    <s v="02"/>
    <s v="008"/>
    <s v="004"/>
    <m/>
    <m/>
    <m/>
    <s v="Nación"/>
    <x v="0"/>
    <s v="CSF"/>
    <x v="23"/>
    <m/>
    <n v="400000"/>
    <n v="273000"/>
    <n v="0"/>
    <n v="673000"/>
    <n v="0"/>
    <n v="673000"/>
    <n v="0"/>
    <n v="512855"/>
    <n v="512855"/>
    <n v="512855"/>
    <n v="512855"/>
  </r>
  <r>
    <s v="04-03-00-012"/>
    <x v="10"/>
    <s v="A-02-02-02-009-004"/>
    <x v="0"/>
    <s v="02"/>
    <s v="02"/>
    <s v="02"/>
    <s v="009"/>
    <s v="004"/>
    <m/>
    <m/>
    <m/>
    <s v="Nación"/>
    <x v="0"/>
    <s v="CSF"/>
    <x v="24"/>
    <m/>
    <n v="500000"/>
    <n v="450000"/>
    <n v="0"/>
    <n v="950000"/>
    <n v="0"/>
    <n v="950000"/>
    <n v="0"/>
    <n v="931800"/>
    <n v="931800"/>
    <n v="931800"/>
    <n v="931800"/>
  </r>
  <r>
    <s v="04-03-00-012"/>
    <x v="10"/>
    <s v="A-02-02-02-010"/>
    <x v="0"/>
    <s v="02"/>
    <s v="02"/>
    <s v="02"/>
    <s v="010"/>
    <m/>
    <m/>
    <m/>
    <m/>
    <s v="Nación"/>
    <x v="0"/>
    <s v="CSF"/>
    <x v="25"/>
    <m/>
    <n v="0"/>
    <n v="271546"/>
    <n v="0"/>
    <n v="271546"/>
    <n v="0"/>
    <n v="271546"/>
    <n v="0"/>
    <n v="271546"/>
    <n v="271546"/>
    <n v="271546"/>
    <n v="271546"/>
  </r>
  <r>
    <s v="04-03-00-012"/>
    <x v="10"/>
    <s v="A-02-02-02-010"/>
    <x v="0"/>
    <s v="02"/>
    <s v="02"/>
    <s v="02"/>
    <s v="010"/>
    <m/>
    <m/>
    <m/>
    <m/>
    <s v="Propios"/>
    <x v="1"/>
    <s v="CSF"/>
    <x v="25"/>
    <m/>
    <n v="0"/>
    <n v="1434923"/>
    <n v="0"/>
    <n v="1434923"/>
    <n v="0"/>
    <n v="1434923"/>
    <n v="0"/>
    <n v="1434923"/>
    <n v="1434923"/>
    <n v="1434923"/>
    <n v="1434923"/>
  </r>
  <r>
    <s v="04-03-00-012"/>
    <x v="10"/>
    <s v="A-03-04-02-012-001"/>
    <x v="0"/>
    <s v="03"/>
    <s v="04"/>
    <s v="02"/>
    <s v="012"/>
    <s v="001"/>
    <m/>
    <m/>
    <m/>
    <s v="Nación"/>
    <x v="0"/>
    <s v="CSF"/>
    <x v="26"/>
    <m/>
    <n v="0"/>
    <n v="10500000"/>
    <n v="0"/>
    <n v="10500000"/>
    <n v="0"/>
    <n v="8959290"/>
    <n v="1540710"/>
    <n v="8959290"/>
    <n v="6051961"/>
    <n v="6051961"/>
    <n v="6051961"/>
  </r>
  <r>
    <s v="04-03-00-012"/>
    <x v="10"/>
    <s v="A-08-01-02-001"/>
    <x v="0"/>
    <s v="08"/>
    <s v="01"/>
    <s v="02"/>
    <s v="001"/>
    <m/>
    <m/>
    <m/>
    <m/>
    <s v="Nación"/>
    <x v="0"/>
    <s v="CSF"/>
    <x v="27"/>
    <m/>
    <n v="0"/>
    <n v="6745500"/>
    <n v="0"/>
    <n v="6745500"/>
    <n v="0"/>
    <n v="6745500"/>
    <n v="0"/>
    <n v="6745500"/>
    <n v="6745500"/>
    <n v="6745500"/>
    <n v="6745500"/>
  </r>
  <r>
    <s v="04-03-00-012"/>
    <x v="10"/>
    <s v="A-08-01-02-003"/>
    <x v="0"/>
    <s v="08"/>
    <s v="01"/>
    <s v="02"/>
    <s v="003"/>
    <m/>
    <m/>
    <m/>
    <m/>
    <s v="Propios"/>
    <x v="1"/>
    <s v="CSF"/>
    <x v="28"/>
    <m/>
    <n v="0"/>
    <n v="4840500"/>
    <n v="745800"/>
    <n v="4094700"/>
    <n v="0"/>
    <n v="4094700"/>
    <n v="0"/>
    <n v="4094700"/>
    <n v="4094700"/>
    <n v="4094700"/>
    <n v="4094700"/>
  </r>
  <r>
    <s v="04-03-00-013"/>
    <x v="11"/>
    <s v="A-01-01-01-001-001"/>
    <x v="0"/>
    <s v="01"/>
    <s v="01"/>
    <s v="01"/>
    <s v="001"/>
    <s v="001"/>
    <m/>
    <m/>
    <m/>
    <s v="Nación"/>
    <x v="0"/>
    <s v="CSF"/>
    <x v="0"/>
    <m/>
    <n v="560000000"/>
    <n v="0"/>
    <n v="0"/>
    <n v="560000000"/>
    <n v="0"/>
    <n v="464938193"/>
    <n v="95061807"/>
    <n v="464938193"/>
    <n v="464938193"/>
    <n v="464938193"/>
    <n v="464938193"/>
  </r>
  <r>
    <s v="04-03-00-013"/>
    <x v="11"/>
    <s v="A-01-01-01-001-003"/>
    <x v="0"/>
    <s v="01"/>
    <s v="01"/>
    <s v="01"/>
    <s v="001"/>
    <s v="003"/>
    <m/>
    <m/>
    <m/>
    <s v="Nación"/>
    <x v="0"/>
    <s v="CSF"/>
    <x v="1"/>
    <m/>
    <n v="0"/>
    <n v="9000000"/>
    <n v="0"/>
    <n v="9000000"/>
    <n v="0"/>
    <n v="8366809"/>
    <n v="633191"/>
    <n v="8366809"/>
    <n v="8366809"/>
    <n v="8366809"/>
    <n v="8366809"/>
  </r>
  <r>
    <s v="04-03-00-013"/>
    <x v="11"/>
    <s v="A-01-01-01-001-004"/>
    <x v="0"/>
    <s v="01"/>
    <s v="01"/>
    <s v="01"/>
    <s v="001"/>
    <s v="004"/>
    <m/>
    <m/>
    <m/>
    <s v="Nación"/>
    <x v="0"/>
    <s v="CSF"/>
    <x v="2"/>
    <m/>
    <n v="9751000"/>
    <n v="0"/>
    <n v="0"/>
    <n v="9751000"/>
    <n v="0"/>
    <n v="7056737"/>
    <n v="2694263"/>
    <n v="7056737"/>
    <n v="7056737"/>
    <n v="7056737"/>
    <n v="7056737"/>
  </r>
  <r>
    <s v="04-03-00-013"/>
    <x v="11"/>
    <s v="A-01-01-01-001-005"/>
    <x v="0"/>
    <s v="01"/>
    <s v="01"/>
    <s v="01"/>
    <s v="001"/>
    <s v="005"/>
    <m/>
    <m/>
    <m/>
    <s v="Nación"/>
    <x v="0"/>
    <s v="CSF"/>
    <x v="3"/>
    <m/>
    <n v="5940000"/>
    <n v="2600000"/>
    <n v="5940000"/>
    <n v="2600000"/>
    <n v="0"/>
    <n v="1277448"/>
    <n v="1322552"/>
    <n v="1277448"/>
    <n v="1277448"/>
    <n v="1277448"/>
    <n v="1277448"/>
  </r>
  <r>
    <s v="04-03-00-013"/>
    <x v="11"/>
    <s v="A-01-01-01-001-006"/>
    <x v="0"/>
    <s v="01"/>
    <s v="01"/>
    <s v="01"/>
    <s v="001"/>
    <s v="006"/>
    <m/>
    <m/>
    <m/>
    <s v="Nación"/>
    <x v="0"/>
    <s v="CSF"/>
    <x v="4"/>
    <m/>
    <n v="55000000"/>
    <n v="1267993"/>
    <n v="5877170"/>
    <n v="50390823"/>
    <n v="0"/>
    <n v="50390823"/>
    <n v="0"/>
    <n v="50390823"/>
    <n v="50390823"/>
    <n v="50390823"/>
    <n v="50390823"/>
  </r>
  <r>
    <s v="04-03-00-013"/>
    <x v="11"/>
    <s v="A-01-01-01-001-007"/>
    <x v="0"/>
    <s v="01"/>
    <s v="01"/>
    <s v="01"/>
    <s v="001"/>
    <s v="007"/>
    <m/>
    <m/>
    <m/>
    <s v="Nación"/>
    <x v="0"/>
    <s v="CSF"/>
    <x v="5"/>
    <m/>
    <n v="21000000"/>
    <n v="1500000"/>
    <n v="0"/>
    <n v="22500000"/>
    <n v="0"/>
    <n v="19401459"/>
    <n v="3098541"/>
    <n v="19401459"/>
    <n v="19401459"/>
    <n v="19401459"/>
    <n v="19401459"/>
  </r>
  <r>
    <s v="04-03-00-013"/>
    <x v="11"/>
    <s v="A-01-01-01-001-009"/>
    <x v="0"/>
    <s v="01"/>
    <s v="01"/>
    <s v="01"/>
    <s v="001"/>
    <s v="009"/>
    <m/>
    <m/>
    <m/>
    <s v="Nación"/>
    <x v="0"/>
    <s v="CSF"/>
    <x v="6"/>
    <m/>
    <n v="71000000"/>
    <n v="0"/>
    <n v="0"/>
    <n v="71000000"/>
    <n v="0"/>
    <n v="60024991"/>
    <n v="10975009"/>
    <n v="60024991"/>
    <n v="60024991"/>
    <n v="60024991"/>
    <n v="60024991"/>
  </r>
  <r>
    <s v="04-03-00-013"/>
    <x v="11"/>
    <s v="A-01-01-01-001-010"/>
    <x v="0"/>
    <s v="01"/>
    <s v="01"/>
    <s v="01"/>
    <s v="001"/>
    <s v="010"/>
    <m/>
    <m/>
    <m/>
    <s v="Nación"/>
    <x v="0"/>
    <s v="CSF"/>
    <x v="7"/>
    <m/>
    <n v="37000000"/>
    <n v="2800000"/>
    <n v="0"/>
    <n v="39800000"/>
    <n v="0"/>
    <n v="34271401"/>
    <n v="5528599"/>
    <n v="34271401"/>
    <n v="34271401"/>
    <n v="34271401"/>
    <n v="34271401"/>
  </r>
  <r>
    <s v="04-03-00-013"/>
    <x v="11"/>
    <s v="A-01-01-01-001-012"/>
    <x v="0"/>
    <s v="01"/>
    <s v="01"/>
    <s v="01"/>
    <s v="001"/>
    <s v="012"/>
    <m/>
    <m/>
    <m/>
    <s v="Nación"/>
    <x v="0"/>
    <s v="CSF"/>
    <x v="8"/>
    <m/>
    <n v="6000000"/>
    <n v="2414871"/>
    <n v="1250516"/>
    <n v="7164355"/>
    <n v="0"/>
    <n v="7164355"/>
    <n v="0"/>
    <n v="7164355"/>
    <n v="7164355"/>
    <n v="7164355"/>
    <n v="7164355"/>
  </r>
  <r>
    <s v="04-03-00-013"/>
    <x v="11"/>
    <s v="A-01-01-02-001"/>
    <x v="0"/>
    <s v="01"/>
    <s v="01"/>
    <s v="02"/>
    <s v="001"/>
    <m/>
    <m/>
    <m/>
    <m/>
    <s v="Nación"/>
    <x v="0"/>
    <s v="CSF"/>
    <x v="9"/>
    <m/>
    <n v="73000000"/>
    <n v="0"/>
    <n v="0"/>
    <n v="73000000"/>
    <n v="0"/>
    <n v="62920675"/>
    <n v="10079325"/>
    <n v="62920675"/>
    <n v="62920675"/>
    <n v="62920675"/>
    <n v="62920675"/>
  </r>
  <r>
    <s v="04-03-00-013"/>
    <x v="11"/>
    <s v="A-01-01-02-002"/>
    <x v="0"/>
    <s v="01"/>
    <s v="01"/>
    <s v="02"/>
    <s v="002"/>
    <m/>
    <m/>
    <m/>
    <m/>
    <s v="Nación"/>
    <x v="0"/>
    <s v="CSF"/>
    <x v="10"/>
    <m/>
    <n v="51000000"/>
    <n v="0"/>
    <n v="0"/>
    <n v="51000000"/>
    <n v="0"/>
    <n v="44467925"/>
    <n v="6532075"/>
    <n v="44467925"/>
    <n v="44467925"/>
    <n v="44467925"/>
    <n v="44467925"/>
  </r>
  <r>
    <s v="04-03-00-013"/>
    <x v="11"/>
    <s v="A-01-01-02-004"/>
    <x v="0"/>
    <s v="01"/>
    <s v="01"/>
    <s v="02"/>
    <s v="004"/>
    <m/>
    <m/>
    <m/>
    <m/>
    <s v="Nación"/>
    <x v="0"/>
    <s v="CSF"/>
    <x v="11"/>
    <m/>
    <n v="29000000"/>
    <n v="1000000"/>
    <n v="0"/>
    <n v="30000000"/>
    <n v="0"/>
    <n v="25025200"/>
    <n v="4974800"/>
    <n v="25025200"/>
    <n v="25025200"/>
    <n v="25025200"/>
    <n v="25025200"/>
  </r>
  <r>
    <s v="04-03-00-013"/>
    <x v="11"/>
    <s v="A-01-01-02-005"/>
    <x v="0"/>
    <s v="01"/>
    <s v="01"/>
    <s v="02"/>
    <s v="005"/>
    <m/>
    <m/>
    <m/>
    <m/>
    <s v="Nación"/>
    <x v="0"/>
    <s v="CSF"/>
    <x v="12"/>
    <m/>
    <n v="7000000"/>
    <n v="0"/>
    <n v="0"/>
    <n v="7000000"/>
    <n v="0"/>
    <n v="5370600"/>
    <n v="1629400"/>
    <n v="5370600"/>
    <n v="5370600"/>
    <n v="5370600"/>
    <n v="5370600"/>
  </r>
  <r>
    <s v="04-03-00-013"/>
    <x v="11"/>
    <s v="A-01-01-02-006"/>
    <x v="0"/>
    <s v="01"/>
    <s v="01"/>
    <s v="02"/>
    <s v="006"/>
    <m/>
    <m/>
    <m/>
    <m/>
    <s v="Nación"/>
    <x v="0"/>
    <s v="CSF"/>
    <x v="13"/>
    <m/>
    <n v="22000000"/>
    <n v="0"/>
    <n v="0"/>
    <n v="22000000"/>
    <n v="0"/>
    <n v="18771500"/>
    <n v="3228500"/>
    <n v="18771500"/>
    <n v="18771500"/>
    <n v="18771500"/>
    <n v="18771500"/>
  </r>
  <r>
    <s v="04-03-00-013"/>
    <x v="11"/>
    <s v="A-01-01-02-007"/>
    <x v="0"/>
    <s v="01"/>
    <s v="01"/>
    <s v="02"/>
    <s v="007"/>
    <m/>
    <m/>
    <m/>
    <m/>
    <s v="Nación"/>
    <x v="0"/>
    <s v="CSF"/>
    <x v="14"/>
    <m/>
    <n v="4000000"/>
    <n v="12000000"/>
    <n v="0"/>
    <n v="16000000"/>
    <n v="0"/>
    <n v="12517600"/>
    <n v="3482400"/>
    <n v="12517600"/>
    <n v="12517600"/>
    <n v="12517600"/>
    <n v="12517600"/>
  </r>
  <r>
    <s v="04-03-00-013"/>
    <x v="11"/>
    <s v="A-01-01-02-008"/>
    <x v="0"/>
    <s v="01"/>
    <s v="01"/>
    <s v="02"/>
    <s v="008"/>
    <m/>
    <m/>
    <m/>
    <m/>
    <s v="Nación"/>
    <x v="0"/>
    <s v="CSF"/>
    <x v="15"/>
    <m/>
    <n v="4000000"/>
    <n v="0"/>
    <n v="4000000"/>
    <n v="0"/>
    <n v="0"/>
    <n v="0"/>
    <n v="0"/>
    <n v="0"/>
    <n v="0"/>
    <n v="0"/>
    <n v="0"/>
  </r>
  <r>
    <s v="04-03-00-013"/>
    <x v="11"/>
    <s v="A-01-01-02-009"/>
    <x v="0"/>
    <s v="01"/>
    <s v="01"/>
    <s v="02"/>
    <s v="009"/>
    <m/>
    <m/>
    <m/>
    <m/>
    <s v="Nación"/>
    <x v="0"/>
    <s v="CSF"/>
    <x v="16"/>
    <m/>
    <n v="8000000"/>
    <n v="0"/>
    <n v="8000000"/>
    <n v="0"/>
    <n v="0"/>
    <n v="0"/>
    <n v="0"/>
    <n v="0"/>
    <n v="0"/>
    <n v="0"/>
    <n v="0"/>
  </r>
  <r>
    <s v="04-03-00-013"/>
    <x v="11"/>
    <s v="A-01-01-03-001-001"/>
    <x v="0"/>
    <s v="01"/>
    <s v="01"/>
    <s v="03"/>
    <s v="001"/>
    <s v="001"/>
    <m/>
    <m/>
    <m/>
    <s v="Nación"/>
    <x v="0"/>
    <s v="CSF"/>
    <x v="17"/>
    <m/>
    <n v="35000000"/>
    <n v="2000000"/>
    <n v="0"/>
    <n v="37000000"/>
    <n v="0"/>
    <n v="29925862"/>
    <n v="7074138"/>
    <n v="29925862"/>
    <n v="29925862"/>
    <n v="29925862"/>
    <n v="29925862"/>
  </r>
  <r>
    <s v="04-03-00-013"/>
    <x v="11"/>
    <s v="A-01-01-03-001-002"/>
    <x v="0"/>
    <s v="01"/>
    <s v="01"/>
    <s v="03"/>
    <s v="001"/>
    <s v="002"/>
    <m/>
    <m/>
    <m/>
    <s v="Nación"/>
    <x v="0"/>
    <s v="CSF"/>
    <x v="18"/>
    <m/>
    <n v="0"/>
    <n v="8575810"/>
    <n v="0"/>
    <n v="8575810"/>
    <n v="0"/>
    <n v="7079006"/>
    <n v="1496804"/>
    <n v="7079006"/>
    <n v="7079006"/>
    <n v="7079006"/>
    <n v="7079006"/>
  </r>
  <r>
    <s v="04-03-00-013"/>
    <x v="11"/>
    <s v="A-01-01-03-001-003"/>
    <x v="0"/>
    <s v="01"/>
    <s v="01"/>
    <s v="03"/>
    <s v="001"/>
    <s v="003"/>
    <m/>
    <m/>
    <m/>
    <s v="Nación"/>
    <x v="0"/>
    <s v="CSF"/>
    <x v="19"/>
    <m/>
    <n v="3000000"/>
    <n v="896000"/>
    <n v="0"/>
    <n v="3896000"/>
    <n v="0"/>
    <n v="3103426"/>
    <n v="792574"/>
    <n v="3103426"/>
    <n v="3103426"/>
    <n v="3103426"/>
    <n v="3103426"/>
  </r>
  <r>
    <s v="04-03-00-013"/>
    <x v="11"/>
    <s v="A-01-01-03-002"/>
    <x v="0"/>
    <s v="01"/>
    <s v="01"/>
    <s v="03"/>
    <s v="002"/>
    <m/>
    <m/>
    <m/>
    <m/>
    <s v="Nación"/>
    <x v="0"/>
    <s v="CSF"/>
    <x v="20"/>
    <m/>
    <n v="29000000"/>
    <n v="0"/>
    <n v="0"/>
    <n v="29000000"/>
    <n v="0"/>
    <n v="20678991"/>
    <n v="8321009"/>
    <n v="20678991"/>
    <n v="20678991"/>
    <n v="20678991"/>
    <n v="20678991"/>
  </r>
  <r>
    <s v="04-03-00-013"/>
    <x v="11"/>
    <s v="A-01-01-03-016"/>
    <x v="0"/>
    <s v="01"/>
    <s v="01"/>
    <s v="03"/>
    <s v="016"/>
    <m/>
    <m/>
    <m/>
    <m/>
    <s v="Nación"/>
    <x v="0"/>
    <s v="CSF"/>
    <x v="37"/>
    <m/>
    <n v="8000000"/>
    <n v="0"/>
    <n v="0"/>
    <n v="8000000"/>
    <n v="0"/>
    <n v="5515599"/>
    <n v="2484401"/>
    <n v="5515599"/>
    <n v="5515599"/>
    <n v="5515599"/>
    <n v="5515599"/>
  </r>
  <r>
    <s v="04-03-00-013"/>
    <x v="11"/>
    <s v="A-02-02-02-006-004"/>
    <x v="0"/>
    <s v="02"/>
    <s v="02"/>
    <s v="02"/>
    <s v="006"/>
    <s v="004"/>
    <m/>
    <m/>
    <m/>
    <s v="Propios"/>
    <x v="1"/>
    <s v="CSF"/>
    <x v="21"/>
    <m/>
    <n v="0"/>
    <n v="230000"/>
    <n v="0"/>
    <n v="230000"/>
    <n v="0"/>
    <n v="30000"/>
    <n v="200000"/>
    <n v="30000"/>
    <n v="30000"/>
    <n v="30000"/>
    <n v="30000"/>
  </r>
  <r>
    <s v="04-03-00-013"/>
    <x v="11"/>
    <s v="A-02-02-02-006-009"/>
    <x v="0"/>
    <s v="02"/>
    <s v="02"/>
    <s v="02"/>
    <s v="006"/>
    <s v="009"/>
    <m/>
    <m/>
    <m/>
    <s v="Nación"/>
    <x v="0"/>
    <s v="CSF"/>
    <x v="22"/>
    <m/>
    <n v="31000000"/>
    <n v="6596000"/>
    <n v="0"/>
    <n v="37596000"/>
    <n v="0"/>
    <n v="37596000"/>
    <n v="0"/>
    <n v="37596000"/>
    <n v="36842650"/>
    <n v="36842650"/>
    <n v="36842650"/>
  </r>
  <r>
    <s v="04-03-00-013"/>
    <x v="11"/>
    <s v="A-02-02-02-007-002"/>
    <x v="0"/>
    <s v="02"/>
    <s v="02"/>
    <s v="02"/>
    <s v="007"/>
    <s v="002"/>
    <m/>
    <m/>
    <m/>
    <s v="Nación"/>
    <x v="0"/>
    <s v="CSF"/>
    <x v="30"/>
    <m/>
    <n v="35000000"/>
    <n v="6394000"/>
    <n v="0"/>
    <n v="41394000"/>
    <n v="0"/>
    <n v="38994000"/>
    <n v="2400000"/>
    <n v="38994000"/>
    <n v="32481392.48"/>
    <n v="32481392.48"/>
    <n v="32481392.48"/>
  </r>
  <r>
    <s v="04-03-00-013"/>
    <x v="11"/>
    <s v="A-02-02-02-007-002"/>
    <x v="0"/>
    <s v="02"/>
    <s v="02"/>
    <s v="02"/>
    <s v="007"/>
    <s v="002"/>
    <m/>
    <m/>
    <m/>
    <s v="Propios"/>
    <x v="1"/>
    <s v="CSF"/>
    <x v="30"/>
    <m/>
    <n v="26000000"/>
    <n v="2600000"/>
    <n v="0"/>
    <n v="28600000"/>
    <n v="0"/>
    <n v="28600000"/>
    <n v="0"/>
    <n v="28600000"/>
    <n v="26000000"/>
    <n v="26000000"/>
    <n v="26000000"/>
  </r>
  <r>
    <s v="04-03-00-013"/>
    <x v="11"/>
    <s v="A-02-02-02-008-004"/>
    <x v="0"/>
    <s v="02"/>
    <s v="02"/>
    <s v="02"/>
    <s v="008"/>
    <s v="004"/>
    <m/>
    <m/>
    <m/>
    <s v="Nación"/>
    <x v="0"/>
    <s v="CSF"/>
    <x v="23"/>
    <m/>
    <n v="400000"/>
    <n v="320000"/>
    <n v="0"/>
    <n v="720000"/>
    <n v="0"/>
    <n v="720000"/>
    <n v="0"/>
    <n v="720000"/>
    <n v="593148"/>
    <n v="593148"/>
    <n v="593148"/>
  </r>
  <r>
    <s v="04-03-00-013"/>
    <x v="11"/>
    <s v="A-02-02-02-009-004"/>
    <x v="0"/>
    <s v="02"/>
    <s v="02"/>
    <s v="02"/>
    <s v="009"/>
    <s v="004"/>
    <m/>
    <m/>
    <m/>
    <s v="Nación"/>
    <x v="0"/>
    <s v="CSF"/>
    <x v="24"/>
    <m/>
    <n v="200000"/>
    <n v="150000"/>
    <n v="0"/>
    <n v="350000"/>
    <n v="0"/>
    <n v="350000"/>
    <n v="0"/>
    <n v="350000"/>
    <n v="350000"/>
    <n v="350000"/>
    <n v="350000"/>
  </r>
  <r>
    <s v="04-03-00-013"/>
    <x v="11"/>
    <s v="A-02-02-02-010"/>
    <x v="0"/>
    <s v="02"/>
    <s v="02"/>
    <s v="02"/>
    <s v="010"/>
    <m/>
    <m/>
    <m/>
    <m/>
    <s v="Nación"/>
    <x v="0"/>
    <s v="CSF"/>
    <x v="25"/>
    <m/>
    <n v="0"/>
    <n v="1086184"/>
    <n v="0"/>
    <n v="1086184"/>
    <n v="0"/>
    <n v="1086184"/>
    <n v="0"/>
    <n v="1086184"/>
    <n v="1086184"/>
    <n v="1086184"/>
    <n v="1086184"/>
  </r>
  <r>
    <s v="04-03-00-013"/>
    <x v="11"/>
    <s v="A-08-01-02-001"/>
    <x v="0"/>
    <s v="08"/>
    <s v="01"/>
    <s v="02"/>
    <s v="001"/>
    <m/>
    <m/>
    <m/>
    <m/>
    <s v="Nación"/>
    <x v="0"/>
    <s v="CSF"/>
    <x v="27"/>
    <m/>
    <n v="0"/>
    <n v="9274626"/>
    <n v="1531026"/>
    <n v="7743600"/>
    <n v="0"/>
    <n v="7743600"/>
    <n v="0"/>
    <n v="7743600"/>
    <n v="7743600"/>
    <n v="7743600"/>
    <n v="7743600"/>
  </r>
  <r>
    <s v="04-03-00-014"/>
    <x v="12"/>
    <s v="A-01-01-01-001-001"/>
    <x v="0"/>
    <s v="01"/>
    <s v="01"/>
    <s v="01"/>
    <s v="001"/>
    <s v="001"/>
    <m/>
    <m/>
    <m/>
    <s v="Nación"/>
    <x v="0"/>
    <s v="CSF"/>
    <x v="0"/>
    <m/>
    <n v="628000000"/>
    <n v="0"/>
    <n v="0"/>
    <n v="628000000"/>
    <n v="0"/>
    <n v="528174253"/>
    <n v="99825747"/>
    <n v="528174253"/>
    <n v="528174253"/>
    <n v="528174253"/>
    <n v="528174253"/>
  </r>
  <r>
    <s v="04-03-00-014"/>
    <x v="12"/>
    <s v="A-01-01-01-001-003"/>
    <x v="0"/>
    <s v="01"/>
    <s v="01"/>
    <s v="01"/>
    <s v="001"/>
    <s v="003"/>
    <m/>
    <m/>
    <m/>
    <s v="Nación"/>
    <x v="0"/>
    <s v="CSF"/>
    <x v="1"/>
    <m/>
    <n v="0"/>
    <n v="12000000"/>
    <n v="0"/>
    <n v="12000000"/>
    <n v="0"/>
    <n v="6488546"/>
    <n v="5511454"/>
    <n v="6488546"/>
    <n v="6488546"/>
    <n v="6488546"/>
    <n v="6488546"/>
  </r>
  <r>
    <s v="04-03-00-014"/>
    <x v="12"/>
    <s v="A-01-01-01-001-004"/>
    <x v="0"/>
    <s v="01"/>
    <s v="01"/>
    <s v="01"/>
    <s v="001"/>
    <s v="004"/>
    <m/>
    <m/>
    <m/>
    <s v="Nación"/>
    <x v="0"/>
    <s v="CSF"/>
    <x v="2"/>
    <m/>
    <n v="10539000"/>
    <n v="0"/>
    <n v="0"/>
    <n v="10539000"/>
    <n v="0"/>
    <n v="8011783"/>
    <n v="2527217"/>
    <n v="8011783"/>
    <n v="8011783"/>
    <n v="8011783"/>
    <n v="8011783"/>
  </r>
  <r>
    <s v="04-03-00-014"/>
    <x v="12"/>
    <s v="A-01-01-01-001-005"/>
    <x v="0"/>
    <s v="01"/>
    <s v="01"/>
    <s v="01"/>
    <s v="001"/>
    <s v="005"/>
    <m/>
    <m/>
    <m/>
    <s v="Nación"/>
    <x v="0"/>
    <s v="CSF"/>
    <x v="3"/>
    <m/>
    <n v="6816000"/>
    <n v="2800000"/>
    <n v="6816000"/>
    <n v="2800000"/>
    <n v="0"/>
    <n v="1433581"/>
    <n v="1366419"/>
    <n v="1433581"/>
    <n v="1433581"/>
    <n v="1433581"/>
    <n v="1433581"/>
  </r>
  <r>
    <s v="04-03-00-014"/>
    <x v="12"/>
    <s v="A-01-01-01-001-006"/>
    <x v="0"/>
    <s v="01"/>
    <s v="01"/>
    <s v="01"/>
    <s v="001"/>
    <s v="006"/>
    <m/>
    <m/>
    <m/>
    <s v="Nación"/>
    <x v="0"/>
    <s v="CSF"/>
    <x v="4"/>
    <m/>
    <n v="60000000"/>
    <n v="2164594"/>
    <n v="0"/>
    <n v="62164594"/>
    <n v="0"/>
    <n v="62163718"/>
    <n v="876"/>
    <n v="62163718"/>
    <n v="62163718"/>
    <n v="62163718"/>
    <n v="62163718"/>
  </r>
  <r>
    <s v="04-03-00-014"/>
    <x v="12"/>
    <s v="A-01-01-01-001-007"/>
    <x v="0"/>
    <s v="01"/>
    <s v="01"/>
    <s v="01"/>
    <s v="001"/>
    <s v="007"/>
    <m/>
    <m/>
    <m/>
    <s v="Nación"/>
    <x v="0"/>
    <s v="CSF"/>
    <x v="5"/>
    <m/>
    <n v="23000000"/>
    <n v="5000000"/>
    <n v="0"/>
    <n v="28000000"/>
    <n v="0"/>
    <n v="22716838"/>
    <n v="5283162"/>
    <n v="22716838"/>
    <n v="22716838"/>
    <n v="22716838"/>
    <n v="22716838"/>
  </r>
  <r>
    <s v="04-03-00-014"/>
    <x v="12"/>
    <s v="A-01-01-01-001-008"/>
    <x v="0"/>
    <s v="01"/>
    <s v="01"/>
    <s v="01"/>
    <s v="001"/>
    <s v="008"/>
    <m/>
    <m/>
    <m/>
    <s v="Nación"/>
    <x v="0"/>
    <s v="CSF"/>
    <x v="35"/>
    <m/>
    <n v="0"/>
    <n v="345870"/>
    <n v="0"/>
    <n v="345870"/>
    <n v="0"/>
    <n v="98372"/>
    <n v="247498"/>
    <n v="98372"/>
    <n v="98372"/>
    <n v="98372"/>
    <n v="98372"/>
  </r>
  <r>
    <s v="04-03-00-014"/>
    <x v="12"/>
    <s v="A-01-01-01-001-009"/>
    <x v="0"/>
    <s v="01"/>
    <s v="01"/>
    <s v="01"/>
    <s v="001"/>
    <s v="009"/>
    <m/>
    <m/>
    <m/>
    <s v="Nación"/>
    <x v="0"/>
    <s v="CSF"/>
    <x v="6"/>
    <m/>
    <n v="77000000"/>
    <n v="0"/>
    <n v="0"/>
    <n v="77000000"/>
    <n v="0"/>
    <n v="63878424"/>
    <n v="13121576"/>
    <n v="63878424"/>
    <n v="63878424"/>
    <n v="63878424"/>
    <n v="63878424"/>
  </r>
  <r>
    <s v="04-03-00-014"/>
    <x v="12"/>
    <s v="A-01-01-01-001-010"/>
    <x v="0"/>
    <s v="01"/>
    <s v="01"/>
    <s v="01"/>
    <s v="001"/>
    <s v="010"/>
    <m/>
    <m/>
    <m/>
    <s v="Nación"/>
    <x v="0"/>
    <s v="CSF"/>
    <x v="7"/>
    <m/>
    <n v="37000000"/>
    <n v="19186849"/>
    <n v="0"/>
    <n v="56186849"/>
    <n v="0"/>
    <n v="56186357"/>
    <n v="492"/>
    <n v="56186357"/>
    <n v="56186357"/>
    <n v="56186357"/>
    <n v="56186357"/>
  </r>
  <r>
    <s v="04-03-00-014"/>
    <x v="12"/>
    <s v="A-01-01-01-001-012"/>
    <x v="0"/>
    <s v="01"/>
    <s v="01"/>
    <s v="01"/>
    <s v="001"/>
    <s v="012"/>
    <m/>
    <m/>
    <m/>
    <s v="Nación"/>
    <x v="0"/>
    <s v="CSF"/>
    <x v="8"/>
    <m/>
    <n v="7000000"/>
    <n v="2768929"/>
    <n v="0"/>
    <n v="9768929"/>
    <n v="0"/>
    <n v="9768929"/>
    <n v="0"/>
    <n v="9768929"/>
    <n v="9768929"/>
    <n v="9768929"/>
    <n v="9768929"/>
  </r>
  <r>
    <s v="04-03-00-014"/>
    <x v="12"/>
    <s v="A-01-01-02-001"/>
    <x v="0"/>
    <s v="01"/>
    <s v="01"/>
    <s v="02"/>
    <s v="001"/>
    <m/>
    <m/>
    <m/>
    <m/>
    <s v="Nación"/>
    <x v="0"/>
    <s v="CSF"/>
    <x v="9"/>
    <m/>
    <n v="80000000"/>
    <n v="1500000"/>
    <n v="0"/>
    <n v="81500000"/>
    <n v="0"/>
    <n v="68818200"/>
    <n v="12681800"/>
    <n v="68818200"/>
    <n v="68818200"/>
    <n v="68818200"/>
    <n v="68818200"/>
  </r>
  <r>
    <s v="04-03-00-014"/>
    <x v="12"/>
    <s v="A-01-01-02-002"/>
    <x v="0"/>
    <s v="01"/>
    <s v="01"/>
    <s v="02"/>
    <s v="002"/>
    <m/>
    <m/>
    <m/>
    <m/>
    <s v="Nación"/>
    <x v="0"/>
    <s v="CSF"/>
    <x v="10"/>
    <m/>
    <n v="58000000"/>
    <n v="0"/>
    <n v="0"/>
    <n v="58000000"/>
    <n v="0"/>
    <n v="50105000"/>
    <n v="7895000"/>
    <n v="50105000"/>
    <n v="50105000"/>
    <n v="50105000"/>
    <n v="50105000"/>
  </r>
  <r>
    <s v="04-03-00-014"/>
    <x v="12"/>
    <s v="A-01-01-02-004"/>
    <x v="0"/>
    <s v="01"/>
    <s v="01"/>
    <s v="02"/>
    <s v="004"/>
    <m/>
    <m/>
    <m/>
    <m/>
    <s v="Nación"/>
    <x v="0"/>
    <s v="CSF"/>
    <x v="11"/>
    <m/>
    <n v="40000000"/>
    <n v="1000000"/>
    <n v="0"/>
    <n v="41000000"/>
    <n v="0"/>
    <n v="34282300"/>
    <n v="6717700"/>
    <n v="34282300"/>
    <n v="34282300"/>
    <n v="34282300"/>
    <n v="34282300"/>
  </r>
  <r>
    <s v="04-03-00-014"/>
    <x v="12"/>
    <s v="A-01-01-02-005"/>
    <x v="0"/>
    <s v="01"/>
    <s v="01"/>
    <s v="02"/>
    <s v="005"/>
    <m/>
    <m/>
    <m/>
    <m/>
    <s v="Nación"/>
    <x v="0"/>
    <s v="CSF"/>
    <x v="12"/>
    <m/>
    <n v="8000000"/>
    <n v="0"/>
    <n v="0"/>
    <n v="8000000"/>
    <n v="0"/>
    <n v="7537700"/>
    <n v="462300"/>
    <n v="7537700"/>
    <n v="7537700"/>
    <n v="7537700"/>
    <n v="7537700"/>
  </r>
  <r>
    <s v="04-03-00-014"/>
    <x v="12"/>
    <s v="A-01-01-02-006"/>
    <x v="0"/>
    <s v="01"/>
    <s v="01"/>
    <s v="02"/>
    <s v="006"/>
    <m/>
    <m/>
    <m/>
    <m/>
    <s v="Nación"/>
    <x v="0"/>
    <s v="CSF"/>
    <x v="13"/>
    <m/>
    <n v="30000000"/>
    <n v="0"/>
    <n v="0"/>
    <n v="30000000"/>
    <n v="0"/>
    <n v="25714600"/>
    <n v="4285400"/>
    <n v="25714600"/>
    <n v="25714600"/>
    <n v="25714600"/>
    <n v="25714600"/>
  </r>
  <r>
    <s v="04-03-00-014"/>
    <x v="12"/>
    <s v="A-01-01-02-007"/>
    <x v="0"/>
    <s v="01"/>
    <s v="01"/>
    <s v="02"/>
    <s v="007"/>
    <m/>
    <m/>
    <m/>
    <m/>
    <s v="Nación"/>
    <x v="0"/>
    <s v="CSF"/>
    <x v="14"/>
    <m/>
    <n v="5000000"/>
    <n v="15000000"/>
    <n v="0"/>
    <n v="20000000"/>
    <n v="0"/>
    <n v="17147200"/>
    <n v="2852800"/>
    <n v="17147200"/>
    <n v="17147200"/>
    <n v="17147200"/>
    <n v="17147200"/>
  </r>
  <r>
    <s v="04-03-00-014"/>
    <x v="12"/>
    <s v="A-01-01-02-008"/>
    <x v="0"/>
    <s v="01"/>
    <s v="01"/>
    <s v="02"/>
    <s v="008"/>
    <m/>
    <m/>
    <m/>
    <m/>
    <s v="Nación"/>
    <x v="0"/>
    <s v="CSF"/>
    <x v="15"/>
    <m/>
    <n v="5000000"/>
    <n v="0"/>
    <n v="5000000"/>
    <n v="0"/>
    <n v="0"/>
    <n v="0"/>
    <n v="0"/>
    <n v="0"/>
    <n v="0"/>
    <n v="0"/>
    <n v="0"/>
  </r>
  <r>
    <s v="04-03-00-014"/>
    <x v="12"/>
    <s v="A-01-01-02-009"/>
    <x v="0"/>
    <s v="01"/>
    <s v="01"/>
    <s v="02"/>
    <s v="009"/>
    <m/>
    <m/>
    <m/>
    <m/>
    <s v="Nación"/>
    <x v="0"/>
    <s v="CSF"/>
    <x v="16"/>
    <m/>
    <n v="10000000"/>
    <n v="0"/>
    <n v="10000000"/>
    <n v="0"/>
    <n v="0"/>
    <n v="0"/>
    <n v="0"/>
    <n v="0"/>
    <n v="0"/>
    <n v="0"/>
    <n v="0"/>
  </r>
  <r>
    <s v="04-03-00-014"/>
    <x v="12"/>
    <s v="A-01-01-03-001-001"/>
    <x v="0"/>
    <s v="01"/>
    <s v="01"/>
    <s v="03"/>
    <s v="001"/>
    <s v="001"/>
    <m/>
    <m/>
    <m/>
    <s v="Nación"/>
    <x v="0"/>
    <s v="CSF"/>
    <x v="17"/>
    <m/>
    <n v="31000000"/>
    <n v="2000000"/>
    <n v="0"/>
    <n v="33000000"/>
    <n v="0"/>
    <n v="28740322"/>
    <n v="4259678"/>
    <n v="28740322"/>
    <n v="28740322"/>
    <n v="28740322"/>
    <n v="28740322"/>
  </r>
  <r>
    <s v="04-03-00-014"/>
    <x v="12"/>
    <s v="A-01-01-03-001-002"/>
    <x v="0"/>
    <s v="01"/>
    <s v="01"/>
    <s v="03"/>
    <s v="001"/>
    <s v="002"/>
    <m/>
    <m/>
    <m/>
    <s v="Nación"/>
    <x v="0"/>
    <s v="CSF"/>
    <x v="18"/>
    <m/>
    <n v="0"/>
    <n v="30176665"/>
    <n v="0"/>
    <n v="30176665"/>
    <n v="0"/>
    <n v="30146898"/>
    <n v="29767"/>
    <n v="30146898"/>
    <n v="30146898"/>
    <n v="30146898"/>
    <n v="30146898"/>
  </r>
  <r>
    <s v="04-03-00-014"/>
    <x v="12"/>
    <s v="A-01-01-03-001-003"/>
    <x v="0"/>
    <s v="01"/>
    <s v="01"/>
    <s v="03"/>
    <s v="001"/>
    <s v="003"/>
    <m/>
    <m/>
    <m/>
    <s v="Nación"/>
    <x v="0"/>
    <s v="CSF"/>
    <x v="19"/>
    <m/>
    <n v="3000000"/>
    <n v="1951991"/>
    <n v="0"/>
    <n v="4951991"/>
    <n v="0"/>
    <n v="4631751"/>
    <n v="320240"/>
    <n v="4631751"/>
    <n v="4631751"/>
    <n v="4631751"/>
    <n v="4631751"/>
  </r>
  <r>
    <s v="04-03-00-014"/>
    <x v="12"/>
    <s v="A-01-01-03-002"/>
    <x v="0"/>
    <s v="01"/>
    <s v="01"/>
    <s v="03"/>
    <s v="002"/>
    <m/>
    <m/>
    <m/>
    <m/>
    <s v="Nación"/>
    <x v="0"/>
    <s v="CSF"/>
    <x v="20"/>
    <m/>
    <n v="29000000"/>
    <n v="0"/>
    <n v="0"/>
    <n v="29000000"/>
    <n v="0"/>
    <n v="20678991"/>
    <n v="8321009"/>
    <n v="20678991"/>
    <n v="20678991"/>
    <n v="20678991"/>
    <n v="20678991"/>
  </r>
  <r>
    <s v="04-03-00-014"/>
    <x v="12"/>
    <s v="A-02-02-02-006-004"/>
    <x v="0"/>
    <s v="02"/>
    <s v="02"/>
    <s v="02"/>
    <s v="006"/>
    <s v="004"/>
    <m/>
    <m/>
    <m/>
    <s v="Propios"/>
    <x v="1"/>
    <s v="CSF"/>
    <x v="21"/>
    <m/>
    <n v="400000"/>
    <n v="376800"/>
    <n v="3900"/>
    <n v="772900"/>
    <n v="0"/>
    <n v="772900"/>
    <n v="0"/>
    <n v="772900"/>
    <n v="772900"/>
    <n v="772900"/>
    <n v="772900"/>
  </r>
  <r>
    <s v="04-03-00-014"/>
    <x v="12"/>
    <s v="A-02-02-02-006-009"/>
    <x v="0"/>
    <s v="02"/>
    <s v="02"/>
    <s v="02"/>
    <s v="006"/>
    <s v="009"/>
    <m/>
    <m/>
    <m/>
    <s v="Nación"/>
    <x v="0"/>
    <s v="CSF"/>
    <x v="22"/>
    <m/>
    <n v="26200000"/>
    <n v="52440002"/>
    <n v="532000"/>
    <n v="78108002"/>
    <n v="0"/>
    <n v="78108002"/>
    <n v="0"/>
    <n v="77907022"/>
    <n v="77907022"/>
    <n v="77907022"/>
    <n v="77907022"/>
  </r>
  <r>
    <s v="04-03-00-014"/>
    <x v="12"/>
    <s v="A-02-02-02-007-002"/>
    <x v="0"/>
    <s v="02"/>
    <s v="02"/>
    <s v="02"/>
    <s v="007"/>
    <s v="002"/>
    <m/>
    <m/>
    <m/>
    <s v="Nación"/>
    <x v="0"/>
    <s v="CSF"/>
    <x v="30"/>
    <m/>
    <n v="22000000"/>
    <n v="975584"/>
    <n v="0"/>
    <n v="22975584"/>
    <n v="0"/>
    <n v="22975584"/>
    <n v="0"/>
    <n v="21060952"/>
    <n v="21060952"/>
    <n v="21060952"/>
    <n v="21060952"/>
  </r>
  <r>
    <s v="04-03-00-014"/>
    <x v="12"/>
    <s v="A-02-02-02-008-004"/>
    <x v="0"/>
    <s v="02"/>
    <s v="02"/>
    <s v="02"/>
    <s v="008"/>
    <s v="004"/>
    <m/>
    <m/>
    <m/>
    <s v="Nación"/>
    <x v="0"/>
    <s v="CSF"/>
    <x v="23"/>
    <m/>
    <n v="1500000"/>
    <n v="3596000"/>
    <n v="0"/>
    <n v="5096000"/>
    <n v="0"/>
    <n v="5096000"/>
    <n v="0"/>
    <n v="4677833"/>
    <n v="4677833"/>
    <n v="4677833"/>
    <n v="4677833"/>
  </r>
  <r>
    <s v="04-03-00-014"/>
    <x v="12"/>
    <s v="A-02-02-02-009-004"/>
    <x v="0"/>
    <s v="02"/>
    <s v="02"/>
    <s v="02"/>
    <s v="009"/>
    <s v="004"/>
    <m/>
    <m/>
    <m/>
    <s v="Nación"/>
    <x v="0"/>
    <s v="CSF"/>
    <x v="24"/>
    <m/>
    <n v="4000000"/>
    <n v="0"/>
    <n v="0"/>
    <n v="4000000"/>
    <n v="0"/>
    <n v="4000000"/>
    <n v="0"/>
    <n v="3242331"/>
    <n v="3242331"/>
    <n v="3242331"/>
    <n v="3242331"/>
  </r>
  <r>
    <s v="04-03-00-014"/>
    <x v="12"/>
    <s v="A-02-02-02-010"/>
    <x v="0"/>
    <s v="02"/>
    <s v="02"/>
    <s v="02"/>
    <s v="010"/>
    <m/>
    <m/>
    <m/>
    <m/>
    <s v="Nación"/>
    <x v="0"/>
    <s v="CSF"/>
    <x v="25"/>
    <m/>
    <n v="0"/>
    <n v="271546"/>
    <n v="0"/>
    <n v="271546"/>
    <n v="0"/>
    <n v="271546"/>
    <n v="0"/>
    <n v="271546"/>
    <n v="271546"/>
    <n v="271546"/>
    <n v="271546"/>
  </r>
  <r>
    <s v="04-03-00-014"/>
    <x v="12"/>
    <s v="A-02-02-02-010"/>
    <x v="0"/>
    <s v="02"/>
    <s v="02"/>
    <s v="02"/>
    <s v="010"/>
    <m/>
    <m/>
    <m/>
    <m/>
    <s v="Propios"/>
    <x v="1"/>
    <s v="CSF"/>
    <x v="25"/>
    <m/>
    <n v="0"/>
    <n v="54290"/>
    <n v="0"/>
    <n v="54290"/>
    <n v="0"/>
    <n v="54290"/>
    <n v="0"/>
    <n v="54290"/>
    <n v="54290"/>
    <n v="54290"/>
    <n v="54290"/>
  </r>
  <r>
    <s v="04-03-00-014"/>
    <x v="12"/>
    <s v="A-03-04-02-012-001"/>
    <x v="0"/>
    <s v="03"/>
    <s v="04"/>
    <s v="02"/>
    <s v="012"/>
    <s v="001"/>
    <m/>
    <m/>
    <m/>
    <s v="Nación"/>
    <x v="0"/>
    <s v="CSF"/>
    <x v="26"/>
    <m/>
    <n v="900000"/>
    <n v="1903000"/>
    <n v="0"/>
    <n v="2803000"/>
    <n v="0"/>
    <n v="2177994"/>
    <n v="625006"/>
    <n v="2177994"/>
    <n v="2115741"/>
    <n v="2115741"/>
    <n v="2115741"/>
  </r>
  <r>
    <s v="04-03-00-014"/>
    <x v="12"/>
    <s v="A-08-01-02-001"/>
    <x v="0"/>
    <s v="08"/>
    <s v="01"/>
    <s v="02"/>
    <s v="001"/>
    <m/>
    <m/>
    <m/>
    <m/>
    <s v="Nación"/>
    <x v="0"/>
    <s v="CSF"/>
    <x v="27"/>
    <m/>
    <n v="0"/>
    <n v="7697871"/>
    <n v="0"/>
    <n v="7697871"/>
    <n v="0"/>
    <n v="7697871"/>
    <n v="0"/>
    <n v="7697871"/>
    <n v="7697871"/>
    <n v="7697871"/>
    <n v="7697871"/>
  </r>
  <r>
    <s v="04-03-00-014"/>
    <x v="12"/>
    <s v="A-08-01-02-003"/>
    <x v="0"/>
    <s v="08"/>
    <s v="01"/>
    <s v="02"/>
    <s v="003"/>
    <m/>
    <m/>
    <m/>
    <m/>
    <s v="Propios"/>
    <x v="1"/>
    <s v="CSF"/>
    <x v="28"/>
    <m/>
    <n v="0"/>
    <n v="15400000"/>
    <n v="1146000"/>
    <n v="14254000"/>
    <n v="0"/>
    <n v="14254000"/>
    <n v="0"/>
    <n v="14254000"/>
    <n v="14254000"/>
    <n v="14254000"/>
    <n v="14254000"/>
  </r>
  <r>
    <s v="04-03-00-015"/>
    <x v="13"/>
    <s v="A-01-01-01-001-001"/>
    <x v="0"/>
    <s v="01"/>
    <s v="01"/>
    <s v="01"/>
    <s v="001"/>
    <s v="001"/>
    <m/>
    <m/>
    <m/>
    <s v="Nación"/>
    <x v="0"/>
    <s v="CSF"/>
    <x v="0"/>
    <m/>
    <n v="644000000"/>
    <n v="0"/>
    <n v="0"/>
    <n v="644000000"/>
    <n v="0"/>
    <n v="580377619"/>
    <n v="63622381"/>
    <n v="580377619"/>
    <n v="580377619"/>
    <n v="580377619"/>
    <n v="580377619"/>
  </r>
  <r>
    <s v="04-03-00-015"/>
    <x v="13"/>
    <s v="A-01-01-01-001-003"/>
    <x v="0"/>
    <s v="01"/>
    <s v="01"/>
    <s v="01"/>
    <s v="001"/>
    <s v="003"/>
    <m/>
    <m/>
    <m/>
    <s v="Nación"/>
    <x v="0"/>
    <s v="CSF"/>
    <x v="1"/>
    <m/>
    <n v="0"/>
    <n v="12000000"/>
    <n v="0"/>
    <n v="12000000"/>
    <n v="0"/>
    <n v="8366809"/>
    <n v="3633191"/>
    <n v="8366809"/>
    <n v="8366809"/>
    <n v="8366809"/>
    <n v="8366809"/>
  </r>
  <r>
    <s v="04-03-00-015"/>
    <x v="13"/>
    <s v="A-01-01-01-001-004"/>
    <x v="0"/>
    <s v="01"/>
    <s v="01"/>
    <s v="01"/>
    <s v="001"/>
    <s v="004"/>
    <m/>
    <m/>
    <m/>
    <s v="Nación"/>
    <x v="0"/>
    <s v="CSF"/>
    <x v="2"/>
    <m/>
    <n v="16382000"/>
    <n v="0"/>
    <n v="0"/>
    <n v="16382000"/>
    <n v="0"/>
    <n v="13583332"/>
    <n v="2798668"/>
    <n v="13583332"/>
    <n v="13583332"/>
    <n v="13583332"/>
    <n v="13583332"/>
  </r>
  <r>
    <s v="04-03-00-015"/>
    <x v="13"/>
    <s v="A-01-01-01-001-005"/>
    <x v="0"/>
    <s v="01"/>
    <s v="01"/>
    <s v="01"/>
    <s v="001"/>
    <s v="005"/>
    <m/>
    <m/>
    <m/>
    <s v="Nación"/>
    <x v="0"/>
    <s v="CSF"/>
    <x v="3"/>
    <m/>
    <n v="12305000"/>
    <n v="3200000"/>
    <n v="12305000"/>
    <n v="3200000"/>
    <n v="0"/>
    <n v="3151040"/>
    <n v="48960"/>
    <n v="3151040"/>
    <n v="3151040"/>
    <n v="3151040"/>
    <n v="3151040"/>
  </r>
  <r>
    <s v="04-03-00-015"/>
    <x v="13"/>
    <s v="A-01-01-01-001-006"/>
    <x v="0"/>
    <s v="01"/>
    <s v="01"/>
    <s v="01"/>
    <s v="001"/>
    <s v="006"/>
    <m/>
    <m/>
    <m/>
    <s v="Nación"/>
    <x v="0"/>
    <s v="CSF"/>
    <x v="4"/>
    <m/>
    <n v="64000000"/>
    <n v="9352437"/>
    <n v="2099033"/>
    <n v="71253404"/>
    <n v="0"/>
    <n v="71175082"/>
    <n v="78322"/>
    <n v="71175082"/>
    <n v="71175082"/>
    <n v="71175082"/>
    <n v="71175082"/>
  </r>
  <r>
    <s v="04-03-00-015"/>
    <x v="13"/>
    <s v="A-01-01-01-001-007"/>
    <x v="0"/>
    <s v="01"/>
    <s v="01"/>
    <s v="01"/>
    <s v="001"/>
    <s v="007"/>
    <m/>
    <m/>
    <m/>
    <s v="Nación"/>
    <x v="0"/>
    <s v="CSF"/>
    <x v="5"/>
    <m/>
    <n v="24000000"/>
    <n v="1000000"/>
    <n v="0"/>
    <n v="25000000"/>
    <n v="0"/>
    <n v="24795887"/>
    <n v="204113"/>
    <n v="24795887"/>
    <n v="24795887"/>
    <n v="24795887"/>
    <n v="24795887"/>
  </r>
  <r>
    <s v="04-03-00-015"/>
    <x v="13"/>
    <s v="A-01-01-01-001-009"/>
    <x v="0"/>
    <s v="01"/>
    <s v="01"/>
    <s v="01"/>
    <s v="001"/>
    <s v="009"/>
    <m/>
    <m/>
    <m/>
    <s v="Nación"/>
    <x v="0"/>
    <s v="CSF"/>
    <x v="6"/>
    <m/>
    <n v="82000000"/>
    <n v="0"/>
    <n v="0"/>
    <n v="82000000"/>
    <n v="0"/>
    <n v="78098333"/>
    <n v="3901667"/>
    <n v="78098333"/>
    <n v="78098333"/>
    <n v="78098333"/>
    <n v="78098333"/>
  </r>
  <r>
    <s v="04-03-00-015"/>
    <x v="13"/>
    <s v="A-01-01-01-001-010"/>
    <x v="0"/>
    <s v="01"/>
    <s v="01"/>
    <s v="01"/>
    <s v="001"/>
    <s v="010"/>
    <m/>
    <m/>
    <m/>
    <s v="Nación"/>
    <x v="0"/>
    <s v="CSF"/>
    <x v="7"/>
    <m/>
    <n v="48000000"/>
    <n v="2500000"/>
    <n v="0"/>
    <n v="50500000"/>
    <n v="0"/>
    <n v="42919534"/>
    <n v="7580466"/>
    <n v="42919534"/>
    <n v="42919534"/>
    <n v="42919534"/>
    <n v="42919534"/>
  </r>
  <r>
    <s v="04-03-00-015"/>
    <x v="13"/>
    <s v="A-01-01-01-001-012"/>
    <x v="0"/>
    <s v="01"/>
    <s v="01"/>
    <s v="01"/>
    <s v="001"/>
    <s v="012"/>
    <m/>
    <m/>
    <m/>
    <s v="Nación"/>
    <x v="0"/>
    <s v="CSF"/>
    <x v="8"/>
    <m/>
    <n v="12000000"/>
    <n v="9575000"/>
    <n v="4542358"/>
    <n v="17032642"/>
    <n v="0"/>
    <n v="17032642"/>
    <n v="0"/>
    <n v="17032642"/>
    <n v="17032642"/>
    <n v="17032642"/>
    <n v="17032642"/>
  </r>
  <r>
    <s v="04-03-00-015"/>
    <x v="13"/>
    <s v="A-01-01-02-001"/>
    <x v="0"/>
    <s v="01"/>
    <s v="01"/>
    <s v="02"/>
    <s v="001"/>
    <m/>
    <m/>
    <m/>
    <m/>
    <s v="Nación"/>
    <x v="0"/>
    <s v="CSF"/>
    <x v="9"/>
    <m/>
    <n v="80000000"/>
    <n v="5700000"/>
    <n v="0"/>
    <n v="85700000"/>
    <n v="0"/>
    <n v="77961800"/>
    <n v="7738200"/>
    <n v="77961800"/>
    <n v="77961800"/>
    <n v="77961800"/>
    <n v="77961800"/>
  </r>
  <r>
    <s v="04-03-00-015"/>
    <x v="13"/>
    <s v="A-01-01-02-002"/>
    <x v="0"/>
    <s v="01"/>
    <s v="01"/>
    <s v="02"/>
    <s v="002"/>
    <m/>
    <m/>
    <m/>
    <m/>
    <s v="Nación"/>
    <x v="0"/>
    <s v="CSF"/>
    <x v="10"/>
    <m/>
    <n v="60000000"/>
    <n v="1000000"/>
    <n v="0"/>
    <n v="61000000"/>
    <n v="0"/>
    <n v="55524400"/>
    <n v="5475600"/>
    <n v="55224400"/>
    <n v="55224400"/>
    <n v="55224400"/>
    <n v="55224400"/>
  </r>
  <r>
    <s v="04-03-00-015"/>
    <x v="13"/>
    <s v="A-01-01-02-004"/>
    <x v="0"/>
    <s v="01"/>
    <s v="01"/>
    <s v="02"/>
    <s v="004"/>
    <m/>
    <m/>
    <m/>
    <m/>
    <s v="Nación"/>
    <x v="0"/>
    <s v="CSF"/>
    <x v="11"/>
    <m/>
    <n v="36000000"/>
    <n v="1000000"/>
    <n v="0"/>
    <n v="37000000"/>
    <n v="0"/>
    <n v="32547400"/>
    <n v="4452600"/>
    <n v="32547400"/>
    <n v="32547400"/>
    <n v="32547400"/>
    <n v="32547400"/>
  </r>
  <r>
    <s v="04-03-00-015"/>
    <x v="13"/>
    <s v="A-01-01-02-005"/>
    <x v="0"/>
    <s v="01"/>
    <s v="01"/>
    <s v="02"/>
    <s v="005"/>
    <m/>
    <m/>
    <m/>
    <m/>
    <s v="Nación"/>
    <x v="0"/>
    <s v="CSF"/>
    <x v="12"/>
    <m/>
    <n v="10000000"/>
    <n v="280000"/>
    <n v="0"/>
    <n v="10280000"/>
    <n v="0"/>
    <n v="9279400"/>
    <n v="1000600"/>
    <n v="9279400"/>
    <n v="9279400"/>
    <n v="9279400"/>
    <n v="9279400"/>
  </r>
  <r>
    <s v="04-03-00-015"/>
    <x v="13"/>
    <s v="A-01-01-02-006"/>
    <x v="0"/>
    <s v="01"/>
    <s v="01"/>
    <s v="02"/>
    <s v="006"/>
    <m/>
    <m/>
    <m/>
    <m/>
    <s v="Nación"/>
    <x v="0"/>
    <s v="CSF"/>
    <x v="13"/>
    <m/>
    <n v="26000000"/>
    <n v="575000"/>
    <n v="0"/>
    <n v="26575000"/>
    <n v="0"/>
    <n v="24414500"/>
    <n v="2160500"/>
    <n v="24414500"/>
    <n v="24414500"/>
    <n v="24414500"/>
    <n v="24414500"/>
  </r>
  <r>
    <s v="04-03-00-015"/>
    <x v="13"/>
    <s v="A-01-01-02-007"/>
    <x v="0"/>
    <s v="01"/>
    <s v="01"/>
    <s v="02"/>
    <s v="007"/>
    <m/>
    <m/>
    <m/>
    <m/>
    <s v="Nación"/>
    <x v="0"/>
    <s v="CSF"/>
    <x v="14"/>
    <m/>
    <n v="5000000"/>
    <n v="15000000"/>
    <n v="0"/>
    <n v="20000000"/>
    <n v="0"/>
    <n v="16282600"/>
    <n v="3717400"/>
    <n v="16282600"/>
    <n v="16282600"/>
    <n v="16282600"/>
    <n v="16282600"/>
  </r>
  <r>
    <s v="04-03-00-015"/>
    <x v="13"/>
    <s v="A-01-01-02-008"/>
    <x v="0"/>
    <s v="01"/>
    <s v="01"/>
    <s v="02"/>
    <s v="008"/>
    <m/>
    <m/>
    <m/>
    <m/>
    <s v="Nación"/>
    <x v="0"/>
    <s v="CSF"/>
    <x v="15"/>
    <m/>
    <n v="5000000"/>
    <n v="0"/>
    <n v="5000000"/>
    <n v="0"/>
    <n v="0"/>
    <n v="0"/>
    <n v="0"/>
    <n v="0"/>
    <n v="0"/>
    <n v="0"/>
    <n v="0"/>
  </r>
  <r>
    <s v="04-03-00-015"/>
    <x v="13"/>
    <s v="A-01-01-02-009"/>
    <x v="0"/>
    <s v="01"/>
    <s v="01"/>
    <s v="02"/>
    <s v="009"/>
    <m/>
    <m/>
    <m/>
    <m/>
    <s v="Nación"/>
    <x v="0"/>
    <s v="CSF"/>
    <x v="16"/>
    <m/>
    <n v="10000000"/>
    <n v="0"/>
    <n v="10000000"/>
    <n v="0"/>
    <n v="0"/>
    <n v="0"/>
    <n v="0"/>
    <n v="0"/>
    <n v="0"/>
    <n v="0"/>
    <n v="0"/>
  </r>
  <r>
    <s v="04-03-00-015"/>
    <x v="13"/>
    <s v="A-01-01-03-001-001"/>
    <x v="0"/>
    <s v="01"/>
    <s v="01"/>
    <s v="03"/>
    <s v="001"/>
    <s v="001"/>
    <m/>
    <m/>
    <m/>
    <s v="Nación"/>
    <x v="0"/>
    <s v="CSF"/>
    <x v="17"/>
    <m/>
    <n v="46000000"/>
    <n v="2000000"/>
    <n v="0"/>
    <n v="48000000"/>
    <n v="0"/>
    <n v="39698642"/>
    <n v="8301358"/>
    <n v="39698642"/>
    <n v="39698642"/>
    <n v="39698642"/>
    <n v="39698642"/>
  </r>
  <r>
    <s v="04-03-00-015"/>
    <x v="13"/>
    <s v="A-01-01-03-001-002"/>
    <x v="0"/>
    <s v="01"/>
    <s v="01"/>
    <s v="03"/>
    <s v="001"/>
    <s v="002"/>
    <m/>
    <m/>
    <m/>
    <s v="Nación"/>
    <x v="0"/>
    <s v="CSF"/>
    <x v="18"/>
    <m/>
    <n v="0"/>
    <n v="9223842"/>
    <n v="0"/>
    <n v="9223842"/>
    <n v="0"/>
    <n v="7402175"/>
    <n v="1821667"/>
    <n v="7402175"/>
    <n v="7402175"/>
    <n v="7402175"/>
    <n v="7402175"/>
  </r>
  <r>
    <s v="04-03-00-015"/>
    <x v="13"/>
    <s v="A-01-01-03-001-003"/>
    <x v="0"/>
    <s v="01"/>
    <s v="01"/>
    <s v="03"/>
    <s v="001"/>
    <s v="003"/>
    <m/>
    <m/>
    <m/>
    <s v="Nación"/>
    <x v="0"/>
    <s v="CSF"/>
    <x v="19"/>
    <m/>
    <n v="4000000"/>
    <n v="0"/>
    <n v="0"/>
    <n v="4000000"/>
    <n v="0"/>
    <n v="3553467"/>
    <n v="446533"/>
    <n v="3553467"/>
    <n v="3553467"/>
    <n v="3553467"/>
    <n v="3553467"/>
  </r>
  <r>
    <s v="04-03-00-015"/>
    <x v="13"/>
    <s v="A-01-01-03-002"/>
    <x v="0"/>
    <s v="01"/>
    <s v="01"/>
    <s v="03"/>
    <s v="002"/>
    <m/>
    <m/>
    <m/>
    <m/>
    <s v="Nación"/>
    <x v="0"/>
    <s v="CSF"/>
    <x v="20"/>
    <m/>
    <n v="29000000"/>
    <n v="3000000"/>
    <n v="0"/>
    <n v="32000000"/>
    <n v="0"/>
    <n v="20678991"/>
    <n v="11321009"/>
    <n v="20678991"/>
    <n v="20678991"/>
    <n v="20678991"/>
    <n v="20678991"/>
  </r>
  <r>
    <s v="04-03-00-015"/>
    <x v="13"/>
    <s v="A-02-02-01-003-003"/>
    <x v="0"/>
    <s v="02"/>
    <s v="02"/>
    <s v="01"/>
    <s v="003"/>
    <s v="003"/>
    <m/>
    <m/>
    <m/>
    <s v="Nación"/>
    <x v="0"/>
    <s v="CSF"/>
    <x v="32"/>
    <m/>
    <n v="0"/>
    <n v="1000000"/>
    <n v="0"/>
    <n v="1000000"/>
    <n v="0"/>
    <n v="1000000"/>
    <n v="0"/>
    <n v="7790"/>
    <n v="7790"/>
    <n v="7790"/>
    <n v="7790"/>
  </r>
  <r>
    <s v="04-03-00-015"/>
    <x v="13"/>
    <s v="A-02-02-02-006-004"/>
    <x v="0"/>
    <s v="02"/>
    <s v="02"/>
    <s v="02"/>
    <s v="006"/>
    <s v="004"/>
    <m/>
    <m/>
    <m/>
    <s v="Propios"/>
    <x v="1"/>
    <s v="CSF"/>
    <x v="21"/>
    <m/>
    <n v="0"/>
    <n v="4170000"/>
    <n v="0"/>
    <n v="4170000"/>
    <n v="0"/>
    <n v="4170000"/>
    <n v="0"/>
    <n v="4170000"/>
    <n v="4170000"/>
    <n v="4170000"/>
    <n v="4170000"/>
  </r>
  <r>
    <s v="04-03-00-015"/>
    <x v="13"/>
    <s v="A-02-02-02-006-009"/>
    <x v="0"/>
    <s v="02"/>
    <s v="02"/>
    <s v="02"/>
    <s v="006"/>
    <s v="009"/>
    <m/>
    <m/>
    <m/>
    <s v="Nación"/>
    <x v="0"/>
    <s v="CSF"/>
    <x v="22"/>
    <m/>
    <n v="23200000"/>
    <n v="6000000"/>
    <n v="0"/>
    <n v="29200000"/>
    <n v="0"/>
    <n v="29200000"/>
    <n v="0"/>
    <n v="26594093.960000001"/>
    <n v="26594093.960000001"/>
    <n v="26594093.960000001"/>
    <n v="26594093.960000001"/>
  </r>
  <r>
    <s v="04-03-00-015"/>
    <x v="13"/>
    <s v="A-02-02-02-007-002"/>
    <x v="0"/>
    <s v="02"/>
    <s v="02"/>
    <s v="02"/>
    <s v="007"/>
    <s v="002"/>
    <m/>
    <m/>
    <m/>
    <s v="Nación"/>
    <x v="0"/>
    <s v="CSF"/>
    <x v="30"/>
    <m/>
    <n v="30000000"/>
    <n v="10431606"/>
    <n v="0"/>
    <n v="40431606"/>
    <n v="0"/>
    <n v="37984350"/>
    <n v="2447256"/>
    <n v="37730168"/>
    <n v="37730168"/>
    <n v="37730168"/>
    <n v="37730168"/>
  </r>
  <r>
    <s v="04-03-00-015"/>
    <x v="13"/>
    <s v="A-02-02-02-007-002"/>
    <x v="0"/>
    <s v="02"/>
    <s v="02"/>
    <s v="02"/>
    <s v="007"/>
    <s v="002"/>
    <m/>
    <m/>
    <m/>
    <s v="Propios"/>
    <x v="1"/>
    <s v="CSF"/>
    <x v="30"/>
    <m/>
    <n v="3800000"/>
    <n v="45700000"/>
    <n v="0"/>
    <n v="49500000"/>
    <n v="0"/>
    <n v="49500000"/>
    <n v="0"/>
    <n v="49500000"/>
    <n v="36000000"/>
    <n v="36000000"/>
    <n v="36000000"/>
  </r>
  <r>
    <s v="04-03-00-015"/>
    <x v="13"/>
    <s v="A-02-02-02-008-004"/>
    <x v="0"/>
    <s v="02"/>
    <s v="02"/>
    <s v="02"/>
    <s v="008"/>
    <s v="004"/>
    <m/>
    <m/>
    <m/>
    <s v="Nación"/>
    <x v="0"/>
    <s v="CSF"/>
    <x v="23"/>
    <m/>
    <n v="2800000"/>
    <n v="300000"/>
    <n v="0"/>
    <n v="3100000"/>
    <n v="0"/>
    <n v="3100000"/>
    <n v="0"/>
    <n v="2677567"/>
    <n v="2408346"/>
    <n v="2408346"/>
    <n v="2408346"/>
  </r>
  <r>
    <s v="04-03-00-015"/>
    <x v="13"/>
    <s v="A-02-02-02-009-004"/>
    <x v="0"/>
    <s v="02"/>
    <s v="02"/>
    <s v="02"/>
    <s v="009"/>
    <s v="004"/>
    <m/>
    <m/>
    <m/>
    <s v="Nación"/>
    <x v="0"/>
    <s v="CSF"/>
    <x v="24"/>
    <m/>
    <n v="1200000"/>
    <n v="800000"/>
    <n v="0"/>
    <n v="2000000"/>
    <n v="0"/>
    <n v="2000000"/>
    <n v="0"/>
    <n v="1797372.04"/>
    <n v="1797372.04"/>
    <n v="1797372.04"/>
    <n v="1797372.04"/>
  </r>
  <r>
    <s v="04-03-00-015"/>
    <x v="13"/>
    <s v="A-02-02-02-010"/>
    <x v="0"/>
    <s v="02"/>
    <s v="02"/>
    <s v="02"/>
    <s v="010"/>
    <m/>
    <m/>
    <m/>
    <m/>
    <s v="Nación"/>
    <x v="0"/>
    <s v="CSF"/>
    <x v="25"/>
    <m/>
    <n v="0"/>
    <n v="543092"/>
    <n v="0"/>
    <n v="543092"/>
    <n v="0"/>
    <n v="543092"/>
    <n v="0"/>
    <n v="543092"/>
    <n v="543092"/>
    <n v="543092"/>
    <n v="543092"/>
  </r>
  <r>
    <s v="04-03-00-015"/>
    <x v="13"/>
    <s v="A-02-02-02-010"/>
    <x v="0"/>
    <s v="02"/>
    <s v="02"/>
    <s v="02"/>
    <s v="010"/>
    <m/>
    <m/>
    <m/>
    <m/>
    <s v="Propios"/>
    <x v="1"/>
    <s v="CSF"/>
    <x v="25"/>
    <m/>
    <n v="0"/>
    <n v="144317"/>
    <n v="0"/>
    <n v="144317"/>
    <n v="0"/>
    <n v="144317"/>
    <n v="0"/>
    <n v="144317"/>
    <n v="144317"/>
    <n v="144317"/>
    <n v="144317"/>
  </r>
  <r>
    <s v="04-03-00-015"/>
    <x v="13"/>
    <s v="A-03-04-02-012-001"/>
    <x v="0"/>
    <s v="03"/>
    <s v="04"/>
    <s v="02"/>
    <s v="012"/>
    <s v="001"/>
    <m/>
    <m/>
    <m/>
    <s v="Nación"/>
    <x v="0"/>
    <s v="CSF"/>
    <x v="26"/>
    <m/>
    <n v="0"/>
    <n v="5733170"/>
    <n v="0"/>
    <n v="5733170"/>
    <n v="0"/>
    <n v="4426009"/>
    <n v="1307161"/>
    <n v="4229272"/>
    <n v="3857440"/>
    <n v="3857440"/>
    <n v="3857440"/>
  </r>
  <r>
    <s v="04-03-00-015"/>
    <x v="13"/>
    <s v="A-08-01-02-001"/>
    <x v="0"/>
    <s v="08"/>
    <s v="01"/>
    <s v="02"/>
    <s v="001"/>
    <m/>
    <m/>
    <m/>
    <m/>
    <s v="Nación"/>
    <x v="0"/>
    <s v="CSF"/>
    <x v="27"/>
    <m/>
    <n v="0"/>
    <n v="9898547"/>
    <n v="0"/>
    <n v="9898547"/>
    <n v="0"/>
    <n v="9898547"/>
    <n v="0"/>
    <n v="9898547"/>
    <n v="9898547"/>
    <n v="9898547"/>
    <n v="9898547"/>
  </r>
  <r>
    <s v="04-03-00-016"/>
    <x v="14"/>
    <s v="A-01-01-01-001-001"/>
    <x v="0"/>
    <s v="01"/>
    <s v="01"/>
    <s v="01"/>
    <s v="001"/>
    <s v="001"/>
    <m/>
    <m/>
    <m/>
    <s v="Nación"/>
    <x v="0"/>
    <s v="CSF"/>
    <x v="0"/>
    <m/>
    <n v="582000000"/>
    <n v="0"/>
    <n v="0"/>
    <n v="582000000"/>
    <n v="0"/>
    <n v="519979045"/>
    <n v="62020955"/>
    <n v="519977908"/>
    <n v="519977908"/>
    <n v="519977908"/>
    <n v="519977908"/>
  </r>
  <r>
    <s v="04-03-00-016"/>
    <x v="14"/>
    <s v="A-01-01-01-001-003"/>
    <x v="0"/>
    <s v="01"/>
    <s v="01"/>
    <s v="01"/>
    <s v="001"/>
    <s v="003"/>
    <m/>
    <m/>
    <m/>
    <s v="Nación"/>
    <x v="0"/>
    <s v="CSF"/>
    <x v="1"/>
    <m/>
    <n v="0"/>
    <n v="12000000"/>
    <n v="0"/>
    <n v="12000000"/>
    <n v="0"/>
    <n v="8366809"/>
    <n v="3633191"/>
    <n v="8366809"/>
    <n v="8366809"/>
    <n v="8366809"/>
    <n v="8366809"/>
  </r>
  <r>
    <s v="04-03-00-016"/>
    <x v="14"/>
    <s v="A-01-01-01-001-004"/>
    <x v="0"/>
    <s v="01"/>
    <s v="01"/>
    <s v="01"/>
    <s v="001"/>
    <s v="004"/>
    <m/>
    <m/>
    <m/>
    <s v="Nación"/>
    <x v="0"/>
    <s v="CSF"/>
    <x v="2"/>
    <m/>
    <n v="11000000"/>
    <n v="0"/>
    <n v="0"/>
    <n v="11000000"/>
    <n v="0"/>
    <n v="10870755"/>
    <n v="129245"/>
    <n v="10870755"/>
    <n v="10870755"/>
    <n v="10870755"/>
    <n v="10870755"/>
  </r>
  <r>
    <s v="04-03-00-016"/>
    <x v="14"/>
    <s v="A-01-01-01-001-005"/>
    <x v="0"/>
    <s v="01"/>
    <s v="01"/>
    <s v="01"/>
    <s v="001"/>
    <s v="005"/>
    <m/>
    <m/>
    <m/>
    <s v="Nación"/>
    <x v="0"/>
    <s v="CSF"/>
    <x v="3"/>
    <m/>
    <n v="9158000"/>
    <n v="3200000"/>
    <n v="9158000"/>
    <n v="3200000"/>
    <n v="0"/>
    <n v="2317149"/>
    <n v="882851"/>
    <n v="2317149"/>
    <n v="2317149"/>
    <n v="2317149"/>
    <n v="2317149"/>
  </r>
  <r>
    <s v="04-03-00-016"/>
    <x v="14"/>
    <s v="A-01-01-01-001-006"/>
    <x v="0"/>
    <s v="01"/>
    <s v="01"/>
    <s v="01"/>
    <s v="001"/>
    <s v="006"/>
    <m/>
    <m/>
    <m/>
    <s v="Nación"/>
    <x v="0"/>
    <s v="CSF"/>
    <x v="4"/>
    <m/>
    <n v="57000000"/>
    <n v="1483872"/>
    <n v="1865444"/>
    <n v="56618428"/>
    <n v="0"/>
    <n v="56618428"/>
    <n v="0"/>
    <n v="56618428"/>
    <n v="56618428"/>
    <n v="56618428"/>
    <n v="56618428"/>
  </r>
  <r>
    <s v="04-03-00-016"/>
    <x v="14"/>
    <s v="A-01-01-01-001-007"/>
    <x v="0"/>
    <s v="01"/>
    <s v="01"/>
    <s v="01"/>
    <s v="001"/>
    <s v="007"/>
    <m/>
    <m/>
    <m/>
    <s v="Nación"/>
    <x v="0"/>
    <s v="CSF"/>
    <x v="5"/>
    <m/>
    <n v="21000000"/>
    <n v="2000000"/>
    <n v="0"/>
    <n v="23000000"/>
    <n v="0"/>
    <n v="22453540"/>
    <n v="546460"/>
    <n v="22453540"/>
    <n v="22453540"/>
    <n v="22453540"/>
    <n v="22453540"/>
  </r>
  <r>
    <s v="04-03-00-016"/>
    <x v="14"/>
    <s v="A-01-01-01-001-009"/>
    <x v="0"/>
    <s v="01"/>
    <s v="01"/>
    <s v="01"/>
    <s v="001"/>
    <s v="009"/>
    <m/>
    <m/>
    <m/>
    <s v="Nación"/>
    <x v="0"/>
    <s v="CSF"/>
    <x v="6"/>
    <m/>
    <n v="73000000"/>
    <n v="0"/>
    <n v="0"/>
    <n v="73000000"/>
    <n v="0"/>
    <n v="70367534"/>
    <n v="2632466"/>
    <n v="70367534"/>
    <n v="70367534"/>
    <n v="70367534"/>
    <n v="70367534"/>
  </r>
  <r>
    <s v="04-03-00-016"/>
    <x v="14"/>
    <s v="A-01-01-01-001-010"/>
    <x v="0"/>
    <s v="01"/>
    <s v="01"/>
    <s v="01"/>
    <s v="001"/>
    <s v="010"/>
    <m/>
    <m/>
    <m/>
    <s v="Nación"/>
    <x v="0"/>
    <s v="CSF"/>
    <x v="7"/>
    <m/>
    <n v="32000000"/>
    <n v="3000000"/>
    <n v="0"/>
    <n v="35000000"/>
    <n v="0"/>
    <n v="34284888"/>
    <n v="715112"/>
    <n v="34284888"/>
    <n v="34284888"/>
    <n v="34284888"/>
    <n v="34284888"/>
  </r>
  <r>
    <s v="04-03-00-016"/>
    <x v="14"/>
    <s v="A-01-01-01-001-012"/>
    <x v="0"/>
    <s v="01"/>
    <s v="01"/>
    <s v="01"/>
    <s v="001"/>
    <s v="012"/>
    <m/>
    <m/>
    <m/>
    <s v="Nación"/>
    <x v="0"/>
    <s v="CSF"/>
    <x v="8"/>
    <m/>
    <n v="9000000"/>
    <n v="5396129"/>
    <n v="0"/>
    <n v="14396129"/>
    <n v="0"/>
    <n v="14396129"/>
    <n v="0"/>
    <n v="14396129"/>
    <n v="14396129"/>
    <n v="14396129"/>
    <n v="14396129"/>
  </r>
  <r>
    <s v="04-03-00-016"/>
    <x v="14"/>
    <s v="A-01-01-02-001"/>
    <x v="0"/>
    <s v="01"/>
    <s v="01"/>
    <s v="02"/>
    <s v="001"/>
    <m/>
    <m/>
    <m/>
    <m/>
    <s v="Nación"/>
    <x v="0"/>
    <s v="CSF"/>
    <x v="9"/>
    <m/>
    <n v="78000000"/>
    <n v="0"/>
    <n v="0"/>
    <n v="78000000"/>
    <n v="0"/>
    <n v="68865100"/>
    <n v="9134900"/>
    <n v="68865100"/>
    <n v="68865100"/>
    <n v="68865100"/>
    <n v="68865100"/>
  </r>
  <r>
    <s v="04-03-00-016"/>
    <x v="14"/>
    <s v="A-01-01-02-002"/>
    <x v="0"/>
    <s v="01"/>
    <s v="01"/>
    <s v="02"/>
    <s v="002"/>
    <m/>
    <m/>
    <m/>
    <m/>
    <s v="Nación"/>
    <x v="0"/>
    <s v="CSF"/>
    <x v="10"/>
    <m/>
    <n v="54000000"/>
    <n v="2000000"/>
    <n v="0"/>
    <n v="56000000"/>
    <n v="0"/>
    <n v="48783000"/>
    <n v="7217000"/>
    <n v="48783000"/>
    <n v="48783000"/>
    <n v="48783000"/>
    <n v="48783000"/>
  </r>
  <r>
    <s v="04-03-00-016"/>
    <x v="14"/>
    <s v="A-01-01-02-004"/>
    <x v="0"/>
    <s v="01"/>
    <s v="01"/>
    <s v="02"/>
    <s v="004"/>
    <m/>
    <m/>
    <m/>
    <m/>
    <s v="Nación"/>
    <x v="0"/>
    <s v="CSF"/>
    <x v="11"/>
    <m/>
    <n v="31000000"/>
    <n v="2000000"/>
    <n v="0"/>
    <n v="33000000"/>
    <n v="0"/>
    <n v="27617100"/>
    <n v="5382900"/>
    <n v="27617100"/>
    <n v="27617100"/>
    <n v="27617100"/>
    <n v="27617100"/>
  </r>
  <r>
    <s v="04-03-00-016"/>
    <x v="14"/>
    <s v="A-01-01-02-005"/>
    <x v="0"/>
    <s v="01"/>
    <s v="01"/>
    <s v="02"/>
    <s v="005"/>
    <m/>
    <m/>
    <m/>
    <m/>
    <s v="Nación"/>
    <x v="0"/>
    <s v="CSF"/>
    <x v="12"/>
    <m/>
    <n v="7000000"/>
    <n v="400000"/>
    <n v="0"/>
    <n v="7400000"/>
    <n v="0"/>
    <n v="6544300"/>
    <n v="855700"/>
    <n v="6544300"/>
    <n v="6544300"/>
    <n v="6544300"/>
    <n v="6544300"/>
  </r>
  <r>
    <s v="04-03-00-016"/>
    <x v="14"/>
    <s v="A-01-01-02-006"/>
    <x v="0"/>
    <s v="01"/>
    <s v="01"/>
    <s v="02"/>
    <s v="006"/>
    <m/>
    <m/>
    <m/>
    <m/>
    <s v="Nación"/>
    <x v="0"/>
    <s v="CSF"/>
    <x v="13"/>
    <m/>
    <n v="23000000"/>
    <n v="3500000"/>
    <n v="0"/>
    <n v="26500000"/>
    <n v="0"/>
    <n v="20718800"/>
    <n v="5781200"/>
    <n v="20718800"/>
    <n v="20718800"/>
    <n v="20718800"/>
    <n v="20718800"/>
  </r>
  <r>
    <s v="04-03-00-016"/>
    <x v="14"/>
    <s v="A-01-01-02-007"/>
    <x v="0"/>
    <s v="01"/>
    <s v="01"/>
    <s v="02"/>
    <s v="007"/>
    <m/>
    <m/>
    <m/>
    <m/>
    <s v="Nación"/>
    <x v="0"/>
    <s v="CSF"/>
    <x v="14"/>
    <m/>
    <n v="3000000"/>
    <n v="13000000"/>
    <n v="0"/>
    <n v="16000000"/>
    <n v="0"/>
    <n v="13817000"/>
    <n v="2183000"/>
    <n v="13817000"/>
    <n v="13817000"/>
    <n v="13817000"/>
    <n v="13817000"/>
  </r>
  <r>
    <s v="04-03-00-016"/>
    <x v="14"/>
    <s v="A-01-01-02-008"/>
    <x v="0"/>
    <s v="01"/>
    <s v="01"/>
    <s v="02"/>
    <s v="008"/>
    <m/>
    <m/>
    <m/>
    <m/>
    <s v="Nación"/>
    <x v="0"/>
    <s v="CSF"/>
    <x v="15"/>
    <m/>
    <n v="3000000"/>
    <n v="0"/>
    <n v="3000000"/>
    <n v="0"/>
    <n v="0"/>
    <n v="0"/>
    <n v="0"/>
    <n v="0"/>
    <n v="0"/>
    <n v="0"/>
    <n v="0"/>
  </r>
  <r>
    <s v="04-03-00-016"/>
    <x v="14"/>
    <s v="A-01-01-02-009"/>
    <x v="0"/>
    <s v="01"/>
    <s v="01"/>
    <s v="02"/>
    <s v="009"/>
    <m/>
    <m/>
    <m/>
    <m/>
    <s v="Nación"/>
    <x v="0"/>
    <s v="CSF"/>
    <x v="16"/>
    <m/>
    <n v="6000000"/>
    <n v="0"/>
    <n v="6000000"/>
    <n v="0"/>
    <n v="0"/>
    <n v="0"/>
    <n v="0"/>
    <n v="0"/>
    <n v="0"/>
    <n v="0"/>
    <n v="0"/>
  </r>
  <r>
    <s v="04-03-00-016"/>
    <x v="14"/>
    <s v="A-01-01-03-001-001"/>
    <x v="0"/>
    <s v="01"/>
    <s v="01"/>
    <s v="03"/>
    <s v="001"/>
    <s v="001"/>
    <m/>
    <m/>
    <m/>
    <s v="Nación"/>
    <x v="0"/>
    <s v="CSF"/>
    <x v="17"/>
    <m/>
    <n v="35000000"/>
    <n v="0"/>
    <n v="0"/>
    <n v="35000000"/>
    <n v="0"/>
    <n v="22215452"/>
    <n v="12784548"/>
    <n v="22215452"/>
    <n v="22215452"/>
    <n v="22215452"/>
    <n v="22215452"/>
  </r>
  <r>
    <s v="04-03-00-016"/>
    <x v="14"/>
    <s v="A-01-01-03-001-002"/>
    <x v="0"/>
    <s v="01"/>
    <s v="01"/>
    <s v="03"/>
    <s v="001"/>
    <s v="002"/>
    <m/>
    <m/>
    <m/>
    <s v="Nación"/>
    <x v="0"/>
    <s v="CSF"/>
    <x v="18"/>
    <m/>
    <n v="0"/>
    <n v="14833180"/>
    <n v="0"/>
    <n v="14833180"/>
    <n v="0"/>
    <n v="14833180"/>
    <n v="0"/>
    <n v="14833180"/>
    <n v="14833180"/>
    <n v="14833180"/>
    <n v="14833180"/>
  </r>
  <r>
    <s v="04-03-00-016"/>
    <x v="14"/>
    <s v="A-01-01-03-001-003"/>
    <x v="0"/>
    <s v="01"/>
    <s v="01"/>
    <s v="03"/>
    <s v="001"/>
    <s v="003"/>
    <m/>
    <m/>
    <m/>
    <s v="Nación"/>
    <x v="0"/>
    <s v="CSF"/>
    <x v="19"/>
    <m/>
    <n v="3000000"/>
    <n v="0"/>
    <n v="0"/>
    <n v="3000000"/>
    <n v="0"/>
    <n v="2981246"/>
    <n v="18754"/>
    <n v="2981246"/>
    <n v="2981246"/>
    <n v="2981246"/>
    <n v="2981246"/>
  </r>
  <r>
    <s v="04-03-00-016"/>
    <x v="14"/>
    <s v="A-01-01-03-002"/>
    <x v="0"/>
    <s v="01"/>
    <s v="01"/>
    <s v="03"/>
    <s v="002"/>
    <m/>
    <m/>
    <m/>
    <m/>
    <s v="Nación"/>
    <x v="0"/>
    <s v="CSF"/>
    <x v="20"/>
    <m/>
    <n v="29000000"/>
    <n v="0"/>
    <n v="8321000"/>
    <n v="20679000"/>
    <n v="0"/>
    <n v="20678991"/>
    <n v="9"/>
    <n v="20678991"/>
    <n v="20678991"/>
    <n v="20678991"/>
    <n v="20678991"/>
  </r>
  <r>
    <s v="04-03-00-016"/>
    <x v="14"/>
    <s v="A-02-02-02-006-004"/>
    <x v="0"/>
    <s v="02"/>
    <s v="02"/>
    <s v="02"/>
    <s v="006"/>
    <s v="004"/>
    <m/>
    <m/>
    <m/>
    <s v="Propios"/>
    <x v="1"/>
    <s v="CSF"/>
    <x v="21"/>
    <m/>
    <n v="4600000"/>
    <n v="4660000"/>
    <n v="9200000"/>
    <n v="60000"/>
    <n v="0"/>
    <n v="60000"/>
    <n v="0"/>
    <n v="60000"/>
    <n v="60000"/>
    <n v="60000"/>
    <n v="60000"/>
  </r>
  <r>
    <s v="04-03-00-016"/>
    <x v="14"/>
    <s v="A-02-02-02-006-009"/>
    <x v="0"/>
    <s v="02"/>
    <s v="02"/>
    <s v="02"/>
    <s v="006"/>
    <s v="009"/>
    <m/>
    <m/>
    <m/>
    <s v="Nación"/>
    <x v="0"/>
    <s v="CSF"/>
    <x v="22"/>
    <m/>
    <n v="50000000"/>
    <n v="30351297"/>
    <n v="0"/>
    <n v="80351297"/>
    <n v="0"/>
    <n v="80351297"/>
    <n v="0"/>
    <n v="72803153"/>
    <n v="72803072"/>
    <n v="72803072"/>
    <n v="72803072"/>
  </r>
  <r>
    <s v="04-03-00-016"/>
    <x v="14"/>
    <s v="A-02-02-02-007-002"/>
    <x v="0"/>
    <s v="02"/>
    <s v="02"/>
    <s v="02"/>
    <s v="007"/>
    <s v="002"/>
    <m/>
    <m/>
    <m/>
    <s v="Nación"/>
    <x v="0"/>
    <s v="CSF"/>
    <x v="30"/>
    <m/>
    <n v="28500000"/>
    <n v="10646947"/>
    <n v="0"/>
    <n v="39146947"/>
    <n v="0"/>
    <n v="39146947"/>
    <n v="0"/>
    <n v="39146947"/>
    <n v="35699222"/>
    <n v="35699222"/>
    <n v="35699222"/>
  </r>
  <r>
    <s v="04-03-00-016"/>
    <x v="14"/>
    <s v="A-02-02-02-007-002"/>
    <x v="0"/>
    <s v="02"/>
    <s v="02"/>
    <s v="02"/>
    <s v="007"/>
    <s v="002"/>
    <m/>
    <m/>
    <m/>
    <s v="Propios"/>
    <x v="1"/>
    <s v="CSF"/>
    <x v="30"/>
    <m/>
    <n v="35000000"/>
    <n v="5100048"/>
    <n v="5100000"/>
    <n v="35000048"/>
    <n v="0"/>
    <n v="35000048"/>
    <n v="0"/>
    <n v="32551548"/>
    <n v="31929728"/>
    <n v="31929728"/>
    <n v="31929728"/>
  </r>
  <r>
    <s v="04-03-00-016"/>
    <x v="14"/>
    <s v="A-02-02-02-008-004"/>
    <x v="0"/>
    <s v="02"/>
    <s v="02"/>
    <s v="02"/>
    <s v="008"/>
    <s v="004"/>
    <m/>
    <m/>
    <m/>
    <s v="Nación"/>
    <x v="0"/>
    <s v="CSF"/>
    <x v="23"/>
    <m/>
    <n v="700000"/>
    <n v="0"/>
    <n v="215524"/>
    <n v="484476"/>
    <n v="0"/>
    <n v="484476"/>
    <n v="0"/>
    <n v="443489"/>
    <n v="443489"/>
    <n v="443489"/>
    <n v="443489"/>
  </r>
  <r>
    <s v="04-03-00-016"/>
    <x v="14"/>
    <s v="A-02-02-02-010"/>
    <x v="0"/>
    <s v="02"/>
    <s v="02"/>
    <s v="02"/>
    <s v="010"/>
    <m/>
    <m/>
    <m/>
    <m/>
    <s v="Nación"/>
    <x v="0"/>
    <s v="CSF"/>
    <x v="25"/>
    <m/>
    <n v="0"/>
    <n v="1350119"/>
    <n v="135773"/>
    <n v="1214346"/>
    <n v="0"/>
    <n v="1214346"/>
    <n v="0"/>
    <n v="1214346"/>
    <n v="1214346"/>
    <n v="1214346"/>
    <n v="1214346"/>
  </r>
  <r>
    <s v="04-03-00-016"/>
    <x v="14"/>
    <s v="A-03-04-02-012-001"/>
    <x v="0"/>
    <s v="03"/>
    <s v="04"/>
    <s v="02"/>
    <s v="012"/>
    <s v="001"/>
    <m/>
    <m/>
    <m/>
    <s v="Nación"/>
    <x v="0"/>
    <s v="CSF"/>
    <x v="26"/>
    <m/>
    <n v="0"/>
    <n v="7352101"/>
    <n v="0"/>
    <n v="7352101"/>
    <n v="0"/>
    <n v="7352061"/>
    <n v="40"/>
    <n v="6295998"/>
    <n v="6114293"/>
    <n v="6114293"/>
    <n v="6114293"/>
  </r>
  <r>
    <s v="04-03-00-016"/>
    <x v="14"/>
    <s v="A-08-01-02-001"/>
    <x v="0"/>
    <s v="08"/>
    <s v="01"/>
    <s v="02"/>
    <s v="001"/>
    <m/>
    <m/>
    <m/>
    <m/>
    <s v="Nación"/>
    <x v="0"/>
    <s v="CSF"/>
    <x v="27"/>
    <m/>
    <n v="0"/>
    <n v="23942000"/>
    <n v="0"/>
    <n v="23942000"/>
    <n v="0"/>
    <n v="23942000"/>
    <n v="0"/>
    <n v="23942000"/>
    <n v="23942000"/>
    <n v="23942000"/>
    <n v="23942000"/>
  </r>
  <r>
    <s v="04-03-00-017"/>
    <x v="15"/>
    <s v="A-01-01-01-001-001"/>
    <x v="0"/>
    <s v="01"/>
    <s v="01"/>
    <s v="01"/>
    <s v="001"/>
    <s v="001"/>
    <m/>
    <m/>
    <m/>
    <s v="Nación"/>
    <x v="0"/>
    <s v="CSF"/>
    <x v="0"/>
    <m/>
    <n v="426000000"/>
    <n v="16300000"/>
    <n v="0"/>
    <n v="442300000"/>
    <n v="0"/>
    <n v="400895896"/>
    <n v="41404104"/>
    <n v="400895896"/>
    <n v="400895896"/>
    <n v="400895896"/>
    <n v="400895896"/>
  </r>
  <r>
    <s v="04-03-00-017"/>
    <x v="15"/>
    <s v="A-01-01-01-001-003"/>
    <x v="0"/>
    <s v="01"/>
    <s v="01"/>
    <s v="01"/>
    <s v="001"/>
    <s v="003"/>
    <m/>
    <m/>
    <m/>
    <s v="Nación"/>
    <x v="0"/>
    <s v="CSF"/>
    <x v="1"/>
    <m/>
    <n v="0"/>
    <n v="14000000"/>
    <n v="0"/>
    <n v="14000000"/>
    <n v="0"/>
    <n v="8366809"/>
    <n v="5633191"/>
    <n v="8366809"/>
    <n v="8366809"/>
    <n v="8366809"/>
    <n v="8366809"/>
  </r>
  <r>
    <s v="04-03-00-017"/>
    <x v="15"/>
    <s v="A-01-01-01-001-004"/>
    <x v="0"/>
    <s v="01"/>
    <s v="01"/>
    <s v="01"/>
    <s v="001"/>
    <s v="004"/>
    <m/>
    <m/>
    <m/>
    <s v="Nación"/>
    <x v="0"/>
    <s v="CSF"/>
    <x v="2"/>
    <m/>
    <n v="7312000"/>
    <n v="0"/>
    <n v="0"/>
    <n v="7312000"/>
    <n v="0"/>
    <n v="6393158"/>
    <n v="918842"/>
    <n v="6393158"/>
    <n v="6393158"/>
    <n v="6393158"/>
    <n v="6393158"/>
  </r>
  <r>
    <s v="04-03-00-017"/>
    <x v="15"/>
    <s v="A-01-01-01-001-005"/>
    <x v="0"/>
    <s v="01"/>
    <s v="01"/>
    <s v="01"/>
    <s v="001"/>
    <s v="005"/>
    <m/>
    <m/>
    <m/>
    <s v="Nación"/>
    <x v="0"/>
    <s v="CSF"/>
    <x v="3"/>
    <m/>
    <n v="4680000"/>
    <n v="2800000"/>
    <n v="4680000"/>
    <n v="2800000"/>
    <n v="0"/>
    <n v="1390999"/>
    <n v="1409001"/>
    <n v="1390999"/>
    <n v="1390999"/>
    <n v="1390999"/>
    <n v="1390999"/>
  </r>
  <r>
    <s v="04-03-00-017"/>
    <x v="15"/>
    <s v="A-01-01-01-001-006"/>
    <x v="0"/>
    <s v="01"/>
    <s v="01"/>
    <s v="01"/>
    <s v="001"/>
    <s v="006"/>
    <m/>
    <m/>
    <m/>
    <s v="Nación"/>
    <x v="0"/>
    <s v="CSF"/>
    <x v="4"/>
    <m/>
    <n v="40400000"/>
    <n v="2394944"/>
    <n v="0"/>
    <n v="42794944"/>
    <n v="0"/>
    <n v="42706592"/>
    <n v="88352"/>
    <n v="42706592"/>
    <n v="42706592"/>
    <n v="42706592"/>
    <n v="42706592"/>
  </r>
  <r>
    <s v="04-03-00-017"/>
    <x v="15"/>
    <s v="A-01-01-01-001-007"/>
    <x v="0"/>
    <s v="01"/>
    <s v="01"/>
    <s v="01"/>
    <s v="001"/>
    <s v="007"/>
    <m/>
    <m/>
    <m/>
    <s v="Nación"/>
    <x v="0"/>
    <s v="CSF"/>
    <x v="5"/>
    <m/>
    <n v="16000000"/>
    <n v="4000000"/>
    <n v="0"/>
    <n v="20000000"/>
    <n v="0"/>
    <n v="15564417"/>
    <n v="4435583"/>
    <n v="15564417"/>
    <n v="15564417"/>
    <n v="15564417"/>
    <n v="15564417"/>
  </r>
  <r>
    <s v="04-03-00-017"/>
    <x v="15"/>
    <s v="A-01-01-01-001-009"/>
    <x v="0"/>
    <s v="01"/>
    <s v="01"/>
    <s v="01"/>
    <s v="001"/>
    <s v="009"/>
    <m/>
    <m/>
    <m/>
    <s v="Nación"/>
    <x v="0"/>
    <s v="CSF"/>
    <x v="6"/>
    <m/>
    <n v="54000000"/>
    <n v="2700000"/>
    <n v="0"/>
    <n v="56700000"/>
    <n v="0"/>
    <n v="55227810"/>
    <n v="1472190"/>
    <n v="55227810"/>
    <n v="55227810"/>
    <n v="55227810"/>
    <n v="55227810"/>
  </r>
  <r>
    <s v="04-03-00-017"/>
    <x v="15"/>
    <s v="A-01-01-01-001-010"/>
    <x v="0"/>
    <s v="01"/>
    <s v="01"/>
    <s v="01"/>
    <s v="001"/>
    <s v="010"/>
    <m/>
    <m/>
    <m/>
    <s v="Nación"/>
    <x v="0"/>
    <s v="CSF"/>
    <x v="7"/>
    <m/>
    <n v="33000000"/>
    <n v="2500000"/>
    <n v="0"/>
    <n v="35500000"/>
    <n v="0"/>
    <n v="20986232"/>
    <n v="14513768"/>
    <n v="20986232"/>
    <n v="20986232"/>
    <n v="20986232"/>
    <n v="20986232"/>
  </r>
  <r>
    <s v="04-03-00-017"/>
    <x v="15"/>
    <s v="A-01-01-01-001-012"/>
    <x v="0"/>
    <s v="01"/>
    <s v="01"/>
    <s v="01"/>
    <s v="001"/>
    <s v="012"/>
    <m/>
    <m/>
    <m/>
    <s v="Nación"/>
    <x v="0"/>
    <s v="CSF"/>
    <x v="8"/>
    <m/>
    <n v="5000000"/>
    <n v="5500000"/>
    <n v="3960174"/>
    <n v="6539826"/>
    <n v="0"/>
    <n v="6539826"/>
    <n v="0"/>
    <n v="6539826"/>
    <n v="6539826"/>
    <n v="6539826"/>
    <n v="6539826"/>
  </r>
  <r>
    <s v="04-03-00-017"/>
    <x v="15"/>
    <s v="A-01-01-02-001"/>
    <x v="0"/>
    <s v="01"/>
    <s v="01"/>
    <s v="02"/>
    <s v="001"/>
    <m/>
    <m/>
    <m/>
    <m/>
    <s v="Nación"/>
    <x v="0"/>
    <s v="CSF"/>
    <x v="9"/>
    <m/>
    <n v="50000000"/>
    <n v="8750000"/>
    <n v="0"/>
    <n v="58750000"/>
    <n v="0"/>
    <n v="54148400"/>
    <n v="4601600"/>
    <n v="54148400"/>
    <n v="54148400"/>
    <n v="54148400"/>
    <n v="54148400"/>
  </r>
  <r>
    <s v="04-03-00-017"/>
    <x v="15"/>
    <s v="A-01-01-02-002"/>
    <x v="0"/>
    <s v="01"/>
    <s v="01"/>
    <s v="02"/>
    <s v="002"/>
    <m/>
    <m/>
    <m/>
    <m/>
    <s v="Nación"/>
    <x v="0"/>
    <s v="CSF"/>
    <x v="10"/>
    <m/>
    <n v="40000000"/>
    <n v="2500000"/>
    <n v="0"/>
    <n v="42500000"/>
    <n v="0"/>
    <n v="38378500"/>
    <n v="4121500"/>
    <n v="38378500"/>
    <n v="38378500"/>
    <n v="38378500"/>
    <n v="38378500"/>
  </r>
  <r>
    <s v="04-03-00-017"/>
    <x v="15"/>
    <s v="A-01-01-02-004"/>
    <x v="0"/>
    <s v="01"/>
    <s v="01"/>
    <s v="02"/>
    <s v="004"/>
    <m/>
    <m/>
    <m/>
    <m/>
    <s v="Nación"/>
    <x v="0"/>
    <s v="CSF"/>
    <x v="11"/>
    <m/>
    <n v="23000000"/>
    <n v="1000000"/>
    <n v="0"/>
    <n v="24000000"/>
    <n v="0"/>
    <n v="21283200"/>
    <n v="2716800"/>
    <n v="21283200"/>
    <n v="21283200"/>
    <n v="21283200"/>
    <n v="21283200"/>
  </r>
  <r>
    <s v="04-03-00-017"/>
    <x v="15"/>
    <s v="A-01-01-02-005"/>
    <x v="0"/>
    <s v="01"/>
    <s v="01"/>
    <s v="02"/>
    <s v="005"/>
    <m/>
    <m/>
    <m/>
    <m/>
    <s v="Nación"/>
    <x v="0"/>
    <s v="CSF"/>
    <x v="12"/>
    <m/>
    <n v="6000000"/>
    <n v="400000"/>
    <n v="0"/>
    <n v="6400000"/>
    <n v="0"/>
    <n v="6112300"/>
    <n v="287700"/>
    <n v="6112300"/>
    <n v="6112300"/>
    <n v="6112300"/>
    <n v="6112300"/>
  </r>
  <r>
    <s v="04-03-00-017"/>
    <x v="15"/>
    <s v="A-01-01-02-006"/>
    <x v="0"/>
    <s v="01"/>
    <s v="01"/>
    <s v="02"/>
    <s v="006"/>
    <m/>
    <m/>
    <m/>
    <m/>
    <s v="Nación"/>
    <x v="0"/>
    <s v="CSF"/>
    <x v="13"/>
    <m/>
    <n v="17000000"/>
    <n v="1000000"/>
    <n v="0"/>
    <n v="18000000"/>
    <n v="0"/>
    <n v="15966600"/>
    <n v="2033400"/>
    <n v="15966600"/>
    <n v="15966600"/>
    <n v="15966600"/>
    <n v="15966600"/>
  </r>
  <r>
    <s v="04-03-00-017"/>
    <x v="15"/>
    <s v="A-01-01-02-007"/>
    <x v="0"/>
    <s v="01"/>
    <s v="01"/>
    <s v="02"/>
    <s v="007"/>
    <m/>
    <m/>
    <m/>
    <m/>
    <s v="Nación"/>
    <x v="0"/>
    <s v="CSF"/>
    <x v="14"/>
    <m/>
    <n v="3000000"/>
    <n v="9000000"/>
    <n v="0"/>
    <n v="12000000"/>
    <n v="0"/>
    <n v="10647400"/>
    <n v="1352600"/>
    <n v="10647400"/>
    <n v="10647400"/>
    <n v="10647400"/>
    <n v="10647400"/>
  </r>
  <r>
    <s v="04-03-00-017"/>
    <x v="15"/>
    <s v="A-01-01-02-008"/>
    <x v="0"/>
    <s v="01"/>
    <s v="01"/>
    <s v="02"/>
    <s v="008"/>
    <m/>
    <m/>
    <m/>
    <m/>
    <s v="Nación"/>
    <x v="0"/>
    <s v="CSF"/>
    <x v="15"/>
    <m/>
    <n v="3000000"/>
    <n v="0"/>
    <n v="3000000"/>
    <n v="0"/>
    <n v="0"/>
    <n v="0"/>
    <n v="0"/>
    <n v="0"/>
    <n v="0"/>
    <n v="0"/>
    <n v="0"/>
  </r>
  <r>
    <s v="04-03-00-017"/>
    <x v="15"/>
    <s v="A-01-01-02-009"/>
    <x v="0"/>
    <s v="01"/>
    <s v="01"/>
    <s v="02"/>
    <s v="009"/>
    <m/>
    <m/>
    <m/>
    <m/>
    <s v="Nación"/>
    <x v="0"/>
    <s v="CSF"/>
    <x v="16"/>
    <m/>
    <n v="6000000"/>
    <n v="0"/>
    <n v="6000000"/>
    <n v="0"/>
    <n v="0"/>
    <n v="0"/>
    <n v="0"/>
    <n v="0"/>
    <n v="0"/>
    <n v="0"/>
    <n v="0"/>
  </r>
  <r>
    <s v="04-03-00-017"/>
    <x v="15"/>
    <s v="A-01-01-03-001-001"/>
    <x v="0"/>
    <s v="01"/>
    <s v="01"/>
    <s v="03"/>
    <s v="001"/>
    <s v="001"/>
    <m/>
    <m/>
    <m/>
    <s v="Nación"/>
    <x v="0"/>
    <s v="CSF"/>
    <x v="17"/>
    <m/>
    <n v="29000000"/>
    <n v="0"/>
    <n v="0"/>
    <n v="29000000"/>
    <n v="0"/>
    <n v="19391517"/>
    <n v="9608483"/>
    <n v="19391517"/>
    <n v="19391517"/>
    <n v="19391517"/>
    <n v="19391517"/>
  </r>
  <r>
    <s v="04-03-00-017"/>
    <x v="15"/>
    <s v="A-01-01-03-001-002"/>
    <x v="0"/>
    <s v="01"/>
    <s v="01"/>
    <s v="03"/>
    <s v="001"/>
    <s v="002"/>
    <m/>
    <m/>
    <m/>
    <s v="Nación"/>
    <x v="0"/>
    <s v="CSF"/>
    <x v="18"/>
    <m/>
    <n v="0"/>
    <n v="4366187"/>
    <n v="0"/>
    <n v="4366187"/>
    <n v="0"/>
    <n v="2888306"/>
    <n v="1477881"/>
    <n v="2888306"/>
    <n v="2888306"/>
    <n v="2888306"/>
    <n v="2888306"/>
  </r>
  <r>
    <s v="04-03-00-017"/>
    <x v="15"/>
    <s v="A-01-01-03-001-003"/>
    <x v="0"/>
    <s v="01"/>
    <s v="01"/>
    <s v="03"/>
    <s v="001"/>
    <s v="003"/>
    <m/>
    <m/>
    <m/>
    <s v="Nación"/>
    <x v="0"/>
    <s v="CSF"/>
    <x v="19"/>
    <m/>
    <n v="3000000"/>
    <n v="0"/>
    <n v="0"/>
    <n v="3000000"/>
    <n v="0"/>
    <n v="1729058"/>
    <n v="1270942"/>
    <n v="1729058"/>
    <n v="1729058"/>
    <n v="1729058"/>
    <n v="1729058"/>
  </r>
  <r>
    <s v="04-03-00-017"/>
    <x v="15"/>
    <s v="A-01-01-03-002"/>
    <x v="0"/>
    <s v="01"/>
    <s v="01"/>
    <s v="03"/>
    <s v="002"/>
    <m/>
    <m/>
    <m/>
    <m/>
    <s v="Nación"/>
    <x v="0"/>
    <s v="CSF"/>
    <x v="20"/>
    <m/>
    <n v="29000000"/>
    <n v="0"/>
    <n v="0"/>
    <n v="29000000"/>
    <n v="0"/>
    <n v="20678991"/>
    <n v="8321009"/>
    <n v="20678991"/>
    <n v="20678991"/>
    <n v="20678991"/>
    <n v="20678991"/>
  </r>
  <r>
    <s v="04-03-00-017"/>
    <x v="15"/>
    <s v="A-02-02-02-006-004"/>
    <x v="0"/>
    <s v="02"/>
    <s v="02"/>
    <s v="02"/>
    <s v="006"/>
    <s v="004"/>
    <m/>
    <m/>
    <m/>
    <s v="Propios"/>
    <x v="1"/>
    <s v="CSF"/>
    <x v="21"/>
    <m/>
    <n v="0"/>
    <n v="110000"/>
    <n v="0"/>
    <n v="110000"/>
    <n v="0"/>
    <n v="110000"/>
    <n v="0"/>
    <n v="110000"/>
    <n v="110000"/>
    <n v="110000"/>
    <n v="110000"/>
  </r>
  <r>
    <s v="04-03-00-017"/>
    <x v="15"/>
    <s v="A-02-02-02-006-009"/>
    <x v="0"/>
    <s v="02"/>
    <s v="02"/>
    <s v="02"/>
    <s v="006"/>
    <s v="009"/>
    <m/>
    <m/>
    <m/>
    <s v="Nación"/>
    <x v="0"/>
    <s v="CSF"/>
    <x v="22"/>
    <m/>
    <n v="16500000"/>
    <n v="1600000"/>
    <n v="0"/>
    <n v="18100000"/>
    <n v="0"/>
    <n v="16500000"/>
    <n v="1600000"/>
    <n v="16378577"/>
    <n v="16378577"/>
    <n v="16378577"/>
    <n v="16378577"/>
  </r>
  <r>
    <s v="04-03-00-017"/>
    <x v="15"/>
    <s v="A-02-02-02-007-002"/>
    <x v="0"/>
    <s v="02"/>
    <s v="02"/>
    <s v="02"/>
    <s v="007"/>
    <s v="002"/>
    <m/>
    <m/>
    <m/>
    <s v="Nación"/>
    <x v="0"/>
    <s v="CSF"/>
    <x v="30"/>
    <m/>
    <n v="12000000"/>
    <n v="100144"/>
    <n v="0"/>
    <n v="12100144"/>
    <n v="0"/>
    <n v="12100144"/>
    <n v="0"/>
    <n v="12100144"/>
    <n v="12100144"/>
    <n v="12100144"/>
    <n v="12100144"/>
  </r>
  <r>
    <s v="04-03-00-017"/>
    <x v="15"/>
    <s v="A-02-02-02-008-004"/>
    <x v="0"/>
    <s v="02"/>
    <s v="02"/>
    <s v="02"/>
    <s v="008"/>
    <s v="004"/>
    <m/>
    <m/>
    <m/>
    <s v="Nación"/>
    <x v="0"/>
    <s v="CSF"/>
    <x v="23"/>
    <m/>
    <n v="600000"/>
    <n v="400000"/>
    <n v="0"/>
    <n v="1000000"/>
    <n v="0"/>
    <n v="1000000"/>
    <n v="0"/>
    <n v="853329"/>
    <n v="853329"/>
    <n v="853329"/>
    <n v="853329"/>
  </r>
  <r>
    <s v="04-03-00-017"/>
    <x v="15"/>
    <s v="A-02-02-02-009-004"/>
    <x v="0"/>
    <s v="02"/>
    <s v="02"/>
    <s v="02"/>
    <s v="009"/>
    <s v="004"/>
    <m/>
    <m/>
    <m/>
    <s v="Nación"/>
    <x v="0"/>
    <s v="CSF"/>
    <x v="24"/>
    <m/>
    <n v="1000000"/>
    <n v="460000"/>
    <n v="0"/>
    <n v="1460000"/>
    <n v="0"/>
    <n v="1400000"/>
    <n v="60000"/>
    <n v="1286717"/>
    <n v="1286717"/>
    <n v="1286717"/>
    <n v="1286717"/>
  </r>
  <r>
    <s v="04-03-00-017"/>
    <x v="15"/>
    <s v="A-02-02-02-010"/>
    <x v="0"/>
    <s v="02"/>
    <s v="02"/>
    <s v="02"/>
    <s v="010"/>
    <m/>
    <m/>
    <m/>
    <m/>
    <s v="Nación"/>
    <x v="0"/>
    <s v="CSF"/>
    <x v="25"/>
    <m/>
    <n v="0"/>
    <n v="364175"/>
    <n v="0"/>
    <n v="364175"/>
    <n v="0"/>
    <n v="364175"/>
    <n v="0"/>
    <n v="364175"/>
    <n v="364175"/>
    <n v="364175"/>
    <n v="364175"/>
  </r>
  <r>
    <s v="04-03-00-017"/>
    <x v="15"/>
    <s v="A-03-04-02-012-001"/>
    <x v="0"/>
    <s v="03"/>
    <s v="04"/>
    <s v="02"/>
    <s v="012"/>
    <s v="001"/>
    <m/>
    <m/>
    <m/>
    <s v="Nación"/>
    <x v="0"/>
    <s v="CSF"/>
    <x v="26"/>
    <m/>
    <n v="0"/>
    <n v="3200000"/>
    <n v="0"/>
    <n v="3200000"/>
    <n v="0"/>
    <n v="3070790"/>
    <n v="129210"/>
    <n v="3070790"/>
    <n v="3070790"/>
    <n v="3070790"/>
    <n v="3070790"/>
  </r>
  <r>
    <s v="04-03-00-017"/>
    <x v="15"/>
    <s v="A-08-01-02-001"/>
    <x v="0"/>
    <s v="08"/>
    <s v="01"/>
    <s v="02"/>
    <s v="001"/>
    <m/>
    <m/>
    <m/>
    <m/>
    <s v="Nación"/>
    <x v="0"/>
    <s v="CSF"/>
    <x v="27"/>
    <m/>
    <n v="0"/>
    <n v="8000000"/>
    <n v="570742"/>
    <n v="7429258"/>
    <n v="0"/>
    <n v="7429258"/>
    <n v="0"/>
    <n v="7429258"/>
    <n v="7429258"/>
    <n v="7429258"/>
    <n v="7429258"/>
  </r>
  <r>
    <s v="04-03-00-017"/>
    <x v="15"/>
    <s v="A-08-01-02-003"/>
    <x v="0"/>
    <s v="08"/>
    <s v="01"/>
    <s v="02"/>
    <s v="003"/>
    <m/>
    <m/>
    <m/>
    <m/>
    <s v="Propios"/>
    <x v="1"/>
    <s v="CSF"/>
    <x v="28"/>
    <m/>
    <n v="0"/>
    <n v="3500000"/>
    <n v="2319127"/>
    <n v="1180873"/>
    <n v="0"/>
    <n v="1180873"/>
    <n v="0"/>
    <n v="1180873"/>
    <n v="1180873"/>
    <n v="1180873"/>
    <n v="1180873"/>
  </r>
  <r>
    <s v="04-03-00-018"/>
    <x v="16"/>
    <s v="A-01-01-01-001-001"/>
    <x v="0"/>
    <s v="01"/>
    <s v="01"/>
    <s v="01"/>
    <s v="001"/>
    <s v="001"/>
    <m/>
    <m/>
    <m/>
    <s v="Nación"/>
    <x v="0"/>
    <s v="CSF"/>
    <x v="0"/>
    <m/>
    <n v="594000000"/>
    <n v="48839000"/>
    <n v="0"/>
    <n v="642839000"/>
    <n v="0"/>
    <n v="590838750"/>
    <n v="52000250"/>
    <n v="590838750"/>
    <n v="590838750"/>
    <n v="590838750"/>
    <n v="590838750"/>
  </r>
  <r>
    <s v="04-03-00-018"/>
    <x v="16"/>
    <s v="A-01-01-01-001-003"/>
    <x v="0"/>
    <s v="01"/>
    <s v="01"/>
    <s v="01"/>
    <s v="001"/>
    <s v="003"/>
    <m/>
    <m/>
    <m/>
    <s v="Nación"/>
    <x v="0"/>
    <s v="CSF"/>
    <x v="1"/>
    <m/>
    <n v="0"/>
    <n v="9818174"/>
    <n v="0"/>
    <n v="9818174"/>
    <n v="0"/>
    <n v="7256926"/>
    <n v="2561248"/>
    <n v="7256926"/>
    <n v="7256926"/>
    <n v="7256926"/>
    <n v="7256926"/>
  </r>
  <r>
    <s v="04-03-00-018"/>
    <x v="16"/>
    <s v="A-01-01-01-001-004"/>
    <x v="0"/>
    <s v="01"/>
    <s v="01"/>
    <s v="01"/>
    <s v="001"/>
    <s v="004"/>
    <m/>
    <m/>
    <m/>
    <s v="Nación"/>
    <x v="0"/>
    <s v="CSF"/>
    <x v="2"/>
    <m/>
    <n v="12000000"/>
    <n v="2597111"/>
    <n v="0"/>
    <n v="14597111"/>
    <n v="0"/>
    <n v="13527111"/>
    <n v="1070000"/>
    <n v="13527111"/>
    <n v="13527111"/>
    <n v="13527111"/>
    <n v="13527111"/>
  </r>
  <r>
    <s v="04-03-00-018"/>
    <x v="16"/>
    <s v="A-01-01-01-001-005"/>
    <x v="0"/>
    <s v="01"/>
    <s v="01"/>
    <s v="01"/>
    <s v="001"/>
    <s v="005"/>
    <m/>
    <m/>
    <m/>
    <s v="Nación"/>
    <x v="0"/>
    <s v="CSF"/>
    <x v="3"/>
    <m/>
    <n v="10060000"/>
    <n v="4535874"/>
    <n v="10060000"/>
    <n v="4535874"/>
    <n v="0"/>
    <n v="2955874"/>
    <n v="1580000"/>
    <n v="2955874"/>
    <n v="2955874"/>
    <n v="2955874"/>
    <n v="2955874"/>
  </r>
  <r>
    <s v="04-03-00-018"/>
    <x v="16"/>
    <s v="A-01-01-01-001-006"/>
    <x v="0"/>
    <s v="01"/>
    <s v="01"/>
    <s v="01"/>
    <s v="001"/>
    <s v="006"/>
    <m/>
    <m/>
    <m/>
    <s v="Nación"/>
    <x v="0"/>
    <s v="CSF"/>
    <x v="4"/>
    <m/>
    <n v="57000000"/>
    <n v="11311154"/>
    <n v="0"/>
    <n v="68311154"/>
    <n v="0"/>
    <n v="68311154"/>
    <n v="0"/>
    <n v="68311154"/>
    <n v="68311154"/>
    <n v="68311154"/>
    <n v="68311154"/>
  </r>
  <r>
    <s v="04-03-00-018"/>
    <x v="16"/>
    <s v="A-01-01-01-001-007"/>
    <x v="0"/>
    <s v="01"/>
    <s v="01"/>
    <s v="01"/>
    <s v="001"/>
    <s v="007"/>
    <m/>
    <m/>
    <m/>
    <s v="Nación"/>
    <x v="0"/>
    <s v="CSF"/>
    <x v="5"/>
    <m/>
    <n v="22000000"/>
    <n v="4967000"/>
    <n v="0"/>
    <n v="26967000"/>
    <n v="0"/>
    <n v="25004724"/>
    <n v="1962276"/>
    <n v="25004724"/>
    <n v="25004724"/>
    <n v="25004724"/>
    <n v="25004724"/>
  </r>
  <r>
    <s v="04-03-00-018"/>
    <x v="16"/>
    <s v="A-01-01-01-001-009"/>
    <x v="0"/>
    <s v="01"/>
    <s v="01"/>
    <s v="01"/>
    <s v="001"/>
    <s v="009"/>
    <m/>
    <m/>
    <m/>
    <s v="Nación"/>
    <x v="0"/>
    <s v="CSF"/>
    <x v="6"/>
    <m/>
    <n v="75000000"/>
    <n v="4875561"/>
    <n v="0"/>
    <n v="79875561"/>
    <n v="0"/>
    <n v="79875561"/>
    <n v="0"/>
    <n v="79875561"/>
    <n v="79875561"/>
    <n v="79875561"/>
    <n v="79875561"/>
  </r>
  <r>
    <s v="04-03-00-018"/>
    <x v="16"/>
    <s v="A-01-01-01-001-010"/>
    <x v="0"/>
    <s v="01"/>
    <s v="01"/>
    <s v="01"/>
    <s v="001"/>
    <s v="010"/>
    <m/>
    <m/>
    <m/>
    <s v="Nación"/>
    <x v="0"/>
    <s v="CSF"/>
    <x v="7"/>
    <m/>
    <n v="35000000"/>
    <n v="39086181"/>
    <n v="0"/>
    <n v="74086181"/>
    <n v="0"/>
    <n v="61404176"/>
    <n v="12682005"/>
    <n v="61404176"/>
    <n v="61404176"/>
    <n v="61404176"/>
    <n v="61404176"/>
  </r>
  <r>
    <s v="04-03-00-018"/>
    <x v="16"/>
    <s v="A-01-01-01-001-012"/>
    <x v="0"/>
    <s v="01"/>
    <s v="01"/>
    <s v="01"/>
    <s v="001"/>
    <s v="012"/>
    <m/>
    <m/>
    <m/>
    <s v="Nación"/>
    <x v="0"/>
    <s v="CSF"/>
    <x v="8"/>
    <m/>
    <n v="8000000"/>
    <n v="10060000"/>
    <n v="1467371"/>
    <n v="16592629"/>
    <n v="0"/>
    <n v="16592629"/>
    <n v="0"/>
    <n v="16592629"/>
    <n v="16592629"/>
    <n v="16592629"/>
    <n v="16592629"/>
  </r>
  <r>
    <s v="04-03-00-018"/>
    <x v="16"/>
    <s v="A-01-01-02-001"/>
    <x v="0"/>
    <s v="01"/>
    <s v="01"/>
    <s v="02"/>
    <s v="001"/>
    <m/>
    <m/>
    <m/>
    <m/>
    <s v="Nación"/>
    <x v="0"/>
    <s v="CSF"/>
    <x v="9"/>
    <m/>
    <n v="58000000"/>
    <n v="35161700"/>
    <n v="0"/>
    <n v="93161700"/>
    <n v="0"/>
    <n v="84849700"/>
    <n v="8312000"/>
    <n v="84849700"/>
    <n v="84849700"/>
    <n v="84849700"/>
    <n v="84849700"/>
  </r>
  <r>
    <s v="04-03-00-018"/>
    <x v="16"/>
    <s v="A-01-01-02-002"/>
    <x v="0"/>
    <s v="01"/>
    <s v="01"/>
    <s v="02"/>
    <s v="002"/>
    <m/>
    <m/>
    <m/>
    <m/>
    <s v="Nación"/>
    <x v="0"/>
    <s v="CSF"/>
    <x v="10"/>
    <m/>
    <n v="55000000"/>
    <n v="10880300"/>
    <n v="0"/>
    <n v="65880300"/>
    <n v="0"/>
    <n v="60120100"/>
    <n v="5760200"/>
    <n v="60120100"/>
    <n v="60120100"/>
    <n v="60120100"/>
    <n v="60120100"/>
  </r>
  <r>
    <s v="04-03-00-018"/>
    <x v="16"/>
    <s v="A-01-01-02-004"/>
    <x v="0"/>
    <s v="01"/>
    <s v="01"/>
    <s v="02"/>
    <s v="004"/>
    <m/>
    <m/>
    <m/>
    <m/>
    <s v="Nación"/>
    <x v="0"/>
    <s v="CSF"/>
    <x v="11"/>
    <m/>
    <n v="35000000"/>
    <n v="4500000"/>
    <n v="0"/>
    <n v="39500000"/>
    <n v="0"/>
    <n v="36446600"/>
    <n v="3053400"/>
    <n v="36446600"/>
    <n v="36446600"/>
    <n v="36446600"/>
    <n v="36446600"/>
  </r>
  <r>
    <s v="04-03-00-018"/>
    <x v="16"/>
    <s v="A-01-01-02-005"/>
    <x v="0"/>
    <s v="01"/>
    <s v="01"/>
    <s v="02"/>
    <s v="005"/>
    <m/>
    <m/>
    <m/>
    <m/>
    <s v="Nación"/>
    <x v="0"/>
    <s v="CSF"/>
    <x v="12"/>
    <m/>
    <n v="8000000"/>
    <n v="2699500"/>
    <n v="0"/>
    <n v="10699500"/>
    <n v="0"/>
    <n v="9513200"/>
    <n v="1186300"/>
    <n v="9513200"/>
    <n v="9513200"/>
    <n v="9513200"/>
    <n v="9513200"/>
  </r>
  <r>
    <s v="04-03-00-018"/>
    <x v="16"/>
    <s v="A-01-01-02-006"/>
    <x v="0"/>
    <s v="01"/>
    <s v="01"/>
    <s v="02"/>
    <s v="006"/>
    <m/>
    <m/>
    <m/>
    <m/>
    <s v="Nación"/>
    <x v="0"/>
    <s v="CSF"/>
    <x v="13"/>
    <m/>
    <n v="26000000"/>
    <n v="3099700"/>
    <n v="0"/>
    <n v="29099700"/>
    <n v="0"/>
    <n v="27340700"/>
    <n v="1759000"/>
    <n v="27340700"/>
    <n v="27340700"/>
    <n v="27340700"/>
    <n v="27340700"/>
  </r>
  <r>
    <s v="04-03-00-018"/>
    <x v="16"/>
    <s v="A-01-01-02-007"/>
    <x v="0"/>
    <s v="01"/>
    <s v="01"/>
    <s v="02"/>
    <s v="007"/>
    <m/>
    <m/>
    <m/>
    <m/>
    <s v="Nación"/>
    <x v="0"/>
    <s v="CSF"/>
    <x v="14"/>
    <m/>
    <n v="3000000"/>
    <n v="18000000"/>
    <n v="0"/>
    <n v="21000000"/>
    <n v="0"/>
    <n v="18233700"/>
    <n v="2766300"/>
    <n v="18233700"/>
    <n v="18233700"/>
    <n v="18233700"/>
    <n v="18233700"/>
  </r>
  <r>
    <s v="04-03-00-018"/>
    <x v="16"/>
    <s v="A-01-01-02-008"/>
    <x v="0"/>
    <s v="01"/>
    <s v="01"/>
    <s v="02"/>
    <s v="008"/>
    <m/>
    <m/>
    <m/>
    <m/>
    <s v="Nación"/>
    <x v="0"/>
    <s v="CSF"/>
    <x v="15"/>
    <m/>
    <n v="3000000"/>
    <n v="0"/>
    <n v="3000000"/>
    <n v="0"/>
    <n v="0"/>
    <n v="0"/>
    <n v="0"/>
    <n v="0"/>
    <n v="0"/>
    <n v="0"/>
    <n v="0"/>
  </r>
  <r>
    <s v="04-03-00-018"/>
    <x v="16"/>
    <s v="A-01-01-02-009"/>
    <x v="0"/>
    <s v="01"/>
    <s v="01"/>
    <s v="02"/>
    <s v="009"/>
    <m/>
    <m/>
    <m/>
    <m/>
    <s v="Nación"/>
    <x v="0"/>
    <s v="CSF"/>
    <x v="16"/>
    <m/>
    <n v="6000000"/>
    <n v="0"/>
    <n v="6000000"/>
    <n v="0"/>
    <n v="0"/>
    <n v="0"/>
    <n v="0"/>
    <n v="0"/>
    <n v="0"/>
    <n v="0"/>
    <n v="0"/>
  </r>
  <r>
    <s v="04-03-00-018"/>
    <x v="16"/>
    <s v="A-01-01-03-001-001"/>
    <x v="0"/>
    <s v="01"/>
    <s v="01"/>
    <s v="03"/>
    <s v="001"/>
    <s v="001"/>
    <m/>
    <m/>
    <m/>
    <s v="Nación"/>
    <x v="0"/>
    <s v="CSF"/>
    <x v="17"/>
    <m/>
    <n v="39000000"/>
    <n v="8280753"/>
    <n v="0"/>
    <n v="47280753"/>
    <n v="0"/>
    <n v="47279947"/>
    <n v="806"/>
    <n v="47279947"/>
    <n v="47279947"/>
    <n v="47279947"/>
    <n v="47279947"/>
  </r>
  <r>
    <s v="04-03-00-018"/>
    <x v="16"/>
    <s v="A-01-01-03-001-002"/>
    <x v="0"/>
    <s v="01"/>
    <s v="01"/>
    <s v="03"/>
    <s v="001"/>
    <s v="002"/>
    <m/>
    <m/>
    <m/>
    <s v="Nación"/>
    <x v="0"/>
    <s v="CSF"/>
    <x v="18"/>
    <m/>
    <n v="0"/>
    <n v="22172470"/>
    <n v="0"/>
    <n v="22172470"/>
    <n v="0"/>
    <n v="18464800"/>
    <n v="3707670"/>
    <n v="18464800"/>
    <n v="18464800"/>
    <n v="18464800"/>
    <n v="18464800"/>
  </r>
  <r>
    <s v="04-03-00-018"/>
    <x v="16"/>
    <s v="A-01-01-03-001-003"/>
    <x v="0"/>
    <s v="01"/>
    <s v="01"/>
    <s v="03"/>
    <s v="001"/>
    <s v="003"/>
    <m/>
    <m/>
    <m/>
    <s v="Nación"/>
    <x v="0"/>
    <s v="CSF"/>
    <x v="19"/>
    <m/>
    <n v="3000000"/>
    <n v="2950632"/>
    <n v="0"/>
    <n v="5950632"/>
    <n v="0"/>
    <n v="5000632"/>
    <n v="950000"/>
    <n v="5000632"/>
    <n v="5000632"/>
    <n v="5000632"/>
    <n v="5000632"/>
  </r>
  <r>
    <s v="04-03-00-018"/>
    <x v="16"/>
    <s v="A-01-01-03-002"/>
    <x v="0"/>
    <s v="01"/>
    <s v="01"/>
    <s v="03"/>
    <s v="002"/>
    <m/>
    <m/>
    <m/>
    <m/>
    <s v="Nación"/>
    <x v="0"/>
    <s v="CSF"/>
    <x v="20"/>
    <m/>
    <n v="29000000"/>
    <n v="0"/>
    <n v="0"/>
    <n v="29000000"/>
    <n v="0"/>
    <n v="19893513"/>
    <n v="9106487"/>
    <n v="19893513"/>
    <n v="19893513"/>
    <n v="19893513"/>
    <n v="19893513"/>
  </r>
  <r>
    <s v="04-03-00-018"/>
    <x v="16"/>
    <s v="A-02-02-02-006-004"/>
    <x v="0"/>
    <s v="02"/>
    <s v="02"/>
    <s v="02"/>
    <s v="006"/>
    <s v="004"/>
    <m/>
    <m/>
    <m/>
    <s v="Propios"/>
    <x v="1"/>
    <s v="CSF"/>
    <x v="21"/>
    <m/>
    <n v="0"/>
    <n v="80000"/>
    <n v="0"/>
    <n v="80000"/>
    <n v="0"/>
    <n v="80000"/>
    <n v="0"/>
    <n v="80000"/>
    <n v="80000"/>
    <n v="80000"/>
    <n v="80000"/>
  </r>
  <r>
    <s v="04-03-00-018"/>
    <x v="16"/>
    <s v="A-02-02-02-006-009"/>
    <x v="0"/>
    <s v="02"/>
    <s v="02"/>
    <s v="02"/>
    <s v="006"/>
    <s v="009"/>
    <m/>
    <m/>
    <m/>
    <s v="Nación"/>
    <x v="0"/>
    <s v="CSF"/>
    <x v="22"/>
    <m/>
    <n v="14600000"/>
    <n v="9200000"/>
    <n v="1000000"/>
    <n v="22800000"/>
    <n v="0"/>
    <n v="22800000"/>
    <n v="0"/>
    <n v="20461491"/>
    <n v="20461491"/>
    <n v="20461491"/>
    <n v="20461491"/>
  </r>
  <r>
    <s v="04-03-00-018"/>
    <x v="16"/>
    <s v="A-02-02-02-007-002"/>
    <x v="0"/>
    <s v="02"/>
    <s v="02"/>
    <s v="02"/>
    <s v="007"/>
    <s v="002"/>
    <m/>
    <m/>
    <m/>
    <s v="Nación"/>
    <x v="0"/>
    <s v="CSF"/>
    <x v="30"/>
    <m/>
    <n v="47000000"/>
    <n v="0"/>
    <n v="3062200"/>
    <n v="43937800"/>
    <n v="0"/>
    <n v="43937800"/>
    <n v="0"/>
    <n v="43937800"/>
    <n v="39949200"/>
    <n v="39949200"/>
    <n v="39949200"/>
  </r>
  <r>
    <s v="04-03-00-018"/>
    <x v="16"/>
    <s v="A-02-02-02-007-002"/>
    <x v="0"/>
    <s v="02"/>
    <s v="02"/>
    <s v="02"/>
    <s v="007"/>
    <s v="002"/>
    <m/>
    <m/>
    <m/>
    <s v="Propios"/>
    <x v="1"/>
    <s v="CSF"/>
    <x v="30"/>
    <m/>
    <n v="12350000"/>
    <n v="1600300"/>
    <n v="0"/>
    <n v="13950300"/>
    <n v="0"/>
    <n v="12248000"/>
    <n v="1702300"/>
    <n v="12248000"/>
    <n v="11288000"/>
    <n v="11288000"/>
    <n v="11288000"/>
  </r>
  <r>
    <s v="04-03-00-018"/>
    <x v="16"/>
    <s v="A-02-02-02-008-004"/>
    <x v="0"/>
    <s v="02"/>
    <s v="02"/>
    <s v="02"/>
    <s v="008"/>
    <s v="004"/>
    <m/>
    <m/>
    <m/>
    <s v="Nación"/>
    <x v="0"/>
    <s v="CSF"/>
    <x v="23"/>
    <m/>
    <n v="3200000"/>
    <n v="1107530"/>
    <n v="0"/>
    <n v="4307530"/>
    <n v="0"/>
    <n v="4250000"/>
    <n v="57530"/>
    <n v="3898010"/>
    <n v="3898010"/>
    <n v="3898010"/>
    <n v="3898010"/>
  </r>
  <r>
    <s v="04-03-00-018"/>
    <x v="16"/>
    <s v="A-02-02-02-009-004"/>
    <x v="0"/>
    <s v="02"/>
    <s v="02"/>
    <s v="02"/>
    <s v="009"/>
    <s v="004"/>
    <m/>
    <m/>
    <m/>
    <s v="Nación"/>
    <x v="0"/>
    <s v="CSF"/>
    <x v="24"/>
    <m/>
    <n v="1000000"/>
    <n v="800000"/>
    <n v="0"/>
    <n v="1800000"/>
    <n v="0"/>
    <n v="1800000"/>
    <n v="0"/>
    <n v="1615491"/>
    <n v="1615491"/>
    <n v="1615491"/>
    <n v="1615491"/>
  </r>
  <r>
    <s v="04-03-00-018"/>
    <x v="16"/>
    <s v="A-02-02-02-010"/>
    <x v="0"/>
    <s v="02"/>
    <s v="02"/>
    <s v="02"/>
    <s v="010"/>
    <m/>
    <m/>
    <m/>
    <m/>
    <s v="Nación"/>
    <x v="0"/>
    <s v="CSF"/>
    <x v="25"/>
    <m/>
    <n v="0"/>
    <n v="364175"/>
    <n v="0"/>
    <n v="364175"/>
    <n v="0"/>
    <n v="364175"/>
    <n v="0"/>
    <n v="364175"/>
    <n v="364175"/>
    <n v="364175"/>
    <n v="364175"/>
  </r>
  <r>
    <s v="04-03-00-018"/>
    <x v="16"/>
    <s v="A-03-04-02-012-001"/>
    <x v="0"/>
    <s v="03"/>
    <s v="04"/>
    <s v="02"/>
    <s v="012"/>
    <s v="001"/>
    <m/>
    <m/>
    <m/>
    <s v="Nación"/>
    <x v="0"/>
    <s v="CSF"/>
    <x v="26"/>
    <m/>
    <n v="0"/>
    <n v="1000000"/>
    <n v="0"/>
    <n v="1000000"/>
    <n v="0"/>
    <n v="703624"/>
    <n v="296376"/>
    <n v="703624"/>
    <n v="703624"/>
    <n v="703624"/>
    <n v="703624"/>
  </r>
  <r>
    <s v="04-03-00-018"/>
    <x v="16"/>
    <s v="A-03-04-02-012-002"/>
    <x v="0"/>
    <s v="03"/>
    <s v="04"/>
    <s v="02"/>
    <s v="012"/>
    <s v="002"/>
    <m/>
    <m/>
    <m/>
    <s v="Nación"/>
    <x v="0"/>
    <s v="CSF"/>
    <x v="31"/>
    <m/>
    <n v="0"/>
    <n v="6590500"/>
    <n v="5284705"/>
    <n v="1305795"/>
    <n v="0"/>
    <n v="1305795"/>
    <n v="0"/>
    <n v="1305795"/>
    <n v="1305795"/>
    <n v="1305795"/>
    <n v="1305795"/>
  </r>
  <r>
    <s v="04-03-00-018"/>
    <x v="16"/>
    <s v="A-08-01-02-001"/>
    <x v="0"/>
    <s v="08"/>
    <s v="01"/>
    <s v="02"/>
    <s v="001"/>
    <m/>
    <m/>
    <m/>
    <m/>
    <s v="Nación"/>
    <x v="0"/>
    <s v="CSF"/>
    <x v="27"/>
    <m/>
    <n v="0"/>
    <n v="17231949"/>
    <n v="0"/>
    <n v="17231949"/>
    <n v="0"/>
    <n v="17231949"/>
    <n v="0"/>
    <n v="17231949"/>
    <n v="17231949"/>
    <n v="17231949"/>
    <n v="17231949"/>
  </r>
  <r>
    <s v="04-03-00-018"/>
    <x v="16"/>
    <s v="A-08-01-02-003"/>
    <x v="0"/>
    <s v="08"/>
    <s v="01"/>
    <s v="02"/>
    <s v="003"/>
    <m/>
    <m/>
    <m/>
    <m/>
    <s v="Nación"/>
    <x v="0"/>
    <s v="CSF"/>
    <x v="28"/>
    <m/>
    <n v="0"/>
    <n v="148000"/>
    <n v="148000"/>
    <n v="0"/>
    <n v="0"/>
    <n v="0"/>
    <n v="0"/>
    <n v="0"/>
    <n v="0"/>
    <n v="0"/>
    <n v="0"/>
  </r>
  <r>
    <s v="04-03-00-018"/>
    <x v="16"/>
    <s v="A-08-01-02-003"/>
    <x v="0"/>
    <s v="08"/>
    <s v="01"/>
    <s v="02"/>
    <s v="003"/>
    <m/>
    <m/>
    <m/>
    <m/>
    <s v="Propios"/>
    <x v="1"/>
    <s v="CSF"/>
    <x v="28"/>
    <m/>
    <n v="0"/>
    <n v="4631366"/>
    <n v="566"/>
    <n v="4630800"/>
    <n v="0"/>
    <n v="4630785"/>
    <n v="15"/>
    <n v="4630785"/>
    <n v="4630785"/>
    <n v="4630785"/>
    <n v="4630785"/>
  </r>
  <r>
    <s v="04-03-00-019"/>
    <x v="17"/>
    <s v="A-01-01-01-001-001"/>
    <x v="0"/>
    <s v="01"/>
    <s v="01"/>
    <s v="01"/>
    <s v="001"/>
    <s v="001"/>
    <m/>
    <m/>
    <m/>
    <s v="Nación"/>
    <x v="0"/>
    <s v="CSF"/>
    <x v="0"/>
    <m/>
    <n v="862000000"/>
    <n v="0"/>
    <n v="0"/>
    <n v="862000000"/>
    <n v="0"/>
    <n v="732005198"/>
    <n v="129994802"/>
    <n v="732005198"/>
    <n v="732005198"/>
    <n v="732005198"/>
    <n v="732005198"/>
  </r>
  <r>
    <s v="04-03-00-019"/>
    <x v="17"/>
    <s v="A-01-01-01-001-004"/>
    <x v="0"/>
    <s v="01"/>
    <s v="01"/>
    <s v="01"/>
    <s v="001"/>
    <s v="004"/>
    <m/>
    <m/>
    <m/>
    <s v="Nación"/>
    <x v="0"/>
    <s v="CSF"/>
    <x v="2"/>
    <m/>
    <n v="22710000"/>
    <n v="0"/>
    <n v="0"/>
    <n v="22710000"/>
    <n v="0"/>
    <n v="18118414"/>
    <n v="4591586"/>
    <n v="18118414"/>
    <n v="18118414"/>
    <n v="18118414"/>
    <n v="18118414"/>
  </r>
  <r>
    <s v="04-03-00-019"/>
    <x v="17"/>
    <s v="A-01-01-01-001-005"/>
    <x v="0"/>
    <s v="01"/>
    <s v="01"/>
    <s v="01"/>
    <s v="001"/>
    <s v="005"/>
    <m/>
    <m/>
    <m/>
    <s v="Nación"/>
    <x v="0"/>
    <s v="CSF"/>
    <x v="3"/>
    <m/>
    <n v="15395000"/>
    <n v="7000000"/>
    <n v="15395000"/>
    <n v="7000000"/>
    <n v="0"/>
    <n v="4165901"/>
    <n v="2834099"/>
    <n v="4165901"/>
    <n v="4165901"/>
    <n v="4165901"/>
    <n v="4165901"/>
  </r>
  <r>
    <s v="04-03-00-019"/>
    <x v="17"/>
    <s v="A-01-01-01-001-006"/>
    <x v="0"/>
    <s v="01"/>
    <s v="01"/>
    <s v="01"/>
    <s v="001"/>
    <s v="006"/>
    <m/>
    <m/>
    <m/>
    <s v="Nación"/>
    <x v="0"/>
    <s v="CSF"/>
    <x v="4"/>
    <m/>
    <n v="85300000"/>
    <n v="2104300"/>
    <n v="3950382"/>
    <n v="83453918"/>
    <n v="0"/>
    <n v="83453918"/>
    <n v="0"/>
    <n v="83453918"/>
    <n v="83453918"/>
    <n v="83453918"/>
    <n v="83453918"/>
  </r>
  <r>
    <s v="04-03-00-019"/>
    <x v="17"/>
    <s v="A-01-01-01-001-007"/>
    <x v="0"/>
    <s v="01"/>
    <s v="01"/>
    <s v="01"/>
    <s v="001"/>
    <s v="007"/>
    <m/>
    <m/>
    <m/>
    <s v="Nación"/>
    <x v="0"/>
    <s v="CSF"/>
    <x v="5"/>
    <m/>
    <n v="34000000"/>
    <n v="4000000"/>
    <n v="0"/>
    <n v="38000000"/>
    <n v="0"/>
    <n v="33547574"/>
    <n v="4452426"/>
    <n v="33547574"/>
    <n v="33547574"/>
    <n v="33547574"/>
    <n v="33547574"/>
  </r>
  <r>
    <s v="04-03-00-019"/>
    <x v="17"/>
    <s v="A-01-01-01-001-009"/>
    <x v="0"/>
    <s v="01"/>
    <s v="01"/>
    <s v="01"/>
    <s v="001"/>
    <s v="009"/>
    <m/>
    <m/>
    <m/>
    <s v="Nación"/>
    <x v="0"/>
    <s v="CSF"/>
    <x v="6"/>
    <m/>
    <n v="114000000"/>
    <n v="0"/>
    <n v="0"/>
    <n v="114000000"/>
    <n v="0"/>
    <n v="90608509"/>
    <n v="23391491"/>
    <n v="90608509"/>
    <n v="90608509"/>
    <n v="90608509"/>
    <n v="90608509"/>
  </r>
  <r>
    <s v="04-03-00-019"/>
    <x v="17"/>
    <s v="A-01-01-01-001-010"/>
    <x v="0"/>
    <s v="01"/>
    <s v="01"/>
    <s v="01"/>
    <s v="001"/>
    <s v="010"/>
    <m/>
    <m/>
    <m/>
    <s v="Nación"/>
    <x v="0"/>
    <s v="CSF"/>
    <x v="7"/>
    <m/>
    <n v="49000000"/>
    <n v="22500000"/>
    <n v="0"/>
    <n v="71500000"/>
    <n v="0"/>
    <n v="68498420"/>
    <n v="3001580"/>
    <n v="68498420"/>
    <n v="68498420"/>
    <n v="68498420"/>
    <n v="68498420"/>
  </r>
  <r>
    <s v="04-03-00-019"/>
    <x v="17"/>
    <s v="A-01-01-01-001-012"/>
    <x v="0"/>
    <s v="01"/>
    <s v="01"/>
    <s v="01"/>
    <s v="001"/>
    <s v="012"/>
    <m/>
    <m/>
    <m/>
    <s v="Nación"/>
    <x v="0"/>
    <s v="CSF"/>
    <x v="8"/>
    <m/>
    <n v="17000000"/>
    <n v="7000000"/>
    <n v="1836273"/>
    <n v="22163727"/>
    <n v="0"/>
    <n v="22163727"/>
    <n v="0"/>
    <n v="22163727"/>
    <n v="22163727"/>
    <n v="22163727"/>
    <n v="22163727"/>
  </r>
  <r>
    <s v="04-03-00-019"/>
    <x v="17"/>
    <s v="A-01-01-02-001"/>
    <x v="0"/>
    <s v="01"/>
    <s v="01"/>
    <s v="02"/>
    <s v="001"/>
    <m/>
    <m/>
    <m/>
    <m/>
    <s v="Nación"/>
    <x v="0"/>
    <s v="CSF"/>
    <x v="9"/>
    <m/>
    <n v="113000000"/>
    <n v="2000000"/>
    <n v="0"/>
    <n v="115000000"/>
    <n v="0"/>
    <n v="101618400"/>
    <n v="13381600"/>
    <n v="101618400"/>
    <n v="101618400"/>
    <n v="101618400"/>
    <n v="101618400"/>
  </r>
  <r>
    <s v="04-03-00-019"/>
    <x v="17"/>
    <s v="A-01-01-02-002"/>
    <x v="0"/>
    <s v="01"/>
    <s v="01"/>
    <s v="02"/>
    <s v="002"/>
    <m/>
    <m/>
    <m/>
    <m/>
    <s v="Nación"/>
    <x v="0"/>
    <s v="CSF"/>
    <x v="10"/>
    <m/>
    <n v="81000000"/>
    <n v="0"/>
    <n v="0"/>
    <n v="81000000"/>
    <n v="0"/>
    <n v="71979900"/>
    <n v="9020100"/>
    <n v="71979900"/>
    <n v="71979900"/>
    <n v="71979900"/>
    <n v="71979900"/>
  </r>
  <r>
    <s v="04-03-00-019"/>
    <x v="17"/>
    <s v="A-01-01-02-004"/>
    <x v="0"/>
    <s v="01"/>
    <s v="01"/>
    <s v="02"/>
    <s v="004"/>
    <m/>
    <m/>
    <m/>
    <m/>
    <s v="Nación"/>
    <x v="0"/>
    <s v="CSF"/>
    <x v="11"/>
    <m/>
    <n v="48000000"/>
    <n v="2000000"/>
    <n v="0"/>
    <n v="50000000"/>
    <n v="0"/>
    <n v="42844700"/>
    <n v="7155300"/>
    <n v="42844700"/>
    <n v="42844700"/>
    <n v="42844700"/>
    <n v="42844700"/>
  </r>
  <r>
    <s v="04-03-00-019"/>
    <x v="17"/>
    <s v="A-01-01-02-005"/>
    <x v="0"/>
    <s v="01"/>
    <s v="01"/>
    <s v="02"/>
    <s v="005"/>
    <m/>
    <m/>
    <m/>
    <m/>
    <s v="Nación"/>
    <x v="0"/>
    <s v="CSF"/>
    <x v="12"/>
    <m/>
    <n v="16000000"/>
    <n v="0"/>
    <n v="0"/>
    <n v="16000000"/>
    <n v="0"/>
    <n v="13323600"/>
    <n v="2676400"/>
    <n v="13323600"/>
    <n v="13323600"/>
    <n v="13323600"/>
    <n v="13323600"/>
  </r>
  <r>
    <s v="04-03-00-019"/>
    <x v="17"/>
    <s v="A-01-01-02-006"/>
    <x v="0"/>
    <s v="01"/>
    <s v="01"/>
    <s v="02"/>
    <s v="006"/>
    <m/>
    <m/>
    <m/>
    <m/>
    <s v="Nación"/>
    <x v="0"/>
    <s v="CSF"/>
    <x v="13"/>
    <m/>
    <n v="36000000"/>
    <n v="2000000"/>
    <n v="0"/>
    <n v="38000000"/>
    <n v="0"/>
    <n v="32135900"/>
    <n v="5864100"/>
    <n v="32135900"/>
    <n v="32135900"/>
    <n v="32135900"/>
    <n v="32135900"/>
  </r>
  <r>
    <s v="04-03-00-019"/>
    <x v="17"/>
    <s v="A-01-01-02-007"/>
    <x v="0"/>
    <s v="01"/>
    <s v="01"/>
    <s v="02"/>
    <s v="007"/>
    <m/>
    <m/>
    <m/>
    <m/>
    <s v="Nación"/>
    <x v="0"/>
    <s v="CSF"/>
    <x v="14"/>
    <m/>
    <n v="5000000"/>
    <n v="17000000"/>
    <n v="0"/>
    <n v="22000000"/>
    <n v="0"/>
    <n v="21435300"/>
    <n v="564700"/>
    <n v="21435300"/>
    <n v="21435300"/>
    <n v="21435300"/>
    <n v="21435300"/>
  </r>
  <r>
    <s v="04-03-00-019"/>
    <x v="17"/>
    <s v="A-01-01-02-008"/>
    <x v="0"/>
    <s v="01"/>
    <s v="01"/>
    <s v="02"/>
    <s v="008"/>
    <m/>
    <m/>
    <m/>
    <m/>
    <s v="Nación"/>
    <x v="0"/>
    <s v="CSF"/>
    <x v="15"/>
    <m/>
    <n v="5000000"/>
    <n v="0"/>
    <n v="5000000"/>
    <n v="0"/>
    <n v="0"/>
    <n v="0"/>
    <n v="0"/>
    <n v="0"/>
    <n v="0"/>
    <n v="0"/>
    <n v="0"/>
  </r>
  <r>
    <s v="04-03-00-019"/>
    <x v="17"/>
    <s v="A-01-01-02-009"/>
    <x v="0"/>
    <s v="01"/>
    <s v="01"/>
    <s v="02"/>
    <s v="009"/>
    <m/>
    <m/>
    <m/>
    <m/>
    <s v="Nación"/>
    <x v="0"/>
    <s v="CSF"/>
    <x v="16"/>
    <m/>
    <n v="10000000"/>
    <n v="0"/>
    <n v="10000000"/>
    <n v="0"/>
    <n v="0"/>
    <n v="0"/>
    <n v="0"/>
    <n v="0"/>
    <n v="0"/>
    <n v="0"/>
    <n v="0"/>
  </r>
  <r>
    <s v="04-03-00-019"/>
    <x v="17"/>
    <s v="A-01-01-03-001-001"/>
    <x v="0"/>
    <s v="01"/>
    <s v="01"/>
    <s v="03"/>
    <s v="001"/>
    <s v="001"/>
    <m/>
    <m/>
    <m/>
    <s v="Nación"/>
    <x v="0"/>
    <s v="CSF"/>
    <x v="17"/>
    <m/>
    <n v="54000000"/>
    <n v="14000000"/>
    <n v="0"/>
    <n v="68000000"/>
    <n v="0"/>
    <n v="59221366"/>
    <n v="8778634"/>
    <n v="59221366"/>
    <n v="59221366"/>
    <n v="59221366"/>
    <n v="59221366"/>
  </r>
  <r>
    <s v="04-03-00-019"/>
    <x v="17"/>
    <s v="A-01-01-03-001-002"/>
    <x v="0"/>
    <s v="01"/>
    <s v="01"/>
    <s v="03"/>
    <s v="001"/>
    <s v="002"/>
    <m/>
    <m/>
    <m/>
    <s v="Nación"/>
    <x v="0"/>
    <s v="CSF"/>
    <x v="18"/>
    <m/>
    <n v="0"/>
    <n v="16816941"/>
    <n v="302941"/>
    <n v="16514000"/>
    <n v="0"/>
    <n v="15724995"/>
    <n v="789005"/>
    <n v="15724995"/>
    <n v="15724995"/>
    <n v="15724995"/>
    <n v="15724995"/>
  </r>
  <r>
    <s v="04-03-00-019"/>
    <x v="17"/>
    <s v="A-01-01-03-001-003"/>
    <x v="0"/>
    <s v="01"/>
    <s v="01"/>
    <s v="03"/>
    <s v="001"/>
    <s v="003"/>
    <m/>
    <m/>
    <m/>
    <s v="Nación"/>
    <x v="0"/>
    <s v="CSF"/>
    <x v="19"/>
    <m/>
    <n v="5000000"/>
    <n v="2000000"/>
    <n v="0"/>
    <n v="7000000"/>
    <n v="0"/>
    <n v="5611836"/>
    <n v="1388164"/>
    <n v="5611836"/>
    <n v="5611836"/>
    <n v="5611836"/>
    <n v="5611836"/>
  </r>
  <r>
    <s v="04-03-00-019"/>
    <x v="17"/>
    <s v="A-01-01-03-002"/>
    <x v="0"/>
    <s v="01"/>
    <s v="01"/>
    <s v="03"/>
    <s v="002"/>
    <m/>
    <m/>
    <m/>
    <m/>
    <s v="Nación"/>
    <x v="0"/>
    <s v="CSF"/>
    <x v="20"/>
    <m/>
    <n v="29000000"/>
    <n v="0"/>
    <n v="0"/>
    <n v="29000000"/>
    <n v="0"/>
    <n v="27150440"/>
    <n v="1849560"/>
    <n v="27150440"/>
    <n v="27150440"/>
    <n v="27150440"/>
    <n v="27150440"/>
  </r>
  <r>
    <s v="04-03-00-019"/>
    <x v="17"/>
    <s v="A-02-02-02-006-004"/>
    <x v="0"/>
    <s v="02"/>
    <s v="02"/>
    <s v="02"/>
    <s v="006"/>
    <s v="004"/>
    <m/>
    <m/>
    <m/>
    <s v="Propios"/>
    <x v="1"/>
    <s v="CSF"/>
    <x v="21"/>
    <m/>
    <n v="0"/>
    <n v="20760000"/>
    <n v="458000"/>
    <n v="20302000"/>
    <n v="0"/>
    <n v="20302000"/>
    <n v="0"/>
    <n v="20302000"/>
    <n v="20302000"/>
    <n v="20302000"/>
    <n v="20302000"/>
  </r>
  <r>
    <s v="04-03-00-019"/>
    <x v="17"/>
    <s v="A-02-02-02-006-009"/>
    <x v="0"/>
    <s v="02"/>
    <s v="02"/>
    <s v="02"/>
    <s v="006"/>
    <s v="009"/>
    <m/>
    <m/>
    <m/>
    <s v="Nación"/>
    <x v="0"/>
    <s v="CSF"/>
    <x v="22"/>
    <m/>
    <n v="41200000"/>
    <n v="0"/>
    <n v="0"/>
    <n v="41200000"/>
    <n v="0"/>
    <n v="41200000"/>
    <n v="0"/>
    <n v="39348499"/>
    <n v="39348499"/>
    <n v="39348499"/>
    <n v="39348499"/>
  </r>
  <r>
    <s v="04-03-00-019"/>
    <x v="17"/>
    <s v="A-02-02-02-007-002"/>
    <x v="0"/>
    <s v="02"/>
    <s v="02"/>
    <s v="02"/>
    <s v="007"/>
    <s v="002"/>
    <m/>
    <m/>
    <m/>
    <s v="Nación"/>
    <x v="0"/>
    <s v="CSF"/>
    <x v="30"/>
    <m/>
    <n v="17000000"/>
    <n v="6017912"/>
    <n v="0"/>
    <n v="23017912"/>
    <n v="0"/>
    <n v="23017912"/>
    <n v="0"/>
    <n v="21524510"/>
    <n v="21524510"/>
    <n v="21524510"/>
    <n v="21524510"/>
  </r>
  <r>
    <s v="04-03-00-019"/>
    <x v="17"/>
    <s v="A-02-02-02-008-004"/>
    <x v="0"/>
    <s v="02"/>
    <s v="02"/>
    <s v="02"/>
    <s v="008"/>
    <s v="004"/>
    <m/>
    <m/>
    <m/>
    <s v="Nación"/>
    <x v="0"/>
    <s v="CSF"/>
    <x v="23"/>
    <m/>
    <n v="3000000"/>
    <n v="5000000"/>
    <n v="0"/>
    <n v="8000000"/>
    <n v="0"/>
    <n v="8000000"/>
    <n v="0"/>
    <n v="5519543"/>
    <n v="5519543"/>
    <n v="5519543"/>
    <n v="5519543"/>
  </r>
  <r>
    <s v="04-03-00-019"/>
    <x v="17"/>
    <s v="A-02-02-02-009-004"/>
    <x v="0"/>
    <s v="02"/>
    <s v="02"/>
    <s v="02"/>
    <s v="009"/>
    <s v="004"/>
    <m/>
    <m/>
    <m/>
    <s v="Nación"/>
    <x v="0"/>
    <s v="CSF"/>
    <x v="24"/>
    <m/>
    <n v="1800000"/>
    <n v="1200000"/>
    <n v="0"/>
    <n v="3000000"/>
    <n v="0"/>
    <n v="3000000"/>
    <n v="0"/>
    <n v="2451484"/>
    <n v="2451484"/>
    <n v="2451484"/>
    <n v="2451484"/>
  </r>
  <r>
    <s v="04-03-00-019"/>
    <x v="17"/>
    <s v="A-02-02-02-010"/>
    <x v="0"/>
    <s v="02"/>
    <s v="02"/>
    <s v="02"/>
    <s v="010"/>
    <m/>
    <m/>
    <m/>
    <m/>
    <s v="Nación"/>
    <x v="0"/>
    <s v="CSF"/>
    <x v="25"/>
    <m/>
    <n v="0"/>
    <n v="135773"/>
    <n v="0"/>
    <n v="135773"/>
    <n v="0"/>
    <n v="135773"/>
    <n v="0"/>
    <n v="135773"/>
    <n v="135773"/>
    <n v="135773"/>
    <n v="135773"/>
  </r>
  <r>
    <s v="04-03-00-019"/>
    <x v="17"/>
    <s v="A-02-02-02-010"/>
    <x v="0"/>
    <s v="02"/>
    <s v="02"/>
    <s v="02"/>
    <s v="010"/>
    <m/>
    <m/>
    <m/>
    <m/>
    <s v="Propios"/>
    <x v="1"/>
    <s v="CSF"/>
    <x v="25"/>
    <m/>
    <n v="0"/>
    <n v="1854773"/>
    <n v="328446"/>
    <n v="1526327"/>
    <n v="0"/>
    <n v="1526327"/>
    <n v="0"/>
    <n v="1419938"/>
    <n v="1419938"/>
    <n v="1419938"/>
    <n v="1419938"/>
  </r>
  <r>
    <s v="04-03-00-019"/>
    <x v="17"/>
    <s v="A-03-04-02-012-001"/>
    <x v="0"/>
    <s v="03"/>
    <s v="04"/>
    <s v="02"/>
    <s v="012"/>
    <s v="001"/>
    <m/>
    <m/>
    <m/>
    <s v="Nación"/>
    <x v="0"/>
    <s v="CSF"/>
    <x v="26"/>
    <m/>
    <n v="0"/>
    <n v="9158000"/>
    <n v="0"/>
    <n v="9158000"/>
    <n v="0"/>
    <n v="8128059"/>
    <n v="1029941"/>
    <n v="8046423"/>
    <n v="6986298"/>
    <n v="6986298"/>
    <n v="6986298"/>
  </r>
  <r>
    <s v="04-03-00-019"/>
    <x v="17"/>
    <s v="A-03-04-02-012-002"/>
    <x v="0"/>
    <s v="03"/>
    <s v="04"/>
    <s v="02"/>
    <s v="012"/>
    <s v="002"/>
    <m/>
    <m/>
    <m/>
    <s v="Nación"/>
    <x v="0"/>
    <s v="CSF"/>
    <x v="31"/>
    <m/>
    <n v="0"/>
    <n v="16835473"/>
    <n v="0"/>
    <n v="16835473"/>
    <n v="0"/>
    <n v="11507128"/>
    <n v="5328345"/>
    <n v="11507128"/>
    <n v="11507128"/>
    <n v="11507128"/>
    <n v="11507128"/>
  </r>
  <r>
    <s v="04-03-00-019"/>
    <x v="17"/>
    <s v="A-08-01-02-001"/>
    <x v="0"/>
    <s v="08"/>
    <s v="01"/>
    <s v="02"/>
    <s v="001"/>
    <m/>
    <m/>
    <m/>
    <m/>
    <s v="Nación"/>
    <x v="0"/>
    <s v="CSF"/>
    <x v="27"/>
    <m/>
    <n v="0"/>
    <n v="18286000"/>
    <n v="0"/>
    <n v="18286000"/>
    <n v="0"/>
    <n v="18286000"/>
    <n v="0"/>
    <n v="18286000"/>
    <n v="18286000"/>
    <n v="18286000"/>
    <n v="18286000"/>
  </r>
  <r>
    <s v="04-03-00-019"/>
    <x v="17"/>
    <s v="A-08-01-02-003"/>
    <x v="0"/>
    <s v="08"/>
    <s v="01"/>
    <s v="02"/>
    <s v="003"/>
    <m/>
    <m/>
    <m/>
    <m/>
    <s v="Propios"/>
    <x v="1"/>
    <s v="CSF"/>
    <x v="28"/>
    <m/>
    <n v="0"/>
    <n v="2542000"/>
    <n v="0"/>
    <n v="2542000"/>
    <n v="0"/>
    <n v="2542000"/>
    <n v="0"/>
    <n v="2542000"/>
    <n v="2542000"/>
    <n v="2542000"/>
    <n v="2542000"/>
  </r>
  <r>
    <s v="04-03-00-020"/>
    <x v="18"/>
    <s v="A-01-01-01-001-001"/>
    <x v="0"/>
    <s v="01"/>
    <s v="01"/>
    <s v="01"/>
    <s v="001"/>
    <s v="001"/>
    <m/>
    <m/>
    <m/>
    <s v="Nación"/>
    <x v="0"/>
    <s v="CSF"/>
    <x v="0"/>
    <m/>
    <n v="428000000"/>
    <n v="43000000"/>
    <n v="0"/>
    <n v="471000000"/>
    <n v="0"/>
    <n v="429930372"/>
    <n v="41069628"/>
    <n v="429862073"/>
    <n v="429854329"/>
    <n v="429854329"/>
    <n v="429854329"/>
  </r>
  <r>
    <s v="04-03-00-020"/>
    <x v="18"/>
    <s v="A-01-01-01-001-004"/>
    <x v="0"/>
    <s v="01"/>
    <s v="01"/>
    <s v="01"/>
    <s v="001"/>
    <s v="004"/>
    <m/>
    <m/>
    <m/>
    <s v="Nación"/>
    <x v="0"/>
    <s v="CSF"/>
    <x v="2"/>
    <m/>
    <n v="7920000"/>
    <n v="0"/>
    <n v="0"/>
    <n v="7920000"/>
    <n v="0"/>
    <n v="7837339"/>
    <n v="82661"/>
    <n v="7837339"/>
    <n v="7837339"/>
    <n v="7837339"/>
    <n v="7837339"/>
  </r>
  <r>
    <s v="04-03-00-020"/>
    <x v="18"/>
    <s v="A-01-01-01-001-005"/>
    <x v="0"/>
    <s v="01"/>
    <s v="01"/>
    <s v="01"/>
    <s v="001"/>
    <s v="005"/>
    <m/>
    <m/>
    <m/>
    <s v="Nación"/>
    <x v="0"/>
    <s v="CSF"/>
    <x v="3"/>
    <m/>
    <n v="5870000"/>
    <n v="3000000"/>
    <n v="5870000"/>
    <n v="3000000"/>
    <n v="0"/>
    <n v="1490356"/>
    <n v="1509644"/>
    <n v="1490356"/>
    <n v="1490356"/>
    <n v="1490356"/>
    <n v="1490356"/>
  </r>
  <r>
    <s v="04-03-00-020"/>
    <x v="18"/>
    <s v="A-01-01-01-001-006"/>
    <x v="0"/>
    <s v="01"/>
    <s v="01"/>
    <s v="01"/>
    <s v="001"/>
    <s v="006"/>
    <m/>
    <m/>
    <m/>
    <s v="Nación"/>
    <x v="0"/>
    <s v="CSF"/>
    <x v="4"/>
    <m/>
    <n v="40000000"/>
    <n v="11141000"/>
    <n v="3945404"/>
    <n v="47195596"/>
    <n v="0"/>
    <n v="47195572"/>
    <n v="24"/>
    <n v="47195572"/>
    <n v="47195572"/>
    <n v="47195572"/>
    <n v="47195572"/>
  </r>
  <r>
    <s v="04-03-00-020"/>
    <x v="18"/>
    <s v="A-01-01-01-001-007"/>
    <x v="0"/>
    <s v="01"/>
    <s v="01"/>
    <s v="01"/>
    <s v="001"/>
    <s v="007"/>
    <m/>
    <m/>
    <m/>
    <s v="Nación"/>
    <x v="0"/>
    <s v="CSF"/>
    <x v="5"/>
    <m/>
    <n v="15000000"/>
    <n v="2200000"/>
    <n v="0"/>
    <n v="17200000"/>
    <n v="0"/>
    <n v="16554885"/>
    <n v="645115"/>
    <n v="16554885"/>
    <n v="16554885"/>
    <n v="16554885"/>
    <n v="16554885"/>
  </r>
  <r>
    <s v="04-03-00-020"/>
    <x v="18"/>
    <s v="A-01-01-01-001-009"/>
    <x v="0"/>
    <s v="01"/>
    <s v="01"/>
    <s v="01"/>
    <s v="001"/>
    <s v="009"/>
    <m/>
    <m/>
    <m/>
    <s v="Nación"/>
    <x v="0"/>
    <s v="CSF"/>
    <x v="6"/>
    <m/>
    <n v="52000000"/>
    <n v="6200000"/>
    <n v="0"/>
    <n v="58200000"/>
    <n v="0"/>
    <n v="58094177"/>
    <n v="105823"/>
    <n v="58094177"/>
    <n v="58094177"/>
    <n v="58094177"/>
    <n v="58094177"/>
  </r>
  <r>
    <s v="04-03-00-020"/>
    <x v="18"/>
    <s v="A-01-01-01-001-010"/>
    <x v="0"/>
    <s v="01"/>
    <s v="01"/>
    <s v="01"/>
    <s v="001"/>
    <s v="010"/>
    <m/>
    <m/>
    <m/>
    <s v="Nación"/>
    <x v="0"/>
    <s v="CSF"/>
    <x v="7"/>
    <m/>
    <n v="32000000"/>
    <n v="0"/>
    <n v="0"/>
    <n v="32000000"/>
    <n v="0"/>
    <n v="16061434"/>
    <n v="15938566"/>
    <n v="16061434"/>
    <n v="16061434"/>
    <n v="16061434"/>
    <n v="16061434"/>
  </r>
  <r>
    <s v="04-03-00-020"/>
    <x v="18"/>
    <s v="A-01-01-01-001-012"/>
    <x v="0"/>
    <s v="01"/>
    <s v="01"/>
    <s v="01"/>
    <s v="001"/>
    <s v="012"/>
    <m/>
    <m/>
    <m/>
    <s v="Nación"/>
    <x v="0"/>
    <s v="CSF"/>
    <x v="8"/>
    <m/>
    <n v="6000000"/>
    <n v="2900000"/>
    <n v="7542"/>
    <n v="8892458"/>
    <n v="0"/>
    <n v="8892458"/>
    <n v="0"/>
    <n v="8892458"/>
    <n v="8892458"/>
    <n v="8892458"/>
    <n v="8892458"/>
  </r>
  <r>
    <s v="04-03-00-020"/>
    <x v="18"/>
    <s v="A-01-01-02-001"/>
    <x v="0"/>
    <s v="01"/>
    <s v="01"/>
    <s v="02"/>
    <s v="001"/>
    <m/>
    <m/>
    <m/>
    <m/>
    <s v="Nación"/>
    <x v="0"/>
    <s v="CSF"/>
    <x v="9"/>
    <m/>
    <n v="50000000"/>
    <n v="11000000"/>
    <n v="0"/>
    <n v="61000000"/>
    <n v="0"/>
    <n v="57620300"/>
    <n v="3379700"/>
    <n v="57620300"/>
    <n v="57620300"/>
    <n v="57620300"/>
    <n v="57620300"/>
  </r>
  <r>
    <s v="04-03-00-020"/>
    <x v="18"/>
    <s v="A-01-01-02-002"/>
    <x v="0"/>
    <s v="01"/>
    <s v="01"/>
    <s v="02"/>
    <s v="002"/>
    <m/>
    <m/>
    <m/>
    <m/>
    <s v="Nación"/>
    <x v="0"/>
    <s v="CSF"/>
    <x v="10"/>
    <m/>
    <n v="40000000"/>
    <n v="4000000"/>
    <n v="0"/>
    <n v="44000000"/>
    <n v="0"/>
    <n v="40811700"/>
    <n v="3188300"/>
    <n v="40811700"/>
    <n v="40811700"/>
    <n v="40811700"/>
    <n v="40811700"/>
  </r>
  <r>
    <s v="04-03-00-020"/>
    <x v="18"/>
    <s v="A-01-01-02-004"/>
    <x v="0"/>
    <s v="01"/>
    <s v="01"/>
    <s v="02"/>
    <s v="004"/>
    <m/>
    <m/>
    <m/>
    <m/>
    <s v="Nación"/>
    <x v="0"/>
    <s v="CSF"/>
    <x v="11"/>
    <m/>
    <n v="23000000"/>
    <n v="2500000"/>
    <n v="0"/>
    <n v="25500000"/>
    <n v="0"/>
    <n v="22558200"/>
    <n v="2941800"/>
    <n v="22558200"/>
    <n v="22558200"/>
    <n v="22558200"/>
    <n v="22558200"/>
  </r>
  <r>
    <s v="04-03-00-020"/>
    <x v="18"/>
    <s v="A-01-01-02-005"/>
    <x v="0"/>
    <s v="01"/>
    <s v="01"/>
    <s v="02"/>
    <s v="005"/>
    <m/>
    <m/>
    <m/>
    <m/>
    <s v="Nación"/>
    <x v="0"/>
    <s v="CSF"/>
    <x v="12"/>
    <m/>
    <n v="5000000"/>
    <n v="1500000"/>
    <n v="0"/>
    <n v="6500000"/>
    <n v="0"/>
    <n v="5377800"/>
    <n v="1122200"/>
    <n v="5377800"/>
    <n v="5377800"/>
    <n v="5377800"/>
    <n v="5377800"/>
  </r>
  <r>
    <s v="04-03-00-020"/>
    <x v="18"/>
    <s v="A-01-01-02-006"/>
    <x v="0"/>
    <s v="01"/>
    <s v="01"/>
    <s v="02"/>
    <s v="006"/>
    <m/>
    <m/>
    <m/>
    <m/>
    <s v="Nación"/>
    <x v="0"/>
    <s v="CSF"/>
    <x v="13"/>
    <m/>
    <n v="17000000"/>
    <n v="2200000"/>
    <n v="0"/>
    <n v="19200000"/>
    <n v="0"/>
    <n v="16922100"/>
    <n v="2277900"/>
    <n v="16922100"/>
    <n v="16922100"/>
    <n v="16922100"/>
    <n v="16922100"/>
  </r>
  <r>
    <s v="04-03-00-020"/>
    <x v="18"/>
    <s v="A-01-01-02-007"/>
    <x v="0"/>
    <s v="01"/>
    <s v="01"/>
    <s v="02"/>
    <s v="007"/>
    <m/>
    <m/>
    <m/>
    <m/>
    <s v="Nación"/>
    <x v="0"/>
    <s v="CSF"/>
    <x v="14"/>
    <m/>
    <n v="3000000"/>
    <n v="11000000"/>
    <n v="0"/>
    <n v="14000000"/>
    <n v="0"/>
    <n v="11285000"/>
    <n v="2715000"/>
    <n v="11285000"/>
    <n v="11285000"/>
    <n v="11285000"/>
    <n v="11285000"/>
  </r>
  <r>
    <s v="04-03-00-020"/>
    <x v="18"/>
    <s v="A-01-01-02-008"/>
    <x v="0"/>
    <s v="01"/>
    <s v="01"/>
    <s v="02"/>
    <s v="008"/>
    <m/>
    <m/>
    <m/>
    <m/>
    <s v="Nación"/>
    <x v="0"/>
    <s v="CSF"/>
    <x v="15"/>
    <m/>
    <n v="3000000"/>
    <n v="0"/>
    <n v="3000000"/>
    <n v="0"/>
    <n v="0"/>
    <n v="0"/>
    <n v="0"/>
    <n v="0"/>
    <n v="0"/>
    <n v="0"/>
    <n v="0"/>
  </r>
  <r>
    <s v="04-03-00-020"/>
    <x v="18"/>
    <s v="A-01-01-02-009"/>
    <x v="0"/>
    <s v="01"/>
    <s v="01"/>
    <s v="02"/>
    <s v="009"/>
    <m/>
    <m/>
    <m/>
    <m/>
    <s v="Nación"/>
    <x v="0"/>
    <s v="CSF"/>
    <x v="16"/>
    <m/>
    <n v="6000000"/>
    <n v="0"/>
    <n v="6000000"/>
    <n v="0"/>
    <n v="0"/>
    <n v="0"/>
    <n v="0"/>
    <n v="0"/>
    <n v="0"/>
    <n v="0"/>
    <n v="0"/>
  </r>
  <r>
    <s v="04-03-00-020"/>
    <x v="18"/>
    <s v="A-01-01-03-001-001"/>
    <x v="0"/>
    <s v="01"/>
    <s v="01"/>
    <s v="03"/>
    <s v="001"/>
    <s v="001"/>
    <m/>
    <m/>
    <m/>
    <s v="Nación"/>
    <x v="0"/>
    <s v="CSF"/>
    <x v="17"/>
    <m/>
    <n v="32000000"/>
    <n v="0"/>
    <n v="0"/>
    <n v="32000000"/>
    <n v="0"/>
    <n v="14016943"/>
    <n v="17983057"/>
    <n v="14016943"/>
    <n v="14016943"/>
    <n v="14016943"/>
    <n v="14016943"/>
  </r>
  <r>
    <s v="04-03-00-020"/>
    <x v="18"/>
    <s v="A-01-01-03-001-002"/>
    <x v="0"/>
    <s v="01"/>
    <s v="01"/>
    <s v="03"/>
    <s v="001"/>
    <s v="002"/>
    <m/>
    <m/>
    <m/>
    <s v="Nación"/>
    <x v="0"/>
    <s v="CSF"/>
    <x v="18"/>
    <m/>
    <n v="0"/>
    <n v="3747316"/>
    <n v="0"/>
    <n v="3747316"/>
    <n v="0"/>
    <n v="3747316"/>
    <n v="0"/>
    <n v="3747316"/>
    <n v="3747316"/>
    <n v="3747316"/>
    <n v="3747316"/>
  </r>
  <r>
    <s v="04-03-00-020"/>
    <x v="18"/>
    <s v="A-01-01-03-001-003"/>
    <x v="0"/>
    <s v="01"/>
    <s v="01"/>
    <s v="03"/>
    <s v="001"/>
    <s v="003"/>
    <m/>
    <m/>
    <m/>
    <s v="Nación"/>
    <x v="0"/>
    <s v="CSF"/>
    <x v="19"/>
    <m/>
    <n v="3000000"/>
    <n v="0"/>
    <n v="0"/>
    <n v="3000000"/>
    <n v="0"/>
    <n v="1379960"/>
    <n v="1620040"/>
    <n v="1379960"/>
    <n v="1379960"/>
    <n v="1379960"/>
    <n v="1379960"/>
  </r>
  <r>
    <s v="04-03-00-020"/>
    <x v="18"/>
    <s v="A-01-01-03-002"/>
    <x v="0"/>
    <s v="01"/>
    <s v="01"/>
    <s v="03"/>
    <s v="002"/>
    <m/>
    <m/>
    <m/>
    <m/>
    <s v="Nación"/>
    <x v="0"/>
    <s v="CSF"/>
    <x v="20"/>
    <m/>
    <n v="29000000"/>
    <n v="0"/>
    <n v="0"/>
    <n v="29000000"/>
    <n v="0"/>
    <n v="27150441"/>
    <n v="1849559"/>
    <n v="27150441"/>
    <n v="27150441"/>
    <n v="27150441"/>
    <n v="27150441"/>
  </r>
  <r>
    <s v="04-03-00-020"/>
    <x v="18"/>
    <s v="A-02-02-02-006-004"/>
    <x v="0"/>
    <s v="02"/>
    <s v="02"/>
    <s v="02"/>
    <s v="006"/>
    <s v="004"/>
    <m/>
    <m/>
    <m/>
    <s v="Propios"/>
    <x v="1"/>
    <s v="CSF"/>
    <x v="21"/>
    <m/>
    <n v="0"/>
    <n v="130000"/>
    <n v="0"/>
    <n v="130000"/>
    <n v="0"/>
    <n v="130000"/>
    <n v="0"/>
    <n v="130000"/>
    <n v="130000"/>
    <n v="130000"/>
    <n v="130000"/>
  </r>
  <r>
    <s v="04-03-00-020"/>
    <x v="18"/>
    <s v="A-02-02-02-006-009"/>
    <x v="0"/>
    <s v="02"/>
    <s v="02"/>
    <s v="02"/>
    <s v="006"/>
    <s v="009"/>
    <m/>
    <m/>
    <m/>
    <s v="Nación"/>
    <x v="0"/>
    <s v="CSF"/>
    <x v="22"/>
    <m/>
    <n v="20180000"/>
    <n v="8000000"/>
    <n v="0"/>
    <n v="28180000"/>
    <n v="0"/>
    <n v="28180000"/>
    <n v="0"/>
    <n v="24702620"/>
    <n v="24581010"/>
    <n v="24581010"/>
    <n v="24581010"/>
  </r>
  <r>
    <s v="04-03-00-020"/>
    <x v="18"/>
    <s v="A-02-02-02-007-002"/>
    <x v="0"/>
    <s v="02"/>
    <s v="02"/>
    <s v="02"/>
    <s v="007"/>
    <s v="002"/>
    <m/>
    <m/>
    <m/>
    <s v="Nación"/>
    <x v="0"/>
    <s v="CSF"/>
    <x v="30"/>
    <m/>
    <n v="24000000"/>
    <n v="3600000"/>
    <n v="0"/>
    <n v="27600000"/>
    <n v="0"/>
    <n v="27600000"/>
    <n v="0"/>
    <n v="24551000"/>
    <n v="24551000"/>
    <n v="24551000"/>
    <n v="24551000"/>
  </r>
  <r>
    <s v="04-03-00-020"/>
    <x v="18"/>
    <s v="A-02-02-02-007-002"/>
    <x v="0"/>
    <s v="02"/>
    <s v="02"/>
    <s v="02"/>
    <s v="007"/>
    <s v="002"/>
    <m/>
    <m/>
    <m/>
    <s v="Propios"/>
    <x v="1"/>
    <s v="CSF"/>
    <x v="30"/>
    <m/>
    <n v="4000000"/>
    <n v="950000"/>
    <n v="0"/>
    <n v="4950000"/>
    <n v="0"/>
    <n v="4950000"/>
    <n v="0"/>
    <n v="4605000"/>
    <n v="4050000"/>
    <n v="4050000"/>
    <n v="4050000"/>
  </r>
  <r>
    <s v="04-03-00-020"/>
    <x v="18"/>
    <s v="A-02-02-02-008-004"/>
    <x v="0"/>
    <s v="02"/>
    <s v="02"/>
    <s v="02"/>
    <s v="008"/>
    <s v="004"/>
    <m/>
    <m/>
    <m/>
    <s v="Nación"/>
    <x v="0"/>
    <s v="CSF"/>
    <x v="23"/>
    <m/>
    <n v="200000"/>
    <n v="200000"/>
    <n v="0"/>
    <n v="400000"/>
    <n v="0"/>
    <n v="400000"/>
    <n v="0"/>
    <n v="360914"/>
    <n v="360914"/>
    <n v="360914"/>
    <n v="360914"/>
  </r>
  <r>
    <s v="04-03-00-020"/>
    <x v="18"/>
    <s v="A-02-02-02-008-005"/>
    <x v="0"/>
    <s v="02"/>
    <s v="02"/>
    <s v="02"/>
    <s v="008"/>
    <s v="005"/>
    <m/>
    <m/>
    <m/>
    <s v="Nación"/>
    <x v="0"/>
    <s v="CSF"/>
    <x v="38"/>
    <m/>
    <n v="0"/>
    <n v="4007225"/>
    <n v="0"/>
    <n v="4007225"/>
    <n v="0"/>
    <n v="4007225"/>
    <n v="0"/>
    <n v="2797360"/>
    <n v="139868"/>
    <n v="139868"/>
    <n v="139868"/>
  </r>
  <r>
    <s v="04-03-00-020"/>
    <x v="18"/>
    <s v="A-02-02-02-008-007"/>
    <x v="0"/>
    <s v="02"/>
    <s v="02"/>
    <s v="02"/>
    <s v="008"/>
    <s v="007"/>
    <m/>
    <m/>
    <m/>
    <s v="Nación"/>
    <x v="0"/>
    <s v="CSF"/>
    <x v="39"/>
    <m/>
    <n v="0"/>
    <n v="10863693"/>
    <n v="0"/>
    <n v="10863693"/>
    <n v="0"/>
    <n v="10863693"/>
    <n v="0"/>
    <n v="7104300"/>
    <n v="7104300"/>
    <n v="7104300"/>
    <n v="7104300"/>
  </r>
  <r>
    <s v="04-03-00-020"/>
    <x v="18"/>
    <s v="A-02-02-02-009-004"/>
    <x v="0"/>
    <s v="02"/>
    <s v="02"/>
    <s v="02"/>
    <s v="009"/>
    <s v="004"/>
    <m/>
    <m/>
    <m/>
    <s v="Nación"/>
    <x v="0"/>
    <s v="CSF"/>
    <x v="24"/>
    <m/>
    <n v="900000"/>
    <n v="0"/>
    <n v="200000"/>
    <n v="700000"/>
    <n v="0"/>
    <n v="700000"/>
    <n v="0"/>
    <n v="252239.53"/>
    <n v="252239.53"/>
    <n v="252239.53"/>
    <n v="252239.53"/>
  </r>
  <r>
    <s v="04-03-00-020"/>
    <x v="18"/>
    <s v="A-02-02-02-010"/>
    <x v="0"/>
    <s v="02"/>
    <s v="02"/>
    <s v="02"/>
    <s v="010"/>
    <m/>
    <m/>
    <m/>
    <m/>
    <s v="Nación"/>
    <x v="0"/>
    <s v="CSF"/>
    <x v="25"/>
    <m/>
    <n v="0"/>
    <n v="407319"/>
    <n v="0"/>
    <n v="407319"/>
    <n v="0"/>
    <n v="407319"/>
    <n v="0"/>
    <n v="407319"/>
    <n v="407319"/>
    <n v="407319"/>
    <n v="407319"/>
  </r>
  <r>
    <s v="04-03-00-020"/>
    <x v="18"/>
    <s v="A-03-04-02-012-001"/>
    <x v="0"/>
    <s v="03"/>
    <s v="04"/>
    <s v="02"/>
    <s v="012"/>
    <s v="001"/>
    <m/>
    <m/>
    <m/>
    <s v="Nación"/>
    <x v="0"/>
    <s v="CSF"/>
    <x v="26"/>
    <m/>
    <n v="0"/>
    <n v="6160802"/>
    <n v="0"/>
    <n v="6160802"/>
    <n v="0"/>
    <n v="4239485"/>
    <n v="1921317"/>
    <n v="4239485"/>
    <n v="3244197"/>
    <n v="3244197"/>
    <n v="3244197"/>
  </r>
  <r>
    <s v="04-03-00-020"/>
    <x v="18"/>
    <s v="A-08-01-02-001"/>
    <x v="0"/>
    <s v="08"/>
    <s v="01"/>
    <s v="02"/>
    <s v="001"/>
    <m/>
    <m/>
    <m/>
    <m/>
    <s v="Nación"/>
    <x v="0"/>
    <s v="CSF"/>
    <x v="27"/>
    <m/>
    <n v="0"/>
    <n v="6500000"/>
    <n v="384240"/>
    <n v="6115760"/>
    <n v="0"/>
    <n v="6115760"/>
    <n v="0"/>
    <n v="6115760"/>
    <n v="6115760"/>
    <n v="6115760"/>
    <n v="6115760"/>
  </r>
  <r>
    <s v="04-03-00-021"/>
    <x v="19"/>
    <s v="A-01-01-01-001-001"/>
    <x v="0"/>
    <s v="01"/>
    <s v="01"/>
    <s v="01"/>
    <s v="001"/>
    <s v="001"/>
    <m/>
    <m/>
    <m/>
    <s v="Nación"/>
    <x v="0"/>
    <s v="CSF"/>
    <x v="0"/>
    <m/>
    <n v="587000000"/>
    <n v="0"/>
    <n v="0"/>
    <n v="587000000"/>
    <n v="0"/>
    <n v="500435122"/>
    <n v="86564878"/>
    <n v="500435122"/>
    <n v="500176787"/>
    <n v="500176787"/>
    <n v="500176787"/>
  </r>
  <r>
    <s v="04-03-00-021"/>
    <x v="19"/>
    <s v="A-01-01-01-001-003"/>
    <x v="0"/>
    <s v="01"/>
    <s v="01"/>
    <s v="01"/>
    <s v="001"/>
    <s v="003"/>
    <m/>
    <m/>
    <m/>
    <s v="Nación"/>
    <x v="0"/>
    <s v="CSF"/>
    <x v="1"/>
    <m/>
    <n v="0"/>
    <n v="9000000"/>
    <n v="0"/>
    <n v="9000000"/>
    <n v="0"/>
    <n v="8178964"/>
    <n v="821036"/>
    <n v="8178964"/>
    <n v="8178964"/>
    <n v="8178964"/>
    <n v="8178964"/>
  </r>
  <r>
    <s v="04-03-00-021"/>
    <x v="19"/>
    <s v="A-01-01-01-001-004"/>
    <x v="0"/>
    <s v="01"/>
    <s v="01"/>
    <s v="01"/>
    <s v="001"/>
    <s v="004"/>
    <m/>
    <m/>
    <m/>
    <s v="Nación"/>
    <x v="0"/>
    <s v="CSF"/>
    <x v="2"/>
    <m/>
    <n v="14408000"/>
    <n v="0"/>
    <n v="0"/>
    <n v="14408000"/>
    <n v="0"/>
    <n v="11206360"/>
    <n v="3201640"/>
    <n v="11206360"/>
    <n v="11206360"/>
    <n v="11206360"/>
    <n v="11206360"/>
  </r>
  <r>
    <s v="04-03-00-021"/>
    <x v="19"/>
    <s v="A-01-01-01-001-005"/>
    <x v="0"/>
    <s v="01"/>
    <s v="01"/>
    <s v="01"/>
    <s v="001"/>
    <s v="005"/>
    <m/>
    <m/>
    <m/>
    <s v="Nación"/>
    <x v="0"/>
    <s v="CSF"/>
    <x v="3"/>
    <m/>
    <n v="10087000"/>
    <n v="3200000"/>
    <n v="10087000"/>
    <n v="3200000"/>
    <n v="0"/>
    <n v="2554896"/>
    <n v="645104"/>
    <n v="2554896"/>
    <n v="2554896"/>
    <n v="2554896"/>
    <n v="2554896"/>
  </r>
  <r>
    <s v="04-03-00-021"/>
    <x v="19"/>
    <s v="A-01-01-01-001-006"/>
    <x v="0"/>
    <s v="01"/>
    <s v="01"/>
    <s v="01"/>
    <s v="001"/>
    <s v="006"/>
    <m/>
    <m/>
    <m/>
    <s v="Nación"/>
    <x v="0"/>
    <s v="CSF"/>
    <x v="4"/>
    <m/>
    <n v="56000000"/>
    <n v="1630230"/>
    <n v="0"/>
    <n v="57630230"/>
    <n v="0"/>
    <n v="57630230"/>
    <n v="0"/>
    <n v="57630230"/>
    <n v="57630230"/>
    <n v="57630230"/>
    <n v="57630230"/>
  </r>
  <r>
    <s v="04-03-00-021"/>
    <x v="19"/>
    <s v="A-01-01-01-001-007"/>
    <x v="0"/>
    <s v="01"/>
    <s v="01"/>
    <s v="01"/>
    <s v="001"/>
    <s v="007"/>
    <m/>
    <m/>
    <m/>
    <s v="Nación"/>
    <x v="0"/>
    <s v="CSF"/>
    <x v="5"/>
    <m/>
    <n v="22000000"/>
    <n v="4000000"/>
    <n v="0"/>
    <n v="26000000"/>
    <n v="0"/>
    <n v="23172264"/>
    <n v="2827736"/>
    <n v="23172264"/>
    <n v="23172264"/>
    <n v="23172264"/>
    <n v="23172264"/>
  </r>
  <r>
    <s v="04-03-00-021"/>
    <x v="19"/>
    <s v="A-01-01-01-001-009"/>
    <x v="0"/>
    <s v="01"/>
    <s v="01"/>
    <s v="01"/>
    <s v="001"/>
    <s v="009"/>
    <m/>
    <m/>
    <m/>
    <s v="Nación"/>
    <x v="0"/>
    <s v="CSF"/>
    <x v="6"/>
    <m/>
    <n v="73000000"/>
    <n v="0"/>
    <n v="0"/>
    <n v="73000000"/>
    <n v="0"/>
    <n v="63911264"/>
    <n v="9088736"/>
    <n v="63911264"/>
    <n v="63911264"/>
    <n v="63911264"/>
    <n v="63911264"/>
  </r>
  <r>
    <s v="04-03-00-021"/>
    <x v="19"/>
    <s v="A-01-01-01-001-010"/>
    <x v="0"/>
    <s v="01"/>
    <s v="01"/>
    <s v="01"/>
    <s v="001"/>
    <s v="010"/>
    <m/>
    <m/>
    <m/>
    <s v="Nación"/>
    <x v="0"/>
    <s v="CSF"/>
    <x v="7"/>
    <m/>
    <n v="32000000"/>
    <n v="8948093"/>
    <n v="0"/>
    <n v="40948093"/>
    <n v="0"/>
    <n v="38896856"/>
    <n v="2051237"/>
    <n v="38896856"/>
    <n v="38896856"/>
    <n v="38896856"/>
    <n v="38896856"/>
  </r>
  <r>
    <s v="04-03-00-021"/>
    <x v="19"/>
    <s v="A-01-01-01-001-012"/>
    <x v="0"/>
    <s v="01"/>
    <s v="01"/>
    <s v="01"/>
    <s v="001"/>
    <s v="012"/>
    <m/>
    <m/>
    <m/>
    <s v="Nación"/>
    <x v="0"/>
    <s v="CSF"/>
    <x v="8"/>
    <m/>
    <n v="10000000"/>
    <n v="4110670"/>
    <n v="23257"/>
    <n v="14087413"/>
    <n v="0"/>
    <n v="14087413"/>
    <n v="0"/>
    <n v="14087413"/>
    <n v="14087413"/>
    <n v="14087413"/>
    <n v="14087413"/>
  </r>
  <r>
    <s v="04-03-00-021"/>
    <x v="19"/>
    <s v="A-01-01-02-001"/>
    <x v="0"/>
    <s v="01"/>
    <s v="01"/>
    <s v="02"/>
    <s v="001"/>
    <m/>
    <m/>
    <m/>
    <m/>
    <s v="Nación"/>
    <x v="0"/>
    <s v="CSF"/>
    <x v="9"/>
    <m/>
    <n v="70000000"/>
    <n v="3000000"/>
    <n v="0"/>
    <n v="73000000"/>
    <n v="0"/>
    <n v="67179900"/>
    <n v="5820100"/>
    <n v="67179900"/>
    <n v="67179900"/>
    <n v="67179900"/>
    <n v="67179900"/>
  </r>
  <r>
    <s v="04-03-00-021"/>
    <x v="19"/>
    <s v="A-01-01-02-002"/>
    <x v="0"/>
    <s v="01"/>
    <s v="01"/>
    <s v="02"/>
    <s v="002"/>
    <m/>
    <m/>
    <m/>
    <m/>
    <s v="Nación"/>
    <x v="0"/>
    <s v="CSF"/>
    <x v="10"/>
    <m/>
    <n v="55000000"/>
    <n v="0"/>
    <n v="0"/>
    <n v="55000000"/>
    <n v="0"/>
    <n v="47549200"/>
    <n v="7450800"/>
    <n v="47549200"/>
    <n v="47549200"/>
    <n v="47549200"/>
    <n v="47549200"/>
  </r>
  <r>
    <s v="04-03-00-021"/>
    <x v="19"/>
    <s v="A-01-01-02-004"/>
    <x v="0"/>
    <s v="01"/>
    <s v="01"/>
    <s v="02"/>
    <s v="004"/>
    <m/>
    <m/>
    <m/>
    <m/>
    <s v="Nación"/>
    <x v="0"/>
    <s v="CSF"/>
    <x v="11"/>
    <m/>
    <n v="32000000"/>
    <n v="1000000"/>
    <n v="0"/>
    <n v="33000000"/>
    <n v="0"/>
    <n v="28159000"/>
    <n v="4841000"/>
    <n v="28159000"/>
    <n v="28159000"/>
    <n v="28159000"/>
    <n v="28159000"/>
  </r>
  <r>
    <s v="04-03-00-021"/>
    <x v="19"/>
    <s v="A-01-01-02-005"/>
    <x v="0"/>
    <s v="01"/>
    <s v="01"/>
    <s v="02"/>
    <s v="005"/>
    <m/>
    <m/>
    <m/>
    <m/>
    <s v="Nación"/>
    <x v="0"/>
    <s v="CSF"/>
    <x v="12"/>
    <m/>
    <n v="9000000"/>
    <n v="0"/>
    <n v="0"/>
    <n v="9000000"/>
    <n v="0"/>
    <n v="7340400"/>
    <n v="1659600"/>
    <n v="7340400"/>
    <n v="7340400"/>
    <n v="7340400"/>
    <n v="7340400"/>
  </r>
  <r>
    <s v="04-03-00-021"/>
    <x v="19"/>
    <s v="A-01-01-02-006"/>
    <x v="0"/>
    <s v="01"/>
    <s v="01"/>
    <s v="02"/>
    <s v="006"/>
    <m/>
    <m/>
    <m/>
    <m/>
    <s v="Nación"/>
    <x v="0"/>
    <s v="CSF"/>
    <x v="13"/>
    <m/>
    <n v="24000000"/>
    <n v="0"/>
    <n v="0"/>
    <n v="24000000"/>
    <n v="0"/>
    <n v="21124100"/>
    <n v="2875900"/>
    <n v="21124100"/>
    <n v="21124100"/>
    <n v="21124100"/>
    <n v="21124100"/>
  </r>
  <r>
    <s v="04-03-00-021"/>
    <x v="19"/>
    <s v="A-01-01-02-007"/>
    <x v="0"/>
    <s v="01"/>
    <s v="01"/>
    <s v="02"/>
    <s v="007"/>
    <m/>
    <m/>
    <m/>
    <m/>
    <s v="Nación"/>
    <x v="0"/>
    <s v="CSF"/>
    <x v="14"/>
    <m/>
    <n v="4000000"/>
    <n v="12000000"/>
    <n v="0"/>
    <n v="16000000"/>
    <n v="0"/>
    <n v="14086000"/>
    <n v="1914000"/>
    <n v="14086000"/>
    <n v="14086000"/>
    <n v="14086000"/>
    <n v="14086000"/>
  </r>
  <r>
    <s v="04-03-00-021"/>
    <x v="19"/>
    <s v="A-01-01-02-008"/>
    <x v="0"/>
    <s v="01"/>
    <s v="01"/>
    <s v="02"/>
    <s v="008"/>
    <m/>
    <m/>
    <m/>
    <m/>
    <s v="Nación"/>
    <x v="0"/>
    <s v="CSF"/>
    <x v="15"/>
    <m/>
    <n v="4000000"/>
    <n v="0"/>
    <n v="4000000"/>
    <n v="0"/>
    <n v="0"/>
    <n v="0"/>
    <n v="0"/>
    <n v="0"/>
    <n v="0"/>
    <n v="0"/>
    <n v="0"/>
  </r>
  <r>
    <s v="04-03-00-021"/>
    <x v="19"/>
    <s v="A-01-01-02-009"/>
    <x v="0"/>
    <s v="01"/>
    <s v="01"/>
    <s v="02"/>
    <s v="009"/>
    <m/>
    <m/>
    <m/>
    <m/>
    <s v="Nación"/>
    <x v="0"/>
    <s v="CSF"/>
    <x v="16"/>
    <m/>
    <n v="8000000"/>
    <n v="0"/>
    <n v="8000000"/>
    <n v="0"/>
    <n v="0"/>
    <n v="0"/>
    <n v="0"/>
    <n v="0"/>
    <n v="0"/>
    <n v="0"/>
    <n v="0"/>
  </r>
  <r>
    <s v="04-03-00-021"/>
    <x v="19"/>
    <s v="A-01-01-03-001-001"/>
    <x v="0"/>
    <s v="01"/>
    <s v="01"/>
    <s v="03"/>
    <s v="001"/>
    <s v="001"/>
    <m/>
    <m/>
    <m/>
    <s v="Nación"/>
    <x v="0"/>
    <s v="CSF"/>
    <x v="17"/>
    <m/>
    <n v="27000000"/>
    <n v="2500000"/>
    <n v="0"/>
    <n v="29500000"/>
    <n v="0"/>
    <n v="25666951"/>
    <n v="3833049"/>
    <n v="25666951"/>
    <n v="25666951"/>
    <n v="25666951"/>
    <n v="25666951"/>
  </r>
  <r>
    <s v="04-03-00-021"/>
    <x v="19"/>
    <s v="A-01-01-03-001-002"/>
    <x v="0"/>
    <s v="01"/>
    <s v="01"/>
    <s v="03"/>
    <s v="001"/>
    <s v="002"/>
    <m/>
    <m/>
    <m/>
    <s v="Nación"/>
    <x v="0"/>
    <s v="CSF"/>
    <x v="18"/>
    <m/>
    <n v="0"/>
    <n v="18056599"/>
    <n v="0"/>
    <n v="18056599"/>
    <n v="0"/>
    <n v="17976986"/>
    <n v="79613"/>
    <n v="17976986"/>
    <n v="17976986"/>
    <n v="17976986"/>
    <n v="17976986"/>
  </r>
  <r>
    <s v="04-03-00-021"/>
    <x v="19"/>
    <s v="A-01-01-03-001-003"/>
    <x v="0"/>
    <s v="01"/>
    <s v="01"/>
    <s v="03"/>
    <s v="001"/>
    <s v="003"/>
    <m/>
    <m/>
    <m/>
    <s v="Nación"/>
    <x v="0"/>
    <s v="CSF"/>
    <x v="19"/>
    <m/>
    <n v="3000000"/>
    <n v="533620"/>
    <n v="0"/>
    <n v="3533620"/>
    <n v="0"/>
    <n v="3532787"/>
    <n v="833"/>
    <n v="3532787"/>
    <n v="3532787"/>
    <n v="3532787"/>
    <n v="3532787"/>
  </r>
  <r>
    <s v="04-03-00-021"/>
    <x v="19"/>
    <s v="A-01-01-03-002"/>
    <x v="0"/>
    <s v="01"/>
    <s v="01"/>
    <s v="03"/>
    <s v="002"/>
    <m/>
    <m/>
    <m/>
    <m/>
    <s v="Nación"/>
    <x v="0"/>
    <s v="CSF"/>
    <x v="20"/>
    <m/>
    <n v="29000000"/>
    <n v="0"/>
    <n v="0"/>
    <n v="29000000"/>
    <n v="0"/>
    <n v="18971478"/>
    <n v="10028522"/>
    <n v="18971478"/>
    <n v="18971478"/>
    <n v="18971478"/>
    <n v="18971478"/>
  </r>
  <r>
    <s v="04-03-00-021"/>
    <x v="19"/>
    <s v="A-02-02-02-006-004"/>
    <x v="0"/>
    <s v="02"/>
    <s v="02"/>
    <s v="02"/>
    <s v="006"/>
    <s v="004"/>
    <m/>
    <m/>
    <m/>
    <s v="Propios"/>
    <x v="1"/>
    <s v="CSF"/>
    <x v="21"/>
    <m/>
    <n v="0"/>
    <n v="80000"/>
    <n v="80000"/>
    <n v="0"/>
    <n v="0"/>
    <n v="0"/>
    <n v="0"/>
    <n v="0"/>
    <n v="0"/>
    <n v="0"/>
    <n v="0"/>
  </r>
  <r>
    <s v="04-03-00-021"/>
    <x v="19"/>
    <s v="A-02-02-02-006-009"/>
    <x v="0"/>
    <s v="02"/>
    <s v="02"/>
    <s v="02"/>
    <s v="006"/>
    <s v="009"/>
    <m/>
    <m/>
    <m/>
    <s v="Nación"/>
    <x v="0"/>
    <s v="CSF"/>
    <x v="22"/>
    <m/>
    <n v="10300000"/>
    <n v="11360000"/>
    <n v="0"/>
    <n v="21660000"/>
    <n v="0"/>
    <n v="21660000"/>
    <n v="0"/>
    <n v="20319725"/>
    <n v="20319725"/>
    <n v="20319725"/>
    <n v="20319725"/>
  </r>
  <r>
    <s v="04-03-00-021"/>
    <x v="19"/>
    <s v="A-02-02-02-007-002"/>
    <x v="0"/>
    <s v="02"/>
    <s v="02"/>
    <s v="02"/>
    <s v="007"/>
    <s v="002"/>
    <m/>
    <m/>
    <m/>
    <s v="Nación"/>
    <x v="0"/>
    <s v="CSF"/>
    <x v="30"/>
    <m/>
    <n v="2600000"/>
    <n v="333326"/>
    <n v="0"/>
    <n v="2933326"/>
    <n v="0"/>
    <n v="2933326"/>
    <n v="0"/>
    <n v="2933326"/>
    <n v="2160000"/>
    <n v="2160000"/>
    <n v="2160000"/>
  </r>
  <r>
    <s v="04-03-00-021"/>
    <x v="19"/>
    <s v="A-02-02-02-008-004"/>
    <x v="0"/>
    <s v="02"/>
    <s v="02"/>
    <s v="02"/>
    <s v="008"/>
    <s v="004"/>
    <m/>
    <m/>
    <m/>
    <s v="Nación"/>
    <x v="0"/>
    <s v="CSF"/>
    <x v="23"/>
    <m/>
    <n v="10000000"/>
    <n v="0"/>
    <n v="9796000"/>
    <n v="204000"/>
    <n v="0"/>
    <n v="101501"/>
    <n v="102499"/>
    <n v="101501"/>
    <n v="101501"/>
    <n v="101501"/>
    <n v="101501"/>
  </r>
  <r>
    <s v="04-03-00-021"/>
    <x v="19"/>
    <s v="A-02-02-02-009-004"/>
    <x v="0"/>
    <s v="02"/>
    <s v="02"/>
    <s v="02"/>
    <s v="009"/>
    <s v="004"/>
    <m/>
    <m/>
    <m/>
    <s v="Nación"/>
    <x v="0"/>
    <s v="CSF"/>
    <x v="24"/>
    <m/>
    <n v="500000"/>
    <n v="536000"/>
    <n v="0"/>
    <n v="1036000"/>
    <n v="0"/>
    <n v="1036000"/>
    <n v="0"/>
    <n v="972207"/>
    <n v="972207"/>
    <n v="972207"/>
    <n v="972207"/>
  </r>
  <r>
    <s v="04-03-00-021"/>
    <x v="19"/>
    <s v="A-02-02-02-010"/>
    <x v="0"/>
    <s v="02"/>
    <s v="02"/>
    <s v="02"/>
    <s v="010"/>
    <m/>
    <m/>
    <m/>
    <m/>
    <s v="Nación"/>
    <x v="0"/>
    <s v="CSF"/>
    <x v="25"/>
    <m/>
    <n v="0"/>
    <n v="407319"/>
    <n v="0"/>
    <n v="407319"/>
    <n v="0"/>
    <n v="407319"/>
    <n v="0"/>
    <n v="407319"/>
    <n v="407319"/>
    <n v="407319"/>
    <n v="407319"/>
  </r>
  <r>
    <s v="04-03-00-021"/>
    <x v="19"/>
    <s v="A-02-02-02-010"/>
    <x v="0"/>
    <s v="02"/>
    <s v="02"/>
    <s v="02"/>
    <s v="010"/>
    <m/>
    <m/>
    <m/>
    <m/>
    <s v="Propios"/>
    <x v="1"/>
    <s v="CSF"/>
    <x v="25"/>
    <m/>
    <n v="0"/>
    <n v="256065"/>
    <n v="0"/>
    <n v="256065"/>
    <n v="0"/>
    <n v="256065"/>
    <n v="0"/>
    <n v="256065"/>
    <n v="256065"/>
    <n v="256065"/>
    <n v="256065"/>
  </r>
  <r>
    <s v="04-03-00-021"/>
    <x v="19"/>
    <s v="A-03-04-02-012-001"/>
    <x v="0"/>
    <s v="03"/>
    <s v="04"/>
    <s v="02"/>
    <s v="012"/>
    <s v="001"/>
    <m/>
    <m/>
    <m/>
    <s v="Nación"/>
    <x v="0"/>
    <s v="CSF"/>
    <x v="26"/>
    <m/>
    <n v="0"/>
    <n v="5709832"/>
    <n v="0"/>
    <n v="5709832"/>
    <n v="0"/>
    <n v="5709832"/>
    <n v="0"/>
    <n v="5672832"/>
    <n v="4345062"/>
    <n v="4345062"/>
    <n v="4345062"/>
  </r>
  <r>
    <s v="04-03-00-021"/>
    <x v="19"/>
    <s v="A-08-01-02-001"/>
    <x v="0"/>
    <s v="08"/>
    <s v="01"/>
    <s v="02"/>
    <s v="001"/>
    <m/>
    <m/>
    <m/>
    <m/>
    <s v="Nación"/>
    <x v="0"/>
    <s v="CSF"/>
    <x v="27"/>
    <m/>
    <n v="0"/>
    <n v="12184000"/>
    <n v="0"/>
    <n v="12184000"/>
    <n v="0"/>
    <n v="12184000"/>
    <n v="0"/>
    <n v="12184000"/>
    <n v="12184000"/>
    <n v="12184000"/>
    <n v="12184000"/>
  </r>
  <r>
    <s v="04-03-00-021"/>
    <x v="19"/>
    <s v="A-08-01-02-003"/>
    <x v="0"/>
    <s v="08"/>
    <s v="01"/>
    <s v="02"/>
    <s v="003"/>
    <m/>
    <m/>
    <m/>
    <m/>
    <s v="Propios"/>
    <x v="1"/>
    <s v="CSF"/>
    <x v="28"/>
    <m/>
    <n v="0"/>
    <n v="826000"/>
    <n v="70000"/>
    <n v="756000"/>
    <n v="0"/>
    <n v="756000"/>
    <n v="0"/>
    <n v="756000"/>
    <n v="756000"/>
    <n v="756000"/>
    <n v="756000"/>
  </r>
  <r>
    <s v="04-03-00-022"/>
    <x v="20"/>
    <s v="A-01-01-01-001-001"/>
    <x v="0"/>
    <s v="01"/>
    <s v="01"/>
    <s v="01"/>
    <s v="001"/>
    <s v="001"/>
    <m/>
    <m/>
    <m/>
    <s v="Nación"/>
    <x v="0"/>
    <s v="CSF"/>
    <x v="0"/>
    <m/>
    <n v="937000000"/>
    <n v="0"/>
    <n v="0"/>
    <n v="937000000"/>
    <n v="0"/>
    <n v="775638806"/>
    <n v="161361194"/>
    <n v="775638806"/>
    <n v="775638806"/>
    <n v="775638806"/>
    <n v="775638806"/>
  </r>
  <r>
    <s v="04-03-00-022"/>
    <x v="20"/>
    <s v="A-01-01-01-001-004"/>
    <x v="0"/>
    <s v="01"/>
    <s v="01"/>
    <s v="01"/>
    <s v="001"/>
    <s v="004"/>
    <m/>
    <m/>
    <m/>
    <s v="Nación"/>
    <x v="0"/>
    <s v="CSF"/>
    <x v="2"/>
    <m/>
    <n v="24900000"/>
    <n v="0"/>
    <n v="0"/>
    <n v="24900000"/>
    <n v="0"/>
    <n v="18266552"/>
    <n v="6633448"/>
    <n v="18266552"/>
    <n v="18266552"/>
    <n v="18266552"/>
    <n v="18266552"/>
  </r>
  <r>
    <s v="04-03-00-022"/>
    <x v="20"/>
    <s v="A-01-01-01-001-005"/>
    <x v="0"/>
    <s v="01"/>
    <s v="01"/>
    <s v="01"/>
    <s v="001"/>
    <s v="005"/>
    <m/>
    <m/>
    <m/>
    <s v="Nación"/>
    <x v="0"/>
    <s v="CSF"/>
    <x v="3"/>
    <m/>
    <n v="18000000"/>
    <n v="6700000"/>
    <n v="18000000"/>
    <n v="6700000"/>
    <n v="0"/>
    <n v="4176548"/>
    <n v="2523452"/>
    <n v="4176548"/>
    <n v="4176548"/>
    <n v="4176548"/>
    <n v="4176548"/>
  </r>
  <r>
    <s v="04-03-00-022"/>
    <x v="20"/>
    <s v="A-01-01-01-001-006"/>
    <x v="0"/>
    <s v="01"/>
    <s v="01"/>
    <s v="01"/>
    <s v="001"/>
    <s v="006"/>
    <m/>
    <m/>
    <m/>
    <s v="Nación"/>
    <x v="0"/>
    <s v="CSF"/>
    <x v="4"/>
    <m/>
    <n v="94000000"/>
    <n v="5670000"/>
    <n v="7124401"/>
    <n v="92545599"/>
    <n v="0"/>
    <n v="92541193"/>
    <n v="4406"/>
    <n v="92541193"/>
    <n v="92541193"/>
    <n v="92541193"/>
    <n v="92541193"/>
  </r>
  <r>
    <s v="04-03-00-022"/>
    <x v="20"/>
    <s v="A-01-01-01-001-007"/>
    <x v="0"/>
    <s v="01"/>
    <s v="01"/>
    <s v="01"/>
    <s v="001"/>
    <s v="007"/>
    <m/>
    <m/>
    <m/>
    <s v="Nación"/>
    <x v="0"/>
    <s v="CSF"/>
    <x v="5"/>
    <m/>
    <n v="37000000"/>
    <n v="6000000"/>
    <n v="0"/>
    <n v="43000000"/>
    <n v="0"/>
    <n v="34848508"/>
    <n v="8151492"/>
    <n v="34848508"/>
    <n v="34846752"/>
    <n v="34846752"/>
    <n v="34846752"/>
  </r>
  <r>
    <s v="04-03-00-022"/>
    <x v="20"/>
    <s v="A-01-01-01-001-008"/>
    <x v="0"/>
    <s v="01"/>
    <s v="01"/>
    <s v="01"/>
    <s v="001"/>
    <s v="008"/>
    <m/>
    <m/>
    <m/>
    <s v="Nación"/>
    <x v="0"/>
    <s v="CSF"/>
    <x v="35"/>
    <m/>
    <n v="0"/>
    <n v="558368"/>
    <n v="0"/>
    <n v="558368"/>
    <n v="0"/>
    <n v="58353"/>
    <n v="500015"/>
    <n v="58353"/>
    <n v="58353"/>
    <n v="58353"/>
    <n v="58353"/>
  </r>
  <r>
    <s v="04-03-00-022"/>
    <x v="20"/>
    <s v="A-01-01-01-001-009"/>
    <x v="0"/>
    <s v="01"/>
    <s v="01"/>
    <s v="01"/>
    <s v="001"/>
    <s v="009"/>
    <m/>
    <m/>
    <m/>
    <s v="Nación"/>
    <x v="0"/>
    <s v="CSF"/>
    <x v="6"/>
    <m/>
    <n v="120000000"/>
    <n v="0"/>
    <n v="0"/>
    <n v="120000000"/>
    <n v="0"/>
    <n v="94995454"/>
    <n v="25004546"/>
    <n v="94995454"/>
    <n v="94995454"/>
    <n v="94995454"/>
    <n v="94995454"/>
  </r>
  <r>
    <s v="04-03-00-022"/>
    <x v="20"/>
    <s v="A-01-01-01-001-010"/>
    <x v="0"/>
    <s v="01"/>
    <s v="01"/>
    <s v="01"/>
    <s v="001"/>
    <s v="010"/>
    <m/>
    <m/>
    <m/>
    <s v="Nación"/>
    <x v="0"/>
    <s v="CSF"/>
    <x v="7"/>
    <m/>
    <n v="72000000"/>
    <n v="2500000"/>
    <n v="0"/>
    <n v="74500000"/>
    <n v="0"/>
    <n v="58153659"/>
    <n v="16346341"/>
    <n v="58153659"/>
    <n v="58149883"/>
    <n v="58149883"/>
    <n v="58149883"/>
  </r>
  <r>
    <s v="04-03-00-022"/>
    <x v="20"/>
    <s v="A-01-01-01-001-012"/>
    <x v="0"/>
    <s v="01"/>
    <s v="01"/>
    <s v="01"/>
    <s v="001"/>
    <s v="012"/>
    <m/>
    <m/>
    <m/>
    <s v="Nación"/>
    <x v="0"/>
    <s v="CSF"/>
    <x v="8"/>
    <m/>
    <n v="19000000"/>
    <n v="5000000"/>
    <n v="910125"/>
    <n v="23089875"/>
    <n v="0"/>
    <n v="23089875"/>
    <n v="0"/>
    <n v="23089875"/>
    <n v="23089875"/>
    <n v="23089875"/>
    <n v="23089875"/>
  </r>
  <r>
    <s v="04-03-00-022"/>
    <x v="20"/>
    <s v="A-01-01-02-001"/>
    <x v="0"/>
    <s v="01"/>
    <s v="01"/>
    <s v="02"/>
    <s v="001"/>
    <m/>
    <m/>
    <m/>
    <m/>
    <s v="Nación"/>
    <x v="0"/>
    <s v="CSF"/>
    <x v="9"/>
    <m/>
    <n v="127000000"/>
    <n v="2000000"/>
    <n v="0"/>
    <n v="129000000"/>
    <n v="0"/>
    <n v="106372300"/>
    <n v="22627700"/>
    <n v="106372300"/>
    <n v="106372300"/>
    <n v="106372300"/>
    <n v="106372300"/>
  </r>
  <r>
    <s v="04-03-00-022"/>
    <x v="20"/>
    <s v="A-01-01-02-002"/>
    <x v="0"/>
    <s v="01"/>
    <s v="01"/>
    <s v="02"/>
    <s v="002"/>
    <m/>
    <m/>
    <m/>
    <m/>
    <s v="Nación"/>
    <x v="0"/>
    <s v="CSF"/>
    <x v="10"/>
    <m/>
    <n v="88000000"/>
    <n v="0"/>
    <n v="0"/>
    <n v="88000000"/>
    <n v="0"/>
    <n v="75348200"/>
    <n v="12651800"/>
    <n v="75348200"/>
    <n v="75348200"/>
    <n v="75348200"/>
    <n v="75348200"/>
  </r>
  <r>
    <s v="04-03-00-022"/>
    <x v="20"/>
    <s v="A-01-01-02-004"/>
    <x v="0"/>
    <s v="01"/>
    <s v="01"/>
    <s v="02"/>
    <s v="004"/>
    <m/>
    <m/>
    <m/>
    <m/>
    <s v="Nación"/>
    <x v="0"/>
    <s v="CSF"/>
    <x v="11"/>
    <m/>
    <n v="55000000"/>
    <n v="400000"/>
    <n v="0"/>
    <n v="55400000"/>
    <n v="0"/>
    <n v="46138600"/>
    <n v="9261400"/>
    <n v="46138600"/>
    <n v="46138600"/>
    <n v="46138600"/>
    <n v="46138600"/>
  </r>
  <r>
    <s v="04-03-00-022"/>
    <x v="20"/>
    <s v="A-01-01-02-005"/>
    <x v="0"/>
    <s v="01"/>
    <s v="01"/>
    <s v="02"/>
    <s v="005"/>
    <m/>
    <m/>
    <m/>
    <m/>
    <s v="Nación"/>
    <x v="0"/>
    <s v="CSF"/>
    <x v="12"/>
    <m/>
    <n v="16000000"/>
    <n v="0"/>
    <n v="0"/>
    <n v="16000000"/>
    <n v="0"/>
    <n v="12771800"/>
    <n v="3228200"/>
    <n v="12771800"/>
    <n v="12771800"/>
    <n v="12771800"/>
    <n v="12771800"/>
  </r>
  <r>
    <s v="04-03-00-022"/>
    <x v="20"/>
    <s v="A-01-01-02-006"/>
    <x v="0"/>
    <s v="01"/>
    <s v="01"/>
    <s v="02"/>
    <s v="006"/>
    <m/>
    <m/>
    <m/>
    <m/>
    <s v="Nación"/>
    <x v="0"/>
    <s v="CSF"/>
    <x v="13"/>
    <m/>
    <n v="42000000"/>
    <n v="0"/>
    <n v="0"/>
    <n v="42000000"/>
    <n v="0"/>
    <n v="34613400"/>
    <n v="7386600"/>
    <n v="34613400"/>
    <n v="34613400"/>
    <n v="34613400"/>
    <n v="34613400"/>
  </r>
  <r>
    <s v="04-03-00-022"/>
    <x v="20"/>
    <s v="A-01-01-02-007"/>
    <x v="0"/>
    <s v="01"/>
    <s v="01"/>
    <s v="02"/>
    <s v="007"/>
    <m/>
    <m/>
    <m/>
    <m/>
    <s v="Nación"/>
    <x v="0"/>
    <s v="CSF"/>
    <x v="14"/>
    <m/>
    <n v="6000000"/>
    <n v="21800000"/>
    <n v="0"/>
    <n v="27800000"/>
    <n v="0"/>
    <n v="23082800"/>
    <n v="4717200"/>
    <n v="23082800"/>
    <n v="23082800"/>
    <n v="23082800"/>
    <n v="23082800"/>
  </r>
  <r>
    <s v="04-03-00-022"/>
    <x v="20"/>
    <s v="A-01-01-02-008"/>
    <x v="0"/>
    <s v="01"/>
    <s v="01"/>
    <s v="02"/>
    <s v="008"/>
    <m/>
    <m/>
    <m/>
    <m/>
    <s v="Nación"/>
    <x v="0"/>
    <s v="CSF"/>
    <x v="15"/>
    <m/>
    <n v="6000000"/>
    <n v="0"/>
    <n v="6000000"/>
    <n v="0"/>
    <n v="0"/>
    <n v="0"/>
    <n v="0"/>
    <n v="0"/>
    <n v="0"/>
    <n v="0"/>
    <n v="0"/>
  </r>
  <r>
    <s v="04-03-00-022"/>
    <x v="20"/>
    <s v="A-01-01-02-009"/>
    <x v="0"/>
    <s v="01"/>
    <s v="01"/>
    <s v="02"/>
    <s v="009"/>
    <m/>
    <m/>
    <m/>
    <m/>
    <s v="Nación"/>
    <x v="0"/>
    <s v="CSF"/>
    <x v="16"/>
    <m/>
    <n v="12000000"/>
    <n v="0"/>
    <n v="12000000"/>
    <n v="0"/>
    <n v="0"/>
    <n v="0"/>
    <n v="0"/>
    <n v="0"/>
    <n v="0"/>
    <n v="0"/>
    <n v="0"/>
  </r>
  <r>
    <s v="04-03-00-022"/>
    <x v="20"/>
    <s v="A-01-01-03-001-001"/>
    <x v="0"/>
    <s v="01"/>
    <s v="01"/>
    <s v="03"/>
    <s v="001"/>
    <s v="001"/>
    <m/>
    <m/>
    <m/>
    <s v="Nación"/>
    <x v="0"/>
    <s v="CSF"/>
    <x v="17"/>
    <m/>
    <n v="71000000"/>
    <n v="0"/>
    <n v="0"/>
    <n v="71000000"/>
    <n v="0"/>
    <n v="48584717"/>
    <n v="22415283"/>
    <n v="48584717"/>
    <n v="48584717"/>
    <n v="48584717"/>
    <n v="48584717"/>
  </r>
  <r>
    <s v="04-03-00-022"/>
    <x v="20"/>
    <s v="A-01-01-03-001-002"/>
    <x v="0"/>
    <s v="01"/>
    <s v="01"/>
    <s v="03"/>
    <s v="001"/>
    <s v="002"/>
    <m/>
    <m/>
    <m/>
    <s v="Nación"/>
    <x v="0"/>
    <s v="CSF"/>
    <x v="18"/>
    <m/>
    <n v="0"/>
    <n v="14650000"/>
    <n v="0"/>
    <n v="14650000"/>
    <n v="0"/>
    <n v="11505572"/>
    <n v="3144428"/>
    <n v="11505572"/>
    <n v="11505572"/>
    <n v="11505572"/>
    <n v="11505572"/>
  </r>
  <r>
    <s v="04-03-00-022"/>
    <x v="20"/>
    <s v="A-01-01-03-001-003"/>
    <x v="0"/>
    <s v="01"/>
    <s v="01"/>
    <s v="03"/>
    <s v="001"/>
    <s v="003"/>
    <m/>
    <m/>
    <m/>
    <s v="Nación"/>
    <x v="0"/>
    <s v="CSF"/>
    <x v="19"/>
    <m/>
    <n v="6000000"/>
    <n v="0"/>
    <n v="0"/>
    <n v="6000000"/>
    <n v="0"/>
    <n v="4795181"/>
    <n v="1204819"/>
    <n v="4795181"/>
    <n v="4794760"/>
    <n v="4794760"/>
    <n v="4794760"/>
  </r>
  <r>
    <s v="04-03-00-022"/>
    <x v="20"/>
    <s v="A-02-02-02-006-004"/>
    <x v="0"/>
    <s v="02"/>
    <s v="02"/>
    <s v="02"/>
    <s v="006"/>
    <s v="004"/>
    <m/>
    <m/>
    <m/>
    <s v="Propios"/>
    <x v="1"/>
    <s v="CSF"/>
    <x v="21"/>
    <m/>
    <n v="0"/>
    <n v="2229500"/>
    <n v="0"/>
    <n v="2229500"/>
    <n v="0"/>
    <n v="2229500"/>
    <n v="0"/>
    <n v="2229500"/>
    <n v="2229500"/>
    <n v="2229500"/>
    <n v="2229500"/>
  </r>
  <r>
    <s v="04-03-00-022"/>
    <x v="20"/>
    <s v="A-02-02-02-006-009"/>
    <x v="0"/>
    <s v="02"/>
    <s v="02"/>
    <s v="02"/>
    <s v="006"/>
    <s v="009"/>
    <m/>
    <m/>
    <m/>
    <s v="Nación"/>
    <x v="0"/>
    <s v="CSF"/>
    <x v="22"/>
    <m/>
    <n v="30500000"/>
    <n v="21000000"/>
    <n v="0"/>
    <n v="51500000"/>
    <n v="0"/>
    <n v="51500000"/>
    <n v="0"/>
    <n v="47561475"/>
    <n v="47561475"/>
    <n v="47561475"/>
    <n v="47561475"/>
  </r>
  <r>
    <s v="04-03-00-022"/>
    <x v="20"/>
    <s v="A-02-02-02-007-001"/>
    <x v="0"/>
    <s v="02"/>
    <s v="02"/>
    <s v="02"/>
    <s v="007"/>
    <s v="001"/>
    <m/>
    <m/>
    <m/>
    <s v="Nación"/>
    <x v="0"/>
    <s v="CSF"/>
    <x v="36"/>
    <m/>
    <n v="0"/>
    <n v="4145.6499999999996"/>
    <n v="0"/>
    <n v="4145.6499999999996"/>
    <n v="0"/>
    <n v="4145.6499999999996"/>
    <n v="0"/>
    <n v="4145.6499999999996"/>
    <n v="4145.6499999999996"/>
    <n v="4145.6499999999996"/>
    <n v="4145.6499999999996"/>
  </r>
  <r>
    <s v="04-03-00-022"/>
    <x v="20"/>
    <s v="A-02-02-02-007-001"/>
    <x v="0"/>
    <s v="02"/>
    <s v="02"/>
    <s v="02"/>
    <s v="007"/>
    <s v="001"/>
    <m/>
    <m/>
    <m/>
    <s v="Propios"/>
    <x v="1"/>
    <s v="CSF"/>
    <x v="36"/>
    <m/>
    <n v="0"/>
    <n v="15804"/>
    <n v="0"/>
    <n v="15804"/>
    <n v="0"/>
    <n v="15804"/>
    <n v="0"/>
    <n v="15804"/>
    <n v="15804"/>
    <n v="15804"/>
    <n v="15804"/>
  </r>
  <r>
    <s v="04-03-00-022"/>
    <x v="20"/>
    <s v="A-02-02-02-007-002"/>
    <x v="0"/>
    <s v="02"/>
    <s v="02"/>
    <s v="02"/>
    <s v="007"/>
    <s v="002"/>
    <m/>
    <m/>
    <m/>
    <s v="Nación"/>
    <x v="0"/>
    <s v="CSF"/>
    <x v="30"/>
    <m/>
    <n v="0"/>
    <n v="35306665"/>
    <n v="0"/>
    <n v="35306665"/>
    <n v="0"/>
    <n v="35306665"/>
    <n v="0"/>
    <n v="35306665"/>
    <n v="31146674"/>
    <n v="31146674"/>
    <n v="31146674"/>
  </r>
  <r>
    <s v="04-03-00-022"/>
    <x v="20"/>
    <s v="A-02-02-02-008-004"/>
    <x v="0"/>
    <s v="02"/>
    <s v="02"/>
    <s v="02"/>
    <s v="008"/>
    <s v="004"/>
    <m/>
    <m/>
    <m/>
    <s v="Nación"/>
    <x v="0"/>
    <s v="CSF"/>
    <x v="23"/>
    <m/>
    <n v="2000000"/>
    <n v="940000"/>
    <n v="0"/>
    <n v="2940000"/>
    <n v="0"/>
    <n v="2940000"/>
    <n v="0"/>
    <n v="2670229"/>
    <n v="2670229"/>
    <n v="2670229"/>
    <n v="2670229"/>
  </r>
  <r>
    <s v="04-03-00-022"/>
    <x v="20"/>
    <s v="A-02-02-02-009-004"/>
    <x v="0"/>
    <s v="02"/>
    <s v="02"/>
    <s v="02"/>
    <s v="009"/>
    <s v="004"/>
    <m/>
    <m/>
    <m/>
    <s v="Nación"/>
    <x v="0"/>
    <s v="CSF"/>
    <x v="24"/>
    <m/>
    <n v="1200000"/>
    <n v="1600000"/>
    <n v="0"/>
    <n v="2800000"/>
    <n v="0"/>
    <n v="2800000"/>
    <n v="0"/>
    <n v="2686934"/>
    <n v="2686934"/>
    <n v="2686934"/>
    <n v="2686934"/>
  </r>
  <r>
    <s v="04-03-00-022"/>
    <x v="20"/>
    <s v="A-02-02-02-010"/>
    <x v="0"/>
    <s v="02"/>
    <s v="02"/>
    <s v="02"/>
    <s v="010"/>
    <m/>
    <m/>
    <m/>
    <m/>
    <s v="Nación"/>
    <x v="0"/>
    <s v="CSF"/>
    <x v="25"/>
    <m/>
    <n v="0"/>
    <n v="135773"/>
    <n v="0"/>
    <n v="135773"/>
    <n v="0"/>
    <n v="135773"/>
    <n v="0"/>
    <n v="135773"/>
    <n v="135773"/>
    <n v="135773"/>
    <n v="135773"/>
  </r>
  <r>
    <s v="04-03-00-022"/>
    <x v="20"/>
    <s v="A-02-02-02-010"/>
    <x v="0"/>
    <s v="02"/>
    <s v="02"/>
    <s v="02"/>
    <s v="010"/>
    <m/>
    <m/>
    <m/>
    <m/>
    <s v="Propios"/>
    <x v="1"/>
    <s v="CSF"/>
    <x v="25"/>
    <m/>
    <n v="0"/>
    <n v="6840334"/>
    <n v="0"/>
    <n v="6840334"/>
    <n v="0"/>
    <n v="6840334"/>
    <n v="0"/>
    <n v="6840334"/>
    <n v="6840334"/>
    <n v="6840334"/>
    <n v="6840334"/>
  </r>
  <r>
    <s v="04-03-00-022"/>
    <x v="20"/>
    <s v="A-03-04-02-012-001"/>
    <x v="0"/>
    <s v="03"/>
    <s v="04"/>
    <s v="02"/>
    <s v="012"/>
    <s v="001"/>
    <m/>
    <m/>
    <m/>
    <s v="Nación"/>
    <x v="0"/>
    <s v="CSF"/>
    <x v="26"/>
    <m/>
    <n v="0"/>
    <n v="14460000"/>
    <n v="0"/>
    <n v="14460000"/>
    <n v="0"/>
    <n v="11522452"/>
    <n v="2937548"/>
    <n v="11522452"/>
    <n v="11280132"/>
    <n v="11280132"/>
    <n v="11280132"/>
  </r>
  <r>
    <s v="04-03-00-022"/>
    <x v="20"/>
    <s v="A-08-01-02-001"/>
    <x v="0"/>
    <s v="08"/>
    <s v="01"/>
    <s v="02"/>
    <s v="001"/>
    <m/>
    <m/>
    <m/>
    <m/>
    <s v="Nación"/>
    <x v="0"/>
    <s v="CSF"/>
    <x v="27"/>
    <m/>
    <n v="0"/>
    <n v="29635450"/>
    <n v="0"/>
    <n v="29635450"/>
    <n v="0"/>
    <n v="29635450"/>
    <n v="0"/>
    <n v="29635450"/>
    <n v="29635450"/>
    <n v="29635450"/>
    <n v="29635450"/>
  </r>
  <r>
    <s v="04-03-00-022"/>
    <x v="20"/>
    <s v="A-08-01-02-003"/>
    <x v="0"/>
    <s v="08"/>
    <s v="01"/>
    <s v="02"/>
    <s v="003"/>
    <m/>
    <m/>
    <m/>
    <m/>
    <s v="Propios"/>
    <x v="1"/>
    <s v="CSF"/>
    <x v="28"/>
    <m/>
    <n v="0"/>
    <n v="6200000"/>
    <n v="371000"/>
    <n v="5829000"/>
    <n v="0"/>
    <n v="5829000"/>
    <n v="0"/>
    <n v="5829000"/>
    <n v="5829000"/>
    <n v="5829000"/>
    <n v="5829000"/>
  </r>
  <r>
    <s v="04-03-00-024"/>
    <x v="21"/>
    <s v="A-01-01-01-001-001"/>
    <x v="0"/>
    <s v="01"/>
    <s v="01"/>
    <s v="01"/>
    <s v="001"/>
    <s v="001"/>
    <m/>
    <m/>
    <m/>
    <s v="Nación"/>
    <x v="0"/>
    <s v="CSF"/>
    <x v="0"/>
    <m/>
    <n v="0"/>
    <n v="120010000"/>
    <n v="0"/>
    <n v="120010000"/>
    <n v="0"/>
    <n v="104659208"/>
    <n v="15350792"/>
    <n v="104659208"/>
    <n v="104630610"/>
    <n v="104630610"/>
    <n v="104630610"/>
  </r>
  <r>
    <s v="04-03-00-024"/>
    <x v="21"/>
    <s v="A-01-01-01-001-004"/>
    <x v="0"/>
    <s v="01"/>
    <s v="01"/>
    <s v="01"/>
    <s v="001"/>
    <s v="004"/>
    <m/>
    <m/>
    <m/>
    <s v="Nación"/>
    <x v="0"/>
    <s v="CSF"/>
    <x v="2"/>
    <m/>
    <n v="0"/>
    <n v="1200000"/>
    <n v="0"/>
    <n v="1200000"/>
    <n v="0"/>
    <n v="696872"/>
    <n v="503128"/>
    <n v="696872"/>
    <n v="696872"/>
    <n v="696872"/>
    <n v="696872"/>
  </r>
  <r>
    <s v="04-03-00-024"/>
    <x v="21"/>
    <s v="A-01-01-01-001-005"/>
    <x v="0"/>
    <s v="01"/>
    <s v="01"/>
    <s v="01"/>
    <s v="001"/>
    <s v="005"/>
    <m/>
    <m/>
    <m/>
    <s v="Nación"/>
    <x v="0"/>
    <s v="CSF"/>
    <x v="3"/>
    <m/>
    <n v="0"/>
    <n v="2700000"/>
    <n v="2000000"/>
    <n v="700000"/>
    <n v="0"/>
    <n v="415170"/>
    <n v="284830"/>
    <n v="415170"/>
    <n v="415170"/>
    <n v="415170"/>
    <n v="415170"/>
  </r>
  <r>
    <s v="04-03-00-024"/>
    <x v="21"/>
    <s v="A-01-01-01-001-006"/>
    <x v="0"/>
    <s v="01"/>
    <s v="01"/>
    <s v="01"/>
    <s v="001"/>
    <s v="006"/>
    <m/>
    <m/>
    <m/>
    <s v="Nación"/>
    <x v="0"/>
    <s v="CSF"/>
    <x v="4"/>
    <m/>
    <n v="0"/>
    <n v="632640"/>
    <n v="0"/>
    <n v="632640"/>
    <n v="0"/>
    <n v="632640"/>
    <n v="0"/>
    <n v="632640"/>
    <n v="632640"/>
    <n v="632640"/>
    <n v="632640"/>
  </r>
  <r>
    <s v="04-03-00-024"/>
    <x v="21"/>
    <s v="A-01-01-01-001-007"/>
    <x v="0"/>
    <s v="01"/>
    <s v="01"/>
    <s v="01"/>
    <s v="001"/>
    <s v="007"/>
    <m/>
    <m/>
    <m/>
    <s v="Nación"/>
    <x v="0"/>
    <s v="CSF"/>
    <x v="5"/>
    <m/>
    <n v="0"/>
    <n v="13200000"/>
    <n v="0"/>
    <n v="13200000"/>
    <n v="0"/>
    <n v="4666093"/>
    <n v="8533907"/>
    <n v="4666093"/>
    <n v="4666093"/>
    <n v="4666093"/>
    <n v="4666093"/>
  </r>
  <r>
    <s v="04-03-00-024"/>
    <x v="21"/>
    <s v="A-01-01-01-001-009"/>
    <x v="0"/>
    <s v="01"/>
    <s v="01"/>
    <s v="01"/>
    <s v="001"/>
    <s v="009"/>
    <m/>
    <m/>
    <m/>
    <s v="Nación"/>
    <x v="0"/>
    <s v="CSF"/>
    <x v="6"/>
    <m/>
    <n v="0"/>
    <n v="58714000"/>
    <n v="0"/>
    <n v="58714000"/>
    <n v="0"/>
    <n v="25461769"/>
    <n v="33252231"/>
    <n v="25461769"/>
    <n v="25461769"/>
    <n v="25461769"/>
    <n v="25461769"/>
  </r>
  <r>
    <s v="04-03-00-024"/>
    <x v="21"/>
    <s v="A-01-01-01-001-010"/>
    <x v="0"/>
    <s v="01"/>
    <s v="01"/>
    <s v="01"/>
    <s v="001"/>
    <s v="010"/>
    <m/>
    <m/>
    <m/>
    <s v="Nación"/>
    <x v="0"/>
    <s v="CSF"/>
    <x v="7"/>
    <m/>
    <n v="0"/>
    <n v="11000000"/>
    <n v="0"/>
    <n v="11000000"/>
    <n v="0"/>
    <n v="6917810"/>
    <n v="4082190"/>
    <n v="6917810"/>
    <n v="6917810"/>
    <n v="6917810"/>
    <n v="6917810"/>
  </r>
  <r>
    <s v="04-03-00-024"/>
    <x v="21"/>
    <s v="A-01-01-01-001-012"/>
    <x v="0"/>
    <s v="01"/>
    <s v="01"/>
    <s v="01"/>
    <s v="001"/>
    <s v="012"/>
    <m/>
    <m/>
    <m/>
    <s v="Nación"/>
    <x v="0"/>
    <s v="CSF"/>
    <x v="8"/>
    <m/>
    <n v="0"/>
    <n v="2200000"/>
    <n v="1564824"/>
    <n v="635176"/>
    <n v="0"/>
    <n v="635176"/>
    <n v="0"/>
    <n v="635176"/>
    <n v="635176"/>
    <n v="635176"/>
    <n v="635176"/>
  </r>
  <r>
    <s v="04-03-00-024"/>
    <x v="21"/>
    <s v="A-01-01-02-001"/>
    <x v="0"/>
    <s v="01"/>
    <s v="01"/>
    <s v="02"/>
    <s v="001"/>
    <m/>
    <m/>
    <m/>
    <m/>
    <s v="Nación"/>
    <x v="0"/>
    <s v="CSF"/>
    <x v="9"/>
    <m/>
    <n v="0"/>
    <n v="17000000"/>
    <n v="0"/>
    <n v="17000000"/>
    <n v="0"/>
    <n v="16316200"/>
    <n v="683800"/>
    <n v="13932400"/>
    <n v="13932400"/>
    <n v="13932400"/>
    <n v="13932400"/>
  </r>
  <r>
    <s v="04-03-00-024"/>
    <x v="21"/>
    <s v="A-01-01-02-002"/>
    <x v="0"/>
    <s v="01"/>
    <s v="01"/>
    <s v="02"/>
    <s v="002"/>
    <m/>
    <m/>
    <m/>
    <m/>
    <s v="Nación"/>
    <x v="0"/>
    <s v="CSF"/>
    <x v="10"/>
    <m/>
    <n v="0"/>
    <n v="16000000"/>
    <n v="0"/>
    <n v="16000000"/>
    <n v="0"/>
    <n v="11821800"/>
    <n v="4178200"/>
    <n v="10133400"/>
    <n v="10133400"/>
    <n v="10133400"/>
    <n v="10133400"/>
  </r>
  <r>
    <s v="04-03-00-024"/>
    <x v="21"/>
    <s v="A-01-01-02-004"/>
    <x v="0"/>
    <s v="01"/>
    <s v="01"/>
    <s v="02"/>
    <s v="004"/>
    <m/>
    <m/>
    <m/>
    <m/>
    <s v="Nación"/>
    <x v="0"/>
    <s v="CSF"/>
    <x v="11"/>
    <m/>
    <n v="0"/>
    <n v="6650000"/>
    <n v="800000"/>
    <n v="5850000"/>
    <n v="0"/>
    <n v="5670900"/>
    <n v="179100"/>
    <n v="4861900"/>
    <n v="4861900"/>
    <n v="4861900"/>
    <n v="4861900"/>
  </r>
  <r>
    <s v="04-03-00-024"/>
    <x v="21"/>
    <s v="A-01-01-02-005"/>
    <x v="0"/>
    <s v="01"/>
    <s v="01"/>
    <s v="02"/>
    <s v="005"/>
    <m/>
    <m/>
    <m/>
    <m/>
    <s v="Nación"/>
    <x v="0"/>
    <s v="CSF"/>
    <x v="12"/>
    <m/>
    <n v="0"/>
    <n v="5700000"/>
    <n v="0"/>
    <n v="5700000"/>
    <n v="0"/>
    <n v="2029600"/>
    <n v="3670400"/>
    <n v="1728100"/>
    <n v="1728100"/>
    <n v="1728100"/>
    <n v="1728100"/>
  </r>
  <r>
    <s v="04-03-00-024"/>
    <x v="21"/>
    <s v="A-01-01-02-006"/>
    <x v="0"/>
    <s v="01"/>
    <s v="01"/>
    <s v="02"/>
    <s v="006"/>
    <m/>
    <m/>
    <m/>
    <m/>
    <s v="Nación"/>
    <x v="0"/>
    <s v="CSF"/>
    <x v="13"/>
    <m/>
    <n v="0"/>
    <n v="6400000"/>
    <n v="0"/>
    <n v="6400000"/>
    <n v="0"/>
    <n v="4252900"/>
    <n v="2147100"/>
    <n v="3646200"/>
    <n v="3646200"/>
    <n v="3646200"/>
    <n v="3646200"/>
  </r>
  <r>
    <s v="04-03-00-024"/>
    <x v="21"/>
    <s v="A-01-01-02-007"/>
    <x v="0"/>
    <s v="01"/>
    <s v="01"/>
    <s v="02"/>
    <s v="007"/>
    <m/>
    <m/>
    <m/>
    <m/>
    <s v="Nación"/>
    <x v="0"/>
    <s v="CSF"/>
    <x v="14"/>
    <m/>
    <n v="0"/>
    <n v="4700000"/>
    <n v="0"/>
    <n v="4700000"/>
    <n v="0"/>
    <n v="2836300"/>
    <n v="1863700"/>
    <n v="2431700"/>
    <n v="2431700"/>
    <n v="2431700"/>
    <n v="2431700"/>
  </r>
  <r>
    <s v="04-03-00-024"/>
    <x v="21"/>
    <s v="A-01-01-03-001-001"/>
    <x v="0"/>
    <s v="01"/>
    <s v="01"/>
    <s v="03"/>
    <s v="001"/>
    <s v="001"/>
    <m/>
    <m/>
    <m/>
    <s v="Nación"/>
    <x v="0"/>
    <s v="CSF"/>
    <x v="17"/>
    <m/>
    <n v="0"/>
    <n v="23200000"/>
    <n v="0"/>
    <n v="23200000"/>
    <n v="0"/>
    <n v="2150633"/>
    <n v="21049367"/>
    <n v="2150633"/>
    <n v="2150633"/>
    <n v="2150633"/>
    <n v="2150633"/>
  </r>
  <r>
    <s v="04-03-00-024"/>
    <x v="21"/>
    <s v="A-01-01-03-001-002"/>
    <x v="0"/>
    <s v="01"/>
    <s v="01"/>
    <s v="03"/>
    <s v="001"/>
    <s v="002"/>
    <m/>
    <m/>
    <m/>
    <s v="Nación"/>
    <x v="0"/>
    <s v="CSF"/>
    <x v="18"/>
    <m/>
    <n v="0"/>
    <n v="12738000"/>
    <n v="0"/>
    <n v="12738000"/>
    <n v="0"/>
    <n v="4512930"/>
    <n v="8225070"/>
    <n v="4512930"/>
    <n v="4512930"/>
    <n v="4512930"/>
    <n v="4512930"/>
  </r>
  <r>
    <s v="04-03-00-024"/>
    <x v="21"/>
    <s v="A-01-01-03-001-003"/>
    <x v="0"/>
    <s v="01"/>
    <s v="01"/>
    <s v="03"/>
    <s v="001"/>
    <s v="003"/>
    <m/>
    <m/>
    <m/>
    <s v="Nación"/>
    <x v="0"/>
    <s v="CSF"/>
    <x v="19"/>
    <m/>
    <n v="0"/>
    <n v="1300000"/>
    <n v="0"/>
    <n v="1300000"/>
    <n v="0"/>
    <n v="522032"/>
    <n v="777968"/>
    <n v="522032"/>
    <n v="522032"/>
    <n v="522032"/>
    <n v="522032"/>
  </r>
  <r>
    <s v="04-03-00-024"/>
    <x v="21"/>
    <s v="A-01-01-03-002"/>
    <x v="0"/>
    <s v="01"/>
    <s v="01"/>
    <s v="03"/>
    <s v="002"/>
    <m/>
    <m/>
    <m/>
    <m/>
    <s v="Nación"/>
    <x v="0"/>
    <s v="CSF"/>
    <x v="20"/>
    <m/>
    <n v="0"/>
    <n v="10396000"/>
    <n v="0"/>
    <n v="10396000"/>
    <n v="0"/>
    <n v="8366809"/>
    <n v="2029191"/>
    <n v="8366809"/>
    <n v="8366809"/>
    <n v="8366809"/>
    <n v="8366809"/>
  </r>
  <r>
    <s v="04-03-00-024"/>
    <x v="21"/>
    <s v="A-02-02-02-006-009"/>
    <x v="0"/>
    <s v="02"/>
    <s v="02"/>
    <s v="02"/>
    <s v="006"/>
    <s v="009"/>
    <m/>
    <m/>
    <m/>
    <s v="Nación"/>
    <x v="0"/>
    <s v="CSF"/>
    <x v="22"/>
    <m/>
    <n v="0"/>
    <n v="21100000"/>
    <n v="0"/>
    <n v="21100000"/>
    <n v="0"/>
    <n v="21100000"/>
    <n v="0"/>
    <n v="0"/>
    <n v="0"/>
    <n v="0"/>
    <n v="0"/>
  </r>
  <r>
    <s v="04-03-00-024"/>
    <x v="21"/>
    <s v="A-02-02-02-008-003"/>
    <x v="0"/>
    <s v="02"/>
    <s v="02"/>
    <s v="02"/>
    <s v="008"/>
    <s v="003"/>
    <m/>
    <m/>
    <m/>
    <s v="Propios"/>
    <x v="1"/>
    <s v="CSF"/>
    <x v="40"/>
    <m/>
    <n v="0"/>
    <n v="14687505"/>
    <n v="0"/>
    <n v="14687505"/>
    <n v="0"/>
    <n v="14687505"/>
    <n v="0"/>
    <n v="14687505"/>
    <n v="9581849"/>
    <n v="8532742"/>
    <n v="8532742"/>
  </r>
  <r>
    <s v="04-03-00-024"/>
    <x v="21"/>
    <s v="A-02-02-02-008-004"/>
    <x v="0"/>
    <s v="02"/>
    <s v="02"/>
    <s v="02"/>
    <s v="008"/>
    <s v="004"/>
    <m/>
    <m/>
    <m/>
    <s v="Nación"/>
    <x v="0"/>
    <s v="CSF"/>
    <x v="23"/>
    <m/>
    <n v="0"/>
    <n v="1280000"/>
    <n v="0"/>
    <n v="1280000"/>
    <n v="0"/>
    <n v="0"/>
    <n v="1280000"/>
    <n v="0"/>
    <n v="0"/>
    <n v="0"/>
    <n v="0"/>
  </r>
  <r>
    <s v="04-03-00-024"/>
    <x v="21"/>
    <s v="A-02-02-02-008-005"/>
    <x v="0"/>
    <s v="02"/>
    <s v="02"/>
    <s v="02"/>
    <s v="008"/>
    <s v="005"/>
    <m/>
    <m/>
    <m/>
    <s v="Nación"/>
    <x v="0"/>
    <s v="CSF"/>
    <x v="38"/>
    <m/>
    <n v="0"/>
    <n v="24997856"/>
    <n v="0"/>
    <n v="24997856"/>
    <n v="0"/>
    <n v="24997856"/>
    <n v="0"/>
    <n v="0"/>
    <n v="0"/>
    <n v="0"/>
    <n v="0"/>
  </r>
  <r>
    <s v="04-03-00-024"/>
    <x v="21"/>
    <s v="A-02-02-02-009-004"/>
    <x v="0"/>
    <s v="02"/>
    <s v="02"/>
    <s v="02"/>
    <s v="009"/>
    <s v="004"/>
    <m/>
    <m/>
    <m/>
    <s v="Nación"/>
    <x v="0"/>
    <s v="CSF"/>
    <x v="24"/>
    <m/>
    <n v="0"/>
    <n v="3100000"/>
    <n v="0"/>
    <n v="3100000"/>
    <n v="0"/>
    <n v="3100000"/>
    <n v="0"/>
    <n v="0"/>
    <n v="0"/>
    <n v="0"/>
    <n v="0"/>
  </r>
  <r>
    <s v="04-03-00-024"/>
    <x v="21"/>
    <s v="A-02-02-02-010"/>
    <x v="0"/>
    <s v="02"/>
    <s v="02"/>
    <s v="02"/>
    <s v="010"/>
    <m/>
    <m/>
    <m/>
    <m/>
    <s v="Nación"/>
    <x v="0"/>
    <s v="CSF"/>
    <x v="25"/>
    <m/>
    <n v="0"/>
    <n v="271546"/>
    <n v="0"/>
    <n v="271546"/>
    <n v="0"/>
    <n v="271546"/>
    <n v="0"/>
    <n v="271546"/>
    <n v="271546"/>
    <n v="271546"/>
    <n v="271546"/>
  </r>
  <r>
    <s v="04-03-00-024"/>
    <x v="21"/>
    <s v="A-03-04-02-012-001"/>
    <x v="0"/>
    <s v="03"/>
    <s v="04"/>
    <s v="02"/>
    <s v="012"/>
    <s v="001"/>
    <m/>
    <m/>
    <m/>
    <s v="Nación"/>
    <x v="0"/>
    <s v="CSF"/>
    <x v="26"/>
    <m/>
    <n v="0"/>
    <n v="200000"/>
    <n v="0"/>
    <n v="200000"/>
    <n v="0"/>
    <n v="47126"/>
    <n v="152874"/>
    <n v="47126"/>
    <n v="0"/>
    <n v="0"/>
    <n v="0"/>
  </r>
  <r>
    <s v="04-03-00-002"/>
    <x v="0"/>
    <s v="C-0402-1003-7-0-0402011-02"/>
    <x v="1"/>
    <s v="0402"/>
    <s v="1003"/>
    <s v="7"/>
    <s v="0"/>
    <s v="0402011"/>
    <s v="02"/>
    <m/>
    <m/>
    <s v="Nación"/>
    <x v="2"/>
    <s v="CSF"/>
    <x v="41"/>
    <s v=" GENERACIÓN DE ESTUDIOS GEOGRÁFICOS E INVESTIGACIONES PARA LA CARACTERIZACIÓN, ANÁLISIS Y DELIMITACIÓN GEOGRÁFICA DEL TERRITORIO  NACIONAL"/>
    <n v="0"/>
    <n v="671450"/>
    <n v="0"/>
    <n v="671450"/>
    <n v="0"/>
    <n v="489261"/>
    <n v="182189"/>
    <n v="489261"/>
    <n v="489261"/>
    <n v="489261"/>
    <n v="489261"/>
  </r>
  <r>
    <s v="04-03-00-022"/>
    <x v="20"/>
    <s v="C-0402-1003-7-0-0402011-02"/>
    <x v="1"/>
    <s v="0402"/>
    <s v="1003"/>
    <s v="7"/>
    <s v="0"/>
    <s v="0402011"/>
    <s v="02"/>
    <m/>
    <m/>
    <s v="Nación"/>
    <x v="2"/>
    <s v="CSF"/>
    <x v="41"/>
    <s v=" GENERACIÓN DE ESTUDIOS GEOGRÁFICOS E INVESTIGACIONES PARA LA CARACTERIZACIÓN, ANÁLISIS Y DELIMITACIÓN GEOGRÁFICA DEL TERRITORIO  NACIONAL"/>
    <n v="0"/>
    <n v="1042773"/>
    <n v="0"/>
    <n v="1042773"/>
    <n v="0"/>
    <n v="947773"/>
    <n v="95000"/>
    <n v="947773"/>
    <n v="947773"/>
    <n v="947773"/>
    <n v="947773"/>
  </r>
  <r>
    <s v="04-03-00-003"/>
    <x v="1"/>
    <s v="C-0499-1003-6-0-0499011-02"/>
    <x v="1"/>
    <s v="0499"/>
    <s v="1003"/>
    <s v="6"/>
    <s v="0"/>
    <s v="0499011"/>
    <s v="02"/>
    <m/>
    <m/>
    <s v="Nación"/>
    <x v="2"/>
    <s v="CSF"/>
    <x v="42"/>
    <s v=" FORTALECIMIENTO DE LA INFRAESTRUCTURA FÍSICA DEL IGAC A NIVEL  NACIONAL"/>
    <n v="0"/>
    <n v="2000000"/>
    <n v="2000000"/>
    <n v="0"/>
    <n v="0"/>
    <n v="0"/>
    <n v="0"/>
    <n v="0"/>
    <n v="0"/>
    <n v="0"/>
    <n v="0"/>
  </r>
  <r>
    <s v="04-03-00-004"/>
    <x v="2"/>
    <s v="C-0499-1003-6-0-0499011-02"/>
    <x v="1"/>
    <s v="0499"/>
    <s v="1003"/>
    <s v="6"/>
    <s v="0"/>
    <s v="0499011"/>
    <s v="02"/>
    <m/>
    <m/>
    <s v="Nación"/>
    <x v="2"/>
    <s v="CSF"/>
    <x v="42"/>
    <s v=" FORTALECIMIENTO DE LA INFRAESTRUCTURA FÍSICA DEL IGAC A NIVEL  NACIONAL"/>
    <n v="0"/>
    <n v="20000000"/>
    <n v="4500000"/>
    <n v="15500000"/>
    <n v="0"/>
    <n v="15500000"/>
    <n v="0"/>
    <n v="15500000"/>
    <n v="15500000"/>
    <n v="15500000"/>
    <n v="15500000"/>
  </r>
  <r>
    <s v="04-03-00-013"/>
    <x v="11"/>
    <s v="C-0499-1003-6-0-0499011-02"/>
    <x v="1"/>
    <s v="0499"/>
    <s v="1003"/>
    <s v="6"/>
    <s v="0"/>
    <s v="0499011"/>
    <s v="02"/>
    <m/>
    <m/>
    <s v="Nación"/>
    <x v="2"/>
    <s v="CSF"/>
    <x v="42"/>
    <s v=" FORTALECIMIENTO DE LA INFRAESTRUCTURA FÍSICA DEL IGAC A NIVEL  NACIONAL"/>
    <n v="0"/>
    <n v="1849000"/>
    <n v="150751"/>
    <n v="1698249"/>
    <n v="0"/>
    <n v="1698249"/>
    <n v="0"/>
    <n v="1698249"/>
    <n v="1698249"/>
    <n v="1698249"/>
    <n v="1698249"/>
  </r>
  <r>
    <s v="04-03-00-016"/>
    <x v="14"/>
    <s v="C-0499-1003-6-0-0499011-02"/>
    <x v="1"/>
    <s v="0499"/>
    <s v="1003"/>
    <s v="6"/>
    <s v="0"/>
    <s v="0499011"/>
    <s v="02"/>
    <m/>
    <m/>
    <s v="Nación"/>
    <x v="2"/>
    <s v="CSF"/>
    <x v="42"/>
    <s v=" FORTALECIMIENTO DE LA INFRAESTRUCTURA FÍSICA DEL IGAC A NIVEL  NACIONAL"/>
    <n v="0"/>
    <n v="4600000"/>
    <n v="4600000"/>
    <n v="0"/>
    <n v="0"/>
    <n v="0"/>
    <n v="0"/>
    <n v="0"/>
    <n v="0"/>
    <n v="0"/>
    <n v="0"/>
  </r>
  <r>
    <s v="04-03-00-022"/>
    <x v="20"/>
    <s v="C-0499-1003-6-0-0499011-02"/>
    <x v="1"/>
    <s v="0499"/>
    <s v="1003"/>
    <s v="6"/>
    <s v="0"/>
    <s v="0499011"/>
    <s v="02"/>
    <m/>
    <m/>
    <s v="Nación"/>
    <x v="2"/>
    <s v="CSF"/>
    <x v="42"/>
    <s v=" FORTALECIMIENTO DE LA INFRAESTRUCTURA FÍSICA DEL IGAC A NIVEL  NACIONAL"/>
    <n v="0"/>
    <n v="25400000"/>
    <n v="0"/>
    <n v="25400000"/>
    <n v="0"/>
    <n v="25400000"/>
    <n v="0"/>
    <n v="25400000"/>
    <n v="25400000"/>
    <n v="25400000"/>
    <n v="25400000"/>
  </r>
  <r>
    <s v="04-03-00-003"/>
    <x v="1"/>
    <s v="C-0499-1003-6-0-0499014-02"/>
    <x v="1"/>
    <s v="0499"/>
    <s v="1003"/>
    <s v="6"/>
    <s v="0"/>
    <s v="0499014"/>
    <s v="02"/>
    <m/>
    <m/>
    <s v="Nación"/>
    <x v="2"/>
    <s v="CSF"/>
    <x v="43"/>
    <s v=" FORTALECIMIENTO DE LA INFRAESTRUCTURA FÍSICA DEL IGAC A NIVEL  NACIONAL"/>
    <n v="0"/>
    <n v="40000000"/>
    <n v="0"/>
    <n v="40000000"/>
    <n v="0"/>
    <n v="40000000"/>
    <n v="0"/>
    <n v="0"/>
    <n v="0"/>
    <n v="0"/>
    <n v="0"/>
  </r>
  <r>
    <s v="04-03-00-002"/>
    <x v="0"/>
    <s v="C-0499-1003-6-0-0499016-02"/>
    <x v="1"/>
    <s v="0499"/>
    <s v="1003"/>
    <s v="6"/>
    <s v="0"/>
    <s v="0499016"/>
    <s v="02"/>
    <m/>
    <m/>
    <s v="Nación"/>
    <x v="2"/>
    <s v="CSF"/>
    <x v="44"/>
    <s v=" FORTALECIMIENTO DE LA INFRAESTRUCTURA FÍSICA DEL IGAC A NIVEL  NACIONAL"/>
    <n v="0"/>
    <n v="61500000"/>
    <n v="30000000"/>
    <n v="31500000"/>
    <n v="0"/>
    <n v="30000000"/>
    <n v="1500000"/>
    <n v="20763715"/>
    <n v="0"/>
    <n v="0"/>
    <n v="0"/>
  </r>
  <r>
    <s v="04-03-00-003"/>
    <x v="1"/>
    <s v="C-0499-1003-6-0-0499016-02"/>
    <x v="1"/>
    <s v="0499"/>
    <s v="1003"/>
    <s v="6"/>
    <s v="0"/>
    <s v="0499016"/>
    <s v="02"/>
    <m/>
    <m/>
    <s v="Nación"/>
    <x v="2"/>
    <s v="CSF"/>
    <x v="44"/>
    <s v=" FORTALECIMIENTO DE LA INFRAESTRUCTURA FÍSICA DEL IGAC A NIVEL  NACIONAL"/>
    <n v="0"/>
    <n v="20765491"/>
    <n v="9869116"/>
    <n v="10896375"/>
    <n v="0"/>
    <n v="10896375"/>
    <n v="0"/>
    <n v="10896375"/>
    <n v="1008000"/>
    <n v="1008000"/>
    <n v="1008000"/>
  </r>
  <r>
    <s v="04-03-00-004"/>
    <x v="2"/>
    <s v="C-0499-1003-6-0-0499016-02"/>
    <x v="1"/>
    <s v="0499"/>
    <s v="1003"/>
    <s v="6"/>
    <s v="0"/>
    <s v="0499016"/>
    <s v="02"/>
    <m/>
    <m/>
    <s v="Nación"/>
    <x v="2"/>
    <s v="CSF"/>
    <x v="44"/>
    <s v=" FORTALECIMIENTO DE LA INFRAESTRUCTURA FÍSICA DEL IGAC A NIVEL  NACIONAL"/>
    <n v="0"/>
    <n v="30800000"/>
    <n v="2400000"/>
    <n v="28400000"/>
    <n v="0"/>
    <n v="28400000"/>
    <n v="0"/>
    <n v="10190000"/>
    <n v="3190000"/>
    <n v="3190000"/>
    <n v="3190000"/>
  </r>
  <r>
    <s v="04-03-00-004"/>
    <x v="2"/>
    <s v="C-0499-1003-6-0-0499016-02"/>
    <x v="1"/>
    <s v="0499"/>
    <s v="1003"/>
    <s v="6"/>
    <s v="0"/>
    <s v="0499016"/>
    <s v="02"/>
    <m/>
    <m/>
    <s v="Propios"/>
    <x v="1"/>
    <s v="CSF"/>
    <x v="44"/>
    <s v=" FORTALECIMIENTO DE LA INFRAESTRUCTURA FÍSICA DEL IGAC A NIVEL  NACIONAL"/>
    <n v="0"/>
    <n v="1866167"/>
    <n v="1866167"/>
    <n v="0"/>
    <n v="0"/>
    <n v="0"/>
    <n v="0"/>
    <n v="0"/>
    <n v="0"/>
    <n v="0"/>
    <n v="0"/>
  </r>
  <r>
    <s v="04-03-00-006"/>
    <x v="4"/>
    <s v="C-0499-1003-6-0-0499016-02"/>
    <x v="1"/>
    <s v="0499"/>
    <s v="1003"/>
    <s v="6"/>
    <s v="0"/>
    <s v="0499016"/>
    <s v="02"/>
    <m/>
    <m/>
    <s v="Nación"/>
    <x v="2"/>
    <s v="CSF"/>
    <x v="44"/>
    <s v=" FORTALECIMIENTO DE LA INFRAESTRUCTURA FÍSICA DEL IGAC A NIVEL  NACIONAL"/>
    <n v="0"/>
    <n v="7000000"/>
    <n v="1420000"/>
    <n v="5580000"/>
    <n v="0"/>
    <n v="5580000"/>
    <n v="0"/>
    <n v="5580000"/>
    <n v="0"/>
    <n v="0"/>
    <n v="0"/>
  </r>
  <r>
    <s v="04-03-00-007"/>
    <x v="5"/>
    <s v="C-0499-1003-6-0-0499016-02"/>
    <x v="1"/>
    <s v="0499"/>
    <s v="1003"/>
    <s v="6"/>
    <s v="0"/>
    <s v="0499016"/>
    <s v="02"/>
    <m/>
    <m/>
    <s v="Nación"/>
    <x v="2"/>
    <s v="CSF"/>
    <x v="44"/>
    <s v=" FORTALECIMIENTO DE LA INFRAESTRUCTURA FÍSICA DEL IGAC A NIVEL  NACIONAL"/>
    <n v="0"/>
    <n v="21200000"/>
    <n v="600000"/>
    <n v="20600000"/>
    <n v="0"/>
    <n v="20600000"/>
    <n v="0"/>
    <n v="0"/>
    <n v="0"/>
    <n v="0"/>
    <n v="0"/>
  </r>
  <r>
    <s v="04-03-00-008"/>
    <x v="6"/>
    <s v="C-0499-1003-6-0-0499016-02"/>
    <x v="1"/>
    <s v="0499"/>
    <s v="1003"/>
    <s v="6"/>
    <s v="0"/>
    <s v="0499016"/>
    <s v="02"/>
    <m/>
    <m/>
    <s v="Nación"/>
    <x v="2"/>
    <s v="CSF"/>
    <x v="44"/>
    <s v=" FORTALECIMIENTO DE LA INFRAESTRUCTURA FÍSICA DEL IGAC A NIVEL  NACIONAL"/>
    <n v="0"/>
    <n v="7450000"/>
    <n v="0"/>
    <n v="7450000"/>
    <n v="0"/>
    <n v="7450000"/>
    <n v="0"/>
    <n v="0"/>
    <n v="0"/>
    <n v="0"/>
    <n v="0"/>
  </r>
  <r>
    <s v="04-03-00-008"/>
    <x v="6"/>
    <s v="C-0499-1003-6-0-0499016-02"/>
    <x v="1"/>
    <s v="0499"/>
    <s v="1003"/>
    <s v="6"/>
    <s v="0"/>
    <s v="0499016"/>
    <s v="02"/>
    <m/>
    <m/>
    <s v="Propios"/>
    <x v="1"/>
    <s v="CSF"/>
    <x v="44"/>
    <s v=" FORTALECIMIENTO DE LA INFRAESTRUCTURA FÍSICA DEL IGAC A NIVEL  NACIONAL"/>
    <n v="0"/>
    <n v="6600000"/>
    <n v="6600000"/>
    <n v="0"/>
    <n v="0"/>
    <n v="0"/>
    <n v="0"/>
    <n v="0"/>
    <n v="0"/>
    <n v="0"/>
    <n v="0"/>
  </r>
  <r>
    <s v="04-03-00-009"/>
    <x v="7"/>
    <s v="C-0499-1003-6-0-0499016-02"/>
    <x v="1"/>
    <s v="0499"/>
    <s v="1003"/>
    <s v="6"/>
    <s v="0"/>
    <s v="0499016"/>
    <s v="02"/>
    <m/>
    <m/>
    <s v="Nación"/>
    <x v="2"/>
    <s v="CSF"/>
    <x v="44"/>
    <s v=" FORTALECIMIENTO DE LA INFRAESTRUCTURA FÍSICA DEL IGAC A NIVEL  NACIONAL"/>
    <n v="0"/>
    <n v="10073548"/>
    <n v="5171938"/>
    <n v="4901610"/>
    <n v="0"/>
    <n v="4901610"/>
    <n v="0"/>
    <n v="4901610"/>
    <n v="3318910"/>
    <n v="3318910"/>
    <n v="3318910"/>
  </r>
  <r>
    <s v="04-03-00-011"/>
    <x v="9"/>
    <s v="C-0499-1003-6-0-0499016-02"/>
    <x v="1"/>
    <s v="0499"/>
    <s v="1003"/>
    <s v="6"/>
    <s v="0"/>
    <s v="0499016"/>
    <s v="02"/>
    <m/>
    <m/>
    <s v="Nación"/>
    <x v="2"/>
    <s v="CSF"/>
    <x v="44"/>
    <s v=" FORTALECIMIENTO DE LA INFRAESTRUCTURA FÍSICA DEL IGAC A NIVEL  NACIONAL"/>
    <n v="0"/>
    <n v="41701745"/>
    <n v="13166745"/>
    <n v="28535000"/>
    <n v="0"/>
    <n v="28535000"/>
    <n v="0"/>
    <n v="26894000"/>
    <n v="26894000"/>
    <n v="26894000"/>
    <n v="26894000"/>
  </r>
  <r>
    <s v="04-03-00-012"/>
    <x v="10"/>
    <s v="C-0499-1003-6-0-0499016-02"/>
    <x v="1"/>
    <s v="0499"/>
    <s v="1003"/>
    <s v="6"/>
    <s v="0"/>
    <s v="0499016"/>
    <s v="02"/>
    <m/>
    <m/>
    <s v="Nación"/>
    <x v="2"/>
    <s v="CSF"/>
    <x v="44"/>
    <s v=" FORTALECIMIENTO DE LA INFRAESTRUCTURA FÍSICA DEL IGAC A NIVEL  NACIONAL"/>
    <n v="0"/>
    <n v="1000000"/>
    <n v="0"/>
    <n v="1000000"/>
    <n v="0"/>
    <n v="0"/>
    <n v="1000000"/>
    <n v="0"/>
    <n v="0"/>
    <n v="0"/>
    <n v="0"/>
  </r>
  <r>
    <s v="04-03-00-014"/>
    <x v="12"/>
    <s v="C-0499-1003-6-0-0499016-02"/>
    <x v="1"/>
    <s v="0499"/>
    <s v="1003"/>
    <s v="6"/>
    <s v="0"/>
    <s v="0499016"/>
    <s v="02"/>
    <m/>
    <m/>
    <s v="Nación"/>
    <x v="2"/>
    <s v="CSF"/>
    <x v="44"/>
    <s v=" FORTALECIMIENTO DE LA INFRAESTRUCTURA FÍSICA DEL IGAC A NIVEL  NACIONAL"/>
    <n v="0"/>
    <n v="11315000"/>
    <n v="0"/>
    <n v="11315000"/>
    <n v="0"/>
    <n v="11315000"/>
    <n v="0"/>
    <n v="0"/>
    <n v="0"/>
    <n v="0"/>
    <n v="0"/>
  </r>
  <r>
    <s v="04-03-00-015"/>
    <x v="13"/>
    <s v="C-0499-1003-6-0-0499016-02"/>
    <x v="1"/>
    <s v="0499"/>
    <s v="1003"/>
    <s v="6"/>
    <s v="0"/>
    <s v="0499016"/>
    <s v="02"/>
    <m/>
    <m/>
    <s v="Nación"/>
    <x v="2"/>
    <s v="CSF"/>
    <x v="44"/>
    <s v=" FORTALECIMIENTO DE LA INFRAESTRUCTURA FÍSICA DEL IGAC A NIVEL  NACIONAL"/>
    <n v="0"/>
    <n v="32090000"/>
    <n v="350000"/>
    <n v="31740000"/>
    <n v="0"/>
    <n v="31740000"/>
    <n v="0"/>
    <n v="0"/>
    <n v="0"/>
    <n v="0"/>
    <n v="0"/>
  </r>
  <r>
    <s v="04-03-00-016"/>
    <x v="14"/>
    <s v="C-0499-1003-6-0-0499016-02"/>
    <x v="1"/>
    <s v="0499"/>
    <s v="1003"/>
    <s v="6"/>
    <s v="0"/>
    <s v="0499016"/>
    <s v="02"/>
    <m/>
    <m/>
    <s v="Nación"/>
    <x v="2"/>
    <s v="CSF"/>
    <x v="44"/>
    <s v=" FORTALECIMIENTO DE LA INFRAESTRUCTURA FÍSICA DEL IGAC A NIVEL  NACIONAL"/>
    <n v="0"/>
    <n v="4000000"/>
    <n v="511000"/>
    <n v="3489000"/>
    <n v="0"/>
    <n v="3489000"/>
    <n v="0"/>
    <n v="3489000"/>
    <n v="3489000"/>
    <n v="3489000"/>
    <n v="3489000"/>
  </r>
  <r>
    <s v="04-03-00-019"/>
    <x v="17"/>
    <s v="C-0499-1003-6-0-0499016-02"/>
    <x v="1"/>
    <s v="0499"/>
    <s v="1003"/>
    <s v="6"/>
    <s v="0"/>
    <s v="0499016"/>
    <s v="02"/>
    <m/>
    <m/>
    <s v="Nación"/>
    <x v="2"/>
    <s v="CSF"/>
    <x v="44"/>
    <s v=" FORTALECIMIENTO DE LA INFRAESTRUCTURA FÍSICA DEL IGAC A NIVEL  NACIONAL"/>
    <n v="0"/>
    <n v="1600000"/>
    <n v="0"/>
    <n v="1600000"/>
    <n v="0"/>
    <n v="1600000"/>
    <n v="0"/>
    <n v="0"/>
    <n v="0"/>
    <n v="0"/>
    <n v="0"/>
  </r>
  <r>
    <s v="04-03-00-020"/>
    <x v="18"/>
    <s v="C-0499-1003-6-0-0499016-02"/>
    <x v="1"/>
    <s v="0499"/>
    <s v="1003"/>
    <s v="6"/>
    <s v="0"/>
    <s v="0499016"/>
    <s v="02"/>
    <m/>
    <m/>
    <s v="Nación"/>
    <x v="2"/>
    <s v="CSF"/>
    <x v="44"/>
    <s v=" FORTALECIMIENTO DE LA INFRAESTRUCTURA FÍSICA DEL IGAC A NIVEL  NACIONAL"/>
    <n v="0"/>
    <n v="8600000"/>
    <n v="0"/>
    <n v="8600000"/>
    <n v="0"/>
    <n v="8600000"/>
    <n v="0"/>
    <n v="8590200"/>
    <n v="5000000"/>
    <n v="5000000"/>
    <n v="5000000"/>
  </r>
  <r>
    <s v="04-03-00-021"/>
    <x v="19"/>
    <s v="C-0499-1003-6-0-0499016-02"/>
    <x v="1"/>
    <s v="0499"/>
    <s v="1003"/>
    <s v="6"/>
    <s v="0"/>
    <s v="0499016"/>
    <s v="02"/>
    <m/>
    <m/>
    <s v="Nación"/>
    <x v="2"/>
    <s v="CSF"/>
    <x v="44"/>
    <s v=" FORTALECIMIENTO DE LA INFRAESTRUCTURA FÍSICA DEL IGAC A NIVEL  NACIONAL"/>
    <n v="0"/>
    <n v="41500000"/>
    <n v="0"/>
    <n v="41500000"/>
    <n v="0"/>
    <n v="41500000"/>
    <n v="0"/>
    <n v="0"/>
    <n v="0"/>
    <n v="0"/>
    <n v="0"/>
  </r>
  <r>
    <s v="04-03-00-022"/>
    <x v="20"/>
    <s v="C-0499-1003-6-0-0499016-02"/>
    <x v="1"/>
    <s v="0499"/>
    <s v="1003"/>
    <s v="6"/>
    <s v="0"/>
    <s v="0499016"/>
    <s v="02"/>
    <m/>
    <m/>
    <s v="Nación"/>
    <x v="2"/>
    <s v="CSF"/>
    <x v="44"/>
    <s v=" FORTALECIMIENTO DE LA INFRAESTRUCTURA FÍSICA DEL IGAC A NIVEL  NACIONAL"/>
    <n v="0"/>
    <n v="40700000"/>
    <n v="50000"/>
    <n v="40650000"/>
    <n v="0"/>
    <n v="40650000"/>
    <n v="0"/>
    <n v="24802206"/>
    <n v="650000"/>
    <n v="650000"/>
    <n v="650000"/>
  </r>
  <r>
    <s v="04-03-00-024"/>
    <x v="21"/>
    <s v="C-0499-1003-6-0-0499016-02"/>
    <x v="1"/>
    <s v="0499"/>
    <s v="1003"/>
    <s v="6"/>
    <s v="0"/>
    <s v="0499016"/>
    <s v="02"/>
    <m/>
    <m/>
    <s v="Nación"/>
    <x v="2"/>
    <s v="CSF"/>
    <x v="44"/>
    <s v=" FORTALECIMIENTO DE LA INFRAESTRUCTURA FÍSICA DEL IGAC A NIVEL  NACIONAL"/>
    <n v="0"/>
    <n v="74000000"/>
    <n v="0"/>
    <n v="74000000"/>
    <n v="0"/>
    <n v="74000000"/>
    <n v="0"/>
    <n v="0"/>
    <n v="0"/>
    <n v="0"/>
    <n v="0"/>
  </r>
  <r>
    <s v="04-03-00-004"/>
    <x v="2"/>
    <s v="C-0404-1003-2-0-0404007-02"/>
    <x v="1"/>
    <s v="0404"/>
    <s v="1003"/>
    <s v="2"/>
    <s v="0"/>
    <s v="0404007"/>
    <s v="02"/>
    <m/>
    <m/>
    <s v="Propios"/>
    <x v="1"/>
    <s v="CSF"/>
    <x v="45"/>
    <s v=" ACTUALIZACIÓN  Y GESTIÓN CATASTRAL  NACIONAL"/>
    <n v="0"/>
    <n v="23500000"/>
    <n v="0"/>
    <n v="23500000"/>
    <n v="0"/>
    <n v="23500000"/>
    <n v="0"/>
    <n v="20139490"/>
    <n v="8209703"/>
    <n v="8209703"/>
    <n v="8209703"/>
  </r>
  <r>
    <s v="04-03-00-005"/>
    <x v="3"/>
    <s v="C-0404-1003-2-0-0404007-02"/>
    <x v="1"/>
    <s v="0404"/>
    <s v="1003"/>
    <s v="2"/>
    <s v="0"/>
    <s v="0404007"/>
    <s v="02"/>
    <m/>
    <m/>
    <s v="Propios"/>
    <x v="1"/>
    <s v="CSF"/>
    <x v="45"/>
    <s v=" ACTUALIZACIÓN  Y GESTIÓN CATASTRAL  NACIONAL"/>
    <n v="0"/>
    <n v="55280472"/>
    <n v="0"/>
    <n v="55280472"/>
    <n v="0"/>
    <n v="40000000"/>
    <n v="15280472"/>
    <n v="40000000"/>
    <n v="39329378"/>
    <n v="39329378"/>
    <n v="39329378"/>
  </r>
  <r>
    <s v="04-03-00-006"/>
    <x v="4"/>
    <s v="C-0404-1003-2-0-0404007-02"/>
    <x v="1"/>
    <s v="0404"/>
    <s v="1003"/>
    <s v="2"/>
    <s v="0"/>
    <s v="0404007"/>
    <s v="02"/>
    <m/>
    <m/>
    <s v="Propios"/>
    <x v="1"/>
    <s v="CSF"/>
    <x v="45"/>
    <s v=" ACTUALIZACIÓN  Y GESTIÓN CATASTRAL  NACIONAL"/>
    <n v="0"/>
    <n v="20000000"/>
    <n v="0"/>
    <n v="20000000"/>
    <n v="0"/>
    <n v="20000000"/>
    <n v="0"/>
    <n v="20000000"/>
    <n v="2477319"/>
    <n v="2477319"/>
    <n v="2477319"/>
  </r>
  <r>
    <s v="04-03-00-007"/>
    <x v="5"/>
    <s v="C-0404-1003-2-0-0404007-02"/>
    <x v="1"/>
    <s v="0404"/>
    <s v="1003"/>
    <s v="2"/>
    <s v="0"/>
    <s v="0404007"/>
    <s v="02"/>
    <m/>
    <m/>
    <s v="Propios"/>
    <x v="1"/>
    <s v="CSF"/>
    <x v="45"/>
    <s v=" ACTUALIZACIÓN  Y GESTIÓN CATASTRAL  NACIONAL"/>
    <n v="0"/>
    <n v="140852776"/>
    <n v="0"/>
    <n v="140852776"/>
    <n v="0"/>
    <n v="134826722"/>
    <n v="6026054"/>
    <n v="108570081"/>
    <n v="38779401"/>
    <n v="38779401"/>
    <n v="38779401"/>
  </r>
  <r>
    <s v="04-03-00-008"/>
    <x v="6"/>
    <s v="C-0404-1003-2-0-0404007-02"/>
    <x v="1"/>
    <s v="0404"/>
    <s v="1003"/>
    <s v="2"/>
    <s v="0"/>
    <s v="0404007"/>
    <s v="02"/>
    <m/>
    <m/>
    <s v="Propios"/>
    <x v="1"/>
    <s v="CSF"/>
    <x v="45"/>
    <s v=" ACTUALIZACIÓN  Y GESTIÓN CATASTRAL  NACIONAL"/>
    <n v="0"/>
    <n v="160208000"/>
    <n v="0"/>
    <n v="160208000"/>
    <n v="0"/>
    <n v="160208000"/>
    <n v="0"/>
    <n v="157174448"/>
    <n v="111820802"/>
    <n v="111820802"/>
    <n v="111820802"/>
  </r>
  <r>
    <s v="04-03-00-009"/>
    <x v="7"/>
    <s v="C-0404-1003-2-0-0404007-02"/>
    <x v="1"/>
    <s v="0404"/>
    <s v="1003"/>
    <s v="2"/>
    <s v="0"/>
    <s v="0404007"/>
    <s v="02"/>
    <m/>
    <m/>
    <s v="Propios"/>
    <x v="1"/>
    <s v="CSF"/>
    <x v="45"/>
    <s v=" ACTUALIZACIÓN  Y GESTIÓN CATASTRAL  NACIONAL"/>
    <n v="0"/>
    <n v="40000000"/>
    <n v="0"/>
    <n v="40000000"/>
    <n v="0"/>
    <n v="39402300"/>
    <n v="597700"/>
    <n v="39157800"/>
    <n v="29814588"/>
    <n v="29814588"/>
    <n v="29814588"/>
  </r>
  <r>
    <s v="04-03-00-010"/>
    <x v="8"/>
    <s v="C-0404-1003-2-0-0404007-02"/>
    <x v="1"/>
    <s v="0404"/>
    <s v="1003"/>
    <s v="2"/>
    <s v="0"/>
    <s v="0404007"/>
    <s v="02"/>
    <m/>
    <m/>
    <s v="Propios"/>
    <x v="1"/>
    <s v="CSF"/>
    <x v="45"/>
    <s v=" ACTUALIZACIÓN  Y GESTIÓN CATASTRAL  NACIONAL"/>
    <n v="0"/>
    <n v="40000000"/>
    <n v="0"/>
    <n v="40000000"/>
    <n v="0"/>
    <n v="40000000"/>
    <n v="0"/>
    <n v="40000000"/>
    <n v="0"/>
    <n v="0"/>
    <n v="0"/>
  </r>
  <r>
    <s v="04-03-00-013"/>
    <x v="11"/>
    <s v="C-0404-1003-2-0-0404007-02"/>
    <x v="1"/>
    <s v="0404"/>
    <s v="1003"/>
    <s v="2"/>
    <s v="0"/>
    <s v="0404007"/>
    <s v="02"/>
    <m/>
    <m/>
    <s v="Propios"/>
    <x v="1"/>
    <s v="CSF"/>
    <x v="45"/>
    <s v=" ACTUALIZACIÓN  Y GESTIÓN CATASTRAL  NACIONAL"/>
    <n v="0"/>
    <n v="79708000"/>
    <n v="0"/>
    <n v="79708000"/>
    <n v="0"/>
    <n v="61571630"/>
    <n v="18136370"/>
    <n v="60695502"/>
    <n v="52875574"/>
    <n v="52875574"/>
    <n v="52875574"/>
  </r>
  <r>
    <s v="04-03-00-014"/>
    <x v="12"/>
    <s v="C-0404-1003-2-0-0404007-02"/>
    <x v="1"/>
    <s v="0404"/>
    <s v="1003"/>
    <s v="2"/>
    <s v="0"/>
    <s v="0404007"/>
    <s v="02"/>
    <m/>
    <m/>
    <s v="Propios"/>
    <x v="1"/>
    <s v="CSF"/>
    <x v="45"/>
    <s v=" ACTUALIZACIÓN  Y GESTIÓN CATASTRAL  NACIONAL"/>
    <n v="0"/>
    <n v="43715353"/>
    <n v="0"/>
    <n v="43715353"/>
    <n v="0"/>
    <n v="42439756"/>
    <n v="1275597"/>
    <n v="33204856"/>
    <n v="24878280"/>
    <n v="24878280"/>
    <n v="24878280"/>
  </r>
  <r>
    <s v="04-03-00-015"/>
    <x v="13"/>
    <s v="C-0404-1003-2-0-0404007-02"/>
    <x v="1"/>
    <s v="0404"/>
    <s v="1003"/>
    <s v="2"/>
    <s v="0"/>
    <s v="0404007"/>
    <s v="02"/>
    <m/>
    <m/>
    <s v="Propios"/>
    <x v="1"/>
    <s v="CSF"/>
    <x v="45"/>
    <s v=" ACTUALIZACIÓN  Y GESTIÓN CATASTRAL  NACIONAL"/>
    <n v="0"/>
    <n v="99708000"/>
    <n v="15000000"/>
    <n v="84708000"/>
    <n v="0"/>
    <n v="84708000"/>
    <n v="0"/>
    <n v="80523129"/>
    <n v="37930406"/>
    <n v="37930406"/>
    <n v="37930406"/>
  </r>
  <r>
    <s v="04-03-00-016"/>
    <x v="14"/>
    <s v="C-0404-1003-2-0-0404007-02"/>
    <x v="1"/>
    <s v="0404"/>
    <s v="1003"/>
    <s v="2"/>
    <s v="0"/>
    <s v="0404007"/>
    <s v="02"/>
    <m/>
    <m/>
    <s v="Propios"/>
    <x v="1"/>
    <s v="CSF"/>
    <x v="45"/>
    <s v=" ACTUALIZACIÓN  Y GESTIÓN CATASTRAL  NACIONAL"/>
    <n v="0"/>
    <n v="23500000"/>
    <n v="0"/>
    <n v="23500000"/>
    <n v="0"/>
    <n v="5298820"/>
    <n v="18201180"/>
    <n v="4679635"/>
    <n v="4679635"/>
    <n v="4679635"/>
    <n v="4679635"/>
  </r>
  <r>
    <s v="04-03-00-017"/>
    <x v="15"/>
    <s v="C-0404-1003-2-0-0404007-02"/>
    <x v="1"/>
    <s v="0404"/>
    <s v="1003"/>
    <s v="2"/>
    <s v="0"/>
    <s v="0404007"/>
    <s v="02"/>
    <m/>
    <m/>
    <s v="Propios"/>
    <x v="1"/>
    <s v="CSF"/>
    <x v="45"/>
    <s v=" ACTUALIZACIÓN  Y GESTIÓN CATASTRAL  NACIONAL"/>
    <n v="0"/>
    <n v="3500000"/>
    <n v="0"/>
    <n v="3500000"/>
    <n v="0"/>
    <n v="3500000"/>
    <n v="0"/>
    <n v="1822466"/>
    <n v="1207486"/>
    <n v="1207486"/>
    <n v="1207486"/>
  </r>
  <r>
    <s v="04-03-00-018"/>
    <x v="16"/>
    <s v="C-0404-1003-2-0-0404007-02"/>
    <x v="1"/>
    <s v="0404"/>
    <s v="1003"/>
    <s v="2"/>
    <s v="0"/>
    <s v="0404007"/>
    <s v="02"/>
    <m/>
    <m/>
    <s v="Propios"/>
    <x v="1"/>
    <s v="CSF"/>
    <x v="45"/>
    <s v=" ACTUALIZACIÓN  Y GESTIÓN CATASTRAL  NACIONAL"/>
    <n v="0"/>
    <n v="33500000"/>
    <n v="0"/>
    <n v="33500000"/>
    <n v="0"/>
    <n v="33500000"/>
    <n v="0"/>
    <n v="30000000"/>
    <n v="20764113"/>
    <n v="20764113"/>
    <n v="20764113"/>
  </r>
  <r>
    <s v="04-03-00-019"/>
    <x v="17"/>
    <s v="C-0404-1003-2-0-0404007-02"/>
    <x v="1"/>
    <s v="0404"/>
    <s v="1003"/>
    <s v="2"/>
    <s v="0"/>
    <s v="0404007"/>
    <s v="02"/>
    <m/>
    <m/>
    <s v="Propios"/>
    <x v="1"/>
    <s v="CSF"/>
    <x v="45"/>
    <s v=" ACTUALIZACIÓN  Y GESTIÓN CATASTRAL  NACIONAL"/>
    <n v="0"/>
    <n v="60361000"/>
    <n v="10000000"/>
    <n v="50361000"/>
    <n v="0"/>
    <n v="33738234"/>
    <n v="16622766"/>
    <n v="30186337"/>
    <n v="9713757"/>
    <n v="9713757"/>
    <n v="9713757"/>
  </r>
  <r>
    <s v="04-03-00-020"/>
    <x v="18"/>
    <s v="C-0404-1003-2-0-0404007-02"/>
    <x v="1"/>
    <s v="0404"/>
    <s v="1003"/>
    <s v="2"/>
    <s v="0"/>
    <s v="0404007"/>
    <s v="02"/>
    <m/>
    <m/>
    <s v="Propios"/>
    <x v="1"/>
    <s v="CSF"/>
    <x v="45"/>
    <s v=" ACTUALIZACIÓN  Y GESTIÓN CATASTRAL  NACIONAL"/>
    <n v="0"/>
    <n v="40000000"/>
    <n v="0"/>
    <n v="40000000"/>
    <n v="0"/>
    <n v="40000000"/>
    <n v="0"/>
    <n v="38294110"/>
    <n v="35017898"/>
    <n v="35017898"/>
    <n v="35017898"/>
  </r>
  <r>
    <s v="04-03-00-021"/>
    <x v="19"/>
    <s v="C-0404-1003-2-0-0404007-02"/>
    <x v="1"/>
    <s v="0404"/>
    <s v="1003"/>
    <s v="2"/>
    <s v="0"/>
    <s v="0404007"/>
    <s v="02"/>
    <m/>
    <m/>
    <s v="Propios"/>
    <x v="1"/>
    <s v="CSF"/>
    <x v="45"/>
    <s v=" ACTUALIZACIÓN  Y GESTIÓN CATASTRAL  NACIONAL"/>
    <n v="0"/>
    <n v="43000000"/>
    <n v="0"/>
    <n v="43000000"/>
    <n v="0"/>
    <n v="43000000"/>
    <n v="0"/>
    <n v="41384053"/>
    <n v="37137111"/>
    <n v="37137111"/>
    <n v="37137111"/>
  </r>
  <r>
    <s v="04-03-00-022"/>
    <x v="20"/>
    <s v="C-0404-1003-2-0-0404007-02"/>
    <x v="1"/>
    <s v="0404"/>
    <s v="1003"/>
    <s v="2"/>
    <s v="0"/>
    <s v="0404007"/>
    <s v="02"/>
    <m/>
    <m/>
    <s v="Propios"/>
    <x v="1"/>
    <s v="CSF"/>
    <x v="45"/>
    <s v=" ACTUALIZACIÓN  Y GESTIÓN CATASTRAL  NACIONAL"/>
    <n v="0"/>
    <n v="40000000"/>
    <n v="26695064"/>
    <n v="13304936"/>
    <n v="0"/>
    <n v="13304936"/>
    <n v="0"/>
    <n v="13304936"/>
    <n v="10912943"/>
    <n v="10912943"/>
    <n v="10912943"/>
  </r>
  <r>
    <s v="04-03-00-014"/>
    <x v="12"/>
    <s v="C-0402-1003-8-0-0402014-02"/>
    <x v="1"/>
    <s v="0402"/>
    <s v="1003"/>
    <s v="8"/>
    <s v="0"/>
    <s v="0402014"/>
    <s v="02"/>
    <m/>
    <m/>
    <s v="Nación"/>
    <x v="2"/>
    <s v="CSF"/>
    <x v="46"/>
    <s v=" LEVANTAMIENTO , GENERACIÓN Y ACTUALIZACIÓN DE LA RED GEODÉSICA Y LA CARTOGRAFÍA BÁSICA A NIVEL   NACIONAL"/>
    <n v="0"/>
    <n v="4080150"/>
    <n v="534766"/>
    <n v="3545384"/>
    <n v="0"/>
    <n v="3545384"/>
    <n v="0"/>
    <n v="3545384"/>
    <n v="3545384"/>
    <n v="3545384"/>
    <n v="3545384"/>
  </r>
  <r>
    <s v="04-03-00-019"/>
    <x v="17"/>
    <s v="C-0402-1003-8-0-0402014-02"/>
    <x v="1"/>
    <s v="0402"/>
    <s v="1003"/>
    <s v="8"/>
    <s v="0"/>
    <s v="0402014"/>
    <s v="02"/>
    <m/>
    <m/>
    <s v="Nación"/>
    <x v="2"/>
    <s v="CSF"/>
    <x v="46"/>
    <s v=" LEVANTAMIENTO , GENERACIÓN Y ACTUALIZACIÓN DE LA RED GEODÉSICA Y LA CARTOGRAFÍA BÁSICA A NIVEL   NACIONAL"/>
    <n v="0"/>
    <n v="6235653"/>
    <n v="694594"/>
    <n v="5541059"/>
    <n v="0"/>
    <n v="5541059"/>
    <n v="0"/>
    <n v="5541059"/>
    <n v="5541059"/>
    <n v="5541059"/>
    <n v="5541059"/>
  </r>
  <r>
    <s v="04-03-00-019"/>
    <x v="17"/>
    <s v="C-0402-1003-8-0-0402014-02"/>
    <x v="1"/>
    <s v="0402"/>
    <s v="1003"/>
    <s v="8"/>
    <s v="0"/>
    <s v="0402014"/>
    <s v="02"/>
    <m/>
    <m/>
    <s v="Propios"/>
    <x v="1"/>
    <s v="CSF"/>
    <x v="46"/>
    <s v=" LEVANTAMIENTO , GENERACIÓN Y ACTUALIZACIÓN DE LA RED GEODÉSICA Y LA CARTOGRAFÍA BÁSICA A NIVEL   NACIONAL"/>
    <n v="0"/>
    <n v="6235653"/>
    <n v="6235653"/>
    <n v="0"/>
    <n v="0"/>
    <n v="0"/>
    <n v="0"/>
    <n v="0"/>
    <n v="0"/>
    <n v="0"/>
    <n v="0"/>
  </r>
  <r>
    <s v="04-03-00-002"/>
    <x v="0"/>
    <s v="C-0404-1003-2-0-0404004-02"/>
    <x v="1"/>
    <s v="0404"/>
    <s v="1003"/>
    <s v="2"/>
    <s v="0"/>
    <s v="0404004"/>
    <s v="02"/>
    <m/>
    <m/>
    <s v="Nación"/>
    <x v="2"/>
    <s v="CSF"/>
    <x v="47"/>
    <s v=" ACTUALIZACIÓN  Y GESTIÓN CATASTRAL  NACIONAL"/>
    <n v="0"/>
    <n v="108883287"/>
    <n v="0"/>
    <n v="108883287"/>
    <n v="0"/>
    <n v="108876356"/>
    <n v="6931"/>
    <n v="108876353"/>
    <n v="108876353"/>
    <n v="108876353"/>
    <n v="108876353"/>
  </r>
  <r>
    <s v="04-03-00-002"/>
    <x v="0"/>
    <s v="C-0404-1003-2-0-0404004-02"/>
    <x v="1"/>
    <s v="0404"/>
    <s v="1003"/>
    <s v="2"/>
    <s v="0"/>
    <s v="0404004"/>
    <s v="02"/>
    <m/>
    <m/>
    <s v="Propios"/>
    <x v="1"/>
    <s v="CSF"/>
    <x v="47"/>
    <s v=" ACTUALIZACIÓN  Y GESTIÓN CATASTRAL  NACIONAL"/>
    <n v="0"/>
    <n v="164771870"/>
    <n v="0"/>
    <n v="164771870"/>
    <n v="0"/>
    <n v="157470975"/>
    <n v="7300895"/>
    <n v="136851584"/>
    <n v="47920677"/>
    <n v="47920677"/>
    <n v="47920677"/>
  </r>
  <r>
    <s v="04-03-00-003"/>
    <x v="1"/>
    <s v="C-0404-1003-2-0-0404004-02"/>
    <x v="1"/>
    <s v="0404"/>
    <s v="1003"/>
    <s v="2"/>
    <s v="0"/>
    <s v="0404004"/>
    <s v="02"/>
    <m/>
    <m/>
    <s v="Nación"/>
    <x v="2"/>
    <s v="CSF"/>
    <x v="47"/>
    <s v=" ACTUALIZACIÓN  Y GESTIÓN CATASTRAL  NACIONAL"/>
    <n v="0"/>
    <n v="243033060"/>
    <n v="0"/>
    <n v="243033060"/>
    <n v="0"/>
    <n v="240208316"/>
    <n v="2824744"/>
    <n v="226278615"/>
    <n v="216249594"/>
    <n v="216249594"/>
    <n v="216249594"/>
  </r>
  <r>
    <s v="04-03-00-003"/>
    <x v="1"/>
    <s v="C-0404-1003-2-0-0404004-02"/>
    <x v="1"/>
    <s v="0404"/>
    <s v="1003"/>
    <s v="2"/>
    <s v="0"/>
    <s v="0404004"/>
    <s v="02"/>
    <m/>
    <m/>
    <s v="Propios"/>
    <x v="1"/>
    <s v="CSF"/>
    <x v="47"/>
    <s v=" ACTUALIZACIÓN  Y GESTIÓN CATASTRAL  NACIONAL"/>
    <n v="0"/>
    <n v="369016351"/>
    <n v="0"/>
    <n v="369016351"/>
    <n v="0"/>
    <n v="347298602.98000002"/>
    <n v="21717748.02"/>
    <n v="330161019.83999997"/>
    <n v="147583334"/>
    <n v="147583334"/>
    <n v="147583334"/>
  </r>
  <r>
    <s v="04-03-00-004"/>
    <x v="2"/>
    <s v="C-0404-1003-2-0-0404004-02"/>
    <x v="1"/>
    <s v="0404"/>
    <s v="1003"/>
    <s v="2"/>
    <s v="0"/>
    <s v="0404004"/>
    <s v="02"/>
    <m/>
    <m/>
    <s v="Nación"/>
    <x v="2"/>
    <s v="CSF"/>
    <x v="47"/>
    <s v=" ACTUALIZACIÓN  Y GESTIÓN CATASTRAL  NACIONAL"/>
    <n v="0"/>
    <n v="315513105"/>
    <n v="0"/>
    <n v="315513105"/>
    <n v="0"/>
    <n v="315513105"/>
    <n v="0"/>
    <n v="311620748"/>
    <n v="254277823"/>
    <n v="254277823"/>
    <n v="254277823"/>
  </r>
  <r>
    <s v="04-03-00-004"/>
    <x v="2"/>
    <s v="C-0404-1003-2-0-0404004-02"/>
    <x v="1"/>
    <s v="0404"/>
    <s v="1003"/>
    <s v="2"/>
    <s v="0"/>
    <s v="0404004"/>
    <s v="02"/>
    <m/>
    <m/>
    <s v="Propios"/>
    <x v="1"/>
    <s v="CSF"/>
    <x v="47"/>
    <s v=" ACTUALIZACIÓN  Y GESTIÓN CATASTRAL  NACIONAL"/>
    <n v="0"/>
    <n v="43337732"/>
    <n v="0"/>
    <n v="43337732"/>
    <n v="0"/>
    <n v="41750132"/>
    <n v="1587600"/>
    <n v="27061035"/>
    <n v="8645244.8499999996"/>
    <n v="8645244.8499999996"/>
    <n v="8645244.8499999996"/>
  </r>
  <r>
    <s v="04-03-00-005"/>
    <x v="3"/>
    <s v="C-0404-1003-2-0-0404004-02"/>
    <x v="1"/>
    <s v="0404"/>
    <s v="1003"/>
    <s v="2"/>
    <s v="0"/>
    <s v="0404004"/>
    <s v="02"/>
    <m/>
    <m/>
    <s v="Nación"/>
    <x v="2"/>
    <s v="CSF"/>
    <x v="47"/>
    <s v=" ACTUALIZACIÓN  Y GESTIÓN CATASTRAL  NACIONAL"/>
    <n v="0"/>
    <n v="370266902"/>
    <n v="1466578"/>
    <n v="368800324"/>
    <n v="0"/>
    <n v="355838773"/>
    <n v="12961551"/>
    <n v="354395180"/>
    <n v="311858196"/>
    <n v="311858196"/>
    <n v="311858196"/>
  </r>
  <r>
    <s v="04-03-00-005"/>
    <x v="3"/>
    <s v="C-0404-1003-2-0-0404004-02"/>
    <x v="1"/>
    <s v="0404"/>
    <s v="1003"/>
    <s v="2"/>
    <s v="0"/>
    <s v="0404004"/>
    <s v="02"/>
    <m/>
    <m/>
    <s v="Propios"/>
    <x v="1"/>
    <s v="CSF"/>
    <x v="47"/>
    <s v=" ACTUALIZACIÓN  Y GESTIÓN CATASTRAL  NACIONAL"/>
    <n v="0"/>
    <n v="174808001"/>
    <n v="15311187"/>
    <n v="159496814"/>
    <n v="0"/>
    <n v="121975148"/>
    <n v="37521666"/>
    <n v="111464205"/>
    <n v="75507157"/>
    <n v="75507157"/>
    <n v="75507157"/>
  </r>
  <r>
    <s v="04-03-00-006"/>
    <x v="4"/>
    <s v="C-0404-1003-2-0-0404004-02"/>
    <x v="1"/>
    <s v="0404"/>
    <s v="1003"/>
    <s v="2"/>
    <s v="0"/>
    <s v="0404004"/>
    <s v="02"/>
    <m/>
    <m/>
    <s v="Nación"/>
    <x v="2"/>
    <s v="CSF"/>
    <x v="47"/>
    <s v=" ACTUALIZACIÓN  Y GESTIÓN CATASTRAL  NACIONAL"/>
    <n v="0"/>
    <n v="92978385"/>
    <n v="0"/>
    <n v="92978385"/>
    <n v="0"/>
    <n v="92231769"/>
    <n v="746616"/>
    <n v="92231769"/>
    <n v="81317492"/>
    <n v="81317492"/>
    <n v="81317492"/>
  </r>
  <r>
    <s v="04-03-00-006"/>
    <x v="4"/>
    <s v="C-0404-1003-2-0-0404004-02"/>
    <x v="1"/>
    <s v="0404"/>
    <s v="1003"/>
    <s v="2"/>
    <s v="0"/>
    <s v="0404004"/>
    <s v="02"/>
    <m/>
    <m/>
    <s v="Propios"/>
    <x v="1"/>
    <s v="CSF"/>
    <x v="47"/>
    <s v=" ACTUALIZACIÓN  Y GESTIÓN CATASTRAL  NACIONAL"/>
    <n v="0"/>
    <n v="26071906"/>
    <n v="0"/>
    <n v="26071906"/>
    <n v="0"/>
    <n v="26071906"/>
    <n v="0"/>
    <n v="26071906"/>
    <n v="15863848"/>
    <n v="15863848"/>
    <n v="15863848"/>
  </r>
  <r>
    <s v="04-03-00-007"/>
    <x v="5"/>
    <s v="C-0404-1003-2-0-0404004-02"/>
    <x v="1"/>
    <s v="0404"/>
    <s v="1003"/>
    <s v="2"/>
    <s v="0"/>
    <s v="0404004"/>
    <s v="02"/>
    <m/>
    <m/>
    <s v="Nación"/>
    <x v="2"/>
    <s v="CSF"/>
    <x v="47"/>
    <s v=" ACTUALIZACIÓN  Y GESTIÓN CATASTRAL  NACIONAL"/>
    <n v="0"/>
    <n v="126800457"/>
    <n v="0"/>
    <n v="126800457"/>
    <n v="0"/>
    <n v="126800457"/>
    <n v="0"/>
    <n v="126511571"/>
    <n v="116073573"/>
    <n v="116073573"/>
    <n v="116073573"/>
  </r>
  <r>
    <s v="04-03-00-007"/>
    <x v="5"/>
    <s v="C-0404-1003-2-0-0404004-02"/>
    <x v="1"/>
    <s v="0404"/>
    <s v="1003"/>
    <s v="2"/>
    <s v="0"/>
    <s v="0404004"/>
    <s v="02"/>
    <m/>
    <m/>
    <s v="Propios"/>
    <x v="1"/>
    <s v="CSF"/>
    <x v="47"/>
    <s v=" ACTUALIZACIÓN  Y GESTIÓN CATASTRAL  NACIONAL"/>
    <n v="0"/>
    <n v="3562820471"/>
    <n v="8246700"/>
    <n v="3554573771"/>
    <n v="0"/>
    <n v="3539242529"/>
    <n v="15331242"/>
    <n v="3115096537"/>
    <n v="2188160232"/>
    <n v="2188160232"/>
    <n v="2188160232"/>
  </r>
  <r>
    <s v="04-03-00-008"/>
    <x v="6"/>
    <s v="C-0404-1003-2-0-0404004-02"/>
    <x v="1"/>
    <s v="0404"/>
    <s v="1003"/>
    <s v="2"/>
    <s v="0"/>
    <s v="0404004"/>
    <s v="02"/>
    <m/>
    <m/>
    <s v="Nación"/>
    <x v="2"/>
    <s v="CSF"/>
    <x v="47"/>
    <s v=" ACTUALIZACIÓN  Y GESTIÓN CATASTRAL  NACIONAL"/>
    <n v="0"/>
    <n v="225930867"/>
    <n v="0"/>
    <n v="225930867"/>
    <n v="0"/>
    <n v="225930867"/>
    <n v="0"/>
    <n v="225277666"/>
    <n v="195643270"/>
    <n v="195643270"/>
    <n v="195643270"/>
  </r>
  <r>
    <s v="04-03-00-008"/>
    <x v="6"/>
    <s v="C-0404-1003-2-0-0404004-02"/>
    <x v="1"/>
    <s v="0404"/>
    <s v="1003"/>
    <s v="2"/>
    <s v="0"/>
    <s v="0404004"/>
    <s v="02"/>
    <m/>
    <m/>
    <s v="Propios"/>
    <x v="1"/>
    <s v="CSF"/>
    <x v="47"/>
    <s v=" ACTUALIZACIÓN  Y GESTIÓN CATASTRAL  NACIONAL"/>
    <n v="0"/>
    <n v="139804198"/>
    <n v="0"/>
    <n v="139804198"/>
    <n v="0"/>
    <n v="139804198"/>
    <n v="0"/>
    <n v="113114992"/>
    <n v="76733985"/>
    <n v="76733985"/>
    <n v="76733985"/>
  </r>
  <r>
    <s v="04-03-00-009"/>
    <x v="7"/>
    <s v="C-0404-1003-2-0-0404004-02"/>
    <x v="1"/>
    <s v="0404"/>
    <s v="1003"/>
    <s v="2"/>
    <s v="0"/>
    <s v="0404004"/>
    <s v="02"/>
    <m/>
    <m/>
    <s v="Nación"/>
    <x v="2"/>
    <s v="CSF"/>
    <x v="47"/>
    <s v=" ACTUALIZACIÓN  Y GESTIÓN CATASTRAL  NACIONAL"/>
    <n v="0"/>
    <n v="196022424"/>
    <n v="0"/>
    <n v="196022424"/>
    <n v="0"/>
    <n v="195424974"/>
    <n v="597450"/>
    <n v="193566540"/>
    <n v="167866812"/>
    <n v="167866812"/>
    <n v="167866812"/>
  </r>
  <r>
    <s v="04-03-00-009"/>
    <x v="7"/>
    <s v="C-0404-1003-2-0-0404004-02"/>
    <x v="1"/>
    <s v="0404"/>
    <s v="1003"/>
    <s v="2"/>
    <s v="0"/>
    <s v="0404004"/>
    <s v="02"/>
    <m/>
    <m/>
    <s v="Propios"/>
    <x v="1"/>
    <s v="CSF"/>
    <x v="47"/>
    <s v=" ACTUALIZACIÓN  Y GESTIÓN CATASTRAL  NACIONAL"/>
    <n v="0"/>
    <n v="36561010"/>
    <n v="0"/>
    <n v="36561010"/>
    <n v="0"/>
    <n v="35287836"/>
    <n v="1273174"/>
    <n v="33678905"/>
    <n v="22638105"/>
    <n v="20936862"/>
    <n v="20936862"/>
  </r>
  <r>
    <s v="04-03-00-010"/>
    <x v="8"/>
    <s v="C-0404-1003-2-0-0404004-02"/>
    <x v="1"/>
    <s v="0404"/>
    <s v="1003"/>
    <s v="2"/>
    <s v="0"/>
    <s v="0404004"/>
    <s v="02"/>
    <m/>
    <m/>
    <s v="Nación"/>
    <x v="2"/>
    <s v="CSF"/>
    <x v="47"/>
    <s v=" ACTUALIZACIÓN  Y GESTIÓN CATASTRAL  NACIONAL"/>
    <n v="0"/>
    <n v="794692164"/>
    <n v="0"/>
    <n v="794692164"/>
    <n v="0"/>
    <n v="794692164"/>
    <n v="0"/>
    <n v="720531950"/>
    <n v="634276692"/>
    <n v="634276692"/>
    <n v="634276692"/>
  </r>
  <r>
    <s v="04-03-00-010"/>
    <x v="8"/>
    <s v="C-0404-1003-2-0-0404004-02"/>
    <x v="1"/>
    <s v="0404"/>
    <s v="1003"/>
    <s v="2"/>
    <s v="0"/>
    <s v="0404004"/>
    <s v="02"/>
    <m/>
    <m/>
    <s v="Propios"/>
    <x v="1"/>
    <s v="CSF"/>
    <x v="47"/>
    <s v=" ACTUALIZACIÓN  Y GESTIÓN CATASTRAL  NACIONAL"/>
    <n v="0"/>
    <n v="966770907"/>
    <n v="0"/>
    <n v="966770907"/>
    <n v="0"/>
    <n v="966770907"/>
    <n v="0"/>
    <n v="783933120"/>
    <n v="425194679"/>
    <n v="425194679"/>
    <n v="425194679"/>
  </r>
  <r>
    <s v="04-03-00-011"/>
    <x v="9"/>
    <s v="C-0404-1003-2-0-0404004-02"/>
    <x v="1"/>
    <s v="0404"/>
    <s v="1003"/>
    <s v="2"/>
    <s v="0"/>
    <s v="0404004"/>
    <s v="02"/>
    <m/>
    <m/>
    <s v="Nación"/>
    <x v="2"/>
    <s v="CSF"/>
    <x v="47"/>
    <s v=" ACTUALIZACIÓN  Y GESTIÓN CATASTRAL  NACIONAL"/>
    <n v="0"/>
    <n v="125884367"/>
    <n v="0"/>
    <n v="125884367"/>
    <n v="0"/>
    <n v="125872346"/>
    <n v="12021"/>
    <n v="124808228"/>
    <n v="113432010"/>
    <n v="113432010"/>
    <n v="113432010"/>
  </r>
  <r>
    <s v="04-03-00-011"/>
    <x v="9"/>
    <s v="C-0404-1003-2-0-0404004-02"/>
    <x v="1"/>
    <s v="0404"/>
    <s v="1003"/>
    <s v="2"/>
    <s v="0"/>
    <s v="0404004"/>
    <s v="02"/>
    <m/>
    <m/>
    <s v="Propios"/>
    <x v="1"/>
    <s v="CSF"/>
    <x v="47"/>
    <s v=" ACTUALIZACIÓN  Y GESTIÓN CATASTRAL  NACIONAL"/>
    <n v="0"/>
    <n v="145600664"/>
    <n v="0"/>
    <n v="145600664"/>
    <n v="0"/>
    <n v="109423680"/>
    <n v="36176984"/>
    <n v="105795413"/>
    <n v="42598603"/>
    <n v="42598603"/>
    <n v="42598603"/>
  </r>
  <r>
    <s v="04-03-00-012"/>
    <x v="10"/>
    <s v="C-0404-1003-2-0-0404004-02"/>
    <x v="1"/>
    <s v="0404"/>
    <s v="1003"/>
    <s v="2"/>
    <s v="0"/>
    <s v="0404004"/>
    <s v="02"/>
    <m/>
    <m/>
    <s v="Nación"/>
    <x v="2"/>
    <s v="CSF"/>
    <x v="47"/>
    <s v=" ACTUALIZACIÓN  Y GESTIÓN CATASTRAL  NACIONAL"/>
    <n v="0"/>
    <n v="139661991"/>
    <n v="0"/>
    <n v="139661991"/>
    <n v="0"/>
    <n v="139460589"/>
    <n v="201402"/>
    <n v="132039789"/>
    <n v="121364511"/>
    <n v="121364511"/>
    <n v="121364511"/>
  </r>
  <r>
    <s v="04-03-00-012"/>
    <x v="10"/>
    <s v="C-0404-1003-2-0-0404004-02"/>
    <x v="1"/>
    <s v="0404"/>
    <s v="1003"/>
    <s v="2"/>
    <s v="0"/>
    <s v="0404004"/>
    <s v="02"/>
    <m/>
    <m/>
    <s v="Propios"/>
    <x v="1"/>
    <s v="CSF"/>
    <x v="47"/>
    <s v=" ACTUALIZACIÓN  Y GESTIÓN CATASTRAL  NACIONAL"/>
    <n v="0"/>
    <n v="175442275"/>
    <n v="0"/>
    <n v="175442275"/>
    <n v="0"/>
    <n v="175442275"/>
    <n v="0"/>
    <n v="75337323"/>
    <n v="30036716"/>
    <n v="30036716"/>
    <n v="30036716"/>
  </r>
  <r>
    <s v="04-03-00-013"/>
    <x v="11"/>
    <s v="C-0404-1003-2-0-0404004-02"/>
    <x v="1"/>
    <s v="0404"/>
    <s v="1003"/>
    <s v="2"/>
    <s v="0"/>
    <s v="0404004"/>
    <s v="02"/>
    <m/>
    <m/>
    <s v="Nación"/>
    <x v="2"/>
    <s v="CSF"/>
    <x v="47"/>
    <s v=" ACTUALIZACIÓN  Y GESTIÓN CATASTRAL  NACIONAL"/>
    <n v="0"/>
    <n v="147098946"/>
    <n v="0"/>
    <n v="147098946"/>
    <n v="0"/>
    <n v="140475194"/>
    <n v="6623752"/>
    <n v="139602122"/>
    <n v="129692858"/>
    <n v="129692858"/>
    <n v="129692858"/>
  </r>
  <r>
    <s v="04-03-00-013"/>
    <x v="11"/>
    <s v="C-0404-1003-2-0-0404004-02"/>
    <x v="1"/>
    <s v="0404"/>
    <s v="1003"/>
    <s v="2"/>
    <s v="0"/>
    <s v="0404004"/>
    <s v="02"/>
    <m/>
    <m/>
    <s v="Propios"/>
    <x v="1"/>
    <s v="CSF"/>
    <x v="47"/>
    <s v=" ACTUALIZACIÓN  Y GESTIÓN CATASTRAL  NACIONAL"/>
    <n v="0"/>
    <n v="138004045"/>
    <n v="0"/>
    <n v="138004045"/>
    <n v="0"/>
    <n v="136445765"/>
    <n v="1558280"/>
    <n v="126716525"/>
    <n v="93735386"/>
    <n v="93735386"/>
    <n v="93735386"/>
  </r>
  <r>
    <s v="04-03-00-014"/>
    <x v="12"/>
    <s v="C-0404-1003-2-0-0404004-02"/>
    <x v="1"/>
    <s v="0404"/>
    <s v="1003"/>
    <s v="2"/>
    <s v="0"/>
    <s v="0404004"/>
    <s v="02"/>
    <m/>
    <m/>
    <s v="Nación"/>
    <x v="2"/>
    <s v="CSF"/>
    <x v="47"/>
    <s v=" ACTUALIZACIÓN  Y GESTIÓN CATASTRAL  NACIONAL"/>
    <n v="0"/>
    <n v="406076475"/>
    <n v="0"/>
    <n v="406076475"/>
    <n v="0"/>
    <n v="406076475"/>
    <n v="0"/>
    <n v="388130997"/>
    <n v="314858874"/>
    <n v="314858874"/>
    <n v="314858874"/>
  </r>
  <r>
    <s v="04-03-00-014"/>
    <x v="12"/>
    <s v="C-0404-1003-2-0-0404004-02"/>
    <x v="1"/>
    <s v="0404"/>
    <s v="1003"/>
    <s v="2"/>
    <s v="0"/>
    <s v="0404004"/>
    <s v="02"/>
    <m/>
    <m/>
    <s v="Propios"/>
    <x v="1"/>
    <s v="CSF"/>
    <x v="47"/>
    <s v=" ACTUALIZACIÓN  Y GESTIÓN CATASTRAL  NACIONAL"/>
    <n v="0"/>
    <n v="2529595202"/>
    <n v="223000000"/>
    <n v="2306595202"/>
    <n v="0"/>
    <n v="2306595202"/>
    <n v="0"/>
    <n v="2299716916.9400001"/>
    <n v="2127765162.9400001"/>
    <n v="2127093500.9400001"/>
    <n v="2127093500.9400001"/>
  </r>
  <r>
    <s v="04-03-00-015"/>
    <x v="13"/>
    <s v="C-0404-1003-2-0-0404004-02"/>
    <x v="1"/>
    <s v="0404"/>
    <s v="1003"/>
    <s v="2"/>
    <s v="0"/>
    <s v="0404004"/>
    <s v="02"/>
    <m/>
    <m/>
    <s v="Nación"/>
    <x v="2"/>
    <s v="CSF"/>
    <x v="47"/>
    <s v=" ACTUALIZACIÓN  Y GESTIÓN CATASTRAL  NACIONAL"/>
    <n v="0"/>
    <n v="324063743"/>
    <n v="0"/>
    <n v="324063743"/>
    <n v="0"/>
    <n v="324063743"/>
    <n v="0"/>
    <n v="320732425"/>
    <n v="247301765"/>
    <n v="247301765"/>
    <n v="247301765"/>
  </r>
  <r>
    <s v="04-03-00-015"/>
    <x v="13"/>
    <s v="C-0404-1003-2-0-0404004-02"/>
    <x v="1"/>
    <s v="0404"/>
    <s v="1003"/>
    <s v="2"/>
    <s v="0"/>
    <s v="0404004"/>
    <s v="02"/>
    <m/>
    <m/>
    <s v="Propios"/>
    <x v="1"/>
    <s v="CSF"/>
    <x v="47"/>
    <s v=" ACTUALIZACIÓN  Y GESTIÓN CATASTRAL  NACIONAL"/>
    <n v="0"/>
    <n v="214520452"/>
    <n v="7000000"/>
    <n v="207520452"/>
    <n v="0"/>
    <n v="207520452"/>
    <n v="0"/>
    <n v="205950069"/>
    <n v="188149187"/>
    <n v="188149187"/>
    <n v="188149187"/>
  </r>
  <r>
    <s v="04-03-00-016"/>
    <x v="14"/>
    <s v="C-0404-1003-2-0-0404004-02"/>
    <x v="1"/>
    <s v="0404"/>
    <s v="1003"/>
    <s v="2"/>
    <s v="0"/>
    <s v="0404004"/>
    <s v="02"/>
    <m/>
    <m/>
    <s v="Nación"/>
    <x v="2"/>
    <s v="CSF"/>
    <x v="47"/>
    <s v=" ACTUALIZACIÓN  Y GESTIÓN CATASTRAL  NACIONAL"/>
    <n v="0"/>
    <n v="203075276"/>
    <n v="0"/>
    <n v="203075276"/>
    <n v="0"/>
    <n v="203075276"/>
    <n v="0"/>
    <n v="197339152.53"/>
    <n v="171515630.19999999"/>
    <n v="171515630.19999999"/>
    <n v="171515630.19999999"/>
  </r>
  <r>
    <s v="04-03-00-016"/>
    <x v="14"/>
    <s v="C-0404-1003-2-0-0404004-02"/>
    <x v="1"/>
    <s v="0404"/>
    <s v="1003"/>
    <s v="2"/>
    <s v="0"/>
    <s v="0404004"/>
    <s v="02"/>
    <m/>
    <m/>
    <s v="Propios"/>
    <x v="1"/>
    <s v="CSF"/>
    <x v="47"/>
    <s v=" ACTUALIZACIÓN  Y GESTIÓN CATASTRAL  NACIONAL"/>
    <n v="0"/>
    <n v="192111115"/>
    <n v="0"/>
    <n v="192111115"/>
    <n v="0"/>
    <n v="192041700"/>
    <n v="69415"/>
    <n v="184994945"/>
    <n v="171136461"/>
    <n v="171136461"/>
    <n v="171136461"/>
  </r>
  <r>
    <s v="04-03-00-017"/>
    <x v="15"/>
    <s v="C-0404-1003-2-0-0404004-02"/>
    <x v="1"/>
    <s v="0404"/>
    <s v="1003"/>
    <s v="2"/>
    <s v="0"/>
    <s v="0404004"/>
    <s v="02"/>
    <m/>
    <m/>
    <s v="Nación"/>
    <x v="2"/>
    <s v="CSF"/>
    <x v="47"/>
    <s v=" ACTUALIZACIÓN  Y GESTIÓN CATASTRAL  NACIONAL"/>
    <n v="0"/>
    <n v="103272672"/>
    <n v="0"/>
    <n v="103272672"/>
    <n v="0"/>
    <n v="103272672"/>
    <n v="0"/>
    <n v="103084741"/>
    <n v="91008842"/>
    <n v="91008842"/>
    <n v="91008842"/>
  </r>
  <r>
    <s v="04-03-00-017"/>
    <x v="15"/>
    <s v="C-0404-1003-2-0-0404004-02"/>
    <x v="1"/>
    <s v="0404"/>
    <s v="1003"/>
    <s v="2"/>
    <s v="0"/>
    <s v="0404004"/>
    <s v="02"/>
    <m/>
    <m/>
    <s v="Propios"/>
    <x v="1"/>
    <s v="CSF"/>
    <x v="47"/>
    <s v=" ACTUALIZACIÓN  Y GESTIÓN CATASTRAL  NACIONAL"/>
    <n v="0"/>
    <n v="19280329"/>
    <n v="0"/>
    <n v="19280329"/>
    <n v="0"/>
    <n v="18835082"/>
    <n v="445247"/>
    <n v="18835082"/>
    <n v="15273105"/>
    <n v="15273105"/>
    <n v="15273105"/>
  </r>
  <r>
    <s v="04-03-00-018"/>
    <x v="16"/>
    <s v="C-0404-1003-2-0-0404004-02"/>
    <x v="1"/>
    <s v="0404"/>
    <s v="1003"/>
    <s v="2"/>
    <s v="0"/>
    <s v="0404004"/>
    <s v="02"/>
    <m/>
    <m/>
    <s v="Nación"/>
    <x v="2"/>
    <s v="CSF"/>
    <x v="47"/>
    <s v=" ACTUALIZACIÓN  Y GESTIÓN CATASTRAL  NACIONAL"/>
    <n v="0"/>
    <n v="279402949"/>
    <n v="75502770"/>
    <n v="203900179"/>
    <n v="0"/>
    <n v="203900179"/>
    <n v="0"/>
    <n v="128704788"/>
    <n v="123030255"/>
    <n v="123030255"/>
    <n v="123030255"/>
  </r>
  <r>
    <s v="04-03-00-018"/>
    <x v="16"/>
    <s v="C-0404-1003-2-0-0404004-02"/>
    <x v="1"/>
    <s v="0404"/>
    <s v="1003"/>
    <s v="2"/>
    <s v="0"/>
    <s v="0404004"/>
    <s v="02"/>
    <m/>
    <m/>
    <s v="Propios"/>
    <x v="1"/>
    <s v="CSF"/>
    <x v="47"/>
    <s v=" ACTUALIZACIÓN  Y GESTIÓN CATASTRAL  NACIONAL"/>
    <n v="0"/>
    <n v="131244383"/>
    <n v="0"/>
    <n v="131244383"/>
    <n v="0"/>
    <n v="131244383"/>
    <n v="0"/>
    <n v="100881657"/>
    <n v="71597964"/>
    <n v="71597964"/>
    <n v="71597964"/>
  </r>
  <r>
    <s v="04-03-00-019"/>
    <x v="17"/>
    <s v="C-0404-1003-2-0-0404004-02"/>
    <x v="1"/>
    <s v="0404"/>
    <s v="1003"/>
    <s v="2"/>
    <s v="0"/>
    <s v="0404004"/>
    <s v="02"/>
    <m/>
    <m/>
    <s v="Nación"/>
    <x v="2"/>
    <s v="CSF"/>
    <x v="47"/>
    <s v=" ACTUALIZACIÓN  Y GESTIÓN CATASTRAL  NACIONAL"/>
    <n v="0"/>
    <n v="351322427"/>
    <n v="0"/>
    <n v="351322427"/>
    <n v="0"/>
    <n v="343943314"/>
    <n v="7379113"/>
    <n v="341580260"/>
    <n v="289830128"/>
    <n v="289830128"/>
    <n v="289830128"/>
  </r>
  <r>
    <s v="04-03-00-019"/>
    <x v="17"/>
    <s v="C-0404-1003-2-0-0404004-02"/>
    <x v="1"/>
    <s v="0404"/>
    <s v="1003"/>
    <s v="2"/>
    <s v="0"/>
    <s v="0404004"/>
    <s v="02"/>
    <m/>
    <m/>
    <s v="Propios"/>
    <x v="1"/>
    <s v="CSF"/>
    <x v="47"/>
    <s v=" ACTUALIZACIÓN  Y GESTIÓN CATASTRAL  NACIONAL"/>
    <n v="0"/>
    <n v="34000000"/>
    <n v="0"/>
    <n v="34000000"/>
    <n v="0"/>
    <n v="34000000"/>
    <n v="0"/>
    <n v="9988674"/>
    <n v="9988674"/>
    <n v="9988674"/>
    <n v="9988674"/>
  </r>
  <r>
    <s v="04-03-00-020"/>
    <x v="18"/>
    <s v="C-0404-1003-2-0-0404004-02"/>
    <x v="1"/>
    <s v="0404"/>
    <s v="1003"/>
    <s v="2"/>
    <s v="0"/>
    <s v="0404004"/>
    <s v="02"/>
    <m/>
    <m/>
    <s v="Nación"/>
    <x v="2"/>
    <s v="CSF"/>
    <x v="47"/>
    <s v=" ACTUALIZACIÓN  Y GESTIÓN CATASTRAL  NACIONAL"/>
    <n v="0"/>
    <n v="124699902"/>
    <n v="0"/>
    <n v="124699902"/>
    <n v="0"/>
    <n v="124699902"/>
    <n v="0"/>
    <n v="124091784"/>
    <n v="112550637"/>
    <n v="112550637"/>
    <n v="112550637"/>
  </r>
  <r>
    <s v="04-03-00-020"/>
    <x v="18"/>
    <s v="C-0404-1003-2-0-0404004-02"/>
    <x v="1"/>
    <s v="0404"/>
    <s v="1003"/>
    <s v="2"/>
    <s v="0"/>
    <s v="0404004"/>
    <s v="02"/>
    <m/>
    <m/>
    <s v="Propios"/>
    <x v="1"/>
    <s v="CSF"/>
    <x v="47"/>
    <s v=" ACTUALIZACIÓN  Y GESTIÓN CATASTRAL  NACIONAL"/>
    <n v="0"/>
    <n v="95446576"/>
    <n v="0"/>
    <n v="95446576"/>
    <n v="0"/>
    <n v="95446576"/>
    <n v="0"/>
    <n v="87199088"/>
    <n v="60740496"/>
    <n v="60740496"/>
    <n v="60740496"/>
  </r>
  <r>
    <s v="04-03-00-021"/>
    <x v="19"/>
    <s v="C-0404-1003-2-0-0404004-02"/>
    <x v="1"/>
    <s v="0404"/>
    <s v="1003"/>
    <s v="2"/>
    <s v="0"/>
    <s v="0404004"/>
    <s v="02"/>
    <m/>
    <m/>
    <s v="Nación"/>
    <x v="2"/>
    <s v="CSF"/>
    <x v="47"/>
    <s v=" ACTUALIZACIÓN  Y GESTIÓN CATASTRAL  NACIONAL"/>
    <n v="0"/>
    <n v="460197273"/>
    <n v="0"/>
    <n v="460197273"/>
    <n v="0"/>
    <n v="460197273"/>
    <n v="0"/>
    <n v="452702559"/>
    <n v="381421281"/>
    <n v="381421281"/>
    <n v="381421281"/>
  </r>
  <r>
    <s v="04-03-00-021"/>
    <x v="19"/>
    <s v="C-0404-1003-2-0-0404004-02"/>
    <x v="1"/>
    <s v="0404"/>
    <s v="1003"/>
    <s v="2"/>
    <s v="0"/>
    <s v="0404004"/>
    <s v="02"/>
    <m/>
    <m/>
    <s v="Propios"/>
    <x v="1"/>
    <s v="CSF"/>
    <x v="47"/>
    <s v=" ACTUALIZACIÓN  Y GESTIÓN CATASTRAL  NACIONAL"/>
    <n v="0"/>
    <n v="152666677"/>
    <n v="0"/>
    <n v="152666677"/>
    <n v="0"/>
    <n v="124985543"/>
    <n v="27681134"/>
    <n v="121738217"/>
    <n v="80617292"/>
    <n v="80617292"/>
    <n v="80617292"/>
  </r>
  <r>
    <s v="04-03-00-022"/>
    <x v="20"/>
    <s v="C-0404-1003-2-0-0404004-02"/>
    <x v="1"/>
    <s v="0404"/>
    <s v="1003"/>
    <s v="2"/>
    <s v="0"/>
    <s v="0404004"/>
    <s v="02"/>
    <m/>
    <m/>
    <s v="Nación"/>
    <x v="2"/>
    <s v="CSF"/>
    <x v="47"/>
    <s v=" ACTUALIZACIÓN  Y GESTIÓN CATASTRAL  NACIONAL"/>
    <n v="0"/>
    <n v="225680870"/>
    <n v="0"/>
    <n v="225680870"/>
    <n v="0"/>
    <n v="225340580"/>
    <n v="340290"/>
    <n v="222689267"/>
    <n v="192541857"/>
    <n v="192541857"/>
    <n v="192541857"/>
  </r>
  <r>
    <s v="04-03-00-022"/>
    <x v="20"/>
    <s v="C-0404-1003-2-0-0404004-02"/>
    <x v="1"/>
    <s v="0404"/>
    <s v="1003"/>
    <s v="2"/>
    <s v="0"/>
    <s v="0404004"/>
    <s v="02"/>
    <m/>
    <m/>
    <s v="Propios"/>
    <x v="1"/>
    <s v="CSF"/>
    <x v="47"/>
    <s v=" ACTUALIZACIÓN  Y GESTIÓN CATASTRAL  NACIONAL"/>
    <n v="0"/>
    <n v="83952838"/>
    <n v="0"/>
    <n v="83952838"/>
    <n v="0"/>
    <n v="64649259"/>
    <n v="19303579"/>
    <n v="64649259"/>
    <n v="54577829"/>
    <n v="54577829"/>
    <n v="54577829"/>
  </r>
  <r>
    <s v="04-03-00-024"/>
    <x v="21"/>
    <s v="C-0404-1003-2-0-0404004-02"/>
    <x v="1"/>
    <s v="0404"/>
    <s v="1003"/>
    <s v="2"/>
    <s v="0"/>
    <s v="0404004"/>
    <s v="02"/>
    <m/>
    <m/>
    <s v="Propios"/>
    <x v="1"/>
    <s v="CSF"/>
    <x v="47"/>
    <s v=" ACTUALIZACIÓN  Y GESTIÓN CATASTRAL  NACIONAL"/>
    <n v="0"/>
    <n v="41298000"/>
    <n v="0"/>
    <n v="41298000"/>
    <n v="0"/>
    <n v="41298000"/>
    <n v="0"/>
    <n v="9913750"/>
    <n v="1510667"/>
    <n v="1510667"/>
    <n v="1510667"/>
  </r>
  <r>
    <s v="04-03-00-004"/>
    <x v="2"/>
    <s v="C-0402-1003-8-0-0402016-02"/>
    <x v="1"/>
    <s v="0402"/>
    <s v="1003"/>
    <s v="8"/>
    <s v="0"/>
    <s v="0402016"/>
    <s v="02"/>
    <m/>
    <m/>
    <s v="Propios"/>
    <x v="1"/>
    <s v="CSF"/>
    <x v="48"/>
    <s v=" LEVANTAMIENTO , GENERACIÓN Y ACTUALIZACIÓN DE LA RED GEODÉSICA Y LA CARTOGRAFÍA BÁSICA A NIVEL   NACIONAL"/>
    <n v="0"/>
    <n v="1866167"/>
    <n v="0"/>
    <n v="1866167"/>
    <n v="0"/>
    <n v="0"/>
    <n v="1866167"/>
    <n v="0"/>
    <n v="0"/>
    <n v="0"/>
    <n v="0"/>
  </r>
  <r>
    <s v="04-03-00-024"/>
    <x v="21"/>
    <s v="C-0499-1003-5-0-0499065-02"/>
    <x v="1"/>
    <s v="0499"/>
    <s v="1003"/>
    <s v="5"/>
    <s v="0"/>
    <s v="0499065"/>
    <s v="02"/>
    <m/>
    <m/>
    <s v="Nación"/>
    <x v="2"/>
    <s v="CSF"/>
    <x v="49"/>
    <s v=" FORTALECIMIENTO DE LA GESTIÓN INSTITUCIONAL DEL IGAC A NIVEL   NACIONAL"/>
    <n v="0"/>
    <n v="29121888"/>
    <n v="3640236"/>
    <n v="25481652"/>
    <n v="0"/>
    <n v="25481652"/>
    <n v="0"/>
    <n v="25481652"/>
    <n v="16745086"/>
    <n v="16745086"/>
    <n v="16745086"/>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s v="04-03-00"/>
    <s v="INSTITUTO GEOGRAFICO AGUSTIN CODAZZI - IGAC"/>
    <s v="C-0402-1003-7-0-0402011-02"/>
    <s v="C"/>
    <s v="0402"/>
    <s v="1003"/>
    <s v="7"/>
    <s v="0"/>
    <s v="0402011"/>
    <s v="02"/>
    <m/>
    <m/>
    <s v="Nación"/>
    <x v="0"/>
    <s v="CSF"/>
    <x v="0"/>
    <x v="0"/>
    <n v="453084318"/>
    <n v="52933064"/>
    <n v="0"/>
    <n v="506017382"/>
    <n v="0"/>
    <n v="505740193"/>
    <n v="277189"/>
    <n v="483990284"/>
    <n v="432257297"/>
    <n v="432257297"/>
    <n v="403446299"/>
  </r>
  <r>
    <s v="04-03-00"/>
    <s v="INSTITUTO GEOGRAFICO AGUSTIN CODAZZI - IGAC"/>
    <s v="C-0402-1003-7-0-0402009-02"/>
    <s v="C"/>
    <s v="0402"/>
    <s v="1003"/>
    <s v="7"/>
    <s v="0"/>
    <s v="0402009"/>
    <s v="02"/>
    <m/>
    <m/>
    <s v="Nación"/>
    <x v="0"/>
    <s v="CSF"/>
    <x v="1"/>
    <x v="0"/>
    <n v="447057930"/>
    <n v="0"/>
    <n v="52933064"/>
    <n v="394124866"/>
    <n v="0"/>
    <n v="394124866"/>
    <n v="0"/>
    <n v="394124865"/>
    <n v="342498835"/>
    <n v="342498835"/>
    <n v="339557055"/>
  </r>
  <r>
    <s v="04-03-00"/>
    <s v="INSTITUTO GEOGRAFICO AGUSTIN CODAZZI - IGAC"/>
    <s v="C-0402-1003-7-0-0402009-02"/>
    <s v="C"/>
    <s v="0402"/>
    <s v="1003"/>
    <s v="7"/>
    <s v="0"/>
    <s v="0402009"/>
    <s v="02"/>
    <m/>
    <m/>
    <s v="Propios"/>
    <x v="1"/>
    <s v="CSF"/>
    <x v="1"/>
    <x v="0"/>
    <n v="211049421"/>
    <n v="74243100"/>
    <n v="0"/>
    <n v="285292521"/>
    <n v="0"/>
    <n v="267563729"/>
    <n v="17728792"/>
    <n v="244037465"/>
    <n v="218029382"/>
    <n v="209744636"/>
    <n v="209744636"/>
  </r>
  <r>
    <s v="04-03-00"/>
    <s v="INSTITUTO GEOGRAFICO AGUSTIN CODAZZI - IGAC"/>
    <s v="C-0499-1003-8-0-0499053-02"/>
    <s v="C"/>
    <s v="0499"/>
    <s v="1003"/>
    <s v="8"/>
    <s v="0"/>
    <s v="0499053"/>
    <s v="02"/>
    <m/>
    <m/>
    <s v="Propios"/>
    <x v="1"/>
    <s v="CSF"/>
    <x v="2"/>
    <x v="1"/>
    <n v="218688738"/>
    <n v="0"/>
    <n v="44507276"/>
    <n v="174181462"/>
    <n v="0"/>
    <n v="162016224"/>
    <n v="12165238"/>
    <n v="161985860"/>
    <n v="124478799"/>
    <n v="121537019"/>
    <n v="121537019"/>
  </r>
  <r>
    <s v="04-03-00"/>
    <s v="INSTITUTO GEOGRAFICO AGUSTIN CODAZZI - IGAC"/>
    <s v="C-0499-1003-5-0-0499054-02"/>
    <s v="C"/>
    <s v="0499"/>
    <s v="1003"/>
    <s v="5"/>
    <s v="0"/>
    <s v="0499054"/>
    <s v="02"/>
    <m/>
    <m/>
    <s v="Nación"/>
    <x v="0"/>
    <s v="CSF"/>
    <x v="3"/>
    <x v="2"/>
    <n v="621613733"/>
    <n v="0"/>
    <n v="96253788"/>
    <n v="525359945"/>
    <n v="0"/>
    <n v="525359945"/>
    <n v="0"/>
    <n v="525359945"/>
    <n v="450654040"/>
    <n v="450654040"/>
    <n v="398668924"/>
  </r>
  <r>
    <s v="04-03-00"/>
    <s v="INSTITUTO GEOGRAFICO AGUSTIN CODAZZI - IGAC"/>
    <s v="C-0499-1003-5-0-0499054-02"/>
    <s v="C"/>
    <s v="0499"/>
    <s v="1003"/>
    <s v="5"/>
    <s v="0"/>
    <s v="0499054"/>
    <s v="02"/>
    <m/>
    <m/>
    <s v="Propios"/>
    <x v="1"/>
    <s v="CSF"/>
    <x v="3"/>
    <x v="2"/>
    <n v="673765907"/>
    <n v="0"/>
    <n v="63629798"/>
    <n v="610136109"/>
    <n v="0"/>
    <n v="609532873"/>
    <n v="603236"/>
    <n v="609532873"/>
    <n v="521544797"/>
    <n v="514861343"/>
    <n v="514861343"/>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19156249"/>
    <n v="9250751"/>
    <n v="119156249"/>
    <n v="86866249"/>
    <n v="86866249"/>
    <n v="86866249"/>
  </r>
  <r>
    <s v="04-03-00"/>
    <s v="INSTITUTO GEOGRAFICO AGUSTIN CODAZZI - IGAC"/>
    <s v="C-0499-1003-6-0-0499011-02"/>
    <s v="C"/>
    <s v="0499"/>
    <s v="1003"/>
    <s v="6"/>
    <s v="0"/>
    <s v="0499011"/>
    <s v="02"/>
    <m/>
    <m/>
    <s v="Propios"/>
    <x v="1"/>
    <s v="CSF"/>
    <x v="6"/>
    <x v="4"/>
    <n v="58625546"/>
    <n v="267668195"/>
    <n v="0"/>
    <n v="326293741"/>
    <n v="0"/>
    <n v="85758000"/>
    <n v="240535741"/>
    <n v="85758000"/>
    <n v="73780000"/>
    <n v="73780000"/>
    <n v="73780000"/>
  </r>
  <r>
    <s v="04-03-00"/>
    <s v="INSTITUTO GEOGRAFICO AGUSTIN CODAZZI - IGAC"/>
    <s v="C-0499-1003-6-0-0499014-02"/>
    <s v="C"/>
    <s v="0499"/>
    <s v="1003"/>
    <s v="6"/>
    <s v="0"/>
    <s v="0499014"/>
    <s v="02"/>
    <m/>
    <m/>
    <s v="Nación"/>
    <x v="0"/>
    <s v="CSF"/>
    <x v="7"/>
    <x v="4"/>
    <n v="380593263"/>
    <n v="219406737"/>
    <n v="560000000"/>
    <n v="40000000"/>
    <n v="0"/>
    <n v="40000000"/>
    <n v="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560000000"/>
    <n v="0"/>
    <n v="831593000"/>
    <n v="0"/>
    <n v="776026754.40999997"/>
    <n v="55566245.590000004"/>
    <n v="320262947.94"/>
    <n v="142346945"/>
    <n v="142346945"/>
    <n v="135016579"/>
  </r>
  <r>
    <s v="04-03-00"/>
    <s v="INSTITUTO GEOGRAFICO AGUSTIN CODAZZI - IGAC"/>
    <s v="C-0499-1003-6-0-0499016-02"/>
    <s v="C"/>
    <s v="0499"/>
    <s v="1003"/>
    <s v="6"/>
    <s v="0"/>
    <s v="0499016"/>
    <s v="02"/>
    <m/>
    <m/>
    <s v="Propios"/>
    <x v="1"/>
    <s v="CSF"/>
    <x v="8"/>
    <x v="4"/>
    <n v="307237000"/>
    <n v="0"/>
    <n v="0"/>
    <n v="307237000"/>
    <n v="0"/>
    <n v="18329600"/>
    <n v="288907400"/>
    <n v="18329600"/>
    <n v="9798903.8699999992"/>
    <n v="9798903.8699999992"/>
    <n v="9798903.8699999992"/>
  </r>
  <r>
    <s v="04-03-00"/>
    <s v="INSTITUTO GEOGRAFICO AGUSTIN CODAZZI - IGAC"/>
    <s v="C-0403-1003-2-0-0403002-02"/>
    <s v="C"/>
    <s v="0403"/>
    <s v="1003"/>
    <s v="2"/>
    <s v="0"/>
    <s v="0403002"/>
    <s v="02"/>
    <m/>
    <m/>
    <s v="Nación"/>
    <x v="0"/>
    <s v="CSF"/>
    <x v="9"/>
    <x v="5"/>
    <n v="248862633"/>
    <n v="0"/>
    <n v="0"/>
    <n v="248862633"/>
    <n v="0"/>
    <n v="248413202"/>
    <n v="449431"/>
    <n v="248413201"/>
    <n v="232188034"/>
    <n v="232188034"/>
    <n v="232188034"/>
  </r>
  <r>
    <s v="04-03-00"/>
    <s v="INSTITUTO GEOGRAFICO AGUSTIN CODAZZI - IGAC"/>
    <s v="C-0403-1003-2-0-0403002-02"/>
    <s v="C"/>
    <s v="0403"/>
    <s v="1003"/>
    <s v="2"/>
    <s v="0"/>
    <s v="0403002"/>
    <s v="02"/>
    <m/>
    <m/>
    <s v="Propios"/>
    <x v="1"/>
    <s v="CSF"/>
    <x v="9"/>
    <x v="5"/>
    <n v="9216091434"/>
    <n v="0"/>
    <n v="0"/>
    <n v="9216091434"/>
    <n v="0"/>
    <n v="710755105"/>
    <n v="8505336329"/>
    <n v="95425251"/>
    <n v="17707050"/>
    <n v="7966351"/>
    <n v="7966351"/>
  </r>
  <r>
    <s v="04-03-00"/>
    <s v="INSTITUTO GEOGRAFICO AGUSTIN CODAZZI - IGAC"/>
    <s v="C-0405-1003-4-0-0405006-02"/>
    <s v="C"/>
    <s v="0405"/>
    <s v="1003"/>
    <s v="4"/>
    <s v="0"/>
    <s v="0405006"/>
    <s v="02"/>
    <m/>
    <m/>
    <s v="Nación"/>
    <x v="0"/>
    <s v="CSF"/>
    <x v="10"/>
    <x v="3"/>
    <n v="117931087"/>
    <n v="0"/>
    <n v="0"/>
    <n v="117931087"/>
    <n v="0"/>
    <n v="117774174"/>
    <n v="156913"/>
    <n v="117774174"/>
    <n v="117529828"/>
    <n v="117529828"/>
    <n v="117529828"/>
  </r>
  <r>
    <s v="04-03-00"/>
    <s v="INSTITUTO GEOGRAFICO AGUSTIN CODAZZI - IGAC"/>
    <s v="C-0405-1003-4-0-0405006-02"/>
    <s v="C"/>
    <s v="0405"/>
    <s v="1003"/>
    <s v="4"/>
    <s v="0"/>
    <s v="0405006"/>
    <s v="02"/>
    <m/>
    <m/>
    <s v="Propios"/>
    <x v="1"/>
    <s v="CSF"/>
    <x v="10"/>
    <x v="3"/>
    <n v="2873814716"/>
    <n v="0"/>
    <n v="0"/>
    <n v="2873814716"/>
    <n v="0"/>
    <n v="937950160.82000005"/>
    <n v="1935864555.1800001"/>
    <n v="921657768.82000005"/>
    <n v="736483665.82000005"/>
    <n v="679030682.82000005"/>
    <n v="679030682.82000005"/>
  </r>
  <r>
    <s v="04-03-00"/>
    <s v="INSTITUTO GEOGRAFICO AGUSTIN CODAZZI - IGAC"/>
    <s v="C-0404-1003-2-0-0404007-02"/>
    <s v="C"/>
    <s v="0404"/>
    <s v="1003"/>
    <s v="2"/>
    <s v="0"/>
    <s v="0404007"/>
    <s v="02"/>
    <m/>
    <m/>
    <s v="Nación"/>
    <x v="0"/>
    <s v="CSF"/>
    <x v="11"/>
    <x v="6"/>
    <n v="177158520"/>
    <n v="0"/>
    <n v="0"/>
    <n v="177158520"/>
    <n v="0"/>
    <n v="171544207"/>
    <n v="5614313"/>
    <n v="171544207"/>
    <n v="141018987"/>
    <n v="138077207"/>
    <n v="138077207"/>
  </r>
  <r>
    <s v="04-03-00"/>
    <s v="INSTITUTO GEOGRAFICO AGUSTIN CODAZZI - IGAC"/>
    <s v="C-0404-1003-2-0-0404007-02"/>
    <s v="C"/>
    <s v="0404"/>
    <s v="1003"/>
    <s v="2"/>
    <s v="0"/>
    <s v="0404007"/>
    <s v="02"/>
    <m/>
    <m/>
    <s v="Propios"/>
    <x v="1"/>
    <s v="CSF"/>
    <x v="11"/>
    <x v="6"/>
    <n v="2139559116"/>
    <n v="669600617"/>
    <n v="10000000"/>
    <n v="2799159733"/>
    <n v="0"/>
    <n v="2629280944.9699998"/>
    <n v="169878788.03"/>
    <n v="2346833043.4099998"/>
    <n v="1674677169.1700001"/>
    <n v="1608645465.1700001"/>
    <n v="1608645465.1700001"/>
  </r>
  <r>
    <s v="04-03-00"/>
    <s v="INSTITUTO GEOGRAFICO AGUSTIN CODAZZI - IGAC"/>
    <s v="C-0499-1003-5-0-0499058-02"/>
    <s v="C"/>
    <s v="0499"/>
    <s v="1003"/>
    <s v="5"/>
    <s v="0"/>
    <s v="0499058"/>
    <s v="02"/>
    <m/>
    <m/>
    <s v="Nación"/>
    <x v="0"/>
    <s v="CSF"/>
    <x v="12"/>
    <x v="2"/>
    <n v="34546758"/>
    <n v="32652117"/>
    <n v="0"/>
    <n v="67198875"/>
    <n v="0"/>
    <n v="67198875"/>
    <n v="0"/>
    <n v="53163622"/>
    <n v="37617541"/>
    <n v="35122537"/>
    <n v="29364744"/>
  </r>
  <r>
    <s v="04-03-00"/>
    <s v="INSTITUTO GEOGRAFICO AGUSTIN CODAZZI - IGAC"/>
    <s v="C-0499-1003-5-0-0499058-02"/>
    <s v="C"/>
    <s v="0499"/>
    <s v="1003"/>
    <s v="5"/>
    <s v="0"/>
    <s v="0499058"/>
    <s v="02"/>
    <m/>
    <m/>
    <s v="Propios"/>
    <x v="1"/>
    <s v="CSF"/>
    <x v="12"/>
    <x v="2"/>
    <n v="174494211"/>
    <n v="0"/>
    <n v="0"/>
    <n v="174494211"/>
    <n v="0"/>
    <n v="174494211"/>
    <n v="0"/>
    <n v="174494211"/>
    <n v="162050000"/>
    <n v="162050000"/>
    <n v="162050000"/>
  </r>
  <r>
    <s v="04-03-00"/>
    <s v="INSTITUTO GEOGRAFICO AGUSTIN CODAZZI - IGAC"/>
    <s v="C-0405-1003-4-0-0405005-02"/>
    <s v="C"/>
    <s v="0405"/>
    <s v="1003"/>
    <s v="4"/>
    <s v="0"/>
    <s v="0405005"/>
    <s v="02"/>
    <m/>
    <m/>
    <s v="Propios"/>
    <x v="1"/>
    <s v="CSF"/>
    <x v="13"/>
    <x v="3"/>
    <n v="800000000"/>
    <n v="0"/>
    <n v="0"/>
    <n v="800000000"/>
    <n v="0"/>
    <n v="142473412"/>
    <n v="657526588"/>
    <n v="129473412"/>
    <n v="103695832"/>
    <n v="93106559"/>
    <n v="93106559"/>
  </r>
  <r>
    <s v="04-03-00"/>
    <s v="INSTITUTO GEOGRAFICO AGUSTIN CODAZZI - IGAC"/>
    <s v="C-0499-1003-7-0-0499052-02"/>
    <s v="C"/>
    <s v="0499"/>
    <s v="1003"/>
    <s v="7"/>
    <s v="0"/>
    <s v="0499052"/>
    <s v="02"/>
    <m/>
    <m/>
    <s v="Nación"/>
    <x v="0"/>
    <s v="CSF"/>
    <x v="14"/>
    <x v="7"/>
    <n v="131823226"/>
    <n v="0"/>
    <n v="4542135"/>
    <n v="127281091"/>
    <n v="0"/>
    <n v="125895224"/>
    <n v="1385867"/>
    <n v="125895224"/>
    <n v="118965891"/>
    <n v="118965891"/>
    <n v="113768891"/>
  </r>
  <r>
    <s v="04-03-00"/>
    <s v="INSTITUTO GEOGRAFICO AGUSTIN CODAZZI - IGAC"/>
    <s v="C-0499-1003-5-0-0499060-02"/>
    <s v="C"/>
    <s v="0499"/>
    <s v="1003"/>
    <s v="5"/>
    <s v="0"/>
    <s v="0499060"/>
    <s v="02"/>
    <m/>
    <m/>
    <s v="Nación"/>
    <x v="0"/>
    <s v="CSF"/>
    <x v="15"/>
    <x v="2"/>
    <n v="15647940"/>
    <n v="67847464"/>
    <n v="0"/>
    <n v="83495404"/>
    <n v="0"/>
    <n v="83495404"/>
    <n v="0"/>
    <n v="15647940"/>
    <n v="0"/>
    <n v="0"/>
    <n v="0"/>
  </r>
  <r>
    <s v="04-03-00"/>
    <s v="INSTITUTO GEOGRAFICO AGUSTIN CODAZZI - IGAC"/>
    <s v="C-0499-1003-5-0-0499060-02"/>
    <s v="C"/>
    <s v="0499"/>
    <s v="1003"/>
    <s v="5"/>
    <s v="0"/>
    <s v="0499060"/>
    <s v="02"/>
    <m/>
    <m/>
    <s v="Propios"/>
    <x v="1"/>
    <s v="CSF"/>
    <x v="15"/>
    <x v="2"/>
    <n v="578474644"/>
    <n v="0"/>
    <n v="8017050"/>
    <n v="570457594"/>
    <n v="0"/>
    <n v="565729862"/>
    <n v="4727732"/>
    <n v="565729862"/>
    <n v="487868500"/>
    <n v="482834982"/>
    <n v="482834982"/>
  </r>
  <r>
    <s v="04-03-00"/>
    <s v="INSTITUTO GEOGRAFICO AGUSTIN CODAZZI - IGAC"/>
    <s v="C-0403-1003-2-0-0403005-02"/>
    <s v="C"/>
    <s v="0403"/>
    <s v="1003"/>
    <s v="2"/>
    <s v="0"/>
    <s v="0403005"/>
    <s v="02"/>
    <m/>
    <m/>
    <s v="Nación"/>
    <x v="0"/>
    <s v="CSF"/>
    <x v="16"/>
    <x v="8"/>
    <n v="921647633"/>
    <n v="0"/>
    <n v="0"/>
    <n v="921647633"/>
    <n v="0"/>
    <n v="920502639"/>
    <n v="1144994"/>
    <n v="920502639"/>
    <n v="905407882"/>
    <n v="900424837"/>
    <n v="900424837"/>
  </r>
  <r>
    <s v="04-03-00"/>
    <s v="INSTITUTO GEOGRAFICO AGUSTIN CODAZZI - IGAC"/>
    <s v="C-0403-1003-2-0-0403005-02"/>
    <s v="C"/>
    <s v="0403"/>
    <s v="1003"/>
    <s v="2"/>
    <s v="0"/>
    <s v="0403005"/>
    <s v="02"/>
    <m/>
    <m/>
    <s v="Propios"/>
    <x v="1"/>
    <s v="CSF"/>
    <x v="16"/>
    <x v="8"/>
    <n v="1900385459"/>
    <n v="0"/>
    <n v="0"/>
    <n v="1900385459"/>
    <n v="0"/>
    <n v="338302153.77999997"/>
    <n v="1562083305.22"/>
    <n v="317125564.77999997"/>
    <n v="200671209.78"/>
    <n v="200671209.78"/>
    <n v="200671209.78"/>
  </r>
  <r>
    <s v="04-03-00"/>
    <s v="INSTITUTO GEOGRAFICO AGUSTIN CODAZZI - IGAC"/>
    <s v="C-0402-1003-8-0-0402014-02"/>
    <s v="C"/>
    <s v="0402"/>
    <s v="1003"/>
    <s v="8"/>
    <s v="0"/>
    <s v="0402014"/>
    <s v="02"/>
    <m/>
    <m/>
    <s v="Nación"/>
    <x v="0"/>
    <s v="CSF"/>
    <x v="17"/>
    <x v="9"/>
    <n v="2602760722"/>
    <n v="85591209"/>
    <n v="15000000"/>
    <n v="2673351931"/>
    <n v="0"/>
    <n v="2673351930.52"/>
    <n v="0.48"/>
    <n v="2588235720.52"/>
    <n v="2191662961.8800001"/>
    <n v="2143992885.3800001"/>
    <n v="2041440639.3800001"/>
  </r>
  <r>
    <s v="04-03-00"/>
    <s v="INSTITUTO GEOGRAFICO AGUSTIN CODAZZI - IGAC"/>
    <s v="C-0402-1003-8-0-0402014-02"/>
    <s v="C"/>
    <s v="0402"/>
    <s v="1003"/>
    <s v="8"/>
    <s v="0"/>
    <s v="0402014"/>
    <s v="02"/>
    <m/>
    <m/>
    <s v="Propios"/>
    <x v="1"/>
    <s v="CSF"/>
    <x v="17"/>
    <x v="9"/>
    <n v="5274626556"/>
    <n v="0"/>
    <n v="571466884"/>
    <n v="4703159672"/>
    <n v="0"/>
    <n v="3968264664.7399998"/>
    <n v="734895007.25999999"/>
    <n v="3769474484.7399998"/>
    <n v="2435105364.3800001"/>
    <n v="2420977278.3800001"/>
    <n v="2420977278.3800001"/>
  </r>
  <r>
    <s v="04-03-00"/>
    <s v="INSTITUTO GEOGRAFICO AGUSTIN CODAZZI - IGAC"/>
    <s v="C-0404-1003-2-0-0404004-02"/>
    <s v="C"/>
    <s v="0404"/>
    <s v="1003"/>
    <s v="2"/>
    <s v="0"/>
    <s v="0404004"/>
    <s v="02"/>
    <m/>
    <m/>
    <s v="Nación"/>
    <x v="0"/>
    <s v="CSF"/>
    <x v="18"/>
    <x v="6"/>
    <n v="10157357263"/>
    <n v="0"/>
    <n v="0"/>
    <n v="10157357263"/>
    <n v="0"/>
    <n v="9778242553"/>
    <n v="379114710"/>
    <n v="9082194681.0300007"/>
    <n v="7274335526.9899998"/>
    <n v="7171947185.9899998"/>
    <n v="7147035784.9899998"/>
  </r>
  <r>
    <s v="04-03-00"/>
    <s v="INSTITUTO GEOGRAFICO AGUSTIN CODAZZI - IGAC"/>
    <s v="C-0404-1003-2-0-0404004-02"/>
    <s v="C"/>
    <s v="0404"/>
    <s v="1003"/>
    <s v="2"/>
    <s v="0"/>
    <s v="0404004"/>
    <s v="02"/>
    <m/>
    <m/>
    <s v="Propios"/>
    <x v="1"/>
    <s v="CSF"/>
    <x v="18"/>
    <x v="6"/>
    <n v="26375027467"/>
    <n v="10000000"/>
    <n v="669600617"/>
    <n v="25715426850"/>
    <n v="0"/>
    <n v="16360708473.98"/>
    <n v="9354718376.0200005"/>
    <n v="13539704943.780001"/>
    <n v="9646186588.6800003"/>
    <n v="9492481619.6800003"/>
    <n v="9492481619.6800003"/>
  </r>
  <r>
    <s v="04-03-00"/>
    <s v="INSTITUTO GEOGRAFICO AGUSTIN CODAZZI - IGAC"/>
    <s v="C-0402-1003-7-0-0402003-02"/>
    <s v="C"/>
    <s v="0402"/>
    <s v="1003"/>
    <s v="7"/>
    <s v="0"/>
    <s v="0402003"/>
    <s v="02"/>
    <m/>
    <m/>
    <s v="Nación"/>
    <x v="0"/>
    <s v="CSF"/>
    <x v="19"/>
    <x v="0"/>
    <n v="136416920"/>
    <n v="0"/>
    <n v="0"/>
    <n v="136416920"/>
    <n v="0"/>
    <n v="136416920"/>
    <n v="0"/>
    <n v="136157166"/>
    <n v="103885061"/>
    <n v="103885061"/>
    <n v="95059721"/>
  </r>
  <r>
    <s v="04-03-00"/>
    <s v="INSTITUTO GEOGRAFICO AGUSTIN CODAZZI - IGAC"/>
    <s v="C-0402-1003-7-0-0402003-02"/>
    <s v="C"/>
    <s v="0402"/>
    <s v="1003"/>
    <s v="7"/>
    <s v="0"/>
    <s v="0402003"/>
    <s v="02"/>
    <m/>
    <m/>
    <s v="Propios"/>
    <x v="1"/>
    <s v="CSF"/>
    <x v="19"/>
    <x v="0"/>
    <n v="623729205"/>
    <n v="0"/>
    <n v="74243100"/>
    <n v="549486105"/>
    <n v="0"/>
    <n v="530067500"/>
    <n v="19418605"/>
    <n v="530067500"/>
    <n v="473802740"/>
    <n v="473802740"/>
    <n v="473802740"/>
  </r>
  <r>
    <s v="04-03-00"/>
    <s v="INSTITUTO GEOGRAFICO AGUSTIN CODAZZI - IGAC"/>
    <s v="C-0402-1003-8-0-0402003-02"/>
    <s v="C"/>
    <s v="0402"/>
    <s v="1003"/>
    <s v="8"/>
    <s v="0"/>
    <s v="0402003"/>
    <s v="02"/>
    <m/>
    <m/>
    <s v="Nación"/>
    <x v="0"/>
    <s v="CSF"/>
    <x v="19"/>
    <x v="9"/>
    <n v="131121612"/>
    <n v="0"/>
    <n v="85591209"/>
    <n v="45530403"/>
    <n v="0"/>
    <n v="45530403"/>
    <n v="0"/>
    <n v="45530403"/>
    <n v="23293342"/>
    <n v="23293342"/>
    <n v="20621859"/>
  </r>
  <r>
    <s v="04-03-00"/>
    <s v="INSTITUTO GEOGRAFICO AGUSTIN CODAZZI - IGAC"/>
    <s v="C-0402-1003-8-0-0402003-02"/>
    <s v="C"/>
    <s v="0402"/>
    <s v="1003"/>
    <s v="8"/>
    <s v="0"/>
    <s v="0402003"/>
    <s v="02"/>
    <m/>
    <m/>
    <s v="Propios"/>
    <x v="1"/>
    <s v="CSF"/>
    <x v="19"/>
    <x v="9"/>
    <n v="127354183"/>
    <n v="0"/>
    <n v="3750102"/>
    <n v="123604081"/>
    <n v="0"/>
    <n v="121795014"/>
    <n v="1809067"/>
    <n v="121795014"/>
    <n v="93488115"/>
    <n v="93488115"/>
    <n v="90816632"/>
  </r>
  <r>
    <s v="04-03-00"/>
    <s v="INSTITUTO GEOGRAFICO AGUSTIN CODAZZI - IGAC"/>
    <s v="C-0402-1003-8-0-0402016-02"/>
    <s v="C"/>
    <s v="0402"/>
    <s v="1003"/>
    <s v="8"/>
    <s v="0"/>
    <s v="0402016"/>
    <s v="02"/>
    <m/>
    <m/>
    <s v="Nación"/>
    <x v="0"/>
    <s v="CSF"/>
    <x v="20"/>
    <x v="9"/>
    <n v="1105367265"/>
    <n v="15000000"/>
    <n v="0"/>
    <n v="1120367265"/>
    <n v="0"/>
    <n v="1120367264.7"/>
    <n v="0.3"/>
    <n v="1111012730.7"/>
    <n v="1015915875.7"/>
    <n v="997986636.70000005"/>
    <n v="946315968.70000005"/>
  </r>
  <r>
    <s v="04-03-00"/>
    <s v="INSTITUTO GEOGRAFICO AGUSTIN CODAZZI - IGAC"/>
    <s v="C-0402-1003-8-0-0402016-02"/>
    <s v="C"/>
    <s v="0402"/>
    <s v="1003"/>
    <s v="8"/>
    <s v="0"/>
    <s v="0402016"/>
    <s v="02"/>
    <m/>
    <m/>
    <s v="Propios"/>
    <x v="1"/>
    <s v="CSF"/>
    <x v="20"/>
    <x v="9"/>
    <n v="588783521"/>
    <n v="575216986"/>
    <n v="0"/>
    <n v="1164000507"/>
    <n v="0"/>
    <n v="984147955.41999996"/>
    <n v="179852551.58000001"/>
    <n v="787659579.41999996"/>
    <n v="739854396.41999996"/>
    <n v="388818396.42000002"/>
    <n v="388818396.42000002"/>
  </r>
  <r>
    <s v="04-03-00"/>
    <s v="INSTITUTO GEOGRAFICO AGUSTIN CODAZZI - IGAC"/>
    <s v="C-0499-1003-8-0-0499063-02"/>
    <s v="C"/>
    <s v="0499"/>
    <s v="1003"/>
    <s v="8"/>
    <s v="0"/>
    <s v="0499063"/>
    <s v="02"/>
    <m/>
    <m/>
    <s v="Nación"/>
    <x v="0"/>
    <s v="CSF"/>
    <x v="21"/>
    <x v="1"/>
    <n v="54006100"/>
    <n v="0"/>
    <n v="0"/>
    <n v="54006100"/>
    <n v="0"/>
    <n v="28778040"/>
    <n v="25228060"/>
    <n v="23214645"/>
    <n v="11334213"/>
    <n v="11334213"/>
    <n v="11334213"/>
  </r>
  <r>
    <s v="04-03-00"/>
    <s v="INSTITUTO GEOGRAFICO AGUSTIN CODAZZI - IGAC"/>
    <s v="C-0499-1003-8-0-0499063-02"/>
    <s v="C"/>
    <s v="0499"/>
    <s v="1003"/>
    <s v="8"/>
    <s v="0"/>
    <s v="0499063"/>
    <s v="02"/>
    <m/>
    <m/>
    <s v="Propios"/>
    <x v="1"/>
    <s v="CSF"/>
    <x v="21"/>
    <x v="1"/>
    <n v="750353080"/>
    <n v="44507276"/>
    <n v="0"/>
    <n v="794860356"/>
    <n v="0"/>
    <n v="770719378"/>
    <n v="24140978"/>
    <n v="763096798"/>
    <n v="663065159"/>
    <n v="640902974"/>
    <n v="640902974"/>
  </r>
  <r>
    <s v="04-03-00"/>
    <s v="INSTITUTO GEOGRAFICO AGUSTIN CODAZZI - IGAC"/>
    <s v="C-0499-1003-7-0-0499063-02"/>
    <s v="C"/>
    <s v="0499"/>
    <s v="1003"/>
    <s v="7"/>
    <s v="0"/>
    <s v="0499063"/>
    <s v="02"/>
    <m/>
    <m/>
    <s v="Nación"/>
    <x v="0"/>
    <s v="CSF"/>
    <x v="21"/>
    <x v="7"/>
    <n v="74995618"/>
    <n v="4542135"/>
    <n v="0"/>
    <n v="79537753"/>
    <n v="0"/>
    <n v="78445682"/>
    <n v="1092071"/>
    <n v="78445682"/>
    <n v="53926986"/>
    <n v="50286750"/>
    <n v="50286750"/>
  </r>
  <r>
    <s v="04-03-00"/>
    <s v="INSTITUTO GEOGRAFICO AGUSTIN CODAZZI - IGAC"/>
    <s v="C-0499-1003-5-0-0499065-02"/>
    <s v="C"/>
    <s v="0499"/>
    <s v="1003"/>
    <s v="5"/>
    <s v="0"/>
    <s v="0499065"/>
    <s v="02"/>
    <m/>
    <m/>
    <s v="Nación"/>
    <x v="0"/>
    <s v="CSF"/>
    <x v="22"/>
    <x v="2"/>
    <n v="1941191365"/>
    <n v="9100000"/>
    <n v="63540491"/>
    <n v="1886750874"/>
    <n v="0"/>
    <n v="1820563912.72"/>
    <n v="66186961.280000001"/>
    <n v="1800891777.76"/>
    <n v="1443561387.24"/>
    <n v="1381359960.24"/>
    <n v="1374992330.24"/>
  </r>
  <r>
    <s v="04-03-00"/>
    <s v="INSTITUTO GEOGRAFICO AGUSTIN CODAZZI - IGAC"/>
    <s v="C-0499-1003-5-0-0499065-02"/>
    <s v="C"/>
    <s v="0499"/>
    <s v="1003"/>
    <s v="5"/>
    <s v="0"/>
    <s v="0499065"/>
    <s v="02"/>
    <m/>
    <m/>
    <s v="Propios"/>
    <x v="1"/>
    <s v="CSF"/>
    <x v="22"/>
    <x v="2"/>
    <n v="1975710478"/>
    <n v="71646848"/>
    <n v="0"/>
    <n v="2047357326"/>
    <n v="0"/>
    <n v="1875928548"/>
    <n v="171428778"/>
    <n v="1875928548"/>
    <n v="1704774055"/>
    <n v="1628631274"/>
    <n v="1628631274"/>
  </r>
  <r>
    <s v="04-03-00"/>
    <s v="INSTITUTO GEOGRAFICO AGUSTIN CODAZZI - IGAC"/>
    <s v="C-0404-1003-2-0-0404004-02041"/>
    <s v="C"/>
    <s v="0404"/>
    <s v="1003"/>
    <s v="2"/>
    <s v="0"/>
    <s v="0404004"/>
    <s v="02041"/>
    <s v=""/>
    <s v=""/>
    <s v="Nación"/>
    <x v="2"/>
    <s v="CSF"/>
    <x v="23"/>
    <x v="10"/>
    <n v="777348630"/>
    <n v="0"/>
    <n v="0"/>
    <n v="777348630"/>
    <n v="0"/>
    <n v="592919661"/>
    <n v="184428969"/>
    <n v="229798185"/>
    <n v="141989262"/>
    <n v="141989262"/>
    <n v="141989262"/>
  </r>
  <r>
    <s v="04-03-00"/>
    <s v="INSTITUTO GEOGRAFICO AGUSTIN CODAZZI - IGAC"/>
    <s v="C-0404-1003-2-0-0404004-02042"/>
    <s v="C"/>
    <s v="0404"/>
    <s v="1003"/>
    <s v="2"/>
    <s v="0"/>
    <s v="0404004"/>
    <s v="02042"/>
    <s v=""/>
    <s v=""/>
    <s v="Nación"/>
    <x v="2"/>
    <s v="CSF"/>
    <x v="24"/>
    <x v="10"/>
    <n v="2592297648"/>
    <n v="0"/>
    <n v="0"/>
    <n v="2592297648"/>
    <n v="0"/>
    <n v="1213669335"/>
    <n v="1378628313"/>
    <n v="696156242"/>
    <n v="442448208.58999997"/>
    <n v="425032256.58999997"/>
    <n v="425032256.58999997"/>
  </r>
  <r>
    <s v="04-03-00"/>
    <s v="INSTITUTO GEOGRAFICO AGUSTIN CODAZZI - IGAC"/>
    <s v="C-0404-1003-2-0-0404004-01022"/>
    <s v="C"/>
    <s v="0404"/>
    <s v="1003"/>
    <s v="2"/>
    <s v="0"/>
    <s v="0404004"/>
    <s v="01022"/>
    <s v=""/>
    <s v=""/>
    <s v="Nación"/>
    <x v="2"/>
    <s v="CSF"/>
    <x v="24"/>
    <x v="10"/>
    <n v="1145000000"/>
    <n v="0"/>
    <n v="0"/>
    <n v="1145000000"/>
    <n v="0"/>
    <n v="629135292.17999995"/>
    <n v="515864707.81999999"/>
    <n v="140040684"/>
    <n v="109365106"/>
    <n v="109365106"/>
    <n v="109365106"/>
  </r>
  <r>
    <s v="04-03-00"/>
    <s v="INSTITUTO GEOGRAFICO AGUSTIN CODAZZI - IGAC"/>
    <s v="C-0404-1003-2-0-0404004-02011"/>
    <s v="C"/>
    <s v="0404"/>
    <s v="1003"/>
    <s v="2"/>
    <s v="0"/>
    <s v="0404004"/>
    <s v="02011"/>
    <s v=""/>
    <s v=""/>
    <s v="Nación"/>
    <x v="2"/>
    <s v="CSF"/>
    <x v="23"/>
    <x v="10"/>
    <n v="10915000000"/>
    <n v="0"/>
    <n v="0"/>
    <n v="10915000000"/>
    <n v="0"/>
    <n v="1909977553"/>
    <n v="9005022447"/>
    <n v="1146301179"/>
    <n v="931227686"/>
    <n v="916127132"/>
    <n v="916127132"/>
  </r>
  <r>
    <s v="04-03-00"/>
    <s v="INSTITUTO GEOGRAFICO AGUSTIN CODAZZI - IGAC"/>
    <s v="C-0404-1003-2-0-0404004-02012"/>
    <s v="C"/>
    <s v="0404"/>
    <s v="1003"/>
    <s v="2"/>
    <s v="0"/>
    <s v="0404004"/>
    <s v="02012"/>
    <s v=""/>
    <s v=""/>
    <s v="Nación"/>
    <x v="2"/>
    <s v="CSF"/>
    <x v="24"/>
    <x v="10"/>
    <n v="20975000000"/>
    <n v="0"/>
    <n v="0"/>
    <n v="20975000000"/>
    <n v="0"/>
    <n v="4281192526"/>
    <n v="16693807474"/>
    <n v="1273843348"/>
    <n v="1191733348"/>
    <n v="1191733348"/>
    <n v="1191733348"/>
  </r>
  <r>
    <s v="04-03-00"/>
    <s v="INSTITUTO GEOGRAFICO AGUSTIN CODAZZI - IGAC"/>
    <s v="C-0404-1003-2-0-0404004-04022"/>
    <s v="C"/>
    <s v="0404"/>
    <s v="1003"/>
    <s v="2"/>
    <s v="0"/>
    <s v="0404004"/>
    <s v="04022"/>
    <s v=""/>
    <s v=""/>
    <s v="Nación"/>
    <x v="2"/>
    <s v="CSF"/>
    <x v="24"/>
    <x v="10"/>
    <n v="1700000000"/>
    <n v="0"/>
    <n v="0"/>
    <n v="1700000000"/>
    <n v="0"/>
    <n v="1460056558.6400001"/>
    <n v="239943441.36000001"/>
    <n v="1314460936"/>
    <n v="943485803.40999997"/>
    <n v="943485803.40999997"/>
    <n v="943485803.40999997"/>
  </r>
  <r>
    <s v="04-03-00"/>
    <s v="INSTITUTO GEOGRAFICO AGUSTIN CODAZZI - IGAC"/>
    <s v="C-0404-1003-2-0-0404004-03021"/>
    <s v="C"/>
    <s v="0404"/>
    <s v="1003"/>
    <s v="2"/>
    <s v="0"/>
    <s v="0404004"/>
    <s v="03021"/>
    <s v=""/>
    <s v=""/>
    <s v="Nación"/>
    <x v="2"/>
    <s v="CSF"/>
    <x v="23"/>
    <x v="10"/>
    <n v="40980812158"/>
    <n v="0"/>
    <n v="0"/>
    <n v="40980812158"/>
    <n v="0"/>
    <n v="16430833144.030001"/>
    <n v="24549979013.970001"/>
    <n v="11487403343.17"/>
    <n v="1469187820.95"/>
    <n v="1469187820.95"/>
    <n v="1469187820.95"/>
  </r>
  <r>
    <s v="04-03-00"/>
    <s v="INSTITUTO GEOGRAFICO AGUSTIN CODAZZI - IGAC"/>
    <s v="C-0404-1003-2-0-0404004-03022"/>
    <s v="C"/>
    <s v="0404"/>
    <s v="1003"/>
    <s v="2"/>
    <s v="0"/>
    <s v="0404004"/>
    <s v="03022"/>
    <s v=""/>
    <s v=""/>
    <s v="Nación"/>
    <x v="2"/>
    <s v="CSF"/>
    <x v="24"/>
    <x v="10"/>
    <n v="55360538760"/>
    <n v="0"/>
    <n v="0"/>
    <n v="55360538760"/>
    <n v="0"/>
    <n v="33932881737.169998"/>
    <n v="21427657022.830002"/>
    <n v="13301308361.26"/>
    <n v="2276645051.0799999"/>
    <n v="2272412197.0799999"/>
    <n v="2272412197.07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n v="26"/>
    <x v="0"/>
    <x v="0"/>
    <x v="0"/>
    <x v="0"/>
    <x v="0"/>
    <x v="0"/>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0"/>
    <x v="0"/>
    <n v="7"/>
    <x v="0"/>
    <x v="0"/>
    <x v="0"/>
    <n v="21446236"/>
    <n v="21446236"/>
    <x v="0"/>
    <x v="0"/>
    <x v="0"/>
    <x v="0"/>
    <s v="Subdirección de Agrología"/>
    <x v="0"/>
    <s v="Subdriector de Agrología"/>
    <x v="0"/>
    <x v="0"/>
    <s v="Estudio de suelos como insumo para el ordenamiento integral del territorio."/>
    <s v="Sistema de información agrologica actualizado"/>
    <n v="151"/>
    <d v="2021-02-01T00:00:00"/>
    <n v="3063748"/>
    <n v="21446236"/>
    <n v="21446236"/>
    <x v="0"/>
    <s v="GUERTHY ADRIANA MORENO SÁNCHEZ"/>
    <n v="0"/>
    <x v="0"/>
    <n v="24431"/>
    <x v="0"/>
    <x v="0"/>
  </r>
  <r>
    <x v="0"/>
    <n v="40"/>
    <x v="0"/>
    <x v="0"/>
    <x v="0"/>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s v="Subdirección de Agrología"/>
    <x v="0"/>
    <s v="Subdirector de Agrología "/>
    <x v="0"/>
    <x v="0"/>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0"/>
    <n v="39"/>
    <x v="0"/>
    <x v="0"/>
    <x v="0"/>
    <x v="0"/>
    <x v="0"/>
    <x v="0"/>
    <x v="2"/>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s v="Subdirección de Agrología"/>
    <x v="0"/>
    <s v="Subdirector de Agrología "/>
    <x v="0"/>
    <x v="0"/>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0"/>
    <n v="2"/>
    <x v="0"/>
    <x v="0"/>
    <x v="0"/>
    <x v="0"/>
    <x v="0"/>
    <x v="0"/>
    <x v="3"/>
    <s v="Servicios de formación profesional en ingeniería"/>
    <x v="0"/>
    <n v="86101610"/>
    <s v="Prestación de servicios profesionales para realizar actividades de apoyo a los procesos administrativos que adelanta la Subdirección de Agrología"/>
    <x v="2"/>
    <x v="2"/>
    <n v="7"/>
    <x v="0"/>
    <x v="0"/>
    <x v="0"/>
    <n v="21236040"/>
    <n v="21236040"/>
    <x v="0"/>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0"/>
    <s v="VIVIANA ANDREA RUEDA CALDERÓN"/>
    <n v="3248"/>
    <x v="0"/>
    <n v="24308"/>
    <x v="0"/>
    <x v="0"/>
  </r>
  <r>
    <x v="0"/>
    <n v="18"/>
    <x v="0"/>
    <x v="0"/>
    <x v="0"/>
    <x v="1"/>
    <x v="1"/>
    <x v="0"/>
    <x v="3"/>
    <s v="Servicios de formación profesional en ingeniería"/>
    <x v="0"/>
    <n v="86101610"/>
    <s v="Prestación de servicios Profesionales para la ejecución de análisis de mediana complejidad, registro de información y aplicación de controles de calidad en el GIT Laboratorio Nacional de Suelos."/>
    <x v="2"/>
    <x v="2"/>
    <n v="7"/>
    <x v="0"/>
    <x v="0"/>
    <x v="0"/>
    <n v="42472080"/>
    <n v="42472080"/>
    <x v="0"/>
    <x v="1"/>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1"/>
    <x v="0"/>
  </r>
  <r>
    <x v="0"/>
    <n v="8"/>
    <x v="0"/>
    <x v="0"/>
    <x v="0"/>
    <x v="2"/>
    <x v="2"/>
    <x v="0"/>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0"/>
    <x v="0"/>
    <n v="7"/>
    <x v="0"/>
    <x v="0"/>
    <x v="0"/>
    <n v="63708120"/>
    <n v="63708120"/>
    <x v="0"/>
    <x v="2"/>
    <x v="0"/>
    <x v="0"/>
    <s v="Subdirección de Agrología"/>
    <x v="0"/>
    <s v="Subdriector de Agrología"/>
    <x v="0"/>
    <x v="0"/>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2"/>
    <x v="0"/>
  </r>
  <r>
    <x v="0"/>
    <n v="4"/>
    <x v="0"/>
    <x v="0"/>
    <x v="0"/>
    <x v="0"/>
    <x v="0"/>
    <x v="0"/>
    <x v="3"/>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0"/>
    <s v="VALENTINA ROJAS"/>
    <n v="92050"/>
    <x v="0"/>
    <n v="24338"/>
    <x v="0"/>
    <x v="0"/>
  </r>
  <r>
    <x v="0"/>
    <n v="6"/>
    <x v="0"/>
    <x v="0"/>
    <x v="0"/>
    <x v="0"/>
    <x v="0"/>
    <x v="0"/>
    <x v="3"/>
    <s v="Servicios de formación profesional en ingeniería"/>
    <x v="0"/>
    <n v="86101610"/>
    <s v="Prestación de servicios para el manejo de la información que genere la subdirección de agrología en el desarrollo de sus proyectos."/>
    <x v="2"/>
    <x v="2"/>
    <n v="7"/>
    <x v="0"/>
    <x v="0"/>
    <x v="0"/>
    <n v="18155711"/>
    <n v="18155711"/>
    <x v="0"/>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0"/>
    <s v="ANDREA PILAR SINTURA HUERTA"/>
    <n v="124145"/>
    <x v="0"/>
    <n v="24309"/>
    <x v="0"/>
    <x v="0"/>
  </r>
  <r>
    <x v="0"/>
    <n v="23"/>
    <x v="0"/>
    <x v="0"/>
    <x v="0"/>
    <x v="0"/>
    <x v="0"/>
    <x v="0"/>
    <x v="3"/>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0"/>
    <n v="20"/>
    <x v="0"/>
    <x v="0"/>
    <x v="0"/>
    <x v="0"/>
    <x v="0"/>
    <x v="0"/>
    <x v="3"/>
    <s v="Servicios de formación profesional en ingeniería"/>
    <x v="0"/>
    <n v="86101610"/>
    <s v="Prestación de servicios personales para implementar y ejecutar las actividades de control ambiental bajo la Norma ISO 14001 y manejo de residuos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0"/>
    <n v="5"/>
    <x v="0"/>
    <x v="0"/>
    <x v="0"/>
    <x v="0"/>
    <x v="0"/>
    <x v="0"/>
    <x v="3"/>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2"/>
    <x v="2"/>
    <n v="7"/>
    <x v="0"/>
    <x v="0"/>
    <x v="0"/>
    <n v="28975394"/>
    <n v="28975394"/>
    <x v="0"/>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0"/>
    <s v="JOHANNA KATERINE CORDERO CASALLAS"/>
    <n v="185927"/>
    <x v="0"/>
    <n v="24434"/>
    <x v="0"/>
    <x v="0"/>
  </r>
  <r>
    <x v="0"/>
    <n v="16"/>
    <x v="0"/>
    <x v="0"/>
    <x v="0"/>
    <x v="0"/>
    <x v="0"/>
    <x v="0"/>
    <x v="4"/>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0"/>
    <n v="21"/>
    <x v="0"/>
    <x v="0"/>
    <x v="0"/>
    <x v="0"/>
    <x v="0"/>
    <x v="0"/>
    <x v="3"/>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2"/>
    <x v="2"/>
    <n v="7"/>
    <x v="0"/>
    <x v="0"/>
    <x v="0"/>
    <n v="28975394"/>
    <n v="28975394"/>
    <x v="0"/>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0"/>
    <n v="15"/>
    <x v="0"/>
    <x v="0"/>
    <x v="0"/>
    <x v="0"/>
    <x v="0"/>
    <x v="0"/>
    <x v="3"/>
    <s v="Servicios de formación profesional en ingeniería"/>
    <x v="0"/>
    <n v="86101610"/>
    <s v="Prestación de servicios profesionales para asignación, elaboración y consolidación de información fotogramétrica de los diferentes proyectos que adelante la subdirección de Agrología."/>
    <x v="2"/>
    <x v="2"/>
    <n v="7"/>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0"/>
    <n v="11"/>
    <x v="0"/>
    <x v="0"/>
    <x v="0"/>
    <x v="1"/>
    <x v="1"/>
    <x v="0"/>
    <x v="3"/>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2"/>
    <x v="2"/>
    <n v="7"/>
    <x v="0"/>
    <x v="0"/>
    <x v="0"/>
    <n v="36311422"/>
    <n v="36311422"/>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1"/>
    <x v="0"/>
  </r>
  <r>
    <x v="0"/>
    <n v="22"/>
    <x v="0"/>
    <x v="0"/>
    <x v="0"/>
    <x v="0"/>
    <x v="0"/>
    <x v="0"/>
    <x v="3"/>
    <s v="Servicios de formación profesional en ingeniería"/>
    <x v="0"/>
    <n v="86101610"/>
    <s v="Prestación de servicios personales para realizar la preparación y manejo de muestras de suelos, aguas, compost y tejido vegetal en el GIT Laboratorio Nacional de Suelos. "/>
    <x v="2"/>
    <x v="2"/>
    <n v="7"/>
    <x v="0"/>
    <x v="0"/>
    <x v="0"/>
    <n v="16296816"/>
    <n v="16296816"/>
    <x v="0"/>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0"/>
    <n v="3"/>
    <x v="0"/>
    <x v="0"/>
    <x v="0"/>
    <x v="0"/>
    <x v="0"/>
    <x v="0"/>
    <x v="3"/>
    <s v="Servicios de formación profesional en ingeniería"/>
    <x v="0"/>
    <n v="86101610"/>
    <s v="Prestación de servicios personales para realizar la digitación y consolidación de la información agrológica, acorde con los estándares de control de calidad de la entidad."/>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0"/>
    <s v="MARÍA PAULA ROJAS"/>
    <n v="362089"/>
    <x v="0"/>
    <n v="24420"/>
    <x v="0"/>
    <x v="0"/>
  </r>
  <r>
    <x v="0"/>
    <n v="13"/>
    <x v="0"/>
    <x v="0"/>
    <x v="0"/>
    <x v="1"/>
    <x v="1"/>
    <x v="0"/>
    <x v="3"/>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2"/>
    <x v="2"/>
    <n v="7"/>
    <x v="0"/>
    <x v="0"/>
    <x v="0"/>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1"/>
    <x v="0"/>
  </r>
  <r>
    <x v="0"/>
    <n v="19"/>
    <x v="0"/>
    <x v="0"/>
    <x v="0"/>
    <x v="2"/>
    <x v="2"/>
    <x v="0"/>
    <x v="3"/>
    <s v="Servicios de formación profesional en ingeniería"/>
    <x v="0"/>
    <n v="86101610"/>
    <s v="Prestación de servicios personales para la ejecución de análisis básicos y aplicación de controles de calidad en el GIT Laboratorio Nacional de Suelos."/>
    <x v="2"/>
    <x v="2"/>
    <n v="7"/>
    <x v="0"/>
    <x v="0"/>
    <x v="0"/>
    <n v="54467133"/>
    <n v="54467133"/>
    <x v="0"/>
    <x v="2"/>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2"/>
    <x v="0"/>
  </r>
  <r>
    <x v="0"/>
    <n v="25"/>
    <x v="0"/>
    <x v="0"/>
    <x v="0"/>
    <x v="1"/>
    <x v="1"/>
    <x v="0"/>
    <x v="3"/>
    <s v="Servicios de formación profesional en ingeniería"/>
    <x v="0"/>
    <n v="86101610"/>
    <s v="Prestación de servicios personales para realizar el lavado y alistamiento de la instrumentación requerida para la ejecución de análisis en el GIT Laboratorio Nacional de Suelos."/>
    <x v="2"/>
    <x v="2"/>
    <n v="7"/>
    <x v="0"/>
    <x v="0"/>
    <x v="0"/>
    <n v="28519428"/>
    <n v="28519428"/>
    <x v="0"/>
    <x v="1"/>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1"/>
    <x v="0"/>
  </r>
  <r>
    <x v="0"/>
    <n v="1"/>
    <x v="0"/>
    <x v="0"/>
    <x v="0"/>
    <x v="0"/>
    <x v="0"/>
    <x v="0"/>
    <x v="3"/>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2"/>
    <x v="2"/>
    <n v="7"/>
    <x v="0"/>
    <x v="0"/>
    <x v="0"/>
    <n v="51312562"/>
    <n v="51312562"/>
    <x v="0"/>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0"/>
    <s v="ADRIANA CAROLINA RIVADENEIRA PISCIOTTI"/>
    <n v="483210"/>
    <x v="0"/>
    <n v="24307"/>
    <x v="0"/>
    <x v="0"/>
  </r>
  <r>
    <x v="0"/>
    <n v="24"/>
    <x v="0"/>
    <x v="0"/>
    <x v="0"/>
    <x v="0"/>
    <x v="0"/>
    <x v="0"/>
    <x v="3"/>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2"/>
    <x v="2"/>
    <n v="7"/>
    <x v="0"/>
    <x v="0"/>
    <x v="0"/>
    <n v="33820360"/>
    <n v="33820360"/>
    <x v="0"/>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0"/>
    <n v="12"/>
    <x v="0"/>
    <x v="0"/>
    <x v="0"/>
    <x v="0"/>
    <x v="0"/>
    <x v="0"/>
    <x v="3"/>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0"/>
    <n v="7"/>
    <x v="0"/>
    <x v="0"/>
    <x v="0"/>
    <x v="0"/>
    <x v="0"/>
    <x v="0"/>
    <x v="3"/>
    <s v="Servicios de formación profesional en ingeniería"/>
    <x v="0"/>
    <n v="86101610"/>
    <s v="Prestación de servicios profesionales para realizar el control de calidad de la interacción de la información de los levantamientos de suelos y aplicaciones agrologicas a nivel nacional"/>
    <x v="2"/>
    <x v="2"/>
    <n v="7"/>
    <x v="0"/>
    <x v="0"/>
    <x v="0"/>
    <n v="33820360"/>
    <n v="33820360"/>
    <x v="0"/>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0"/>
    <s v="JULIANA YAMILE CUY TORRES"/>
    <n v="648830"/>
    <x v="0"/>
    <n v="24434"/>
    <x v="0"/>
    <x v="0"/>
  </r>
  <r>
    <x v="0"/>
    <n v="17"/>
    <x v="0"/>
    <x v="0"/>
    <x v="0"/>
    <x v="0"/>
    <x v="0"/>
    <x v="0"/>
    <x v="3"/>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0"/>
    <n v="10"/>
    <x v="0"/>
    <x v="0"/>
    <x v="0"/>
    <x v="3"/>
    <x v="3"/>
    <x v="0"/>
    <x v="3"/>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2"/>
    <x v="2"/>
    <n v="7"/>
    <x v="0"/>
    <x v="0"/>
    <x v="0"/>
    <n v="144876970"/>
    <n v="144876970"/>
    <x v="0"/>
    <x v="3"/>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3"/>
    <x v="0"/>
  </r>
  <r>
    <x v="0"/>
    <n v="14"/>
    <x v="0"/>
    <x v="0"/>
    <x v="0"/>
    <x v="1"/>
    <x v="1"/>
    <x v="0"/>
    <x v="3"/>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2"/>
    <x v="2"/>
    <n v="7"/>
    <x v="0"/>
    <x v="0"/>
    <x v="0"/>
    <n v="67640720"/>
    <n v="676407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1"/>
    <x v="0"/>
  </r>
  <r>
    <x v="0"/>
    <n v="9"/>
    <x v="0"/>
    <x v="0"/>
    <x v="0"/>
    <x v="4"/>
    <x v="4"/>
    <x v="0"/>
    <x v="3"/>
    <s v="Servicios de formación profesional en ingeniería"/>
    <x v="0"/>
    <n v="86101610"/>
    <s v="Prestación de servicios profesionales para realizar el levantamiento de suelos  y capacidad de uso de las tierras en los proyectos que adelanta la Subdirección de Agrología"/>
    <x v="2"/>
    <x v="2"/>
    <n v="7"/>
    <x v="0"/>
    <x v="0"/>
    <x v="0"/>
    <n v="202827758"/>
    <n v="202827758"/>
    <x v="0"/>
    <x v="4"/>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4"/>
    <x v="0"/>
  </r>
  <r>
    <x v="0"/>
    <m/>
    <x v="0"/>
    <x v="0"/>
    <x v="0"/>
    <x v="0"/>
    <x v="5"/>
    <x v="1"/>
    <x v="5"/>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3"/>
    <x v="3"/>
    <n v="5"/>
    <x v="0"/>
    <x v="0"/>
    <x v="1"/>
    <n v="10491075"/>
    <n v="10491075"/>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5"/>
    <s v="Servicios de formación profesional en ingeniería"/>
    <x v="0"/>
    <n v="86101610"/>
    <s v="Prestación de servicios profesionales para elaborar las bases de datos de información agrológica de los convenios que desarrolla la Subdirección de Agrología"/>
    <x v="3"/>
    <x v="3"/>
    <n v="5"/>
    <x v="0"/>
    <x v="0"/>
    <x v="1"/>
    <n v="15623660"/>
    <n v="156236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5"/>
    <s v="Servicios de formación profesional en ingeniería"/>
    <x v="0"/>
    <n v="86101610"/>
    <s v="Prestación de servicios profesionales para el desarrollo de las aplicaciones agrológicas requeridas en los proyectos que desarrolla la Subdirección de Agrología"/>
    <x v="3"/>
    <x v="3"/>
    <n v="5"/>
    <x v="0"/>
    <x v="0"/>
    <x v="1"/>
    <n v="21317610"/>
    <n v="2131761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la revisión y aval de las bases de datos alfanumérica y grafica de los proyectos que adelanta la subdirección de agrología."/>
    <x v="3"/>
    <x v="3"/>
    <n v="5"/>
    <x v="0"/>
    <x v="0"/>
    <x v="1"/>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rofesionales para realizar la caracterización climática y la correlación de los suelos en los proyectos de levantamientos de la Subdirección de Agrología"/>
    <x v="3"/>
    <x v="3"/>
    <n v="7"/>
    <x v="0"/>
    <x v="0"/>
    <x v="1"/>
    <n v="28975394"/>
    <n v="28975394"/>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para realizar el control de calidad, en tema de geomatica aplicados al levantamiento de suelos, y aplicaciones agrologicas."/>
    <x v="3"/>
    <x v="3"/>
    <n v="5"/>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ara adelantar y gestionar acciones e Innovación en aplicaciones agrológicas"/>
    <x v="3"/>
    <x v="3"/>
    <n v="4"/>
    <x v="0"/>
    <x v="0"/>
    <x v="1"/>
    <n v="33820360"/>
    <n v="338203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5"/>
    <x v="5"/>
    <x v="2"/>
    <x v="6"/>
    <s v="Servicios de formación profesional en ingeniería"/>
    <x v="0"/>
    <n v="86101610"/>
    <s v="Prestación de servicios profesionales para realizar el levantamiento de suelos   en los proyectos que adelanta la Subdirección de Agrología"/>
    <x v="3"/>
    <x v="3"/>
    <n v="4"/>
    <x v="0"/>
    <x v="0"/>
    <x v="1"/>
    <n v="115901576"/>
    <n v="115901576"/>
    <x v="0"/>
    <x v="5"/>
    <x v="0"/>
    <x v="0"/>
    <s v="Subdirección de Agrología"/>
    <x v="1"/>
    <s v="Subdirector de Agrología "/>
    <x v="0"/>
    <x v="0"/>
    <s v="Estudio de suelos como insumo para el ordenamiento integral del territorio."/>
    <s v="Sistema de información agrologica actualizado"/>
    <m/>
    <m/>
    <e v="#N/A"/>
    <e v="#N/A"/>
    <e v="#N/A"/>
    <x v="1"/>
    <m/>
    <n v="0"/>
    <x v="0"/>
    <m/>
    <x v="5"/>
    <x v="2"/>
  </r>
  <r>
    <x v="0"/>
    <m/>
    <x v="0"/>
    <x v="0"/>
    <x v="0"/>
    <x v="0"/>
    <x v="5"/>
    <x v="1"/>
    <x v="7"/>
    <s v="Servicio de ingeniería y diseño para sistemas de control de procesos"/>
    <x v="0"/>
    <n v="81102702"/>
    <s v="Adquisición para la inscripción de participación en ensayos de aptitud  (Interlaboratorios) con WEPAL"/>
    <x v="4"/>
    <x v="4"/>
    <n v="6"/>
    <x v="0"/>
    <x v="0"/>
    <x v="1"/>
    <n v="6000000"/>
    <n v="6000000"/>
    <x v="0"/>
    <x v="0"/>
    <x v="0"/>
    <x v="0"/>
    <s v="Subdirección de Agrología"/>
    <x v="2"/>
    <s v="Subdirector de Agrología "/>
    <x v="0"/>
    <x v="1"/>
    <s v="Análisis físicos, químicos, biológicos y mineralógicos de suelos"/>
    <s v="P+A4:Z5ruebas químicas, físicas, mineralógicas y biológicas de suelos realizadas"/>
    <m/>
    <m/>
    <e v="#N/A"/>
    <e v="#N/A"/>
    <e v="#N/A"/>
    <x v="1"/>
    <m/>
    <n v="0"/>
    <x v="0"/>
    <m/>
    <x v="5"/>
    <x v="1"/>
  </r>
  <r>
    <x v="0"/>
    <m/>
    <x v="0"/>
    <x v="0"/>
    <x v="0"/>
    <x v="0"/>
    <x v="5"/>
    <x v="1"/>
    <x v="5"/>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4"/>
    <x v="4"/>
    <n v="6"/>
    <x v="0"/>
    <x v="0"/>
    <x v="1"/>
    <n v="12589290"/>
    <n v="1258929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1"/>
    <x v="5"/>
    <x v="3"/>
    <x v="5"/>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4"/>
    <x v="4"/>
    <n v="6"/>
    <x v="0"/>
    <x v="0"/>
    <x v="1"/>
    <n v="42635220"/>
    <n v="426352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1"/>
    <x v="5"/>
    <x v="3"/>
    <x v="7"/>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1"/>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0"/>
    <x v="5"/>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1"/>
    <n v="17054088"/>
    <n v="17054088"/>
    <x v="0"/>
    <x v="0"/>
    <x v="0"/>
    <x v="1"/>
    <s v="Subdirección de Catastro"/>
    <x v="0"/>
    <s v="Subdirectora de Catastro"/>
    <x v="0"/>
    <x v="0"/>
    <s v="Actualización, Homologación y Correlación de áreas homogéneas de tierras con fines múltiples."/>
    <s v="Sistema de Información Agrológica Actualizado"/>
    <m/>
    <m/>
    <e v="#N/A"/>
    <e v="#N/A"/>
    <e v="#N/A"/>
    <x v="1"/>
    <m/>
    <n v="0"/>
    <x v="0"/>
    <m/>
    <x v="5"/>
    <x v="4"/>
  </r>
  <r>
    <x v="0"/>
    <m/>
    <x v="0"/>
    <x v="0"/>
    <x v="0"/>
    <x v="0"/>
    <x v="5"/>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1"/>
    <n v="17054088"/>
    <n v="17054088"/>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1"/>
    <n v="19905696"/>
    <n v="19905696"/>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7"/>
    <s v="Servicios de formación profesional en ingeniería"/>
    <x v="0"/>
    <n v="86101610"/>
    <s v="Prestación de servicios profesionales en control de calidad  de productos de sensores remotos en temas relacionados con aplicaciones agrologicas."/>
    <x v="6"/>
    <x v="6"/>
    <n v="4"/>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4"/>
    <x v="9"/>
    <s v="Gases naturales y gases mixtos"/>
    <x v="1"/>
    <n v="12142100"/>
    <s v="Suministro de Gases especiales para la ejecución de análisis para el Laboratorio Nacional de Suelos. "/>
    <x v="4"/>
    <x v="4"/>
    <n v="6"/>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Mantenimiento de equipos de laboratorio"/>
    <x v="1"/>
    <n v="81101706"/>
    <s v="Prestación de servicios para sistema recolectora de desechos de laboratorio"/>
    <x v="6"/>
    <x v="6"/>
    <n v="4"/>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7"/>
    <s v="Servicios de formación profesional en ingeniería"/>
    <x v="0"/>
    <n v="86101610"/>
    <s v="Prestación del servicio de calibración acreditada de equipos e instrumentos del Laboratorio Nacional de Suelos."/>
    <x v="6"/>
    <x v="6"/>
    <n v="4"/>
    <x v="0"/>
    <x v="2"/>
    <x v="1"/>
    <n v="90000000"/>
    <n v="9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Prestación del servicio de mantenimiento preventivo y correctivo, con suministro de repuestos y consumibles para los equipos no exclusivos del Laboratorio Nacional de Suelos."/>
    <x v="6"/>
    <x v="6"/>
    <n v="2"/>
    <x v="0"/>
    <x v="2"/>
    <x v="1"/>
    <n v="260000000"/>
    <n v="26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Adquisición de reactivos y materiales para el GIT Laboratorio Nacional de Suelos."/>
    <x v="6"/>
    <x v="6"/>
    <n v="2"/>
    <x v="0"/>
    <x v="2"/>
    <x v="1"/>
    <n v="250000000"/>
    <n v="25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n v="31"/>
    <x v="0"/>
    <x v="0"/>
    <x v="0"/>
    <x v="0"/>
    <x v="0"/>
    <x v="0"/>
    <x v="3"/>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0"/>
    <x v="0"/>
    <n v="11"/>
    <x v="0"/>
    <x v="0"/>
    <x v="2"/>
    <n v="47300000"/>
    <n v="47300000"/>
    <x v="0"/>
    <x v="0"/>
    <x v="0"/>
    <x v="0"/>
    <s v="Subdirección de Agrología"/>
    <x v="0"/>
    <s v="Subdirector de Agrología "/>
    <x v="1"/>
    <x v="2"/>
    <s v="Generar los productos agrológicos como insumos para el Catastro multipropósito"/>
    <s v="Sistema de Información Predial Actualizado_x000a_"/>
    <n v="481"/>
    <d v="2021-03-15T00:00:00"/>
    <n v="4976424"/>
    <n v="46280743"/>
    <n v="46280743"/>
    <x v="0"/>
    <s v="NATALIA PRECIADO"/>
    <n v="1019257"/>
    <x v="0"/>
    <n v="24616"/>
    <x v="0"/>
    <x v="0"/>
  </r>
  <r>
    <x v="0"/>
    <n v="34"/>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65"/>
    <d v="2021-03-15T00:00:00"/>
    <n v="4976424"/>
    <n v="47276028"/>
    <n v="47276028"/>
    <x v="0"/>
    <s v="JAIME ANDRES NEIRA"/>
    <n v="2223972"/>
    <x v="0"/>
    <n v="24604"/>
    <x v="0"/>
    <x v="0"/>
  </r>
  <r>
    <x v="0"/>
    <n v="27"/>
    <x v="0"/>
    <x v="0"/>
    <x v="0"/>
    <x v="0"/>
    <x v="0"/>
    <x v="0"/>
    <x v="3"/>
    <s v="Servicios de formación profesional en ingeniería"/>
    <x v="0"/>
    <n v="86101610"/>
    <s v="Prestación de servicios para realizar la preparación y alistamiento de equipos, reactivos y materiales y apoyo en los diferentes procesos de análisis del Laboratorio Nacional de Suel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9"/>
    <d v="2021-03-15T00:00:00"/>
    <n v="2671483"/>
    <n v="25379089"/>
    <n v="25379089"/>
    <x v="0"/>
    <s v="ANGIE LORENA CARDENAS PUERTO"/>
    <n v="3220911"/>
    <x v="0"/>
    <n v="24624"/>
    <x v="0"/>
    <x v="0"/>
  </r>
  <r>
    <x v="0"/>
    <n v="37"/>
    <x v="0"/>
    <x v="0"/>
    <x v="0"/>
    <x v="0"/>
    <x v="0"/>
    <x v="0"/>
    <x v="3"/>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6"/>
    <d v="2021-03-15T00:00:00"/>
    <n v="2671483"/>
    <n v="25379089"/>
    <n v="25379089"/>
    <x v="0"/>
    <s v="MARISOL  ARDILA CUBIDES"/>
    <n v="3220911"/>
    <x v="0"/>
    <n v="24611"/>
    <x v="0"/>
    <x v="0"/>
  </r>
  <r>
    <x v="0"/>
    <n v="32"/>
    <x v="0"/>
    <x v="0"/>
    <x v="0"/>
    <x v="0"/>
    <x v="0"/>
    <x v="0"/>
    <x v="3"/>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59"/>
    <d v="2021-03-15T00:00:00"/>
    <n v="2671483"/>
    <n v="25379089"/>
    <n v="25379089"/>
    <x v="0"/>
    <s v="MONICA ANDREA GARCIA"/>
    <n v="3220911"/>
    <x v="0"/>
    <n v="24600"/>
    <x v="0"/>
    <x v="0"/>
  </r>
  <r>
    <x v="0"/>
    <n v="28"/>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8"/>
    <d v="2021-03-15T00:00:00"/>
    <n v="4263522"/>
    <n v="40503459"/>
    <n v="40503459"/>
    <x v="0"/>
    <s v="ANDRES EMILIO MORENO CASTRO"/>
    <n v="3496541"/>
    <x v="0"/>
    <n v="24613"/>
    <x v="0"/>
    <x v="0"/>
  </r>
  <r>
    <x v="0"/>
    <n v="29"/>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3"/>
    <d v="2021-03-15T00:00:00"/>
    <n v="4263522"/>
    <n v="40503459"/>
    <n v="40503459"/>
    <x v="0"/>
    <s v="DANIEL JOSE MORALES MEJIA"/>
    <n v="3496541"/>
    <x v="0"/>
    <n v="24602"/>
    <x v="0"/>
    <x v="0"/>
  </r>
  <r>
    <x v="0"/>
    <n v="36"/>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85"/>
    <d v="2021-03-15T00:00:00"/>
    <n v="4263522"/>
    <n v="40503459"/>
    <n v="40503459"/>
    <x v="0"/>
    <s v="EDWIN ALFONSO PERILLA"/>
    <n v="3496541"/>
    <x v="0"/>
    <n v="24619"/>
    <x v="0"/>
    <x v="0"/>
  </r>
  <r>
    <x v="0"/>
    <n v="33"/>
    <x v="0"/>
    <x v="0"/>
    <x v="0"/>
    <x v="0"/>
    <x v="0"/>
    <x v="0"/>
    <x v="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73"/>
    <d v="2021-03-15T00:00:00"/>
    <n v="4263522"/>
    <n v="40503459"/>
    <n v="40503459"/>
    <x v="0"/>
    <s v="MARCO ANTONIO SUAREZ GALEANO"/>
    <n v="3496541"/>
    <x v="0"/>
    <n v="24607"/>
    <x v="0"/>
    <x v="0"/>
  </r>
  <r>
    <x v="0"/>
    <n v="38"/>
    <x v="0"/>
    <x v="0"/>
    <x v="0"/>
    <x v="0"/>
    <x v="0"/>
    <x v="0"/>
    <x v="4"/>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s v="Subdirección de Agrología"/>
    <x v="0"/>
    <s v="Subdirector de Agrología "/>
    <x v="1"/>
    <x v="2"/>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0"/>
    <n v="35"/>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53"/>
    <d v="2021-03-15T00:00:00"/>
    <n v="4263522"/>
    <n v="38798050"/>
    <n v="38798050"/>
    <x v="0"/>
    <s v="GERSE DAVID RUIZ"/>
    <n v="10701950"/>
    <x v="0"/>
    <n v="24590"/>
    <x v="0"/>
    <x v="0"/>
  </r>
  <r>
    <x v="1"/>
    <n v="51"/>
    <x v="1"/>
    <x v="1"/>
    <x v="1"/>
    <x v="0"/>
    <x v="0"/>
    <x v="0"/>
    <x v="1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1"/>
    <s v="DT Casanare"/>
    <x v="4"/>
    <s v="HERMES SALCEDO RODRIGUEZ"/>
    <x v="1"/>
    <x v="2"/>
    <s v="Ejecutar procesos de conservación catastral a nivel nacional"/>
    <s v="Mutaciones realizadas"/>
    <n v="512"/>
    <d v="2021-03-30T00:00:00"/>
    <n v="3124732"/>
    <n v="18748392"/>
    <n v="18748392"/>
    <x v="0"/>
    <s v="HONOFRE QUINTERO CABICHE"/>
    <n v="0"/>
    <x v="0"/>
    <n v="24645"/>
    <x v="0"/>
    <x v="0"/>
  </r>
  <r>
    <x v="2"/>
    <n v="41"/>
    <x v="2"/>
    <x v="2"/>
    <x v="2"/>
    <x v="0"/>
    <x v="0"/>
    <x v="0"/>
    <x v="11"/>
    <s v="Alquiler y arrendamiento de propiedades o edificaciones"/>
    <x v="0"/>
    <n v="80131500"/>
    <s v="Arrendamiento de bien inmueble para el funcionamiento de la dirección territorial casanare del instituto geográfico agustín codazzi-igac."/>
    <x v="2"/>
    <x v="2"/>
    <n v="11"/>
    <x v="0"/>
    <x v="0"/>
    <x v="0"/>
    <n v="162316000"/>
    <n v="162316000"/>
    <x v="0"/>
    <x v="0"/>
    <x v="0"/>
    <x v="2"/>
    <s v="DT Casanare"/>
    <x v="4"/>
    <s v="HERMES SALCEDO RODRIGUEZ"/>
    <x v="2"/>
    <x v="3"/>
    <s v="Realizar actividades preliminares"/>
    <s v="Sedes adecuadas"/>
    <n v="70"/>
    <d v="2021-01-19T00:00:00"/>
    <n v="14756000"/>
    <n v="162316000"/>
    <n v="162316000"/>
    <x v="0"/>
    <s v="INMOBILIARIA ROYALS COMPANY SAS"/>
    <n v="0"/>
    <x v="0"/>
    <n v="24234"/>
    <x v="0"/>
    <x v="0"/>
  </r>
  <r>
    <x v="1"/>
    <n v="53"/>
    <x v="1"/>
    <x v="1"/>
    <x v="1"/>
    <x v="0"/>
    <x v="0"/>
    <x v="0"/>
    <x v="10"/>
    <s v="Servicios secretariales o de administración de oficinas  "/>
    <x v="0"/>
    <n v="80161501"/>
    <s v="Prestación de servicios de apoyo a la gestión en ventanilla para atencion al usuario presencial y virtual en los procesos catastrales de la dirección territorial casanare"/>
    <x v="1"/>
    <x v="1"/>
    <n v="6"/>
    <x v="0"/>
    <x v="0"/>
    <x v="0"/>
    <n v="12589290"/>
    <n v="12589290"/>
    <x v="0"/>
    <x v="0"/>
    <x v="0"/>
    <x v="1"/>
    <s v="DT Casanare"/>
    <x v="4"/>
    <s v="HERMES SALCEDO RODRIGUEZ"/>
    <x v="1"/>
    <x v="2"/>
    <s v="Ejecutar procesos de conservación catastral a nivel nacional"/>
    <s v="Mutaciones realizadas"/>
    <n v="508"/>
    <d v="2021-03-30T00:00:00"/>
    <n v="2098215"/>
    <n v="12589290"/>
    <n v="12589290"/>
    <x v="0"/>
    <s v="JOSE LEONIDAS VEGA PEREZ_x000a_"/>
    <n v="0"/>
    <x v="0"/>
    <n v="24641"/>
    <x v="0"/>
    <x v="0"/>
  </r>
  <r>
    <x v="1"/>
    <n v="62"/>
    <x v="1"/>
    <x v="1"/>
    <x v="1"/>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7"/>
    <x v="7"/>
    <n v="150"/>
    <x v="1"/>
    <x v="0"/>
    <x v="0"/>
    <n v="15623660"/>
    <n v="15623660"/>
    <x v="0"/>
    <x v="0"/>
    <x v="0"/>
    <x v="1"/>
    <s v="DT Casanare"/>
    <x v="4"/>
    <s v="HERMES SALCEDO RODRIGUEZ"/>
    <x v="1"/>
    <x v="2"/>
    <s v="Ejecutar procesos de conservación catastral a nivel nacional"/>
    <s v="Mutaciones realizadas"/>
    <n v="548"/>
    <d v="2021-04-23T00:00:00"/>
    <n v="3124732"/>
    <n v="15623660"/>
    <n v="15623660"/>
    <x v="0"/>
    <s v="LILIANA  ALFONSO CHAVITA"/>
    <n v="0"/>
    <x v="0"/>
    <n v="24692"/>
    <x v="0"/>
    <x v="0"/>
  </r>
  <r>
    <x v="1"/>
    <n v="52"/>
    <x v="1"/>
    <x v="1"/>
    <x v="1"/>
    <x v="0"/>
    <x v="0"/>
    <x v="0"/>
    <x v="10"/>
    <s v="Servicios secretariales o de administración de oficinas  "/>
    <x v="0"/>
    <n v="80161501"/>
    <s v="Prestación de servicios de apoyo a la gestión desarrollada en procesos catastrales de la dirección territorial casanare "/>
    <x v="1"/>
    <x v="1"/>
    <n v="6"/>
    <x v="0"/>
    <x v="0"/>
    <x v="0"/>
    <n v="10207458"/>
    <n v="10207458"/>
    <x v="0"/>
    <x v="0"/>
    <x v="0"/>
    <x v="1"/>
    <s v="DT Casanare"/>
    <x v="4"/>
    <s v="HERMES SALCEDO RODRIGUEZ"/>
    <x v="1"/>
    <x v="2"/>
    <s v="Ejecutar procesos de conservación catastral a nivel nacional"/>
    <s v="Mutaciones realizadas"/>
    <n v="513"/>
    <d v="2021-03-30T00:00:00"/>
    <n v="1701243"/>
    <n v="10207458"/>
    <n v="10207458"/>
    <x v="0"/>
    <s v="YULY MARICELA ROJAS PACAGUI_x000a_"/>
    <n v="0"/>
    <x v="0"/>
    <n v="24650"/>
    <x v="0"/>
    <x v="0"/>
  </r>
  <r>
    <x v="1"/>
    <n v="68"/>
    <x v="1"/>
    <x v="1"/>
    <x v="1"/>
    <x v="0"/>
    <x v="0"/>
    <x v="0"/>
    <x v="6"/>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8"/>
    <x v="8"/>
    <n v="225"/>
    <x v="1"/>
    <x v="0"/>
    <x v="1"/>
    <n v="20036123"/>
    <n v="20036122.5"/>
    <x v="0"/>
    <x v="0"/>
    <x v="0"/>
    <x v="1"/>
    <s v="DT Casanare"/>
    <x v="4"/>
    <s v="HERMES SALCEDO RODRIGUEZ"/>
    <x v="1"/>
    <x v="2"/>
    <s v="Ejecutar procesos de conservación catastral a nivel nacional"/>
    <s v="Mutaciones realizadas"/>
    <n v="604"/>
    <d v="2021-05-27T00:00:00"/>
    <n v="2671483"/>
    <n v="18700381"/>
    <n v="18700381"/>
    <x v="0"/>
    <s v="OSCAR FABIAN VILLARRAGA MALLUNGO"/>
    <n v="1335741.5"/>
    <x v="0"/>
    <n v="24748"/>
    <x v="0"/>
    <x v="0"/>
  </r>
  <r>
    <x v="1"/>
    <n v="59"/>
    <x v="1"/>
    <x v="1"/>
    <x v="1"/>
    <x v="0"/>
    <x v="0"/>
    <x v="0"/>
    <x v="1"/>
    <s v="Servicios secretariales o de administración de oficinas  "/>
    <x v="0"/>
    <n v="80161501"/>
    <s v="Prestación de servicios profesionales para realizar las socializaciones requeridas en el proceso de actualización catastral multipropósito de Arauquita - Arauca"/>
    <x v="7"/>
    <x v="7"/>
    <n v="240"/>
    <x v="1"/>
    <x v="0"/>
    <x v="1"/>
    <n v="29121888"/>
    <n v="29121888"/>
    <x v="0"/>
    <x v="0"/>
    <x v="0"/>
    <x v="1"/>
    <s v="Subdirección de Catastro"/>
    <x v="5"/>
    <s v="Subdirectora de Catastro"/>
    <x v="1"/>
    <x v="2"/>
    <s v="Ejecutar procesos de actualización catastral a nivel nacional"/>
    <s v="Predios actualizados catastralmente"/>
    <n v="526"/>
    <d v="2021-04-14T00:00:00"/>
    <n v="3640236"/>
    <n v="27301770"/>
    <n v="27301770"/>
    <x v="0"/>
    <s v="YECNNY PATRICIA CASTELLANOS GONZALEZ"/>
    <n v="1820118"/>
    <x v="0"/>
    <n v="24668"/>
    <x v="0"/>
    <x v="0"/>
  </r>
  <r>
    <x v="1"/>
    <n v="58"/>
    <x v="1"/>
    <x v="1"/>
    <x v="1"/>
    <x v="0"/>
    <x v="0"/>
    <x v="0"/>
    <x v="1"/>
    <s v="Servicios secretariales o de administración de oficinas  "/>
    <x v="0"/>
    <n v="80161501"/>
    <s v="Prestación de servicios profesionales para el seguimiento y control de las actividades de la etapa operativa del proyecto de gestión catastral multipropósito de Arauquita - Arauca"/>
    <x v="7"/>
    <x v="7"/>
    <n v="240"/>
    <x v="1"/>
    <x v="0"/>
    <x v="1"/>
    <n v="69663808"/>
    <n v="69663808"/>
    <x v="0"/>
    <x v="0"/>
    <x v="0"/>
    <x v="1"/>
    <s v="Subdirección de Catastro"/>
    <x v="5"/>
    <s v="Subdirectora de Catastro"/>
    <x v="1"/>
    <x v="2"/>
    <s v="Ejecutar procesos de actualización catastral a nivel nacional"/>
    <s v="Predios actualizados catastralmente"/>
    <n v="523"/>
    <d v="2021-04-12T00:00:00"/>
    <n v="8707976"/>
    <n v="66761149"/>
    <n v="66761149"/>
    <x v="0"/>
    <s v="ELMO ADOLFO SANCHEZ CALDERON"/>
    <n v="2902659"/>
    <x v="0"/>
    <n v="24665"/>
    <x v="0"/>
    <x v="0"/>
  </r>
  <r>
    <x v="1"/>
    <n v="70"/>
    <x v="1"/>
    <x v="1"/>
    <x v="1"/>
    <x v="0"/>
    <x v="0"/>
    <x v="0"/>
    <x v="6"/>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8"/>
    <x v="8"/>
    <n v="210"/>
    <x v="1"/>
    <x v="0"/>
    <x v="0"/>
    <n v="19827500"/>
    <n v="19827500"/>
    <x v="0"/>
    <x v="0"/>
    <x v="0"/>
    <x v="1"/>
    <s v="DT Casanare"/>
    <x v="4"/>
    <s v="HERMES SALCEDO RODRIGUEZ"/>
    <x v="1"/>
    <x v="2"/>
    <s v="Atender las solicitudes en materia de Política de Restitución de Tierras y Ley de Víctimas"/>
    <s v="Solicitudes Atendidas"/>
    <n v="616"/>
    <d v="2021-06-04T00:00:00"/>
    <n v="2832500"/>
    <n v="14162500"/>
    <n v="14162500"/>
    <x v="0"/>
    <s v="LUISA FERNANDA LONDOÑO ORTIZ"/>
    <n v="5665000"/>
    <x v="0"/>
    <n v="24761"/>
    <x v="0"/>
    <x v="0"/>
  </r>
  <r>
    <x v="1"/>
    <n v="67"/>
    <x v="1"/>
    <x v="1"/>
    <x v="1"/>
    <x v="1"/>
    <x v="1"/>
    <x v="0"/>
    <x v="12"/>
    <s v="Servicios secretariales o de administración de oficinas  "/>
    <x v="0"/>
    <n v="80161501"/>
    <s v="Prestación de servicios personales para realizar actividades de apoyo operativo  del proceso de actualización catastral  multipropósito de Arauquita - Arauca"/>
    <x v="8"/>
    <x v="8"/>
    <n v="180"/>
    <x v="1"/>
    <x v="0"/>
    <x v="1"/>
    <n v="20414916"/>
    <n v="20414916"/>
    <x v="0"/>
    <x v="1"/>
    <x v="0"/>
    <x v="1"/>
    <s v="Subdirección de Catastro"/>
    <x v="5"/>
    <s v="Subdirectora de Catastro"/>
    <x v="1"/>
    <x v="2"/>
    <s v="Ejecutar procesos de actualización catastral a nivel nacional"/>
    <s v="Predios actualizados catastralmente"/>
    <n v="590"/>
    <d v="2021-05-18T00:00:00"/>
    <n v="1701243"/>
    <n v="10207458"/>
    <n v="20414916"/>
    <x v="0"/>
    <s v="DIANA CAROLINA HERNANDEZ_x000a_YARLY JOHANNA MARIN TINEO"/>
    <n v="0"/>
    <x v="0"/>
    <s v="24731_x000a_24743"/>
    <x v="0"/>
    <x v="1"/>
  </r>
  <r>
    <x v="1"/>
    <n v="66"/>
    <x v="1"/>
    <x v="1"/>
    <x v="1"/>
    <x v="6"/>
    <x v="3"/>
    <x v="1"/>
    <x v="12"/>
    <s v="Servicios secretariales o de administración de oficinas  "/>
    <x v="0"/>
    <n v="80161501"/>
    <s v="Prestación de servicios personales para realizar actividades de reconocimiento predial en el proceso de actualización catastral multipropósito de Arauquita - Arauca"/>
    <x v="8"/>
    <x v="8"/>
    <n v="180"/>
    <x v="1"/>
    <x v="0"/>
    <x v="1"/>
    <n v="112490352"/>
    <n v="112490352"/>
    <x v="0"/>
    <x v="6"/>
    <x v="0"/>
    <x v="1"/>
    <s v="Subdirección de Catastro"/>
    <x v="5"/>
    <s v="Subdirectora de Catastro"/>
    <x v="1"/>
    <x v="2"/>
    <s v="Ejecutar procesos de actualización catastral a nivel nacional"/>
    <s v="Predios actualizados catastralmente"/>
    <n v="581"/>
    <d v="2021-05-07T00:00:00"/>
    <n v="3124732"/>
    <n v="18748392"/>
    <n v="93741960"/>
    <x v="0"/>
    <s v="MARIA ERMINDA QUIRIFE PABON _x000a_DESIDERIO  RINCON CALDERON_x000a_LUIS ALBERTO MORENO_x000a_JULIO ROBERTO SANTIAGO MIÑOZ_x000a_FREY MARTIN MORENO"/>
    <n v="3124732"/>
    <x v="0"/>
    <s v="24721_x000a_24724_x000a_24749_x000a_24752_x000a_24756"/>
    <x v="3"/>
    <x v="1"/>
  </r>
  <r>
    <x v="1"/>
    <m/>
    <x v="1"/>
    <x v="1"/>
    <x v="1"/>
    <x v="0"/>
    <x v="5"/>
    <x v="4"/>
    <x v="9"/>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1"/>
    <n v="21630000"/>
    <n v="21630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1"/>
    <s v="Subdirección de Catastro"/>
    <x v="5"/>
    <s v="Subdirectora de Catastro"/>
    <x v="1"/>
    <x v="2"/>
    <s v="Ejecutar procesos de actualización catastral a nivel nacional"/>
    <s v="Predios actualizados catastralmente"/>
    <m/>
    <m/>
    <e v="#N/A"/>
    <e v="#N/A"/>
    <e v="#N/A"/>
    <x v="1"/>
    <m/>
    <n v="0"/>
    <x v="0"/>
    <m/>
    <x v="5"/>
    <x v="1"/>
  </r>
  <r>
    <x v="2"/>
    <m/>
    <x v="2"/>
    <x v="2"/>
    <x v="2"/>
    <x v="0"/>
    <x v="5"/>
    <x v="1"/>
    <x v="7"/>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3"/>
    <x v="1"/>
    <n v="245135741"/>
    <n v="245135741"/>
    <x v="0"/>
    <x v="0"/>
    <x v="0"/>
    <x v="3"/>
    <s v="Secretaría General"/>
    <x v="0"/>
    <s v="Secretaria General"/>
    <x v="2"/>
    <x v="3"/>
    <s v="Realizar actividades preliminares"/>
    <s v="Sedes adecuadas"/>
    <m/>
    <m/>
    <e v="#N/A"/>
    <e v="#N/A"/>
    <e v="#N/A"/>
    <x v="1"/>
    <m/>
    <n v="0"/>
    <x v="0"/>
    <m/>
    <x v="5"/>
    <x v="1"/>
  </r>
  <r>
    <x v="1"/>
    <n v="12"/>
    <x v="1"/>
    <x v="1"/>
    <x v="1"/>
    <x v="2"/>
    <x v="2"/>
    <x v="0"/>
    <x v="0"/>
    <s v="Servicios de sistemas de información geográfica (sig)"/>
    <x v="0"/>
    <n v="81101512"/>
    <s v="Prestación de servicios profesionales para apoyar la gestión requerida para la habilitación de gestores catastrales."/>
    <x v="0"/>
    <x v="0"/>
    <n v="325"/>
    <x v="1"/>
    <x v="0"/>
    <x v="0"/>
    <n v="187128273"/>
    <n v="187128273"/>
    <x v="0"/>
    <x v="2"/>
    <x v="0"/>
    <x v="1"/>
    <s v="Subdirección de Catastro"/>
    <x v="5"/>
    <s v="Subdirectora de Catastro"/>
    <x v="1"/>
    <x v="2"/>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2"/>
    <x v="0"/>
  </r>
  <r>
    <x v="1"/>
    <n v="22"/>
    <x v="1"/>
    <x v="1"/>
    <x v="1"/>
    <x v="0"/>
    <x v="0"/>
    <x v="0"/>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0"/>
    <x v="0"/>
    <n v="325"/>
    <x v="1"/>
    <x v="0"/>
    <x v="0"/>
    <n v="53911260"/>
    <n v="5391126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2"/>
    <s v="ELIZABETH HERNANDEZ SANTAMARIA"/>
    <n v="0"/>
    <x v="0"/>
    <n v="24372"/>
    <x v="0"/>
    <x v="0"/>
  </r>
  <r>
    <x v="1"/>
    <n v="20"/>
    <x v="1"/>
    <x v="1"/>
    <x v="1"/>
    <x v="0"/>
    <x v="0"/>
    <x v="0"/>
    <x v="11"/>
    <s v="Servicios de sistemas de información geográfica (sig)"/>
    <x v="0"/>
    <n v="81101512"/>
    <s v="Prestación de servicios profesionales para el desarrollo del componente tecnológico requerido de los procesos de gestión catastral desarrollados por el IGAC"/>
    <x v="2"/>
    <x v="2"/>
    <n v="11"/>
    <x v="0"/>
    <x v="0"/>
    <x v="1"/>
    <n v="108518124"/>
    <n v="108518124"/>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0"/>
    <x v="0"/>
    <n v="24252"/>
    <x v="0"/>
    <x v="0"/>
  </r>
  <r>
    <x v="1"/>
    <n v="2"/>
    <x v="1"/>
    <x v="1"/>
    <x v="1"/>
    <x v="0"/>
    <x v="0"/>
    <x v="0"/>
    <x v="3"/>
    <s v="Servicios secretariales o de administración de oficinas  "/>
    <x v="0"/>
    <n v="80161501"/>
    <s v="Prestación de servicios profesionales para apoyar desde el componente social, el desarrollo de los proyectos programados para la gestión catastral."/>
    <x v="2"/>
    <x v="2"/>
    <n v="11"/>
    <x v="0"/>
    <x v="0"/>
    <x v="0"/>
    <n v="121248517"/>
    <n v="121248517"/>
    <x v="0"/>
    <x v="0"/>
    <x v="0"/>
    <x v="1"/>
    <s v="Subdirección de Catastro"/>
    <x v="5"/>
    <s v="Subdirectora de Catastro"/>
    <x v="1"/>
    <x v="2"/>
    <s v="Ejecutar procesos de actualización catastral a nivel nacional"/>
    <s v="Predios actualizados catastralmente"/>
    <n v="45"/>
    <d v="2021-01-18T00:00:00"/>
    <n v="11022592"/>
    <n v="121248517"/>
    <n v="121248517"/>
    <x v="0"/>
    <s v="ANA MARIA SANTOFIMIO MAHECHA"/>
    <n v="0"/>
    <x v="0"/>
    <n v="24205"/>
    <x v="0"/>
    <x v="0"/>
  </r>
  <r>
    <x v="1"/>
    <n v="10"/>
    <x v="1"/>
    <x v="1"/>
    <x v="1"/>
    <x v="0"/>
    <x v="0"/>
    <x v="0"/>
    <x v="3"/>
    <s v="Servicios secretariales o de administración de oficinas  "/>
    <x v="0"/>
    <n v="80161501"/>
    <s v="Prestación de servicios profesionales para el desarrollo de procesos estadísticos en el marco de la gestión catastral a cargo del IGAC."/>
    <x v="2"/>
    <x v="2"/>
    <n v="11"/>
    <x v="0"/>
    <x v="0"/>
    <x v="0"/>
    <n v="164285000"/>
    <n v="16428500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0"/>
    <x v="0"/>
    <n v="24220"/>
    <x v="0"/>
    <x v="0"/>
  </r>
  <r>
    <x v="1"/>
    <n v="49"/>
    <x v="1"/>
    <x v="1"/>
    <x v="1"/>
    <x v="0"/>
    <x v="0"/>
    <x v="0"/>
    <x v="10"/>
    <s v="Publicidad en periódicos"/>
    <x v="0"/>
    <n v="82101504"/>
    <s v="Prestación de servicios para la publicación de los actos administrativos de la entidad en el diario oficial"/>
    <x v="1"/>
    <x v="1"/>
    <n v="9"/>
    <x v="0"/>
    <x v="0"/>
    <x v="0"/>
    <n v="30000000"/>
    <n v="30000000"/>
    <x v="0"/>
    <x v="0"/>
    <x v="0"/>
    <x v="1"/>
    <s v="Subdirección de Catastro"/>
    <x v="5"/>
    <s v="Subdirectora de Catastro"/>
    <x v="1"/>
    <x v="2"/>
    <s v="Ejecutar procesos de actualización catastral a nivel nacional"/>
    <s v="Predios actualizados catastralmente"/>
    <n v="491"/>
    <d v="2021-03-19T00:00:00"/>
    <n v="0"/>
    <n v="30000000"/>
    <n v="30000000"/>
    <x v="0"/>
    <s v="IMPRENTA NACIONAL"/>
    <n v="0"/>
    <x v="0"/>
    <n v="24626"/>
    <x v="0"/>
    <x v="0"/>
  </r>
  <r>
    <x v="1"/>
    <n v="23"/>
    <x v="1"/>
    <x v="1"/>
    <x v="1"/>
    <x v="0"/>
    <x v="0"/>
    <x v="0"/>
    <x v="3"/>
    <s v="Servicios secretariales o de administración de oficinas  "/>
    <x v="0"/>
    <n v="80161501"/>
    <s v="Prestación de servicios profesionales para adelantar el control de calidad de los avalúos asignados, así como la elaboración de avalúos comerciales e IVP."/>
    <x v="2"/>
    <x v="2"/>
    <n v="11"/>
    <x v="0"/>
    <x v="0"/>
    <x v="0"/>
    <n v="83053047"/>
    <n v="83053047"/>
    <x v="0"/>
    <x v="0"/>
    <x v="0"/>
    <x v="1"/>
    <s v="Subdirección de Catastro"/>
    <x v="5"/>
    <s v="Subdirectora de Catastro"/>
    <x v="1"/>
    <x v="4"/>
    <s v="Realizar avalúos IVP"/>
    <s v="Avalúos realizados"/>
    <n v="110"/>
    <d v="2021-01-27T00:00:00"/>
    <n v="7550277"/>
    <n v="83053047"/>
    <n v="83053047"/>
    <x v="0"/>
    <s v="JULIO CESAR DIAZ"/>
    <n v="0"/>
    <x v="0"/>
    <n v="24255"/>
    <x v="0"/>
    <x v="0"/>
  </r>
  <r>
    <x v="1"/>
    <n v="26"/>
    <x v="1"/>
    <x v="1"/>
    <x v="1"/>
    <x v="0"/>
    <x v="0"/>
    <x v="0"/>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0"/>
    <x v="0"/>
    <n v="325"/>
    <x v="1"/>
    <x v="0"/>
    <x v="0"/>
    <n v="81794668"/>
    <n v="81794668"/>
    <x v="0"/>
    <x v="0"/>
    <x v="0"/>
    <x v="1"/>
    <s v="Subdirección de Catastro"/>
    <x v="5"/>
    <s v="Subdirectora de Catastro"/>
    <x v="1"/>
    <x v="2"/>
    <s v="Ejecutar procesos de actualización catastral a nivel nacional"/>
    <s v="Predios actualizados catastralmente"/>
    <n v="171"/>
    <d v="2021-02-04T00:00:00"/>
    <n v="7550277"/>
    <n v="81794668"/>
    <n v="81794668"/>
    <x v="0"/>
    <s v="LAURA FERNANDA PARRA PINZON"/>
    <n v="0"/>
    <x v="0"/>
    <n v="24356"/>
    <x v="0"/>
    <x v="0"/>
  </r>
  <r>
    <x v="1"/>
    <n v="13"/>
    <x v="1"/>
    <x v="1"/>
    <x v="1"/>
    <x v="0"/>
    <x v="0"/>
    <x v="0"/>
    <x v="0"/>
    <s v="Servicios de formación profesional en derecho"/>
    <x v="0"/>
    <n v="86101713"/>
    <s v="Prestación de servicios profesionales para apoyar el desarrollo de los proyectos programados en el marco de la habilitación de gestores catastrales."/>
    <x v="0"/>
    <x v="0"/>
    <n v="325"/>
    <x v="1"/>
    <x v="0"/>
    <x v="0"/>
    <n v="144486420"/>
    <n v="144486420"/>
    <x v="0"/>
    <x v="0"/>
    <x v="0"/>
    <x v="1"/>
    <s v="Subdirección de Catastro"/>
    <x v="5"/>
    <s v="Subdirectora de Catastro"/>
    <x v="1"/>
    <x v="2"/>
    <s v="Implementar el modelo de habilitación de gestores catastrales a nivel nacional"/>
    <s v="Sistema de Información predial actualizado"/>
    <n v="79"/>
    <d v="2021-01-21T00:00:00"/>
    <n v="13337208"/>
    <n v="144486420"/>
    <n v="144486420"/>
    <x v="0"/>
    <s v="LUZ DARY LEON SANCHEZ"/>
    <n v="0"/>
    <x v="0"/>
    <n v="24357"/>
    <x v="0"/>
    <x v="0"/>
  </r>
  <r>
    <x v="1"/>
    <n v="43"/>
    <x v="1"/>
    <x v="1"/>
    <x v="1"/>
    <x v="3"/>
    <x v="3"/>
    <x v="0"/>
    <x v="4"/>
    <s v="Servicios secretariales o de administración de oficinas  "/>
    <x v="0"/>
    <n v="80161501"/>
    <s v="Prestación de servicios profesionales para adelantar los avalúos comerciales que le sean asignados a nivel nacional."/>
    <x v="1"/>
    <x v="1"/>
    <n v="300"/>
    <x v="1"/>
    <x v="0"/>
    <x v="1"/>
    <n v="300000000"/>
    <n v="300000000"/>
    <x v="0"/>
    <x v="3"/>
    <x v="0"/>
    <x v="1"/>
    <s v="Subdirección de Catastro"/>
    <x v="5"/>
    <s v="Subdirectora de Catastro"/>
    <x v="1"/>
    <x v="4"/>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3"/>
    <x v="0"/>
  </r>
  <r>
    <x v="1"/>
    <n v="5"/>
    <x v="1"/>
    <x v="1"/>
    <x v="1"/>
    <x v="0"/>
    <x v="0"/>
    <x v="0"/>
    <x v="3"/>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2"/>
    <x v="2"/>
    <n v="11"/>
    <x v="0"/>
    <x v="0"/>
    <x v="0"/>
    <n v="83053047"/>
    <n v="83053047"/>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0"/>
    <x v="0"/>
    <n v="24211"/>
    <x v="0"/>
    <x v="0"/>
  </r>
  <r>
    <x v="1"/>
    <n v="33"/>
    <x v="1"/>
    <x v="1"/>
    <x v="1"/>
    <x v="0"/>
    <x v="0"/>
    <x v="0"/>
    <x v="0"/>
    <s v="Servicios secretariales o de administración de oficinas  "/>
    <x v="0"/>
    <n v="80161501"/>
    <s v="Prestación de servicios para la generación de productos de la información alfanumérica catastral en el marco del Proyecto de &quot;Actualización y gestión catastral Nacional&quot;"/>
    <x v="0"/>
    <x v="0"/>
    <n v="6"/>
    <x v="0"/>
    <x v="0"/>
    <x v="0"/>
    <n v="16028900"/>
    <n v="1602890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
    <x v="0"/>
    <n v="24438"/>
    <x v="0"/>
    <x v="0"/>
  </r>
  <r>
    <x v="1"/>
    <n v="9"/>
    <x v="1"/>
    <x v="1"/>
    <x v="1"/>
    <x v="5"/>
    <x v="6"/>
    <x v="0"/>
    <x v="3"/>
    <s v="Servicios secretariales o de administración de oficinas  "/>
    <x v="0"/>
    <n v="80161501"/>
    <s v="Prestación de servicios de apoyo orientados a la gestión y enrutamiento de la información derivada de los procesos catastrales."/>
    <x v="2"/>
    <x v="2"/>
    <n v="11"/>
    <x v="0"/>
    <x v="0"/>
    <x v="0"/>
    <n v="92321463"/>
    <n v="92321463"/>
    <x v="0"/>
    <x v="5"/>
    <x v="0"/>
    <x v="1"/>
    <s v="Subdirección de Catastro"/>
    <x v="5"/>
    <s v="Subdirectora de Catastro"/>
    <x v="1"/>
    <x v="2"/>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6"/>
    <x v="0"/>
  </r>
  <r>
    <x v="1"/>
    <n v="36"/>
    <x v="1"/>
    <x v="1"/>
    <x v="1"/>
    <x v="0"/>
    <x v="0"/>
    <x v="0"/>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0"/>
    <x v="0"/>
    <n v="6"/>
    <x v="0"/>
    <x v="0"/>
    <x v="0"/>
    <n v="29858547"/>
    <n v="29858547"/>
    <x v="0"/>
    <x v="0"/>
    <x v="0"/>
    <x v="1"/>
    <s v="Subdirección de Catastro"/>
    <x v="5"/>
    <s v="Subdirectora de Catastro"/>
    <x v="1"/>
    <x v="2"/>
    <s v="Estandarizar las coberturas de información del proceso de catastro"/>
    <s v="Sistema de Información predial actualizado"/>
    <n v="294"/>
    <d v="2021-02-11T00:00:00"/>
    <n v="4976424"/>
    <n v="29858544"/>
    <n v="29858544"/>
    <x v="0"/>
    <s v="DIEGO FERNANDO GRISALES RAMIREZ"/>
    <n v="3"/>
    <x v="0"/>
    <n v="24462"/>
    <x v="0"/>
    <x v="0"/>
  </r>
  <r>
    <x v="1"/>
    <n v="39"/>
    <x v="1"/>
    <x v="1"/>
    <x v="1"/>
    <x v="0"/>
    <x v="0"/>
    <x v="0"/>
    <x v="0"/>
    <s v="Servicios de sistemas de información geográfica (sig)"/>
    <x v="0"/>
    <n v="81101512"/>
    <s v="Prestación de servicios profesionales para gestionar, controlar y hacer seguimiento de la información  alfanumérica y gráfica de los procesos catastrales."/>
    <x v="0"/>
    <x v="0"/>
    <n v="6"/>
    <x v="0"/>
    <x v="0"/>
    <x v="0"/>
    <n v="29858547"/>
    <n v="29858547"/>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3"/>
    <x v="0"/>
    <n v="24477"/>
    <x v="0"/>
    <x v="0"/>
  </r>
  <r>
    <x v="1"/>
    <n v="21"/>
    <x v="1"/>
    <x v="1"/>
    <x v="1"/>
    <x v="0"/>
    <x v="0"/>
    <x v="0"/>
    <x v="3"/>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2"/>
    <x v="2"/>
    <n v="11"/>
    <x v="0"/>
    <x v="0"/>
    <x v="0"/>
    <n v="54740669"/>
    <n v="54740669"/>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5"/>
    <x v="0"/>
    <n v="24264"/>
    <x v="0"/>
    <x v="0"/>
  </r>
  <r>
    <x v="1"/>
    <n v="4"/>
    <x v="1"/>
    <x v="1"/>
    <x v="1"/>
    <x v="0"/>
    <x v="0"/>
    <x v="0"/>
    <x v="3"/>
    <s v="Servicios de formación profesional en derecho"/>
    <x v="0"/>
    <n v="86101713"/>
    <s v="Prestación de servicios profesionales para apoyar el componente jurídico en los proyectos de Gestión Catastral desarrollados por el IGAC"/>
    <x v="2"/>
    <x v="2"/>
    <n v="11"/>
    <x v="0"/>
    <x v="0"/>
    <x v="1"/>
    <n v="95787741"/>
    <n v="95787741"/>
    <x v="0"/>
    <x v="0"/>
    <x v="0"/>
    <x v="1"/>
    <s v="Subdirección de Catastro"/>
    <x v="5"/>
    <s v="Subdirectora de Catastro"/>
    <x v="1"/>
    <x v="2"/>
    <s v="Ejecutar procesos de actualización catastral a nivel nacional"/>
    <s v="Predios actualizados catastralmente"/>
    <n v="48"/>
    <d v="2021-01-18T00:00:00"/>
    <n v="8707976"/>
    <n v="95787736"/>
    <n v="95787736"/>
    <x v="0"/>
    <s v="LIZZY KAROLAY RINCON CAMELO"/>
    <n v="5"/>
    <x v="0"/>
    <n v="24206"/>
    <x v="0"/>
    <x v="0"/>
  </r>
  <r>
    <x v="1"/>
    <n v="6"/>
    <x v="1"/>
    <x v="1"/>
    <x v="1"/>
    <x v="0"/>
    <x v="0"/>
    <x v="0"/>
    <x v="3"/>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2"/>
    <x v="2"/>
    <n v="11"/>
    <x v="0"/>
    <x v="0"/>
    <x v="1"/>
    <n v="108518129"/>
    <n v="108518129"/>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5"/>
    <x v="0"/>
    <n v="24223"/>
    <x v="0"/>
    <x v="0"/>
  </r>
  <r>
    <x v="1"/>
    <n v="8"/>
    <x v="1"/>
    <x v="1"/>
    <x v="1"/>
    <x v="1"/>
    <x v="1"/>
    <x v="0"/>
    <x v="3"/>
    <s v="Servicios secretariales o de administración de oficinas  "/>
    <x v="0"/>
    <n v="80161501"/>
    <s v="Prestación de servicios para apoyar las actividades técnicas y operativas para la habilitación de gestores catastrales."/>
    <x v="2"/>
    <x v="2"/>
    <n v="11"/>
    <x v="0"/>
    <x v="0"/>
    <x v="0"/>
    <n v="58772631"/>
    <n v="58772631"/>
    <x v="0"/>
    <x v="1"/>
    <x v="0"/>
    <x v="1"/>
    <s v="Subdirección de Catastro"/>
    <x v="5"/>
    <s v="Subdirectora de Catastro"/>
    <x v="1"/>
    <x v="2"/>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1"/>
    <x v="0"/>
  </r>
  <r>
    <x v="1"/>
    <n v="18"/>
    <x v="1"/>
    <x v="1"/>
    <x v="1"/>
    <x v="5"/>
    <x v="6"/>
    <x v="0"/>
    <x v="3"/>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2"/>
    <x v="2"/>
    <n v="11"/>
    <x v="0"/>
    <x v="0"/>
    <x v="0"/>
    <n v="434072513"/>
    <n v="434072513"/>
    <x v="0"/>
    <x v="5"/>
    <x v="0"/>
    <x v="1"/>
    <s v="Subdirección de Catastro"/>
    <x v="5"/>
    <s v="Subdirectora de Catastro"/>
    <x v="1"/>
    <x v="2"/>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6"/>
    <x v="0"/>
  </r>
  <r>
    <x v="1"/>
    <n v="7"/>
    <x v="1"/>
    <x v="1"/>
    <x v="1"/>
    <x v="0"/>
    <x v="0"/>
    <x v="0"/>
    <x v="3"/>
    <s v="Servicios de formación profesional en derecho"/>
    <x v="0"/>
    <n v="86101713"/>
    <s v="Prestación de servicios profesionales para el desarrollo del componente social requerido de los procesos de gestión catastral desarrollados por el IGAC"/>
    <x v="2"/>
    <x v="2"/>
    <n v="11"/>
    <x v="0"/>
    <x v="0"/>
    <x v="1"/>
    <n v="63335720"/>
    <n v="63335720"/>
    <x v="0"/>
    <x v="0"/>
    <x v="0"/>
    <x v="1"/>
    <s v="Subdirección de Catastro"/>
    <x v="5"/>
    <s v="Subdirectora de Catastro"/>
    <x v="1"/>
    <x v="2"/>
    <s v="Ejecutar procesos de actualización catastral a nivel nacional"/>
    <s v="Predios actualizados catastralmente"/>
    <n v="54"/>
    <d v="2021-01-19T00:00:00"/>
    <n v="5757793"/>
    <n v="63143797"/>
    <n v="63143797"/>
    <x v="0"/>
    <s v="GERMAN ANDRES HERRERA SIERRA"/>
    <n v="191923"/>
    <x v="0"/>
    <n v="24213"/>
    <x v="0"/>
    <x v="0"/>
  </r>
  <r>
    <x v="1"/>
    <n v="11"/>
    <x v="1"/>
    <x v="1"/>
    <x v="1"/>
    <x v="0"/>
    <x v="0"/>
    <x v="0"/>
    <x v="3"/>
    <s v="Servicios secretariales o de administración de oficinas  "/>
    <x v="0"/>
    <n v="80161501"/>
    <s v="Prestación de servicios profesionales para la atención, control y seguimiento a las peticiones presentadas en el área asignada."/>
    <x v="2"/>
    <x v="2"/>
    <n v="11"/>
    <x v="0"/>
    <x v="0"/>
    <x v="0"/>
    <n v="63335720"/>
    <n v="63335720"/>
    <x v="0"/>
    <x v="0"/>
    <x v="0"/>
    <x v="1"/>
    <s v="Subdirección de Catastro"/>
    <x v="5"/>
    <s v="Subdirectora de Catastro"/>
    <x v="1"/>
    <x v="2"/>
    <s v="Ejecutar procesos de actualización catastral a nivel nacional"/>
    <s v="Predios actualizados catastralmente"/>
    <n v="68"/>
    <d v="2021-01-20T00:00:00"/>
    <n v="5757793"/>
    <n v="63143797"/>
    <n v="63143797"/>
    <x v="0"/>
    <s v="MARTHA YANET DIAZ AYALA"/>
    <n v="191923"/>
    <x v="0"/>
    <n v="24225"/>
    <x v="0"/>
    <x v="0"/>
  </r>
  <r>
    <x v="1"/>
    <n v="35"/>
    <x v="1"/>
    <x v="1"/>
    <x v="1"/>
    <x v="1"/>
    <x v="1"/>
    <x v="0"/>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0"/>
    <x v="0"/>
    <n v="6"/>
    <x v="0"/>
    <x v="0"/>
    <x v="0"/>
    <n v="69093513"/>
    <n v="69093513"/>
    <x v="0"/>
    <x v="1"/>
    <x v="0"/>
    <x v="1"/>
    <s v="Subdirección de Catastro"/>
    <x v="5"/>
    <s v="Subdirectora de Catastro"/>
    <x v="1"/>
    <x v="2"/>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1"/>
    <x v="0"/>
  </r>
  <r>
    <x v="1"/>
    <n v="24"/>
    <x v="1"/>
    <x v="1"/>
    <x v="1"/>
    <x v="5"/>
    <x v="6"/>
    <x v="0"/>
    <x v="3"/>
    <s v="Servicios de sistemas de información geográfica (sig)"/>
    <x v="0"/>
    <n v="81101512"/>
    <s v="Prestación de servicios profesionales para adelantar los avalúos comerciales asignados, de acuerdo a la programación establecida. "/>
    <x v="2"/>
    <x v="2"/>
    <n v="11"/>
    <x v="0"/>
    <x v="0"/>
    <x v="1"/>
    <n v="253342879"/>
    <n v="253342879"/>
    <x v="0"/>
    <x v="5"/>
    <x v="0"/>
    <x v="1"/>
    <s v="Subdirección de Catastro"/>
    <x v="5"/>
    <s v="Subdirectora de Catastro"/>
    <x v="1"/>
    <x v="4"/>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6"/>
    <x v="0"/>
  </r>
  <r>
    <x v="1"/>
    <n v="48"/>
    <x v="1"/>
    <x v="1"/>
    <x v="1"/>
    <x v="0"/>
    <x v="0"/>
    <x v="0"/>
    <x v="4"/>
    <s v="Servicios secretariales o de administración de oficinas  "/>
    <x v="0"/>
    <n v="80161501"/>
    <s v="Prestación de servicios profesionales para el procesamiento, análisis y generación de productos geográficos que apoyen el proceso de actualización catastral"/>
    <x v="1"/>
    <x v="1"/>
    <n v="285"/>
    <x v="1"/>
    <x v="0"/>
    <x v="1"/>
    <n v="25379089"/>
    <n v="25379089"/>
    <x v="0"/>
    <x v="0"/>
    <x v="0"/>
    <x v="1"/>
    <s v="Subdirección de Catastro"/>
    <x v="5"/>
    <s v="Subdirectora de Catastro"/>
    <x v="1"/>
    <x v="2"/>
    <s v="Ejecutar procesos de actualización catastral a nivel nacional"/>
    <s v="Predios actualizados catastralmente"/>
    <n v="470"/>
    <d v="2021-03-18T00:00:00"/>
    <n v="2671483"/>
    <n v="24577644"/>
    <n v="24577644"/>
    <x v="0"/>
    <s v="LAURA ALEJANDRA MARTINEZ CONDE"/>
    <n v="801445"/>
    <x v="0"/>
    <n v="24681"/>
    <x v="0"/>
    <x v="0"/>
  </r>
  <r>
    <x v="1"/>
    <n v="17"/>
    <x v="1"/>
    <x v="1"/>
    <x v="1"/>
    <x v="0"/>
    <x v="0"/>
    <x v="0"/>
    <x v="0"/>
    <s v="Servicios secretariales o de administración de oficinas  "/>
    <x v="0"/>
    <n v="80161501"/>
    <s v="Prestación de servicios profesionales para la programación, control y seguimiento presupuestal y financiero del proyecto de inversión &quot;Actualización y gestión catastral Nacional&quot;"/>
    <x v="0"/>
    <x v="0"/>
    <n v="325"/>
    <x v="1"/>
    <x v="0"/>
    <x v="0"/>
    <n v="72404085"/>
    <n v="72404085"/>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1113909"/>
    <x v="0"/>
    <n v="24367"/>
    <x v="0"/>
    <x v="0"/>
  </r>
  <r>
    <x v="1"/>
    <n v="38"/>
    <x v="1"/>
    <x v="1"/>
    <x v="1"/>
    <x v="0"/>
    <x v="0"/>
    <x v="0"/>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0"/>
    <x v="0"/>
    <n v="325"/>
    <x v="1"/>
    <x v="0"/>
    <x v="0"/>
    <n v="28941066"/>
    <n v="28941066"/>
    <x v="0"/>
    <x v="0"/>
    <x v="0"/>
    <x v="1"/>
    <s v="Subdirección de Catastro"/>
    <x v="5"/>
    <s v="Subdirectora de Catastro"/>
    <x v="1"/>
    <x v="4"/>
    <s v="Realizar avalúos IVP"/>
    <s v="Avalúos realizados"/>
    <n v="332"/>
    <d v="2021-02-16T00:00:00"/>
    <n v="2671483"/>
    <n v="27694374"/>
    <n v="27694374"/>
    <x v="0"/>
    <s v="WILSON JAVIER NUÑEZ BARRERA"/>
    <n v="1246692"/>
    <x v="0"/>
    <n v="24492"/>
    <x v="0"/>
    <x v="0"/>
  </r>
  <r>
    <x v="1"/>
    <n v="14"/>
    <x v="1"/>
    <x v="1"/>
    <x v="1"/>
    <x v="0"/>
    <x v="0"/>
    <x v="0"/>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0"/>
    <x v="0"/>
    <n v="325"/>
    <x v="1"/>
    <x v="0"/>
    <x v="0"/>
    <n v="81794668"/>
    <n v="81794668"/>
    <x v="0"/>
    <x v="0"/>
    <x v="0"/>
    <x v="1"/>
    <s v="Subdirección de Catastro"/>
    <x v="5"/>
    <s v="Subdirectora de Catastro"/>
    <x v="1"/>
    <x v="2"/>
    <s v="Ejecutar procesos de actualización catastral a nivel nacional"/>
    <s v="Predios actualizados catastralmente"/>
    <n v="193"/>
    <d v="2021-02-03T00:00:00"/>
    <n v="7550277"/>
    <n v="80536288"/>
    <n v="80536288"/>
    <x v="0"/>
    <s v="ADRIANA MARIA MARTINEZ BUSTOS"/>
    <n v="1258380"/>
    <x v="0"/>
    <n v="24376"/>
    <x v="0"/>
    <x v="0"/>
  </r>
  <r>
    <x v="1"/>
    <n v="30"/>
    <x v="1"/>
    <x v="1"/>
    <x v="1"/>
    <x v="0"/>
    <x v="0"/>
    <x v="0"/>
    <x v="0"/>
    <s v="Servicios secretariales o de administración de oficinas  "/>
    <x v="0"/>
    <n v="80161501"/>
    <s v="Prestación de servicios profesionales para apoyar los análisis estadísticos requeridos para los procesos de gestión catastral con enfoque multipropósito."/>
    <x v="0"/>
    <x v="0"/>
    <n v="325"/>
    <x v="1"/>
    <x v="0"/>
    <x v="0"/>
    <n v="81794668"/>
    <n v="81794668"/>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1258380"/>
    <x v="0"/>
    <n v="24398"/>
    <x v="0"/>
    <x v="0"/>
  </r>
  <r>
    <x v="1"/>
    <n v="27"/>
    <x v="1"/>
    <x v="1"/>
    <x v="1"/>
    <x v="0"/>
    <x v="0"/>
    <x v="0"/>
    <x v="0"/>
    <s v="Servicios secretariales o de administración de oficinas  "/>
    <x v="0"/>
    <n v="80161501"/>
    <s v="Prestación de servicios profesionales para adelantar los análisis estadísticos requeridos para el desarrollo de los procesos de catastro multipropósito."/>
    <x v="0"/>
    <x v="0"/>
    <n v="325"/>
    <x v="1"/>
    <x v="0"/>
    <x v="0"/>
    <n v="106873910"/>
    <n v="10687391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1644214"/>
    <x v="0"/>
    <n v="24366"/>
    <x v="0"/>
    <x v="0"/>
  </r>
  <r>
    <x v="1"/>
    <n v="28"/>
    <x v="1"/>
    <x v="1"/>
    <x v="1"/>
    <x v="0"/>
    <x v="0"/>
    <x v="0"/>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0"/>
    <x v="0"/>
    <n v="325"/>
    <x v="1"/>
    <x v="0"/>
    <x v="1"/>
    <n v="106873910"/>
    <n v="10687391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1644214"/>
    <x v="0"/>
    <n v="24361"/>
    <x v="0"/>
    <x v="0"/>
  </r>
  <r>
    <x v="1"/>
    <n v="32"/>
    <x v="1"/>
    <x v="1"/>
    <x v="1"/>
    <x v="0"/>
    <x v="0"/>
    <x v="0"/>
    <x v="0"/>
    <s v="Servicios de sistemas de información geográfica (sig)"/>
    <x v="0"/>
    <n v="81101512"/>
    <s v="Prestación de servicios profesionales para el seguimiento y control de los proyectos de gestión catastral con enforque multipropósito."/>
    <x v="0"/>
    <x v="0"/>
    <n v="325"/>
    <x v="1"/>
    <x v="0"/>
    <x v="1"/>
    <n v="131948917"/>
    <n v="131948917"/>
    <x v="0"/>
    <x v="0"/>
    <x v="0"/>
    <x v="1"/>
    <s v="Subdirección de Catastro"/>
    <x v="5"/>
    <s v="Subdirectora de Catastro"/>
    <x v="1"/>
    <x v="2"/>
    <s v="Ejecutar procesos de actualización catastral a nivel nacional"/>
    <s v="Predios actualizados catastralmente"/>
    <n v="183"/>
    <d v="2021-02-05T00:00:00"/>
    <n v="12179900"/>
    <n v="129918933"/>
    <n v="129918933"/>
    <x v="0"/>
    <s v="AVIER ENRIQUE ZULUAGA GONZALEZ"/>
    <n v="2029984"/>
    <x v="0"/>
    <n v="24371"/>
    <x v="0"/>
    <x v="0"/>
  </r>
  <r>
    <x v="1"/>
    <n v="46"/>
    <x v="1"/>
    <x v="1"/>
    <x v="1"/>
    <x v="0"/>
    <x v="0"/>
    <x v="0"/>
    <x v="10"/>
    <s v="Servicios secretariales o de administración de oficinas  "/>
    <x v="0"/>
    <n v="80161501"/>
    <s v="Prestación de servicios para apoyar la atención y trámite de las solicitudes de avalúos y de requerimientos de información relacionados con  la ejecución de avalúos."/>
    <x v="1"/>
    <x v="1"/>
    <n v="300"/>
    <x v="1"/>
    <x v="0"/>
    <x v="1"/>
    <n v="28941066"/>
    <n v="28941066"/>
    <x v="0"/>
    <x v="0"/>
    <x v="0"/>
    <x v="1"/>
    <s v="Subdirección de Catastro"/>
    <x v="5"/>
    <s v="Subdirectora de Catastro"/>
    <x v="1"/>
    <x v="4"/>
    <s v="Realizar avalúos comerciales, de acuerdo a las solicitudes recibidas."/>
    <s v="Avalúos realizados"/>
    <n v="433"/>
    <d v="2021-03-08T00:00:00"/>
    <n v="2671483"/>
    <n v="26269583"/>
    <n v="26269583"/>
    <x v="0"/>
    <s v="MARIA NIRIAM URREA"/>
    <n v="2671483"/>
    <x v="0"/>
    <n v="24562"/>
    <x v="0"/>
    <x v="0"/>
  </r>
  <r>
    <x v="1"/>
    <n v="40"/>
    <x v="1"/>
    <x v="1"/>
    <x v="1"/>
    <x v="1"/>
    <x v="1"/>
    <x v="0"/>
    <x v="0"/>
    <s v="Servicios secretariales o de administración de oficinas  "/>
    <x v="0"/>
    <n v="80161501"/>
    <s v="Prestación de servicios profesionales para actuar como auxiliares de la justicia y en la ejecución de avalúos IVP, de acuerdo a los procesos que le sean asignados."/>
    <x v="0"/>
    <x v="0"/>
    <n v="325"/>
    <x v="1"/>
    <x v="0"/>
    <x v="0"/>
    <n v="63738567"/>
    <n v="63738567"/>
    <x v="0"/>
    <x v="1"/>
    <x v="0"/>
    <x v="1"/>
    <s v="Subdirección de Catastro"/>
    <x v="5"/>
    <s v="Subdirectora de Catastro"/>
    <x v="1"/>
    <x v="4"/>
    <s v="Realizar avalúos IVP"/>
    <s v="Avalúos realizados"/>
    <n v="342"/>
    <d v="2021-02-16T00:00:00"/>
    <n v="2941780"/>
    <n v="30398393"/>
    <n v="60796786"/>
    <x v="0"/>
    <s v="STEFANNYE BUITRAGO MARULANDA _x000a_YEISON ALEJANDRO SÁNCHEZ GONZALEZ"/>
    <n v="2941781"/>
    <x v="0"/>
    <s v="24504_x000a_24507"/>
    <x v="1"/>
    <x v="0"/>
  </r>
  <r>
    <x v="1"/>
    <n v="44"/>
    <x v="1"/>
    <x v="1"/>
    <x v="1"/>
    <x v="0"/>
    <x v="0"/>
    <x v="0"/>
    <x v="13"/>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1"/>
    <s v="Subdirección de Catastro"/>
    <x v="5"/>
    <s v="Subdirectora de Catastro"/>
    <x v="1"/>
    <x v="2"/>
    <s v="Ejecutar procesos de actualización catastral a nivel nacional"/>
    <s v="Predios actualizados catastralmente"/>
    <n v="445"/>
    <d v="2021-02-25T00:00:00"/>
    <n v="12179900"/>
    <n v="109619100"/>
    <n v="109619100"/>
    <x v="0"/>
    <s v="CLAUDIA CECILIA PUENTES RIAÑO"/>
    <n v="3831666"/>
    <x v="0"/>
    <m/>
    <x v="0"/>
    <x v="0"/>
  </r>
  <r>
    <x v="1"/>
    <n v="34"/>
    <x v="1"/>
    <x v="1"/>
    <x v="1"/>
    <x v="1"/>
    <x v="1"/>
    <x v="0"/>
    <x v="0"/>
    <s v="Servicios secretariales o de administración de oficinas  "/>
    <x v="0"/>
    <n v="80161501"/>
    <s v="Prestación de servicios profesionales para adelantar la ejecución de los procesos de gestión catastral a cargo del IGAC, programados en la vigencia"/>
    <x v="0"/>
    <x v="0"/>
    <n v="325"/>
    <x v="1"/>
    <x v="0"/>
    <x v="1"/>
    <n v="213747820"/>
    <n v="213747820"/>
    <x v="0"/>
    <x v="1"/>
    <x v="0"/>
    <x v="1"/>
    <s v="Subdirección de Catastro"/>
    <x v="5"/>
    <s v="Subdirectora de Catastro"/>
    <x v="1"/>
    <x v="2"/>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1"/>
    <x v="0"/>
  </r>
  <r>
    <x v="1"/>
    <n v="41"/>
    <x v="1"/>
    <x v="1"/>
    <x v="1"/>
    <x v="0"/>
    <x v="0"/>
    <x v="0"/>
    <x v="14"/>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0"/>
    <x v="0"/>
    <n v="325"/>
    <x v="1"/>
    <x v="0"/>
    <x v="0"/>
    <n v="81794668"/>
    <n v="81794668"/>
    <x v="0"/>
    <x v="0"/>
    <x v="0"/>
    <x v="1"/>
    <s v="Subdirección de Catastro"/>
    <x v="5"/>
    <s v="Subdirectora de Catastro"/>
    <x v="1"/>
    <x v="2"/>
    <s v="Ejecutar procesos de actualización catastral a nivel nacional"/>
    <s v="Predios actualizados catastralmente"/>
    <n v="350"/>
    <d v="2021-02-19T00:00:00"/>
    <n v="7550277"/>
    <n v="77012825"/>
    <n v="77012825"/>
    <x v="0"/>
    <s v="DANIEL MUÑOZ CASTRO"/>
    <n v="4781843"/>
    <x v="0"/>
    <n v="24506"/>
    <x v="0"/>
    <x v="0"/>
  </r>
  <r>
    <x v="1"/>
    <n v="37"/>
    <x v="1"/>
    <x v="1"/>
    <x v="1"/>
    <x v="1"/>
    <x v="1"/>
    <x v="0"/>
    <x v="14"/>
    <s v="Servicios de sistemas de información geográfica (sig)"/>
    <x v="0"/>
    <n v="81101512"/>
    <s v="Prestación de servicios profesionales para la gestión, control y seguimiento a los procesos catastrales de formación, actualización y conservación catastral con enfoque multipropósito"/>
    <x v="0"/>
    <x v="0"/>
    <n v="325"/>
    <x v="1"/>
    <x v="0"/>
    <x v="0"/>
    <n v="124752182"/>
    <n v="124752182"/>
    <x v="0"/>
    <x v="1"/>
    <x v="0"/>
    <x v="1"/>
    <s v="Subdirección de Catastro"/>
    <x v="5"/>
    <s v="Subdirectora de Catastro"/>
    <x v="1"/>
    <x v="2"/>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1"/>
    <x v="0"/>
  </r>
  <r>
    <x v="1"/>
    <n v="19"/>
    <x v="1"/>
    <x v="1"/>
    <x v="1"/>
    <x v="1"/>
    <x v="1"/>
    <x v="0"/>
    <x v="0"/>
    <s v="Servicios de sistemas de información geográfica (sig)"/>
    <x v="0"/>
    <n v="81101512"/>
    <s v="Prestación de servicios profesionales para orientar y controlar, la operación de los proyectos de Gestión Catastral adelantados por el IGAC"/>
    <x v="0"/>
    <x v="0"/>
    <n v="325"/>
    <x v="1"/>
    <x v="0"/>
    <x v="1"/>
    <n v="188672813"/>
    <n v="188672813"/>
    <x v="0"/>
    <x v="1"/>
    <x v="0"/>
    <x v="1"/>
    <s v="Subdirección de Catastro"/>
    <x v="5"/>
    <s v="Subdirectora de Catastro"/>
    <x v="1"/>
    <x v="2"/>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1"/>
    <x v="0"/>
  </r>
  <r>
    <x v="1"/>
    <n v="25"/>
    <x v="1"/>
    <x v="1"/>
    <x v="1"/>
    <x v="3"/>
    <x v="3"/>
    <x v="0"/>
    <x v="0"/>
    <s v="Servicios secretariales o de administración de oficinas  "/>
    <x v="0"/>
    <n v="80161501"/>
    <s v="Prestación de servicios profesionales para realizar el control de calidad y el apoyo técnico de los avalúos adelantados por el IGAC."/>
    <x v="0"/>
    <x v="0"/>
    <n v="325"/>
    <x v="1"/>
    <x v="0"/>
    <x v="1"/>
    <n v="408973338"/>
    <n v="408973338"/>
    <x v="0"/>
    <x v="3"/>
    <x v="0"/>
    <x v="1"/>
    <s v="Subdirección de Catastro"/>
    <x v="5"/>
    <s v="Subdirectora de Catastro"/>
    <x v="1"/>
    <x v="4"/>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3"/>
    <x v="0"/>
  </r>
  <r>
    <x v="1"/>
    <n v="64"/>
    <x v="1"/>
    <x v="1"/>
    <x v="1"/>
    <x v="1"/>
    <x v="1"/>
    <x v="0"/>
    <x v="8"/>
    <s v="Servicios secretariales o de administración de oficinas  "/>
    <x v="0"/>
    <n v="80161501"/>
    <s v="Prestación de servicios  para identificar, localizar, editar, integrar,estructurar en GDB y validar, la cartografía básica y temática de Ordenamiento Territorial."/>
    <x v="7"/>
    <x v="7"/>
    <n v="240"/>
    <x v="1"/>
    <x v="0"/>
    <x v="1"/>
    <n v="58243776"/>
    <n v="58243776"/>
    <x v="0"/>
    <x v="1"/>
    <x v="0"/>
    <x v="1"/>
    <s v="Subdirección de Catastro"/>
    <x v="5"/>
    <s v="Subdirectora de Catastro"/>
    <x v="1"/>
    <x v="2"/>
    <s v="Ejecutar procesos de actualización catastral a nivel nacional"/>
    <s v="Predios actualizados catastralmente"/>
    <n v="564"/>
    <d v="2021-05-10T00:00:00"/>
    <n v="3640236"/>
    <n v="25481652"/>
    <n v="50963304"/>
    <x v="0"/>
    <s v="YIMI TOBIAS MORA CHAMORRO_x000a_JULIAN DAVID MORENO GALVIS"/>
    <n v="7280472"/>
    <x v="0"/>
    <s v="24720_x000a_24707"/>
    <x v="1"/>
    <x v="0"/>
  </r>
  <r>
    <x v="1"/>
    <n v="42"/>
    <x v="1"/>
    <x v="1"/>
    <x v="1"/>
    <x v="5"/>
    <x v="6"/>
    <x v="0"/>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0"/>
    <x v="0"/>
    <n v="325"/>
    <x v="1"/>
    <x v="0"/>
    <x v="1"/>
    <n v="127477133"/>
    <n v="127477133"/>
    <x v="0"/>
    <x v="5"/>
    <x v="0"/>
    <x v="1"/>
    <s v="Subdirección de Catastro"/>
    <x v="5"/>
    <s v="Subdirectora de Catastro"/>
    <x v="1"/>
    <x v="4"/>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6"/>
    <x v="0"/>
  </r>
  <r>
    <x v="1"/>
    <n v="45"/>
    <x v="1"/>
    <x v="1"/>
    <x v="1"/>
    <x v="0"/>
    <x v="0"/>
    <x v="0"/>
    <x v="1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1"/>
    <s v="Subdirección de Catastro"/>
    <x v="5"/>
    <s v="Subdirectora de Catastro"/>
    <x v="1"/>
    <x v="2"/>
    <s v="Ejecutar procesos de actualización catastral a nivel nacional"/>
    <s v="Predios actualizados catastralmente"/>
    <n v="433"/>
    <d v="2021-03-04T00:00:00"/>
    <n v="5757793"/>
    <n v="54699033"/>
    <n v="54699033"/>
    <x v="0"/>
    <s v="SANDRA MILENA BELALCAZAR BENAVIDES"/>
    <n v="7677058"/>
    <x v="0"/>
    <n v="24580"/>
    <x v="0"/>
    <x v="0"/>
  </r>
  <r>
    <x v="1"/>
    <n v="16"/>
    <x v="1"/>
    <x v="1"/>
    <x v="1"/>
    <x v="0"/>
    <x v="0"/>
    <x v="0"/>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0"/>
    <x v="0"/>
    <n v="325"/>
    <x v="1"/>
    <x v="0"/>
    <x v="0"/>
    <n v="131948917"/>
    <n v="131948917"/>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10149917"/>
    <x v="0"/>
    <n v="24370"/>
    <x v="0"/>
    <x v="0"/>
  </r>
  <r>
    <x v="1"/>
    <n v="63"/>
    <x v="1"/>
    <x v="1"/>
    <x v="1"/>
    <x v="1"/>
    <x v="1"/>
    <x v="0"/>
    <x v="6"/>
    <s v="Servicios secretariales o de administración de oficinas  "/>
    <x v="0"/>
    <n v="80161501"/>
    <s v="Prestación de servicios  para identificar, localizar,revisar,analizar, consolidar documentos técnicos y cartografia tematica relacionada con zonificación de usos suelos y clasificación del suelo."/>
    <x v="8"/>
    <x v="8"/>
    <n v="240"/>
    <x v="1"/>
    <x v="0"/>
    <x v="1"/>
    <n v="106935264"/>
    <n v="106935264"/>
    <x v="0"/>
    <x v="1"/>
    <x v="0"/>
    <x v="1"/>
    <s v="Subdirección de Catastro"/>
    <x v="5"/>
    <s v="Subdirectora de Catastro"/>
    <x v="1"/>
    <x v="2"/>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1"/>
    <x v="0"/>
  </r>
  <r>
    <x v="3"/>
    <n v="1"/>
    <x v="1"/>
    <x v="1"/>
    <x v="1"/>
    <x v="0"/>
    <x v="0"/>
    <x v="0"/>
    <x v="10"/>
    <s v="Cintas métricas"/>
    <x v="0"/>
    <n v="27111801"/>
    <s v="Compra y calibración de cintas métricas (patrón) metálicas de 20 metros por un ente acreditado"/>
    <x v="1"/>
    <x v="1"/>
    <n v="1"/>
    <x v="0"/>
    <x v="1"/>
    <x v="0"/>
    <n v="40000000"/>
    <n v="40000000"/>
    <x v="0"/>
    <x v="0"/>
    <x v="0"/>
    <x v="1"/>
    <s v="Subdirección de Catastro"/>
    <x v="5"/>
    <s v="Subdirectora de Catastro"/>
    <x v="1"/>
    <x v="2"/>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1"/>
    <n v="54"/>
    <x v="1"/>
    <x v="1"/>
    <x v="1"/>
    <x v="2"/>
    <x v="2"/>
    <x v="0"/>
    <x v="4"/>
    <s v="Servicios de sistemas de información geográfica (sig)"/>
    <x v="0"/>
    <n v="81101512"/>
    <s v="Prestación de servicios profesionales para el desarrollo, validación e implementación de las metodologías de valoración, aplicables a los procesos de catastrales con enfoque multipropósito"/>
    <x v="1"/>
    <x v="1"/>
    <n v="300"/>
    <x v="1"/>
    <x v="0"/>
    <x v="1"/>
    <n v="226508310"/>
    <n v="226508310"/>
    <x v="0"/>
    <x v="2"/>
    <x v="0"/>
    <x v="1"/>
    <s v="Subdirección de Catastro"/>
    <x v="5"/>
    <s v="Subdirectora de Catastro"/>
    <x v="1"/>
    <x v="2"/>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2"/>
    <x v="0"/>
  </r>
  <r>
    <x v="1"/>
    <n v="47"/>
    <x v="1"/>
    <x v="1"/>
    <x v="1"/>
    <x v="0"/>
    <x v="0"/>
    <x v="0"/>
    <x v="10"/>
    <s v="Servicios secretariales o de administración de oficinas  "/>
    <x v="0"/>
    <n v="80161501"/>
    <s v="Prestación de servicios profesionales para realizar los análisis estadísticos requeridos en el marco de los procesos de formación y actualización catastral a cargo de Instituto "/>
    <x v="7"/>
    <x v="7"/>
    <n v="270"/>
    <x v="1"/>
    <x v="0"/>
    <x v="1"/>
    <n v="86828186"/>
    <n v="86828186"/>
    <x v="0"/>
    <x v="0"/>
    <x v="0"/>
    <x v="1"/>
    <s v="Subdirección de Catastro"/>
    <x v="5"/>
    <s v="Subdirectora de Catastro"/>
    <x v="1"/>
    <x v="2"/>
    <s v="Ejecutar procesos de actualización catastral a nivel nacional"/>
    <s v="Predios actualizados catastralmente"/>
    <n v="451"/>
    <d v="2021-03-15T00:00:00"/>
    <n v="7550277"/>
    <n v="64177355"/>
    <n v="64177355"/>
    <x v="0"/>
    <s v="KAREN ROSANA CÓRDOBA PÉROZO"/>
    <n v="22650831"/>
    <x v="0"/>
    <n v="24680"/>
    <x v="0"/>
    <x v="0"/>
  </r>
  <r>
    <x v="1"/>
    <n v="15"/>
    <x v="1"/>
    <x v="1"/>
    <x v="1"/>
    <x v="0"/>
    <x v="0"/>
    <x v="0"/>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0"/>
    <x v="0"/>
    <n v="325"/>
    <x v="1"/>
    <x v="0"/>
    <x v="0"/>
    <n v="144486420"/>
    <n v="14448642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451548"/>
    <x v="0"/>
    <n v="24300"/>
    <x v="0"/>
    <x v="0"/>
  </r>
  <r>
    <x v="1"/>
    <n v="50"/>
    <x v="1"/>
    <x v="1"/>
    <x v="1"/>
    <x v="2"/>
    <x v="2"/>
    <x v="0"/>
    <x v="1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2"/>
    <x v="0"/>
    <x v="1"/>
    <s v="Subdirección de Catastro"/>
    <x v="5"/>
    <s v="Subdirectora de Catastro"/>
    <x v="1"/>
    <x v="2"/>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2"/>
    <x v="0"/>
  </r>
  <r>
    <x v="1"/>
    <n v="57"/>
    <x v="1"/>
    <x v="1"/>
    <x v="1"/>
    <x v="3"/>
    <x v="3"/>
    <x v="0"/>
    <x v="1"/>
    <s v="Servicios secretariales o de administración de oficinas  "/>
    <x v="0"/>
    <n v="80161501"/>
    <s v="Prestación de servicios profesionales para generar productos de Aplicaciones Agrológicas, derivados de Levantamientos de suelos, para apoyar los procesos de Catastro Multipropósito."/>
    <x v="7"/>
    <x v="7"/>
    <n v="270"/>
    <x v="1"/>
    <x v="0"/>
    <x v="1"/>
    <n v="227115000"/>
    <n v="227115000"/>
    <x v="0"/>
    <x v="3"/>
    <x v="0"/>
    <x v="1"/>
    <s v="Subdirección de Catastro"/>
    <x v="5"/>
    <s v="Subdirectora de Catastro"/>
    <x v="1"/>
    <x v="2"/>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3"/>
    <x v="0"/>
  </r>
  <r>
    <x v="1"/>
    <n v="56"/>
    <x v="1"/>
    <x v="1"/>
    <x v="1"/>
    <x v="2"/>
    <x v="2"/>
    <x v="0"/>
    <x v="2"/>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7"/>
    <x v="7"/>
    <n v="300"/>
    <x v="1"/>
    <x v="0"/>
    <x v="1"/>
    <n v="230579163"/>
    <n v="230579163"/>
    <x v="0"/>
    <x v="2"/>
    <x v="0"/>
    <x v="1"/>
    <s v="Subdirección de Catastro"/>
    <x v="5"/>
    <s v="Subdirectora de Catastro"/>
    <x v="1"/>
    <x v="2"/>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2"/>
    <x v="0"/>
  </r>
  <r>
    <x v="1"/>
    <n v="60"/>
    <x v="1"/>
    <x v="1"/>
    <x v="1"/>
    <x v="3"/>
    <x v="2"/>
    <x v="3"/>
    <x v="1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7"/>
    <x v="7"/>
    <n v="270"/>
    <x v="1"/>
    <x v="0"/>
    <x v="1"/>
    <n v="331073098"/>
    <n v="331073098"/>
    <x v="0"/>
    <x v="3"/>
    <x v="0"/>
    <x v="1"/>
    <s v="Subdirección de Catastro"/>
    <x v="5"/>
    <s v="Subdirectora de Catastro"/>
    <x v="1"/>
    <x v="2"/>
    <s v="Ejecutar procesos de actualización catastral a nivel nacional"/>
    <s v="Predios actualizados catastralmente"/>
    <n v="536"/>
    <d v="2021-04-19T00:00:00"/>
    <n v="5757793"/>
    <n v="41264183"/>
    <n v="123792549"/>
    <x v="0"/>
    <s v="MEYBES DIANA SOSSA RODRIGUEZ_x000a_DAVID ERNESTO NEGRETE CABRA_x000a_OSCAR YESID QUINTERO DELGADO"/>
    <n v="23031172"/>
    <x v="0"/>
    <s v="24679_x000a_24680_x000a_24681"/>
    <x v="2"/>
    <x v="3"/>
  </r>
  <r>
    <x v="1"/>
    <n v="65"/>
    <x v="1"/>
    <x v="1"/>
    <x v="1"/>
    <x v="6"/>
    <x v="2"/>
    <x v="5"/>
    <x v="12"/>
    <s v="Servicios de sistemas de información geográfica (sig)"/>
    <x v="0"/>
    <n v="81101512"/>
    <s v="Prestación de servicios profesionales para elaborar los avalúos comerciales de bienes inmuebles tanto urbanos como rurales a nivel nacional, de acuerdo con los contratos suscritos por el IGAC"/>
    <x v="8"/>
    <x v="8"/>
    <n v="255"/>
    <x v="1"/>
    <x v="0"/>
    <x v="1"/>
    <n v="293647443"/>
    <n v="293647443"/>
    <x v="0"/>
    <x v="6"/>
    <x v="0"/>
    <x v="1"/>
    <s v="Subdirección de Catastro"/>
    <x v="5"/>
    <s v="Subdirectora de Catastro"/>
    <x v="1"/>
    <x v="4"/>
    <s v="Realizar avalúos comerciales, de acuerdo a las solicitudes recibidas."/>
    <s v="Avalúos realizados"/>
    <n v="565"/>
    <d v="2021-04-28T00:00:00"/>
    <n v="5757793"/>
    <n v="40304551"/>
    <n v="40304551"/>
    <x v="0"/>
    <s v="HUGO ENRIQUE JIMENEZ CASTELLANOS_x000a_JULI MARCELA GUTIERREZ PACHECO_x000a_LUZ MERY PULIDO PELAEZ"/>
    <n v="28788965"/>
    <x v="0"/>
    <s v="24700_x000a_24760_x000a_24762"/>
    <x v="0"/>
    <x v="5"/>
  </r>
  <r>
    <x v="1"/>
    <m/>
    <x v="1"/>
    <x v="1"/>
    <x v="1"/>
    <x v="0"/>
    <x v="5"/>
    <x v="4"/>
    <x v="9"/>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1"/>
    <n v="11250000"/>
    <n v="11250000"/>
    <x v="0"/>
    <x v="0"/>
    <x v="0"/>
    <x v="1"/>
    <s v="DT Casanare"/>
    <x v="4"/>
    <s v="HERMES SALCEDO RODRIGUEZ"/>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apoyar la gestión de los procesos catastrales de formación, actualización y conservación catastral."/>
    <x v="5"/>
    <x v="5"/>
    <n v="240"/>
    <x v="1"/>
    <x v="0"/>
    <x v="1"/>
    <n v="29121888"/>
    <n v="2912188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1"/>
    <n v="40304551"/>
    <n v="40304551"/>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1"/>
    <n v="46062344"/>
    <n v="460623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3"/>
    <x v="5"/>
    <x v="6"/>
    <x v="6"/>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3"/>
    <x v="0"/>
    <x v="1"/>
    <s v="Subdirección de Catastro"/>
    <x v="5"/>
    <s v="Subdirectora de Catastro"/>
    <x v="1"/>
    <x v="2"/>
    <s v="Ejecutar procesos de actualización catastral a nivel nacional"/>
    <s v="Predios actualizados catastralmente"/>
    <m/>
    <m/>
    <e v="#N/A"/>
    <e v="#N/A"/>
    <e v="#N/A"/>
    <x v="1"/>
    <m/>
    <n v="0"/>
    <x v="0"/>
    <m/>
    <x v="5"/>
    <x v="5"/>
  </r>
  <r>
    <x v="1"/>
    <m/>
    <x v="1"/>
    <x v="1"/>
    <x v="1"/>
    <x v="0"/>
    <x v="5"/>
    <x v="4"/>
    <x v="9"/>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1"/>
    <n v="69663808"/>
    <n v="6966380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1"/>
    <n v="97439200"/>
    <n v="974392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5"/>
    <x v="5"/>
    <x v="4"/>
    <x v="9"/>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5"/>
    <x v="0"/>
    <x v="1"/>
    <s v="Subdirección de Catastro"/>
    <x v="5"/>
    <s v="Subdirectora de Catastro"/>
    <x v="1"/>
    <x v="4"/>
    <s v="Realizar avalúos comerciales, de acuerdo a las solicitudes recibidas."/>
    <s v="Avalúos realizados"/>
    <m/>
    <m/>
    <e v="#N/A"/>
    <e v="#N/A"/>
    <e v="#N/A"/>
    <x v="1"/>
    <m/>
    <n v="0"/>
    <x v="0"/>
    <m/>
    <x v="5"/>
    <x v="2"/>
  </r>
  <r>
    <x v="1"/>
    <m/>
    <x v="1"/>
    <x v="1"/>
    <x v="1"/>
    <x v="1"/>
    <x v="5"/>
    <x v="4"/>
    <x v="9"/>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1"/>
    <n v="128354709"/>
    <n v="128354709"/>
    <x v="0"/>
    <x v="1"/>
    <x v="0"/>
    <x v="1"/>
    <s v="Subdirección de Catastro"/>
    <x v="5"/>
    <s v="Subdirectora de Catastro"/>
    <x v="1"/>
    <x v="4"/>
    <s v="Realizar avalúos comerciales, de acuerdo a las solicitudes recibidas."/>
    <s v="Avalúos realizados"/>
    <m/>
    <m/>
    <e v="#N/A"/>
    <e v="#N/A"/>
    <e v="#N/A"/>
    <x v="1"/>
    <m/>
    <n v="0"/>
    <x v="0"/>
    <m/>
    <x v="5"/>
    <x v="3"/>
  </r>
  <r>
    <x v="1"/>
    <m/>
    <x v="1"/>
    <x v="1"/>
    <x v="1"/>
    <x v="3"/>
    <x v="5"/>
    <x v="6"/>
    <x v="5"/>
    <s v="Servicios secretariales o de administración de oficinas  "/>
    <x v="0"/>
    <n v="80161501"/>
    <s v="Prestación de servicios profesionales para realizar avalúos comerciales, a nivel nacional de los bienes urbanos y rurales."/>
    <x v="5"/>
    <x v="5"/>
    <n v="210"/>
    <x v="1"/>
    <x v="0"/>
    <x v="1"/>
    <n v="200000000"/>
    <n v="200000000"/>
    <x v="0"/>
    <x v="3"/>
    <x v="0"/>
    <x v="1"/>
    <s v="Subdirección de Catastro"/>
    <x v="5"/>
    <s v="Subdirectora de Catastro"/>
    <x v="1"/>
    <x v="4"/>
    <s v="Realizar avalúos comerciales, de acuerdo a las solicitudes recibidas."/>
    <s v="Avalúos realizados"/>
    <m/>
    <m/>
    <e v="#N/A"/>
    <e v="#N/A"/>
    <e v="#N/A"/>
    <x v="1"/>
    <m/>
    <n v="0"/>
    <x v="0"/>
    <m/>
    <x v="5"/>
    <x v="5"/>
  </r>
  <r>
    <x v="1"/>
    <n v="29"/>
    <x v="1"/>
    <x v="1"/>
    <x v="1"/>
    <x v="0"/>
    <x v="0"/>
    <x v="0"/>
    <x v="0"/>
    <s v="Servicios de sistemas de información geográfica (sig)"/>
    <x v="0"/>
    <n v="81101512"/>
    <s v="Adelantar los procesos de actualización catastral de 4 municipios del departamento de Boyacá financiados con recursos del Banco Interamericano de Desarrollo"/>
    <x v="0"/>
    <x v="0"/>
    <n v="8"/>
    <x v="0"/>
    <x v="4"/>
    <x v="2"/>
    <n v="2901108715"/>
    <n v="2901108715"/>
    <x v="0"/>
    <x v="0"/>
    <x v="0"/>
    <x v="1"/>
    <s v="Subdirección de Catastro"/>
    <x v="0"/>
    <s v="Subdirectora de Catastro"/>
    <x v="1"/>
    <x v="2"/>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1"/>
    <n v="31"/>
    <x v="1"/>
    <x v="1"/>
    <x v="1"/>
    <x v="0"/>
    <x v="0"/>
    <x v="0"/>
    <x v="0"/>
    <s v="Servicios de sistemas de información geográfica (sig)"/>
    <x v="0"/>
    <n v="81101512"/>
    <s v="Adelantar los procesos de actualización catastral de 4 municipios del departamento de Boyacá financiados con recursos del Banco Mundial -BM"/>
    <x v="0"/>
    <x v="0"/>
    <n v="8"/>
    <x v="0"/>
    <x v="4"/>
    <x v="2"/>
    <n v="4875235099"/>
    <n v="4875235099"/>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1"/>
    <n v="1"/>
    <x v="1"/>
    <x v="1"/>
    <x v="1"/>
    <x v="0"/>
    <x v="0"/>
    <x v="0"/>
    <x v="3"/>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2"/>
    <x v="2"/>
    <n v="345"/>
    <x v="1"/>
    <x v="0"/>
    <x v="2"/>
    <n v="94300000"/>
    <n v="94300000"/>
    <x v="0"/>
    <x v="0"/>
    <x v="0"/>
    <x v="1"/>
    <s v="Subdirección de Catastro"/>
    <x v="0"/>
    <s v="Subdirectora de Catastro"/>
    <x v="1"/>
    <x v="2"/>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1"/>
    <n v="69"/>
    <x v="1"/>
    <x v="1"/>
    <x v="1"/>
    <x v="0"/>
    <x v="0"/>
    <x v="0"/>
    <x v="1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8"/>
    <x v="8"/>
    <n v="345"/>
    <x v="1"/>
    <x v="0"/>
    <x v="2"/>
    <n v="116150000"/>
    <n v="116150000"/>
    <x v="0"/>
    <x v="0"/>
    <x v="0"/>
    <x v="1"/>
    <s v="Subdirección de Catastro"/>
    <x v="0"/>
    <s v="Subdirectora de Catastro"/>
    <x v="1"/>
    <x v="2"/>
    <s v="Gestionar técnicamente la operación del proyecto de catastro multipropósito, en lo correspondiente al IGAC"/>
    <s v="Sistema de Información Predial Actualizado_x000a_"/>
    <m/>
    <d v="2021-06-03T00:00:00"/>
    <n v="9865284"/>
    <n v="69056988"/>
    <n v="69056988"/>
    <x v="0"/>
    <s v="NELSON ENRIQUE SILVA NIÑO"/>
    <n v="47093012"/>
    <x v="0"/>
    <m/>
    <x v="0"/>
    <x v="0"/>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2"/>
    <n v="29858544"/>
    <n v="298585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2"/>
    <n v="59191704"/>
    <n v="59191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7"/>
    <x v="5"/>
    <x v="4"/>
    <x v="9"/>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7"/>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6"/>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2"/>
    <n v="200000000"/>
    <n v="20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2"/>
    <n v="1148985120"/>
    <n v="114898512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2"/>
    <n v="2114430486"/>
    <n v="211443048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4"/>
    <x v="2"/>
    <n v="24975982389"/>
    <n v="24975982389"/>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5"/>
    <x v="4"/>
    <x v="9"/>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2"/>
    <n v="884523002"/>
    <n v="88452300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Cajibío, Piamonte, Sucre y Almaguer, en conjunto con la Agencia Nacional de Tierras - ANT."/>
    <x v="5"/>
    <x v="5"/>
    <n v="9"/>
    <x v="0"/>
    <x v="4"/>
    <x v="2"/>
    <n v="781026077"/>
    <n v="78102607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2"/>
    <n v="14382386381"/>
    <n v="1438238638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2"/>
    <n v="12442023704"/>
    <n v="12442023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2"/>
    <n v="17901027671"/>
    <n v="1790102767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2"/>
    <n v="13351728657"/>
    <n v="1335172865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2"/>
    <n v="7000000000"/>
    <n v="7000000000"/>
    <x v="0"/>
    <x v="0"/>
    <x v="0"/>
    <x v="1"/>
    <s v="Subdirección de Catastro"/>
    <x v="5"/>
    <s v="Subdirectora de Catastro"/>
    <x v="1"/>
    <x v="2"/>
    <s v="Realizar el levantamiento catastral en los municipios priorizados para la conformación del catastro multipropósito"/>
    <s v="Sistema de Información Predial Actualizado_x000a_"/>
    <m/>
    <m/>
    <e v="#N/A"/>
    <e v="#N/A"/>
    <e v="#N/A"/>
    <x v="1"/>
    <m/>
    <n v="0"/>
    <x v="0"/>
    <m/>
    <x v="5"/>
    <x v="1"/>
  </r>
  <r>
    <x v="4"/>
    <n v="19"/>
    <x v="3"/>
    <x v="3"/>
    <x v="3"/>
    <x v="0"/>
    <x v="0"/>
    <x v="0"/>
    <x v="4"/>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4"/>
    <s v="Oficina CIAF"/>
    <x v="0"/>
    <s v="Jefe Oficina CIAF"/>
    <x v="3"/>
    <x v="5"/>
    <s v="Desarrollar la asistencia técnica, asesoría y/o consultoría"/>
    <s v="Entidades Asistidas"/>
    <n v="496"/>
    <d v="2021-03-23T00:00:00"/>
    <n v="7330366"/>
    <n v="36651830"/>
    <n v="36651830"/>
    <x v="0"/>
    <s v=" LINA MARGARITA LORA MATIZ"/>
    <n v="0"/>
    <x v="0"/>
    <n v="24631"/>
    <x v="0"/>
    <x v="0"/>
  </r>
  <r>
    <x v="4"/>
    <n v="4"/>
    <x v="3"/>
    <x v="3"/>
    <x v="3"/>
    <x v="0"/>
    <x v="0"/>
    <x v="0"/>
    <x v="3"/>
    <s v="Servicios de sistemas de información geográfica (sig)"/>
    <x v="0"/>
    <n v="81101512"/>
    <s v="Prestación de servicios profesionales para realizar actividades de gestión requerida en el desarrollo del proyecto de inversión y actividades a cargo de la jefatura de la oficina CIAF."/>
    <x v="2"/>
    <x v="2"/>
    <n v="195"/>
    <x v="1"/>
    <x v="0"/>
    <x v="0"/>
    <n v="17031787"/>
    <n v="17031787"/>
    <x v="0"/>
    <x v="0"/>
    <x v="0"/>
    <x v="4"/>
    <s v="Oficina CIAF"/>
    <x v="0"/>
    <s v="Jefe Oficina CIAF"/>
    <x v="3"/>
    <x v="5"/>
    <s v="Planear la asistencia técnica, asesoría, análisis y/o consultoría a desarrollar"/>
    <s v="Entidades Asistidas"/>
    <n v="44"/>
    <d v="2021-01-18T00:00:00"/>
    <n v="2671483"/>
    <n v="17031787"/>
    <n v="17031787"/>
    <x v="0"/>
    <s v="ANDRES FELIPE LOPEZ ORTIZ"/>
    <n v="0"/>
    <x v="0"/>
    <n v="24203"/>
    <x v="0"/>
    <x v="0"/>
  </r>
  <r>
    <x v="4"/>
    <n v="13"/>
    <x v="3"/>
    <x v="3"/>
    <x v="3"/>
    <x v="0"/>
    <x v="0"/>
    <x v="0"/>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0"/>
    <x v="0"/>
    <n v="4"/>
    <x v="0"/>
    <x v="0"/>
    <x v="1"/>
    <n v="29321464"/>
    <n v="29321464"/>
    <x v="0"/>
    <x v="0"/>
    <x v="0"/>
    <x v="5"/>
    <s v="CENTRO DE INVESTIGACIÓN Y DESARROLLO EN INFORMACIÓN GEOGRÁFICA - CIAF"/>
    <x v="0"/>
    <s v="Diana Rocio Galindo - Jefe CIAF"/>
    <x v="3"/>
    <x v="5"/>
    <s v="Planear la asistencia técnica, asesoría y/o consultoría a desarrollar"/>
    <s v="Entidades Asistidas"/>
    <n v="374"/>
    <d v="2021-02-24T00:00:00"/>
    <n v="7330366"/>
    <n v="29321464"/>
    <n v="29321464"/>
    <x v="0"/>
    <s v="GASTON ANTONIO MEJIA ARIAS"/>
    <n v="0"/>
    <x v="0"/>
    <n v="24528"/>
    <x v="0"/>
    <x v="0"/>
  </r>
  <r>
    <x v="4"/>
    <n v="8"/>
    <x v="3"/>
    <x v="3"/>
    <x v="3"/>
    <x v="0"/>
    <x v="0"/>
    <x v="0"/>
    <x v="3"/>
    <s v="Servicios de sistemas de información geográfica (sig)"/>
    <x v="0"/>
    <n v="81101512"/>
    <s v="Prestación de servicios profesionales para realizar actividades de gestión y desarrollo de los proyectos de tecnologías geoespaciales que adelante la oficina CIAF."/>
    <x v="0"/>
    <x v="0"/>
    <n v="315"/>
    <x v="1"/>
    <x v="0"/>
    <x v="1"/>
    <n v="68132295"/>
    <n v="68132295"/>
    <x v="0"/>
    <x v="0"/>
    <x v="0"/>
    <x v="4"/>
    <s v="Oficina CIAF"/>
    <x v="0"/>
    <s v="Jefe Oficina CIAF"/>
    <x v="3"/>
    <x v="5"/>
    <s v="Desarrollar la asistencia técnica, asesoría y/o consultoría"/>
    <s v="Entidades Asistidas"/>
    <n v="205"/>
    <d v="2021-02-09T00:00:00"/>
    <n v="6488790"/>
    <n v="68132295"/>
    <n v="68132295"/>
    <x v="0"/>
    <s v="JUAN CARLOS MELO"/>
    <n v="0"/>
    <x v="0"/>
    <n v="24389"/>
    <x v="0"/>
    <x v="0"/>
  </r>
  <r>
    <x v="4"/>
    <n v="14"/>
    <x v="3"/>
    <x v="3"/>
    <x v="3"/>
    <x v="0"/>
    <x v="0"/>
    <x v="0"/>
    <x v="14"/>
    <s v="Servicios de sistemas de información geográfica (sig)"/>
    <x v="0"/>
    <n v="81101512"/>
    <s v="Prestación de servicios profesionales para conceptualizar, implementar y monitorear las bases de datos de los proyectos  de tecnologías de información geográfica a cargo de la oficina CIAF."/>
    <x v="1"/>
    <x v="1"/>
    <n v="8"/>
    <x v="0"/>
    <x v="0"/>
    <x v="1"/>
    <n v="58642928"/>
    <n v="58642928"/>
    <x v="0"/>
    <x v="0"/>
    <x v="0"/>
    <x v="5"/>
    <s v="CENTRO DE INVESTIGACIÓN Y DESARROLLO EN INFORMACIÓN GEOGRÁFICA - CIAF"/>
    <x v="0"/>
    <s v="Diana Rocio Galindo - Jefe CIAF"/>
    <x v="3"/>
    <x v="5"/>
    <s v="Desarrollar la asistencia técnica, asesoría, análisis y/o consultoría"/>
    <s v="Entidades Asistidas"/>
    <n v="404"/>
    <d v="2021-03-01T00:00:00"/>
    <n v="7330366"/>
    <n v="58642928"/>
    <n v="58642928"/>
    <x v="0"/>
    <s v="JULIO CESAR MENDOZA JIMENEZ"/>
    <n v="0"/>
    <x v="0"/>
    <n v="24547"/>
    <x v="0"/>
    <x v="0"/>
  </r>
  <r>
    <x v="4"/>
    <n v="7"/>
    <x v="3"/>
    <x v="3"/>
    <x v="3"/>
    <x v="0"/>
    <x v="0"/>
    <x v="0"/>
    <x v="3"/>
    <s v="Servicios de sistemas de información geográfica (sig)"/>
    <x v="0"/>
    <n v="81101512"/>
    <s v="Prestación de servicios profesionales para definir, proponer e implementar metodologías, procedimientos y técnicas que incorporen el componente geoespacial en los proyectos de la jefatura CIAF."/>
    <x v="0"/>
    <x v="0"/>
    <n v="11"/>
    <x v="0"/>
    <x v="0"/>
    <x v="1"/>
    <n v="61490990"/>
    <n v="61490990"/>
    <x v="0"/>
    <x v="0"/>
    <x v="0"/>
    <x v="4"/>
    <s v="Oficina CIAF"/>
    <x v="0"/>
    <s v="Jefe Oficina CIAF"/>
    <x v="3"/>
    <x v="5"/>
    <s v="Desarrollar la asistencia técnica, asesoría y/o consultoría"/>
    <s v="Entidades Asistidas"/>
    <n v="145"/>
    <d v="2021-01-29T00:00:00"/>
    <n v="5590090"/>
    <n v="61490990"/>
    <n v="61490990"/>
    <x v="0"/>
    <s v="MANUEL CAMILO REYES GONZALEZ"/>
    <n v="0"/>
    <x v="0"/>
    <n v="24284"/>
    <x v="0"/>
    <x v="0"/>
  </r>
  <r>
    <x v="4"/>
    <n v="2"/>
    <x v="3"/>
    <x v="3"/>
    <x v="3"/>
    <x v="0"/>
    <x v="0"/>
    <x v="0"/>
    <x v="3"/>
    <s v="Servicios de sistemas de información geográfica (sig)"/>
    <x v="0"/>
    <n v="81101512"/>
    <s v="Prestación de servicios  profesionales para realizar la verificación, control, seguimiento y  gestión de los proyectos de tecnologías de la información geográfica a cargo de la oficina CIAF"/>
    <x v="2"/>
    <x v="2"/>
    <n v="234"/>
    <x v="1"/>
    <x v="0"/>
    <x v="0"/>
    <n v="57152855"/>
    <n v="57152855"/>
    <x v="0"/>
    <x v="0"/>
    <x v="0"/>
    <x v="4"/>
    <s v="Oficina CIAF"/>
    <x v="0"/>
    <s v="Jefe Oficina CIAF"/>
    <x v="3"/>
    <x v="5"/>
    <s v="Realizar el desarrollo y soporte del sistemas de información geográfica para grupos étnicos"/>
    <s v="Entidades Asistidas"/>
    <n v="24"/>
    <d v="2021-01-08T00:00:00"/>
    <n v="7330366"/>
    <n v="56932509"/>
    <n v="56932509"/>
    <x v="0"/>
    <s v="YESENIA  VARGAS TEJEDOR"/>
    <n v="220346"/>
    <x v="0"/>
    <n v="24195"/>
    <x v="0"/>
    <x v="0"/>
  </r>
  <r>
    <x v="4"/>
    <n v="17"/>
    <x v="3"/>
    <x v="3"/>
    <x v="3"/>
    <x v="0"/>
    <x v="0"/>
    <x v="0"/>
    <x v="4"/>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4"/>
    <s v="Oficina CIAF"/>
    <x v="0"/>
    <s v="Jefe Oficina CIAF"/>
    <x v="3"/>
    <x v="6"/>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4"/>
    <n v="5"/>
    <x v="3"/>
    <x v="3"/>
    <x v="3"/>
    <x v="0"/>
    <x v="0"/>
    <x v="0"/>
    <x v="3"/>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2"/>
    <x v="2"/>
    <n v="7"/>
    <x v="0"/>
    <x v="0"/>
    <x v="1"/>
    <n v="39130630"/>
    <n v="39130630"/>
    <x v="0"/>
    <x v="0"/>
    <x v="0"/>
    <x v="5"/>
    <s v="CENTRO DE INVESTIGACIÓN Y DESARROLLO EN INFORMACIÓN GEOGRÁFICA - CIAF"/>
    <x v="0"/>
    <s v="Diana Rocio Galindo - Jefe CIAF"/>
    <x v="3"/>
    <x v="5"/>
    <s v="Desarrollar la asistencia técnica, asesoría y/o consultoría"/>
    <s v="Entidades Asistidas"/>
    <n v="77"/>
    <d v="2021-01-21T00:00:00"/>
    <n v="4976424"/>
    <n v="34834968"/>
    <n v="34834968"/>
    <x v="0"/>
    <s v="CLAUDIA VIVIANA GOMEZ TENJO"/>
    <n v="4295662"/>
    <x v="0"/>
    <n v="24232"/>
    <x v="0"/>
    <x v="0"/>
  </r>
  <r>
    <x v="4"/>
    <n v="23"/>
    <x v="3"/>
    <x v="3"/>
    <x v="3"/>
    <x v="0"/>
    <x v="0"/>
    <x v="0"/>
    <x v="4"/>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7"/>
    <x v="7"/>
    <n v="9"/>
    <x v="0"/>
    <x v="0"/>
    <x v="1"/>
    <n v="51820137"/>
    <n v="51820137"/>
    <x v="0"/>
    <x v="0"/>
    <x v="0"/>
    <x v="4"/>
    <s v="Oficina CIAF"/>
    <x v="0"/>
    <s v="Jefe Oficina CIAF"/>
    <x v="3"/>
    <x v="6"/>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4"/>
    <n v="18"/>
    <x v="3"/>
    <x v="3"/>
    <x v="3"/>
    <x v="0"/>
    <x v="0"/>
    <x v="0"/>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5"/>
    <s v="CENTRO DE INVESTIGACIÓN Y DESARROLLO EN INFORMACIÓN GEOGRÁFICA - CIAF"/>
    <x v="0"/>
    <s v="Diana Rocio Galindo - Jefe CIAF"/>
    <x v="3"/>
    <x v="5"/>
    <s v="Desarrollar la asistencia técnica, asesoría y/o consultoría"/>
    <s v="Entidades Asistidas"/>
    <n v="495"/>
    <d v="2021-03-17T00:00:00"/>
    <n v="4263522"/>
    <n v="38371698"/>
    <n v="38371698"/>
    <x v="0"/>
    <s v="FERNEYALONSO MORENO PINEDA"/>
    <n v="6416118"/>
    <x v="0"/>
    <n v="24630"/>
    <x v="0"/>
    <x v="0"/>
  </r>
  <r>
    <x v="4"/>
    <n v="20"/>
    <x v="3"/>
    <x v="3"/>
    <x v="3"/>
    <x v="0"/>
    <x v="0"/>
    <x v="0"/>
    <x v="0"/>
    <s v="Servicios de sistemas de información geográfica (sig)"/>
    <x v="0"/>
    <n v="81101512"/>
    <s v="Prestación de servicios profesioanales para el desarrollo, ajuste y documentación de las aplicaciones en tecnologías de información geográfica a cargo de la oficina CIAF."/>
    <x v="1"/>
    <x v="1"/>
    <n v="7"/>
    <x v="0"/>
    <x v="0"/>
    <x v="1"/>
    <n v="45421530"/>
    <n v="45421530"/>
    <x v="0"/>
    <x v="0"/>
    <x v="0"/>
    <x v="5"/>
    <s v="CENTRO DE INVESTIGACIÓN Y DESARROLLO EN INFORMACIÓN GEOGRÁFICA - CIAF"/>
    <x v="0"/>
    <s v="Diana Rocio Galindo - Jefe CIAF"/>
    <x v="3"/>
    <x v="5"/>
    <s v="Desarrollar la asistencia técnica, asesoría y/o consultoría"/>
    <s v="Entidades Asistidas"/>
    <n v="515"/>
    <d v="2021-03-31T00:00:00"/>
    <n v="6488790"/>
    <n v="25955160"/>
    <n v="25955160"/>
    <x v="0"/>
    <s v="JAIME ALBERTO GUITIERREZ"/>
    <n v="19466370"/>
    <x v="0"/>
    <n v="24651"/>
    <x v="0"/>
    <x v="0"/>
  </r>
  <r>
    <x v="4"/>
    <n v="1"/>
    <x v="3"/>
    <x v="3"/>
    <x v="3"/>
    <x v="0"/>
    <x v="0"/>
    <x v="0"/>
    <x v="3"/>
    <s v="Servicios de sistemas de información geográfica (sig)"/>
    <x v="0"/>
    <n v="81101512"/>
    <s v="Prestación de servicios profesionales especializados en la planeación estratégica y ejecución de los proyectos de la oficina CIAF"/>
    <x v="2"/>
    <x v="2"/>
    <n v="4"/>
    <x v="0"/>
    <x v="0"/>
    <x v="0"/>
    <n v="42806184"/>
    <n v="42806184"/>
    <x v="0"/>
    <x v="0"/>
    <x v="0"/>
    <x v="4"/>
    <s v="Oficina CIAF"/>
    <x v="0"/>
    <s v="Jefe Oficina CIAF"/>
    <x v="3"/>
    <x v="5"/>
    <s v="Realizar el desarrollo y soporte del sistemas de información geográfica para grupos étnicos"/>
    <s v="Entidades Asistidas"/>
    <n v="23"/>
    <d v="2021-01-08T00:00:00"/>
    <n v="10701546"/>
    <n v="21403092"/>
    <n v="21403092"/>
    <x v="0"/>
    <s v="ALEXANDER  MONTEALEGRE TRUJILLO"/>
    <n v="21403092"/>
    <x v="0"/>
    <n v="24193"/>
    <x v="0"/>
    <x v="0"/>
  </r>
  <r>
    <x v="4"/>
    <n v="6"/>
    <x v="3"/>
    <x v="3"/>
    <x v="3"/>
    <x v="0"/>
    <x v="0"/>
    <x v="0"/>
    <x v="3"/>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0"/>
    <x v="0"/>
    <n v="10"/>
    <x v="0"/>
    <x v="0"/>
    <x v="1"/>
    <n v="73303660"/>
    <n v="73303660"/>
    <x v="0"/>
    <x v="0"/>
    <x v="0"/>
    <x v="5"/>
    <s v="CENTRO DE INVESTIGACIÓN Y DESARROLLO EN INFORMACIÓN GEOGRÁFICA - CIAF"/>
    <x v="0"/>
    <s v="Diana Rocio Galindo - Jefe CIAF"/>
    <x v="3"/>
    <x v="5"/>
    <s v="Desarrollar la asistencia técnica, asesoría y/o consultoría"/>
    <s v="Entidades Asistidas"/>
    <n v="156"/>
    <d v="2021-01-26T00:00:00"/>
    <n v="7330366"/>
    <n v="51312562"/>
    <n v="51312562"/>
    <x v="0"/>
    <s v="FERNANDO IVAN CAMARGO"/>
    <n v="21991098"/>
    <x v="0"/>
    <n v="24333"/>
    <x v="0"/>
    <x v="0"/>
  </r>
  <r>
    <x v="4"/>
    <n v="10"/>
    <x v="3"/>
    <x v="3"/>
    <x v="3"/>
    <x v="0"/>
    <x v="0"/>
    <x v="0"/>
    <x v="3"/>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0"/>
    <x v="0"/>
    <n v="11"/>
    <x v="0"/>
    <x v="0"/>
    <x v="1"/>
    <n v="80634026"/>
    <n v="80634026"/>
    <x v="0"/>
    <x v="0"/>
    <x v="0"/>
    <x v="5"/>
    <s v="CENTRO DE INVESTIGACIÓN Y DESARROLLO EN INFORMACIÓN GEOGRÁFICA - CIAF"/>
    <x v="0"/>
    <s v="Diana Rocio Galindo - Jefe CIAF"/>
    <x v="3"/>
    <x v="5"/>
    <s v="Desarrollar la asistencia técnica, asesoría y/o consultoría"/>
    <s v="Entidades Asistidas"/>
    <n v="271"/>
    <d v="2021-02-15T00:00:00"/>
    <n v="7330366"/>
    <n v="58642928"/>
    <n v="58642928"/>
    <x v="0"/>
    <s v="MONICA CORTES"/>
    <n v="21991098"/>
    <x v="0"/>
    <n v="24454"/>
    <x v="0"/>
    <x v="0"/>
  </r>
  <r>
    <x v="4"/>
    <n v="21"/>
    <x v="3"/>
    <x v="3"/>
    <x v="3"/>
    <x v="0"/>
    <x v="0"/>
    <x v="0"/>
    <x v="4"/>
    <s v="Servicios de sistemas de información geográfica (sig)"/>
    <x v="0"/>
    <n v="81101512"/>
    <s v="Prestación de servicios profesionales para la implementación y administración de las herramientas y  servicios de integración de las aplicaciones para permitir la interoperabilidad de RENARE"/>
    <x v="7"/>
    <x v="7"/>
    <n v="7"/>
    <x v="0"/>
    <x v="0"/>
    <x v="1"/>
    <n v="45421530"/>
    <n v="45421530"/>
    <x v="0"/>
    <x v="0"/>
    <x v="0"/>
    <x v="4"/>
    <s v="Oficina CIAF"/>
    <x v="0"/>
    <s v="Jefe Oficina CIAF"/>
    <x v="3"/>
    <x v="5"/>
    <s v="Desarrollar la asistencia técnica, asesoría y/o consultoría"/>
    <s v="Entidades Asistidas"/>
    <n v="524"/>
    <d v="2021-04-09T00:00:00"/>
    <n v="3124732"/>
    <n v="21873124"/>
    <n v="21873124"/>
    <x v="0"/>
    <s v="HUGO ARMANDO CENDALES PRIETO"/>
    <n v="23548406"/>
    <x v="0"/>
    <n v="24662"/>
    <x v="0"/>
    <x v="0"/>
  </r>
  <r>
    <x v="4"/>
    <n v="9"/>
    <x v="3"/>
    <x v="3"/>
    <x v="3"/>
    <x v="1"/>
    <x v="1"/>
    <x v="0"/>
    <x v="3"/>
    <s v="Servicios de sistemas de información geográfica (sig)"/>
    <x v="0"/>
    <n v="81101512"/>
    <s v="Prestación de servicios profesionales para el desarrollo, ajuste y documentación de las aplicaciones en tecnologías de información geográfica a cargo de la oficina CIAF."/>
    <x v="0"/>
    <x v="0"/>
    <n v="9"/>
    <x v="0"/>
    <x v="0"/>
    <x v="1"/>
    <n v="116798220"/>
    <n v="116798220"/>
    <x v="0"/>
    <x v="1"/>
    <x v="0"/>
    <x v="5"/>
    <s v="CENTRO DE INVESTIGACIÓN Y DESARROLLO EN INFORMACIÓN GEOGRÁFICA - CIAF"/>
    <x v="0"/>
    <s v="Diana Rocio Galindo - Jefe CIAF"/>
    <x v="3"/>
    <x v="5"/>
    <s v="Desarrollar la asistencia técnica, asesoría y/o consultoría"/>
    <s v="Entidades Asistidas"/>
    <n v="231"/>
    <d v="2021-02-10T00:00:00"/>
    <n v="6488790"/>
    <n v="38932740"/>
    <n v="77865480"/>
    <x v="0"/>
    <s v="MONICA ANDREA NIÑO_x000a_JUAN FELIPE MOLINA"/>
    <n v="38932740"/>
    <x v="0"/>
    <s v="24426_x000a_24427"/>
    <x v="1"/>
    <x v="0"/>
  </r>
  <r>
    <x v="4"/>
    <n v="3"/>
    <x v="3"/>
    <x v="3"/>
    <x v="3"/>
    <x v="0"/>
    <x v="0"/>
    <x v="0"/>
    <x v="3"/>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2"/>
    <x v="2"/>
    <n v="165"/>
    <x v="1"/>
    <x v="0"/>
    <x v="1"/>
    <n v="105357406"/>
    <n v="105357406"/>
    <x v="0"/>
    <x v="0"/>
    <x v="0"/>
    <x v="4"/>
    <s v="Oficina CIAF"/>
    <x v="0"/>
    <s v="Jefe Oficina CIAF"/>
    <x v="3"/>
    <x v="5"/>
    <s v="Planear la asistencia técnica, asesoría, análisis y/o consultoría a desarrollar"/>
    <s v="Entidades Asistidas"/>
    <n v="25"/>
    <d v="2021-01-08T00:00:00"/>
    <n v="9577946"/>
    <n v="52678703"/>
    <n v="52678703"/>
    <x v="0"/>
    <s v="ANA JULIA SARRIA ALVAREZ"/>
    <n v="52678703"/>
    <x v="0"/>
    <n v="24196"/>
    <x v="0"/>
    <x v="0"/>
  </r>
  <r>
    <x v="4"/>
    <n v="26"/>
    <x v="3"/>
    <x v="3"/>
    <x v="3"/>
    <x v="0"/>
    <x v="0"/>
    <x v="0"/>
    <x v="6"/>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8"/>
    <x v="8"/>
    <n v="3"/>
    <x v="0"/>
    <x v="0"/>
    <x v="1"/>
    <n v="19466370"/>
    <n v="19466370"/>
    <x v="0"/>
    <x v="0"/>
    <x v="0"/>
    <x v="4"/>
    <s v="Oficina CIAF"/>
    <x v="0"/>
    <s v="Jefe Oficina CIAF"/>
    <x v="3"/>
    <x v="5"/>
    <s v="Desarrollar la asistencia técnica, asesoría, análisis y/o consultoría"/>
    <s v="Entidades Asistidas"/>
    <n v="588"/>
    <d v="2021-05-13T00:00:00"/>
    <n v="6488790"/>
    <n v="19466370"/>
    <n v="19466370"/>
    <x v="0"/>
    <s v="YESSICA NATALIA RAMIREZ YARA"/>
    <n v="0"/>
    <x v="0"/>
    <n v="24729"/>
    <x v="5"/>
    <x v="1"/>
  </r>
  <r>
    <x v="4"/>
    <m/>
    <x v="3"/>
    <x v="3"/>
    <x v="3"/>
    <x v="0"/>
    <x v="5"/>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1"/>
    <n v="52678703"/>
    <n v="52678703"/>
    <x v="0"/>
    <x v="0"/>
    <x v="0"/>
    <x v="4"/>
    <s v="Oficina CIAF"/>
    <x v="0"/>
    <s v="Jefe Oficina CIAF"/>
    <x v="3"/>
    <x v="5"/>
    <s v="Planear la asistencia técnica, asesoría, análisis y/o consultoría a desarrollar"/>
    <s v="Entidades Asistidas"/>
    <m/>
    <m/>
    <e v="#N/A"/>
    <e v="#N/A"/>
    <e v="#N/A"/>
    <x v="1"/>
    <m/>
    <n v="0"/>
    <x v="0"/>
    <m/>
    <x v="5"/>
    <x v="1"/>
  </r>
  <r>
    <x v="4"/>
    <m/>
    <x v="3"/>
    <x v="3"/>
    <x v="3"/>
    <x v="0"/>
    <x v="5"/>
    <x v="1"/>
    <x v="7"/>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m/>
    <x v="3"/>
    <x v="3"/>
    <x v="3"/>
    <x v="0"/>
    <x v="5"/>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1"/>
    <n v="38932740"/>
    <n v="3893274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n v="29"/>
    <x v="3"/>
    <x v="3"/>
    <x v="3"/>
    <x v="0"/>
    <x v="0"/>
    <x v="0"/>
    <x v="6"/>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4"/>
    <n v="12"/>
    <x v="3"/>
    <x v="3"/>
    <x v="3"/>
    <x v="0"/>
    <x v="0"/>
    <x v="0"/>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4"/>
    <n v="28"/>
    <x v="3"/>
    <x v="3"/>
    <x v="3"/>
    <x v="0"/>
    <x v="0"/>
    <x v="0"/>
    <x v="4"/>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0"/>
    <s v="FABIAN ROBERTO PEÑA CLAVIJO"/>
    <n v="7550277.5"/>
    <x v="0"/>
    <n v="24746"/>
    <x v="0"/>
    <x v="0"/>
  </r>
  <r>
    <x v="4"/>
    <n v="16"/>
    <x v="3"/>
    <x v="3"/>
    <x v="3"/>
    <x v="0"/>
    <x v="0"/>
    <x v="0"/>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0"/>
    <x v="0"/>
    <n v="11"/>
    <x v="0"/>
    <x v="0"/>
    <x v="2"/>
    <n v="95787740"/>
    <n v="9578774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4"/>
    <n v="15"/>
    <x v="3"/>
    <x v="3"/>
    <x v="3"/>
    <x v="0"/>
    <x v="0"/>
    <x v="0"/>
    <x v="3"/>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0"/>
    <x v="0"/>
    <n v="11"/>
    <x v="0"/>
    <x v="0"/>
    <x v="2"/>
    <n v="105357406"/>
    <n v="10535740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4"/>
    <n v="25"/>
    <x v="3"/>
    <x v="3"/>
    <x v="3"/>
    <x v="0"/>
    <x v="0"/>
    <x v="0"/>
    <x v="4"/>
    <s v="Servicio de análisis de sistemas"/>
    <x v="0"/>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4"/>
    <n v="24"/>
    <x v="3"/>
    <x v="3"/>
    <x v="3"/>
    <x v="0"/>
    <x v="0"/>
    <x v="0"/>
    <x v="4"/>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4"/>
    <n v="27"/>
    <x v="3"/>
    <x v="3"/>
    <x v="3"/>
    <x v="0"/>
    <x v="0"/>
    <x v="0"/>
    <x v="4"/>
    <s v="Servicios de procesamiento o preparación de datos "/>
    <x v="0"/>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4"/>
    <n v="22"/>
    <x v="3"/>
    <x v="3"/>
    <x v="3"/>
    <x v="0"/>
    <x v="0"/>
    <x v="0"/>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4"/>
    <s v="Oficina CIAF"/>
    <x v="0"/>
    <s v="Jefe Oficina CIAF"/>
    <x v="1"/>
    <x v="2"/>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4"/>
    <m/>
    <x v="3"/>
    <x v="3"/>
    <x v="3"/>
    <x v="0"/>
    <x v="0"/>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7"/>
    <x v="1"/>
  </r>
  <r>
    <x v="4"/>
    <n v="30"/>
    <x v="3"/>
    <x v="3"/>
    <x v="3"/>
    <x v="0"/>
    <x v="0"/>
    <x v="0"/>
    <x v="6"/>
    <s v="Servicios de sistemas de información geográfica (sig)"/>
    <x v="0"/>
    <n v="81101512"/>
    <s v="Prestación de servicios profesionales para diseñar los servicios de información, de procesamiento y disposición de información para el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x v="0"/>
    <s v="EDUIN YEZID CARRILLO VEGA"/>
    <n v="0"/>
    <x v="0"/>
    <n v="24755"/>
    <x v="5"/>
    <x v="1"/>
  </r>
  <r>
    <x v="4"/>
    <m/>
    <x v="3"/>
    <x v="3"/>
    <x v="3"/>
    <x v="0"/>
    <x v="5"/>
    <x v="1"/>
    <x v="6"/>
    <s v="Servicios de sistemas de información geográfica (sig)"/>
    <x v="0"/>
    <n v="81101512"/>
    <s v="Prestación de servicios profesionales para el desarrollo de procesos de analítica de datos en el marco de los métodos indirectos del catastro multipropósito"/>
    <x v="3"/>
    <x v="3"/>
    <n v="5"/>
    <x v="0"/>
    <x v="0"/>
    <x v="2"/>
    <n v="18201180"/>
    <n v="1820118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3"/>
    <x v="3"/>
    <n v="5"/>
    <x v="0"/>
    <x v="0"/>
    <x v="2"/>
    <n v="50726076"/>
    <n v="5072607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implementación de estándares sobre los datos fundamentales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gestión de los datos abiertos en el marco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2"/>
    <n v="43442451"/>
    <n v="43442451"/>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el desarrollo de procesos de inteligencia artificial en el marco de los métodos indirectos del catastro multipropósito"/>
    <x v="5"/>
    <x v="5"/>
    <n v="195"/>
    <x v="1"/>
    <x v="0"/>
    <x v="2"/>
    <n v="49076800"/>
    <n v="4907680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1"/>
    <x v="5"/>
    <x v="3"/>
    <x v="7"/>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2"/>
    <n v="113203688"/>
    <n v="113203688"/>
    <x v="0"/>
    <x v="1"/>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3"/>
  </r>
  <r>
    <x v="4"/>
    <m/>
    <x v="3"/>
    <x v="3"/>
    <x v="3"/>
    <x v="0"/>
    <x v="5"/>
    <x v="1"/>
    <x v="6"/>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4"/>
    <x v="2"/>
    <n v="100000000"/>
    <n v="100000000"/>
    <x v="2"/>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2"/>
    <n v="17"/>
    <x v="2"/>
    <x v="2"/>
    <x v="2"/>
    <x v="0"/>
    <x v="0"/>
    <x v="0"/>
    <x v="3"/>
    <s v="Servicios secretariales o de administración de oficinas  "/>
    <x v="0"/>
    <n v="80161501"/>
    <s v="Prestación de servicios para apoyar las actividades relacionadas con la organización de expedientes disciplinarios"/>
    <x v="2"/>
    <x v="2"/>
    <n v="11"/>
    <x v="0"/>
    <x v="0"/>
    <x v="1"/>
    <n v="29367360"/>
    <n v="29367360"/>
    <x v="0"/>
    <x v="0"/>
    <x v="1"/>
    <x v="6"/>
    <s v="Secretaría General - GIT Control Disciplinario"/>
    <x v="0"/>
    <s v="Coordinador GIT Control Disciplinario"/>
    <x v="4"/>
    <x v="7"/>
    <s v="N/A"/>
    <s v="N/A"/>
    <n v="18"/>
    <d v="2021-01-08T00:00:00"/>
    <n v="2669760"/>
    <n v="29367360"/>
    <n v="29367360"/>
    <x v="0"/>
    <s v="LISSETH TATIANA BOBADILLA BOJACA"/>
    <n v="0"/>
    <x v="0"/>
    <n v="24176"/>
    <x v="0"/>
    <x v="0"/>
  </r>
  <r>
    <x v="2"/>
    <n v="18"/>
    <x v="2"/>
    <x v="2"/>
    <x v="2"/>
    <x v="0"/>
    <x v="0"/>
    <x v="0"/>
    <x v="3"/>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2"/>
    <x v="2"/>
    <n v="11"/>
    <x v="0"/>
    <x v="0"/>
    <x v="1"/>
    <n v="34372048"/>
    <n v="34372048"/>
    <x v="0"/>
    <x v="0"/>
    <x v="1"/>
    <x v="6"/>
    <s v="Secretaría General - GIT Control Disciplinario"/>
    <x v="0"/>
    <s v="Coordinador GIT Control Disciplinario"/>
    <x v="4"/>
    <x v="7"/>
    <s v="N/A"/>
    <s v="N/A"/>
    <n v="17"/>
    <d v="2021-01-07T00:00:00"/>
    <n v="3124731"/>
    <n v="34372041"/>
    <n v="34372041"/>
    <x v="0"/>
    <s v="SERGIO  CALDERON HERNANDEZ"/>
    <n v="7"/>
    <x v="0"/>
    <n v="24175"/>
    <x v="0"/>
    <x v="0"/>
  </r>
  <r>
    <x v="2"/>
    <n v="16"/>
    <x v="2"/>
    <x v="2"/>
    <x v="2"/>
    <x v="0"/>
    <x v="0"/>
    <x v="0"/>
    <x v="3"/>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2"/>
    <x v="2"/>
    <n v="11"/>
    <x v="0"/>
    <x v="0"/>
    <x v="1"/>
    <n v="73517991"/>
    <n v="73517991"/>
    <x v="0"/>
    <x v="0"/>
    <x v="1"/>
    <x v="6"/>
    <s v="Secretaría General - GIT Control Disciplinario"/>
    <x v="0"/>
    <s v="Coordinador GIT Control Disciplinario"/>
    <x v="4"/>
    <x v="7"/>
    <s v="N/A"/>
    <s v="N/A"/>
    <n v="16"/>
    <d v="2021-01-25T00:00:00"/>
    <n v="6683453"/>
    <n v="73517983"/>
    <n v="73517983"/>
    <x v="0"/>
    <s v="NINI YOHANA MARROQUIN COLLAZOS"/>
    <n v="8"/>
    <x v="0"/>
    <n v="24240"/>
    <x v="0"/>
    <x v="0"/>
  </r>
  <r>
    <x v="2"/>
    <n v="15"/>
    <x v="2"/>
    <x v="2"/>
    <x v="2"/>
    <x v="0"/>
    <x v="0"/>
    <x v="0"/>
    <x v="3"/>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2"/>
    <x v="2"/>
    <n v="11"/>
    <x v="0"/>
    <x v="0"/>
    <x v="1"/>
    <n v="83053047"/>
    <n v="83053047"/>
    <x v="0"/>
    <x v="0"/>
    <x v="1"/>
    <x v="6"/>
    <s v="Secretaría General - GIT Control Disciplinario"/>
    <x v="0"/>
    <s v="Coordinador GIT Control Disciplinario"/>
    <x v="4"/>
    <x v="7"/>
    <s v="N/A"/>
    <s v="N/A"/>
    <n v="15"/>
    <d v="2021-01-07T00:00:00"/>
    <n v="7550276"/>
    <n v="83053036"/>
    <n v="83053036"/>
    <x v="0"/>
    <s v="LUIS ALFREDO AGUDELO FLOREZ"/>
    <n v="11"/>
    <x v="0"/>
    <n v="24174"/>
    <x v="0"/>
    <x v="0"/>
  </r>
  <r>
    <x v="2"/>
    <n v="12"/>
    <x v="2"/>
    <x v="2"/>
    <x v="2"/>
    <x v="2"/>
    <x v="2"/>
    <x v="0"/>
    <x v="3"/>
    <s v="Servicios secretariales o de administración de oficinas  "/>
    <x v="0"/>
    <n v="80161501"/>
    <s v="Prestación de servicios profesionales para brindar apoyo jurídico en la evaluación, sustanciación y  revisión de los procesos disciplinarios que se adelantan en el IGAC."/>
    <x v="2"/>
    <x v="2"/>
    <n v="11"/>
    <x v="0"/>
    <x v="0"/>
    <x v="0"/>
    <n v="220553972"/>
    <n v="220553972"/>
    <x v="0"/>
    <x v="2"/>
    <x v="1"/>
    <x v="6"/>
    <s v="Secretaría General - GIT Control Disciplinario"/>
    <x v="0"/>
    <s v="Coordinador GIT Control Disciplinario"/>
    <x v="4"/>
    <x v="7"/>
    <s v="N/A"/>
    <s v="N/A"/>
    <n v="12"/>
    <d v="2021-01-07T00:00:00"/>
    <n v="6683453"/>
    <n v="73517983"/>
    <n v="220553949"/>
    <x v="0"/>
    <s v="GABRIEL ANTONIO MORATO RODRIGUEZ_x000a_NELSON ORLANDO YAZO MARTINEZ_x000a_YESSICA JULIETH MAHECHA TOVAR_x000a_"/>
    <n v="23"/>
    <x v="0"/>
    <s v="24166_x000a_24171_x000a_24173_x000a_"/>
    <x v="2"/>
    <x v="0"/>
  </r>
  <r>
    <x v="2"/>
    <n v="74"/>
    <x v="2"/>
    <x v="2"/>
    <x v="2"/>
    <x v="0"/>
    <x v="0"/>
    <x v="0"/>
    <x v="1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7"/>
    <x v="7"/>
    <n v="7"/>
    <x v="0"/>
    <x v="0"/>
    <x v="1"/>
    <n v="46784176"/>
    <n v="46784176"/>
    <x v="0"/>
    <x v="0"/>
    <x v="1"/>
    <x v="6"/>
    <s v="Secretaría General - GIT Control Disciplinario"/>
    <x v="0"/>
    <s v="Coordinador GIT Control Disciplinario"/>
    <x v="4"/>
    <x v="7"/>
    <s v="N/A"/>
    <s v="N/A"/>
    <n v="561"/>
    <d v="2021-04-29T00:00:00"/>
    <n v="5757793"/>
    <n v="40304551"/>
    <n v="40304551"/>
    <x v="0"/>
    <s v="ANA MARIA VILLA ROJAS"/>
    <n v="6479625"/>
    <x v="0"/>
    <n v="24696"/>
    <x v="0"/>
    <x v="0"/>
  </r>
  <r>
    <x v="2"/>
    <n v="13"/>
    <x v="2"/>
    <x v="2"/>
    <x v="2"/>
    <x v="0"/>
    <x v="0"/>
    <x v="0"/>
    <x v="3"/>
    <s v="Servicios secretariales o de administración de oficinas  "/>
    <x v="0"/>
    <n v="80161501"/>
    <s v="Prestación de servicios profesionales para tramitar, impulsar y sustanciar cada una de las actuaciones de los procesos disciplinarios a nivel nacional."/>
    <x v="2"/>
    <x v="2"/>
    <n v="11"/>
    <x v="0"/>
    <x v="0"/>
    <x v="1"/>
    <n v="147035981"/>
    <n v="147035981"/>
    <x v="0"/>
    <x v="0"/>
    <x v="1"/>
    <x v="6"/>
    <s v="Secretaría General - GIT Control Disciplinario"/>
    <x v="0"/>
    <s v="Coordinador GIT Control Disciplinario"/>
    <x v="4"/>
    <x v="7"/>
    <s v="N/A"/>
    <s v="N/A"/>
    <n v="13"/>
    <d v="2021-01-08T00:00:00"/>
    <n v="6683453"/>
    <n v="73517983"/>
    <n v="73517983"/>
    <x v="0"/>
    <s v="DORIS  ROJAS URRUEGO"/>
    <n v="73517998"/>
    <x v="0"/>
    <n v="24182"/>
    <x v="0"/>
    <x v="0"/>
  </r>
  <r>
    <x v="5"/>
    <n v="25"/>
    <x v="4"/>
    <x v="4"/>
    <x v="4"/>
    <x v="5"/>
    <x v="6"/>
    <x v="0"/>
    <x v="3"/>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0"/>
    <x v="0"/>
    <n v="11"/>
    <x v="0"/>
    <x v="0"/>
    <x v="1"/>
    <n v="253342879"/>
    <n v="253342879"/>
    <x v="0"/>
    <x v="5"/>
    <x v="0"/>
    <x v="7"/>
    <s v="Control interno"/>
    <x v="0"/>
    <s v="Jefe Oficina de Control Interno"/>
    <x v="5"/>
    <x v="8"/>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6"/>
    <x v="0"/>
  </r>
  <r>
    <x v="5"/>
    <n v="10"/>
    <x v="5"/>
    <x v="4"/>
    <x v="4"/>
    <x v="0"/>
    <x v="0"/>
    <x v="0"/>
    <x v="3"/>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2"/>
    <x v="2"/>
    <n v="11"/>
    <x v="0"/>
    <x v="0"/>
    <x v="1"/>
    <n v="56650000"/>
    <n v="56650000"/>
    <x v="0"/>
    <x v="0"/>
    <x v="1"/>
    <x v="3"/>
    <s v="Despacho"/>
    <x v="0"/>
    <s v="Secretaria General"/>
    <x v="4"/>
    <x v="7"/>
    <s v="N/A"/>
    <s v="N/A"/>
    <n v="55"/>
    <d v="2021-01-14T00:00:00"/>
    <n v="5000000"/>
    <n v="55000000"/>
    <n v="55000000"/>
    <x v="0"/>
    <s v="ANDRES MURCIA VARGAS ABOGADOS ASOCIADOS SAS"/>
    <n v="1650000"/>
    <x v="0"/>
    <n v="24215"/>
    <x v="0"/>
    <x v="0"/>
  </r>
  <r>
    <x v="5"/>
    <n v="95"/>
    <x v="5"/>
    <x v="4"/>
    <x v="4"/>
    <x v="0"/>
    <x v="0"/>
    <x v="0"/>
    <x v="6"/>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8"/>
    <x v="8"/>
    <n v="8"/>
    <x v="0"/>
    <x v="0"/>
    <x v="1"/>
    <n v="121248517"/>
    <n v="121248517"/>
    <x v="0"/>
    <x v="0"/>
    <x v="0"/>
    <x v="7"/>
    <s v="Dirección General"/>
    <x v="0"/>
    <s v="Directora General "/>
    <x v="5"/>
    <x v="9"/>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5"/>
    <n v="7"/>
    <x v="6"/>
    <x v="4"/>
    <x v="5"/>
    <x v="0"/>
    <x v="0"/>
    <x v="0"/>
    <x v="3"/>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0"/>
    <x v="0"/>
    <n v="315"/>
    <x v="1"/>
    <x v="0"/>
    <x v="1"/>
    <n v="43463091"/>
    <n v="43463091"/>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5"/>
    <n v="85"/>
    <x v="6"/>
    <x v="4"/>
    <x v="5"/>
    <x v="0"/>
    <x v="0"/>
    <x v="0"/>
    <x v="3"/>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5"/>
    <n v="3"/>
    <x v="6"/>
    <x v="4"/>
    <x v="5"/>
    <x v="0"/>
    <x v="0"/>
    <x v="0"/>
    <x v="3"/>
    <s v="Servicios de consultoría de negocios y administración corporativa"/>
    <x v="0"/>
    <n v="80101500"/>
    <s v="Prestación de servicios personales para organizar y desarrollar las ferias, congresos, convenciones, conferencias y/o eventos tanto virtuales como presenciales requeridos por la entidad."/>
    <x v="0"/>
    <x v="0"/>
    <n v="9"/>
    <x v="0"/>
    <x v="0"/>
    <x v="1"/>
    <n v="23343057"/>
    <n v="23343057"/>
    <x v="0"/>
    <x v="0"/>
    <x v="0"/>
    <x v="8"/>
    <s v="Oficina de Difusión y Mercadeo"/>
    <x v="0"/>
    <s v="Yira Paola Perez-Jefe de Oficina"/>
    <x v="6"/>
    <x v="10"/>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5"/>
    <n v="86"/>
    <x v="6"/>
    <x v="4"/>
    <x v="5"/>
    <x v="0"/>
    <x v="0"/>
    <x v="0"/>
    <x v="3"/>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5"/>
    <n v="89"/>
    <x v="6"/>
    <x v="4"/>
    <x v="5"/>
    <x v="0"/>
    <x v="0"/>
    <x v="0"/>
    <x v="4"/>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7"/>
    <s v="Oficina de Difusión y Mercadeo de Información "/>
    <x v="0"/>
    <s v="Jefe Oficina de Difusión y Mercadeo de Información "/>
    <x v="6"/>
    <x v="10"/>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5"/>
    <n v="1"/>
    <x v="6"/>
    <x v="4"/>
    <x v="5"/>
    <x v="0"/>
    <x v="0"/>
    <x v="0"/>
    <x v="3"/>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0"/>
    <x v="0"/>
    <n v="11"/>
    <x v="0"/>
    <x v="0"/>
    <x v="1"/>
    <n v="80634026"/>
    <n v="80634026"/>
    <x v="0"/>
    <x v="0"/>
    <x v="0"/>
    <x v="7"/>
    <s v="Oficina de Difusión y Mercadeo"/>
    <x v="0"/>
    <s v="Jefe Oficina de Difusión y Mercadeo de Información "/>
    <x v="6"/>
    <x v="11"/>
    <s v="Realizar seguimiento al plan de mercadeo y/o estudios priorizados por la entidad"/>
    <s v="Documentos de lineamientos técnicos"/>
    <n v="122"/>
    <d v="2021-01-08T00:00:00"/>
    <n v="7330366"/>
    <n v="80634026"/>
    <n v="80634026"/>
    <x v="0"/>
    <s v="DANIEL OSWALDO BUITRAGO CARRILLO"/>
    <n v="0"/>
    <x v="0"/>
    <n v="24265"/>
    <x v="0"/>
    <x v="0"/>
  </r>
  <r>
    <x v="5"/>
    <n v="90"/>
    <x v="6"/>
    <x v="4"/>
    <x v="5"/>
    <x v="0"/>
    <x v="0"/>
    <x v="0"/>
    <x v="4"/>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7"/>
    <s v="Oficina de Difusión y Mercadeo"/>
    <x v="0"/>
    <s v="Jefe Oficina de Difusión y Mercadeo de Información "/>
    <x v="6"/>
    <x v="10"/>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5"/>
    <n v="12"/>
    <x v="6"/>
    <x v="4"/>
    <x v="5"/>
    <x v="0"/>
    <x v="0"/>
    <x v="0"/>
    <x v="3"/>
    <s v="Servicios de consultoría de negocios y administración corporativa"/>
    <x v="0"/>
    <n v="80101500"/>
    <s v="Prestación de servicios profesionales para diagramar y producir las piezas de comunicación interna contempladas en el plan de comunicaciones de la entidad"/>
    <x v="0"/>
    <x v="0"/>
    <n v="10"/>
    <x v="0"/>
    <x v="0"/>
    <x v="1"/>
    <n v="48314800"/>
    <n v="48314800"/>
    <x v="0"/>
    <x v="0"/>
    <x v="0"/>
    <x v="8"/>
    <s v="Oficina de Difusión y Mercadeo"/>
    <x v="0"/>
    <s v="Yira Paola Perez-Jefe de Oficina"/>
    <x v="6"/>
    <x v="10"/>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5"/>
    <n v="84"/>
    <x v="6"/>
    <x v="4"/>
    <x v="5"/>
    <x v="0"/>
    <x v="0"/>
    <x v="0"/>
    <x v="4"/>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7"/>
    <s v="Oficina de Difusión y Mercadeo"/>
    <x v="0"/>
    <s v="Jefe Oficina de Difusión y Mercadeo de Información "/>
    <x v="6"/>
    <x v="11"/>
    <s v="Realizar el plan de mercadeo y/o estudios priorizados por la entidad"/>
    <s v="Documentos de lineamientos técnicos"/>
    <n v="462"/>
    <d v="2021-03-16T00:00:00"/>
    <n v="3640236"/>
    <n v="36402360"/>
    <n v="36402360"/>
    <x v="0"/>
    <s v="ELVER ALEXANDER PINEDA"/>
    <n v="0"/>
    <x v="0"/>
    <n v="24603"/>
    <x v="0"/>
    <x v="0"/>
  </r>
  <r>
    <x v="5"/>
    <n v="2"/>
    <x v="6"/>
    <x v="4"/>
    <x v="5"/>
    <x v="0"/>
    <x v="0"/>
    <x v="0"/>
    <x v="3"/>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0"/>
    <x v="0"/>
    <n v="315"/>
    <x v="1"/>
    <x v="0"/>
    <x v="1"/>
    <n v="58695945"/>
    <n v="58695945"/>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5"/>
    <n v="58"/>
    <x v="6"/>
    <x v="4"/>
    <x v="5"/>
    <x v="0"/>
    <x v="0"/>
    <x v="0"/>
    <x v="14"/>
    <s v="Servicios de consultoría de negocios y administración corporativa"/>
    <x v="0"/>
    <n v="80101500"/>
    <s v="Prestación de servicios profesionales para difundir, promocionar y comercializar los productos y servicios del IGAC a nivel Nacional. "/>
    <x v="0"/>
    <x v="0"/>
    <n v="11"/>
    <x v="0"/>
    <x v="0"/>
    <x v="1"/>
    <n v="54740664"/>
    <n v="54740664"/>
    <x v="0"/>
    <x v="0"/>
    <x v="0"/>
    <x v="7"/>
    <s v="Oficina de Difusión y Mercadeo de Información "/>
    <x v="0"/>
    <s v="Yira Paola Perez-Jefe de Oficina"/>
    <x v="6"/>
    <x v="10"/>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5"/>
    <n v="87"/>
    <x v="6"/>
    <x v="4"/>
    <x v="5"/>
    <x v="0"/>
    <x v="0"/>
    <x v="0"/>
    <x v="10"/>
    <s v="Etiquetas de códigos de barra"/>
    <x v="0"/>
    <n v="55121608"/>
    <s v="Adquisición del derecho de uso del sistema de codificación EAN/UCC."/>
    <x v="1"/>
    <x v="1"/>
    <n v="1"/>
    <x v="0"/>
    <x v="0"/>
    <x v="0"/>
    <n v="8131000"/>
    <n v="8131000"/>
    <x v="0"/>
    <x v="8"/>
    <x v="0"/>
    <x v="7"/>
    <s v="Oficina de Difusión y Mercadeo"/>
    <x v="0"/>
    <s v="Jefe Oficina de Difusión y Mercadeo de Información "/>
    <x v="6"/>
    <x v="10"/>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0"/>
    <x v="0"/>
  </r>
  <r>
    <x v="5"/>
    <n v="4"/>
    <x v="6"/>
    <x v="4"/>
    <x v="5"/>
    <x v="0"/>
    <x v="0"/>
    <x v="0"/>
    <x v="3"/>
    <s v="Servicios de consultoría de negocios y administración corporativa"/>
    <x v="0"/>
    <n v="80101500"/>
    <s v="Prestación de servicios profesionales para ejecutar la estrategia de comunicaciones externas de la entidad y la redacción, desarrollo y revisión de contenidos editoriales."/>
    <x v="0"/>
    <x v="0"/>
    <n v="11"/>
    <x v="0"/>
    <x v="0"/>
    <x v="1"/>
    <n v="92997806"/>
    <n v="92997806"/>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5"/>
    <n v="83"/>
    <x v="6"/>
    <x v="4"/>
    <x v="5"/>
    <x v="0"/>
    <x v="0"/>
    <x v="0"/>
    <x v="4"/>
    <s v="Servicios de consultoría de negocios y administración corporativa"/>
    <x v="0"/>
    <n v="80101500"/>
    <s v="Prestación de servicios profesionales para realizar la  medicion de satisfaccion, retroalimentacion y seguimiento con las areas de las PQRs que se hayan tramitado. "/>
    <x v="1"/>
    <x v="1"/>
    <n v="10"/>
    <x v="0"/>
    <x v="0"/>
    <x v="1"/>
    <n v="29417800"/>
    <n v="29417800"/>
    <x v="0"/>
    <x v="0"/>
    <x v="0"/>
    <x v="7"/>
    <s v="Oficina de Difusión y Mercadeo"/>
    <x v="0"/>
    <s v="Jefe Oficina de Difusión y Mercadeo de Información "/>
    <x v="6"/>
    <x v="11"/>
    <s v="Realizar el plan de mercadeo y/o estudios priorizados por la entidad"/>
    <s v="Documentos de lineamientos técnicos"/>
    <n v="461"/>
    <d v="2021-03-16T00:00:00"/>
    <n v="2941780"/>
    <n v="29417800"/>
    <n v="29417800"/>
    <x v="0"/>
    <s v="MARIA CAMILA PALOMARES"/>
    <n v="0"/>
    <x v="0"/>
    <n v="24601"/>
    <x v="0"/>
    <x v="0"/>
  </r>
  <r>
    <x v="5"/>
    <n v="8"/>
    <x v="6"/>
    <x v="4"/>
    <x v="5"/>
    <x v="0"/>
    <x v="0"/>
    <x v="0"/>
    <x v="3"/>
    <s v="Servicios de consultoría de negocios y administración corporativa"/>
    <x v="0"/>
    <n v="80101500"/>
    <s v="Prestación de servicios profesionales para la realización y registro de productos audiovisuales en las actividades y eventos del IGAC."/>
    <x v="0"/>
    <x v="0"/>
    <n v="315"/>
    <x v="1"/>
    <x v="0"/>
    <x v="1"/>
    <n v="58695945"/>
    <n v="58695945"/>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5"/>
    <n v="5"/>
    <x v="6"/>
    <x v="4"/>
    <x v="5"/>
    <x v="0"/>
    <x v="0"/>
    <x v="0"/>
    <x v="3"/>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0"/>
    <x v="0"/>
    <n v="11"/>
    <x v="0"/>
    <x v="0"/>
    <x v="1"/>
    <n v="53146280"/>
    <n v="53146280"/>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5"/>
    <n v="39"/>
    <x v="6"/>
    <x v="4"/>
    <x v="5"/>
    <x v="0"/>
    <x v="0"/>
    <x v="0"/>
    <x v="0"/>
    <s v="Servicios de consultoría de negocios y administración corporativa"/>
    <x v="0"/>
    <n v="80101500"/>
    <s v="Prestación de servicios profesionales para generar informes de ventas y  garantizar la calidad y entrega oportuna de los productos y servicios ofertados por el Instituto."/>
    <x v="0"/>
    <x v="0"/>
    <n v="11"/>
    <x v="0"/>
    <x v="0"/>
    <x v="1"/>
    <n v="63335723"/>
    <n v="63335723"/>
    <x v="0"/>
    <x v="0"/>
    <x v="0"/>
    <x v="8"/>
    <s v="Oficina de Difusión y Mercadeo"/>
    <x v="0"/>
    <s v="Yira Paola Perez-Jefe de Oficina"/>
    <x v="6"/>
    <x v="10"/>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5"/>
    <n v="91"/>
    <x v="6"/>
    <x v="4"/>
    <x v="5"/>
    <x v="0"/>
    <x v="0"/>
    <x v="0"/>
    <x v="4"/>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5"/>
    <n v="96"/>
    <x v="6"/>
    <x v="4"/>
    <x v="5"/>
    <x v="0"/>
    <x v="0"/>
    <x v="0"/>
    <x v="6"/>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8"/>
    <x v="8"/>
    <n v="212"/>
    <x v="1"/>
    <x v="0"/>
    <x v="1"/>
    <n v="91574258"/>
    <n v="91574258"/>
    <x v="0"/>
    <x v="0"/>
    <x v="0"/>
    <x v="7"/>
    <s v="Oficina de Difusión y Mercadeo"/>
    <x v="0"/>
    <s v="Jefe Oficina de Difusión y Mercadeo de Información "/>
    <x v="6"/>
    <x v="10"/>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5"/>
    <x v="1"/>
  </r>
  <r>
    <x v="5"/>
    <m/>
    <x v="6"/>
    <x v="4"/>
    <x v="5"/>
    <x v="0"/>
    <x v="5"/>
    <x v="1"/>
    <x v="6"/>
    <s v="Servicios de consultoría de negocios y administración corporativa"/>
    <x v="0"/>
    <n v="80101500"/>
    <s v="Prestación de servicios profesionales para realizar seguimiento y ejecución a los trámites y servicios solicitados por los usuarios internos y externos del IGAC. "/>
    <x v="8"/>
    <x v="8"/>
    <n v="8"/>
    <x v="0"/>
    <x v="0"/>
    <x v="1"/>
    <n v="11637208"/>
    <n v="11637208"/>
    <x v="0"/>
    <x v="0"/>
    <x v="0"/>
    <x v="7"/>
    <s v="Oficina de Difusión y Mercadeo"/>
    <x v="0"/>
    <s v="Jefe Oficina de Difusión y Mercadeo de Información "/>
    <x v="6"/>
    <x v="11"/>
    <s v="Realizar seguimiento al plan de mercadeo y/o estudios priorizados por la entidad"/>
    <s v="Documentos de lineamientos técnicos"/>
    <m/>
    <m/>
    <e v="#N/A"/>
    <e v="#N/A"/>
    <e v="#N/A"/>
    <x v="1"/>
    <m/>
    <n v="0"/>
    <x v="1"/>
    <m/>
    <x v="5"/>
    <x v="1"/>
  </r>
  <r>
    <x v="5"/>
    <m/>
    <x v="6"/>
    <x v="4"/>
    <x v="5"/>
    <x v="0"/>
    <x v="5"/>
    <x v="1"/>
    <x v="6"/>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8"/>
    <x v="8"/>
    <n v="8"/>
    <x v="0"/>
    <x v="0"/>
    <x v="0"/>
    <n v="20666849"/>
    <n v="20666849"/>
    <x v="0"/>
    <x v="0"/>
    <x v="0"/>
    <x v="7"/>
    <s v="Oficina de Difusión y Mercadeo"/>
    <x v="0"/>
    <s v="Jefe Oficina de Difusión y Mercadeo de Información "/>
    <x v="6"/>
    <x v="10"/>
    <s v="Fortalecer la Infraestructura Colombiana de Datos Espaciales - ICDE, para su incorporación en el sistema de e-gobierno y su interoperabilidad con el nodo de tierras"/>
    <s v="Sistemas de información implementados"/>
    <m/>
    <m/>
    <e v="#N/A"/>
    <e v="#N/A"/>
    <e v="#N/A"/>
    <x v="1"/>
    <m/>
    <n v="0"/>
    <x v="2"/>
    <m/>
    <x v="5"/>
    <x v="1"/>
  </r>
  <r>
    <x v="5"/>
    <m/>
    <x v="6"/>
    <x v="4"/>
    <x v="5"/>
    <x v="0"/>
    <x v="7"/>
    <x v="1"/>
    <x v="3"/>
    <s v="Software de edición y creación de contenidos"/>
    <x v="0"/>
    <n v="43232100"/>
    <s v="Adquisición Licenciamiento Adobe "/>
    <x v="9"/>
    <x v="9"/>
    <n v="1"/>
    <x v="0"/>
    <x v="1"/>
    <x v="0"/>
    <n v="17000000"/>
    <n v="17000000"/>
    <x v="0"/>
    <x v="0"/>
    <x v="0"/>
    <x v="7"/>
    <s v="Oficina de Difusión y Mercadeo"/>
    <x v="0"/>
    <s v="Jefe Oficina de Difusión y Mercadeo de Información "/>
    <x v="6"/>
    <x v="10"/>
    <s v="Realizar campañas en medios digitales y/o presenciales sobre los productos y servicios que genera la entidad."/>
    <s v="Servicios de información implementados"/>
    <m/>
    <m/>
    <e v="#N/A"/>
    <e v="#N/A"/>
    <e v="#N/A"/>
    <x v="1"/>
    <m/>
    <n v="0"/>
    <x v="0"/>
    <m/>
    <x v="7"/>
    <x v="1"/>
  </r>
  <r>
    <x v="5"/>
    <m/>
    <x v="6"/>
    <x v="4"/>
    <x v="5"/>
    <x v="0"/>
    <x v="5"/>
    <x v="1"/>
    <x v="6"/>
    <s v="Software de servidor de autenticación"/>
    <x v="0"/>
    <n v="43233201"/>
    <s v="Adquisición Firma Digital"/>
    <x v="5"/>
    <x v="5"/>
    <n v="2"/>
    <x v="0"/>
    <x v="1"/>
    <x v="1"/>
    <n v="5000000"/>
    <n v="5000000"/>
    <x v="0"/>
    <x v="0"/>
    <x v="0"/>
    <x v="7"/>
    <s v="Oficina de Difusión y Mercadeo"/>
    <x v="0"/>
    <s v="Jefe Oficina de Difusión y Mercadeo de Información"/>
    <x v="6"/>
    <x v="10"/>
    <s v="Diseñar y divulgar diferentes contenidos digitales, análogos  y de apoyo a los servicios requeridos por los usuarios internos y externos. "/>
    <s v="Sistemas de información implementados"/>
    <m/>
    <m/>
    <e v="#N/A"/>
    <e v="#N/A"/>
    <e v="#N/A"/>
    <x v="1"/>
    <m/>
    <n v="0"/>
    <x v="0"/>
    <m/>
    <x v="5"/>
    <x v="1"/>
  </r>
  <r>
    <x v="6"/>
    <n v="35"/>
    <x v="7"/>
    <x v="5"/>
    <x v="6"/>
    <x v="2"/>
    <x v="2"/>
    <x v="0"/>
    <x v="14"/>
    <s v="Cartografía"/>
    <x v="0"/>
    <n v="81151600"/>
    <s v="Prestación de servicios para apoyar la generación de ortoimágenes a diferentes escalas, de conformidad con las especificaciones técnicas y rendimientos establecidos."/>
    <x v="0"/>
    <x v="0"/>
    <n v="10"/>
    <x v="0"/>
    <x v="0"/>
    <x v="1"/>
    <n v="80144490"/>
    <n v="80144490"/>
    <x v="0"/>
    <x v="2"/>
    <x v="0"/>
    <x v="9"/>
    <s v="Subdirección de Geografía y Cartografía "/>
    <x v="5"/>
    <s v="Subdirector de Geografía y Cartografía "/>
    <x v="7"/>
    <x v="12"/>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2"/>
    <x v="0"/>
  </r>
  <r>
    <x v="6"/>
    <n v="30"/>
    <x v="7"/>
    <x v="5"/>
    <x v="6"/>
    <x v="1"/>
    <x v="1"/>
    <x v="0"/>
    <x v="0"/>
    <s v="Cartografía"/>
    <x v="0"/>
    <n v="81151600"/>
    <s v="Prestación de servicios profesionales para gestionar, controlar y hacer seguimiento de los procesos de producción cartográfica, asignados de conformidad con los lineamientos establecidos."/>
    <x v="0"/>
    <x v="0"/>
    <n v="315"/>
    <x v="1"/>
    <x v="0"/>
    <x v="0"/>
    <n v="140352534"/>
    <n v="140352534"/>
    <x v="0"/>
    <x v="1"/>
    <x v="0"/>
    <x v="9"/>
    <s v="Subdirección de Geografía y Cartografía "/>
    <x v="5"/>
    <s v="Subdirector de Geografía y Cartografía "/>
    <x v="7"/>
    <x v="12"/>
    <s v="Generar insumos y/o productos cartográficos"/>
    <s v="Cartografía escalas Medianas generada (1:10,000, 1:25,000)"/>
    <n v="206"/>
    <d v="2021-02-10T00:00:00"/>
    <n v="6683454"/>
    <n v="70176267"/>
    <n v="140352534"/>
    <x v="0"/>
    <s v="CARLOS ALBERTO SEDANO ARIZA  _x000a_CARLOS  EDUARDO  PLATA  CABRERA"/>
    <n v="0"/>
    <x v="0"/>
    <s v="24394_x000a_24395"/>
    <x v="1"/>
    <x v="0"/>
  </r>
  <r>
    <x v="6"/>
    <n v="31"/>
    <x v="7"/>
    <x v="5"/>
    <x v="6"/>
    <x v="6"/>
    <x v="8"/>
    <x v="0"/>
    <x v="0"/>
    <s v="Cartografía"/>
    <x v="0"/>
    <n v="81151600"/>
    <s v="Prestación de servicios para la captura o digitalización de elementos vectoriales a diferentes escalas y dimensiones, de conformidad con las especificaciones técnicas y rendimientos establecidos."/>
    <x v="0"/>
    <x v="0"/>
    <n v="11"/>
    <x v="0"/>
    <x v="0"/>
    <x v="0"/>
    <n v="381694680"/>
    <n v="381694680"/>
    <x v="0"/>
    <x v="6"/>
    <x v="0"/>
    <x v="9"/>
    <s v="Subdirección de Geografía y Cartografía "/>
    <x v="5"/>
    <s v="Subdirector de Geografía y Cartografía "/>
    <x v="7"/>
    <x v="12"/>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8"/>
    <x v="0"/>
  </r>
  <r>
    <x v="6"/>
    <n v="60"/>
    <x v="7"/>
    <x v="5"/>
    <x v="6"/>
    <x v="5"/>
    <x v="6"/>
    <x v="0"/>
    <x v="10"/>
    <s v="Cartografía"/>
    <x v="0"/>
    <n v="81151600"/>
    <s v="Prestacion de servicios para estructurar, integrar y validar la cartografía para los estudios y/o investigaciones geográficas asignadas"/>
    <x v="1"/>
    <x v="1"/>
    <n v="285"/>
    <x v="1"/>
    <x v="0"/>
    <x v="1"/>
    <n v="138328968"/>
    <n v="138328968"/>
    <x v="0"/>
    <x v="5"/>
    <x v="0"/>
    <x v="9"/>
    <s v="Subdirección de Geografía y Cartografía "/>
    <x v="0"/>
    <s v="Subdirector de Geografía y Cartografía "/>
    <x v="7"/>
    <x v="12"/>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6"/>
    <x v="0"/>
  </r>
  <r>
    <x v="6"/>
    <n v="71"/>
    <x v="7"/>
    <x v="5"/>
    <x v="6"/>
    <x v="0"/>
    <x v="0"/>
    <x v="0"/>
    <x v="10"/>
    <s v="Servicios de mantenimiento y reparación de instalación de máquinas"/>
    <x v="0"/>
    <n v="72151800"/>
    <s v="Realizar el mantenimiento de los escáneres fotogramétricos del IGAC."/>
    <x v="1"/>
    <x v="1"/>
    <n v="10"/>
    <x v="0"/>
    <x v="0"/>
    <x v="1"/>
    <n v="218640604"/>
    <n v="218640604"/>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6"/>
    <n v="63"/>
    <x v="7"/>
    <x v="5"/>
    <x v="6"/>
    <x v="2"/>
    <x v="2"/>
    <x v="0"/>
    <x v="10"/>
    <s v="Cartografía"/>
    <x v="0"/>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2"/>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2"/>
    <x v="0"/>
  </r>
  <r>
    <x v="6"/>
    <n v="34"/>
    <x v="7"/>
    <x v="5"/>
    <x v="6"/>
    <x v="0"/>
    <x v="0"/>
    <x v="0"/>
    <x v="4"/>
    <s v="Cartografía"/>
    <x v="0"/>
    <n v="81151600"/>
    <s v="Prestación de servicios para realizar apoyo a la gestión administrativa de los procesos y proyectos misionales de la Subdirección de Geografía y Cartografía"/>
    <x v="1"/>
    <x v="1"/>
    <n v="10"/>
    <x v="0"/>
    <x v="0"/>
    <x v="0"/>
    <n v="26714830"/>
    <n v="26714830"/>
    <x v="0"/>
    <x v="0"/>
    <x v="0"/>
    <x v="9"/>
    <s v="Subdirección de Geografía y Cartografía "/>
    <x v="5"/>
    <s v="Subdirector de Geografía y Cartografía "/>
    <x v="7"/>
    <x v="12"/>
    <s v="Generar insumos y/o productos cartográficos"/>
    <s v="Cartografía escalas Medianas generada (1:10,000, 1:25,000)"/>
    <n v="441"/>
    <d v="2021-03-11T00:00:00"/>
    <e v="#N/A"/>
    <e v="#N/A"/>
    <e v="#N/A"/>
    <x v="1"/>
    <s v="JULIE ALEXANDRA PARRA SANTA"/>
    <n v="0"/>
    <x v="0"/>
    <n v="24577"/>
    <x v="0"/>
    <x v="0"/>
  </r>
  <r>
    <x v="6"/>
    <n v="56"/>
    <x v="7"/>
    <x v="5"/>
    <x v="6"/>
    <x v="0"/>
    <x v="0"/>
    <x v="0"/>
    <x v="13"/>
    <s v="Cartografía"/>
    <x v="0"/>
    <n v="81151600"/>
    <s v="Prestación de servicios para realizar procesos de generalización de información cartográfica para los diferentes fines."/>
    <x v="0"/>
    <x v="0"/>
    <n v="8"/>
    <x v="0"/>
    <x v="0"/>
    <x v="1"/>
    <n v="21371864"/>
    <n v="21371864"/>
    <x v="0"/>
    <x v="0"/>
    <x v="0"/>
    <x v="9"/>
    <s v="Subdirección de Geografía y Cartografía "/>
    <x v="5"/>
    <s v="Subdirector de Geografía y Cartografía "/>
    <x v="7"/>
    <x v="12"/>
    <s v="Generar insumos y/o productos cartográficos"/>
    <s v="Cartografía escalas Medianas generada (1:10,000, 1:25,000)"/>
    <n v="399"/>
    <d v="2021-02-25T00:00:00"/>
    <n v="2671483"/>
    <n v="21371864"/>
    <n v="21371864"/>
    <x v="0"/>
    <s v="LUZ KELLY GARCÍA CONDE"/>
    <n v="0"/>
    <x v="0"/>
    <n v="24538"/>
    <x v="0"/>
    <x v="0"/>
  </r>
  <r>
    <x v="6"/>
    <n v="12"/>
    <x v="7"/>
    <x v="5"/>
    <x v="6"/>
    <x v="7"/>
    <x v="9"/>
    <x v="0"/>
    <x v="3"/>
    <s v="Cartografía"/>
    <x v="0"/>
    <n v="81151600"/>
    <s v="Prestación de servicios para la captura de información vectorial, de conformidad con las especificaciones técnicas y rendimientos establecidos."/>
    <x v="2"/>
    <x v="2"/>
    <n v="11"/>
    <x v="0"/>
    <x v="0"/>
    <x v="1"/>
    <n v="352739640"/>
    <n v="352739640"/>
    <x v="0"/>
    <x v="7"/>
    <x v="0"/>
    <x v="9"/>
    <s v="Subdirección de Geografía y Cartografía "/>
    <x v="5"/>
    <s v="Subdirector de Geografía y Cartografía "/>
    <x v="7"/>
    <x v="12"/>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0"/>
  </r>
  <r>
    <x v="6"/>
    <n v="75"/>
    <x v="7"/>
    <x v="5"/>
    <x v="6"/>
    <x v="1"/>
    <x v="1"/>
    <x v="0"/>
    <x v="8"/>
    <s v="Servicios de comercio internacional"/>
    <x v="0"/>
    <n v="80151600"/>
    <s v="Prestación de servicio para apoyar la organización, digitalización, control y seguimiento de los productos y servicios de la Subdirección de Geografía y Cartografía."/>
    <x v="7"/>
    <x v="7"/>
    <n v="8"/>
    <x v="0"/>
    <x v="0"/>
    <x v="0"/>
    <n v="33571440"/>
    <n v="33571440"/>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1"/>
    <x v="0"/>
  </r>
  <r>
    <x v="6"/>
    <n v="73"/>
    <x v="7"/>
    <x v="5"/>
    <x v="6"/>
    <x v="1"/>
    <x v="1"/>
    <x v="0"/>
    <x v="8"/>
    <s v="Servicios de comercio internacional"/>
    <x v="0"/>
    <n v="80151600"/>
    <s v="Prestación de servicios para estructurar y elaborar cartografía temática de los proyectos asignados, de conformidad con las especificaciones técnicas y los tiempos establecidos."/>
    <x v="7"/>
    <x v="7"/>
    <n v="8"/>
    <x v="0"/>
    <x v="0"/>
    <x v="0"/>
    <n v="42743728"/>
    <n v="42743728"/>
    <x v="0"/>
    <x v="1"/>
    <x v="0"/>
    <x v="9"/>
    <s v="Subdirección de Geografía y Cartografía "/>
    <x v="5"/>
    <s v="Subdirector de Geografía y Cartografía "/>
    <x v="7"/>
    <x v="12"/>
    <s v="Generar insumos y/o productos cartográficos"/>
    <s v="Cartografía escalas Medianas generada (1:10,000, 1:25,000)"/>
    <n v="541"/>
    <d v="2021-04-22T00:00:00"/>
    <n v="2671483"/>
    <n v="21371864"/>
    <n v="42743728"/>
    <x v="0"/>
    <s v="SANTIAGO DÍAZ BOLÍVAR _x000a_LINA PAOLA FANDIÑO HERRERA"/>
    <n v="0"/>
    <x v="0"/>
    <s v="24686_x000a_24691"/>
    <x v="1"/>
    <x v="0"/>
  </r>
  <r>
    <x v="6"/>
    <n v="25"/>
    <x v="7"/>
    <x v="5"/>
    <x v="6"/>
    <x v="1"/>
    <x v="1"/>
    <x v="0"/>
    <x v="0"/>
    <s v="Cartografía"/>
    <x v="0"/>
    <n v="81151600"/>
    <s v="Prestación de servicios profesionales para orientar y optimizar los procesos de producción cartográfica, asignados de conformidad con los lineamientos establecidos."/>
    <x v="0"/>
    <x v="0"/>
    <n v="315"/>
    <x v="1"/>
    <x v="0"/>
    <x v="0"/>
    <n v="120913653"/>
    <n v="120913653"/>
    <x v="0"/>
    <x v="1"/>
    <x v="0"/>
    <x v="9"/>
    <s v="Subdirección de Geografía y Cartografía "/>
    <x v="5"/>
    <s v="Subdirector de Geografía y Cartografía "/>
    <x v="7"/>
    <x v="12"/>
    <s v="Generar insumos y/o productos cartográficos"/>
    <s v="Cartografía escalas Medianas generada (1:10,000, 1:25,000)"/>
    <n v="199"/>
    <d v="2021-02-05T00:00:00"/>
    <n v="5757793"/>
    <n v="60456826"/>
    <n v="120913652"/>
    <x v="0"/>
    <s v="MIGUEL ANGEL RAMÍREZ GUTIÉRREZ_x000a_VICTOR ANDRÉS MARTÍNEZ RUÍZ"/>
    <n v="1"/>
    <x v="0"/>
    <s v="24386_x000a_24388"/>
    <x v="1"/>
    <x v="0"/>
  </r>
  <r>
    <x v="6"/>
    <n v="5"/>
    <x v="7"/>
    <x v="5"/>
    <x v="6"/>
    <x v="0"/>
    <x v="0"/>
    <x v="0"/>
    <x v="3"/>
    <s v="Cartografía"/>
    <x v="0"/>
    <n v="81151600"/>
    <s v="Prestación de servicios para la generación de contenidos asociados a los procesos geográficos, cartográficos y geodésicos"/>
    <x v="0"/>
    <x v="0"/>
    <n v="9"/>
    <x v="0"/>
    <x v="0"/>
    <x v="1"/>
    <n v="50310810"/>
    <n v="50310810"/>
    <x v="0"/>
    <x v="0"/>
    <x v="0"/>
    <x v="9"/>
    <s v="Subdirección de Geografía y Cartografía "/>
    <x v="5"/>
    <s v="Subdirector de Geografía y Cartografía "/>
    <x v="8"/>
    <x v="13"/>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6"/>
    <n v="48"/>
    <x v="7"/>
    <x v="5"/>
    <x v="6"/>
    <x v="0"/>
    <x v="0"/>
    <x v="0"/>
    <x v="3"/>
    <s v="Cartografía"/>
    <x v="0"/>
    <n v="81151600"/>
    <s v="Prestación de servicios profesionales para realizar el control de calidad de los diagnósticos de los límites de las entidades territoriales y demás proyectos asociados"/>
    <x v="0"/>
    <x v="0"/>
    <n v="10"/>
    <x v="0"/>
    <x v="0"/>
    <x v="0"/>
    <n v="35342100"/>
    <n v="35342100"/>
    <x v="0"/>
    <x v="0"/>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6"/>
    <n v="3"/>
    <x v="7"/>
    <x v="5"/>
    <x v="6"/>
    <x v="0"/>
    <x v="0"/>
    <x v="0"/>
    <x v="3"/>
    <s v="Cartografía"/>
    <x v="0"/>
    <n v="81151600"/>
    <s v="Prestación de servicios para apoyar la implementación de métodos estadísticos en la subdirección y generación de nuevos productos."/>
    <x v="0"/>
    <x v="0"/>
    <n v="9"/>
    <x v="0"/>
    <x v="0"/>
    <x v="1"/>
    <n v="65973294"/>
    <n v="65973294"/>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6"/>
    <n v="17"/>
    <x v="7"/>
    <x v="5"/>
    <x v="6"/>
    <x v="0"/>
    <x v="0"/>
    <x v="0"/>
    <x v="3"/>
    <s v="Cartografía"/>
    <x v="0"/>
    <n v="81151600"/>
    <s v="Prestación de servicios profesionales para el seguimiento al proceso de implementación de los servicios ntrip vrs"/>
    <x v="2"/>
    <x v="2"/>
    <n v="11"/>
    <x v="0"/>
    <x v="0"/>
    <x v="0"/>
    <n v="28530403"/>
    <n v="28530403"/>
    <x v="0"/>
    <x v="0"/>
    <x v="0"/>
    <x v="9"/>
    <s v="Subdirección de Geografía y Cartografía "/>
    <x v="5"/>
    <s v="Subdirector de Geografía y Cartografía "/>
    <x v="7"/>
    <x v="16"/>
    <s v="Densificar el marco de referencia terrestre"/>
    <s v="Datos altimétricos generados"/>
    <n v="123"/>
    <d v="2021-01-27T00:00:00"/>
    <n v="2671483"/>
    <n v="28495819"/>
    <n v="28495819"/>
    <x v="0"/>
    <s v="JUAN DAVID HURTADO JAIMES"/>
    <n v="34584"/>
    <x v="0"/>
    <n v="24261"/>
    <x v="0"/>
    <x v="0"/>
  </r>
  <r>
    <x v="6"/>
    <n v="18"/>
    <x v="7"/>
    <x v="5"/>
    <x v="6"/>
    <x v="0"/>
    <x v="0"/>
    <x v="0"/>
    <x v="3"/>
    <s v="Cartografía"/>
    <x v="0"/>
    <n v="81151600"/>
    <s v="Prestación de servicios para el análisis, procesamiento y caracterización de imágenes insumo para la producción cartográfica."/>
    <x v="2"/>
    <x v="2"/>
    <n v="11"/>
    <x v="0"/>
    <x v="0"/>
    <x v="0"/>
    <n v="28530403"/>
    <n v="28530403"/>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6"/>
    <n v="20"/>
    <x v="7"/>
    <x v="5"/>
    <x v="6"/>
    <x v="0"/>
    <x v="0"/>
    <x v="0"/>
    <x v="0"/>
    <s v="Cartografía"/>
    <x v="0"/>
    <n v="81151600"/>
    <s v="Prestación de servicios para realizar actividades que promuevan la gestión y disposición de los datos geográficos, cartográficos y geodésicos."/>
    <x v="0"/>
    <x v="0"/>
    <n v="11"/>
    <x v="0"/>
    <x v="0"/>
    <x v="0"/>
    <n v="45518000"/>
    <n v="45518000"/>
    <x v="0"/>
    <x v="0"/>
    <x v="0"/>
    <x v="9"/>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6"/>
    <n v="1"/>
    <x v="7"/>
    <x v="5"/>
    <x v="6"/>
    <x v="0"/>
    <x v="0"/>
    <x v="0"/>
    <x v="3"/>
    <s v="Servicios de formación profesional en ingeniería"/>
    <x v="0"/>
    <n v="86101610"/>
    <s v="Prestación de servicios para apoyar la actualización de los procesos de la Subdirección de Geografía y Cartografía"/>
    <x v="2"/>
    <x v="2"/>
    <n v="11"/>
    <x v="0"/>
    <x v="0"/>
    <x v="0"/>
    <n v="45518000"/>
    <n v="45518000"/>
    <x v="0"/>
    <x v="0"/>
    <x v="0"/>
    <x v="9"/>
    <s v="Subdirección de Geografía y Cartografía "/>
    <x v="5"/>
    <s v="Subdirector de Geografía y Cartografía "/>
    <x v="7"/>
    <x v="12"/>
    <s v="Generar insumos y/o productos cartográficos"/>
    <s v="Cartografía escalas Medianas generada (1:10,000, 1:25,000)"/>
    <n v="42"/>
    <d v="2021-01-25T00:00:00"/>
    <n v="4263522"/>
    <n v="45477568"/>
    <n v="45477568"/>
    <x v="0"/>
    <s v="MARIANA  JARAMILLO RAMIREZ"/>
    <n v="40432"/>
    <x v="0"/>
    <n v="24243"/>
    <x v="0"/>
    <x v="0"/>
  </r>
  <r>
    <x v="6"/>
    <n v="46"/>
    <x v="7"/>
    <x v="5"/>
    <x v="6"/>
    <x v="0"/>
    <x v="0"/>
    <x v="0"/>
    <x v="3"/>
    <s v="Cartografía"/>
    <x v="0"/>
    <n v="81151600"/>
    <s v="Prestación de servicios para apoyar el análisis, evaluación y atención de requerimientos cartográficos relacionados con resguardos y territorios colectivos."/>
    <x v="0"/>
    <x v="0"/>
    <n v="10"/>
    <x v="0"/>
    <x v="0"/>
    <x v="0"/>
    <n v="48314800"/>
    <n v="48314800"/>
    <x v="0"/>
    <x v="0"/>
    <x v="0"/>
    <x v="9"/>
    <s v="Subdirección de Geografía y Cartografía "/>
    <x v="5"/>
    <s v="Subdirector de Geografía y Cartografía "/>
    <x v="8"/>
    <x v="14"/>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6"/>
    <n v="54"/>
    <x v="7"/>
    <x v="5"/>
    <x v="6"/>
    <x v="0"/>
    <x v="0"/>
    <x v="0"/>
    <x v="3"/>
    <s v="Cartografía"/>
    <x v="0"/>
    <n v="81151600"/>
    <s v="Prestación de servicios profesionales para la gestión y estructuración de la información de límites y fronteras."/>
    <x v="0"/>
    <x v="0"/>
    <n v="10"/>
    <x v="0"/>
    <x v="0"/>
    <x v="1"/>
    <n v="48314800"/>
    <n v="48314800"/>
    <x v="0"/>
    <x v="0"/>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6"/>
    <n v="9"/>
    <x v="7"/>
    <x v="5"/>
    <x v="6"/>
    <x v="0"/>
    <x v="0"/>
    <x v="0"/>
    <x v="3"/>
    <s v="Cartografía"/>
    <x v="0"/>
    <n v="81151600"/>
    <s v="Prestación de servicios para la revisión, compilación y validación de los datos de campo y calculados de gravimetría y geomagnetismo para su vinculación a la base de datos unificados"/>
    <x v="2"/>
    <x v="2"/>
    <n v="11"/>
    <x v="0"/>
    <x v="0"/>
    <x v="0"/>
    <n v="38876310"/>
    <n v="38876310"/>
    <x v="0"/>
    <x v="0"/>
    <x v="0"/>
    <x v="9"/>
    <s v="Subdirección de Geografía y Cartografía "/>
    <x v="5"/>
    <s v="Subdirector de Geografía y Cartografía "/>
    <x v="7"/>
    <x v="16"/>
    <s v="Densificar el marco de referencia gravimétricos"/>
    <s v="Valores gravimétricos generados"/>
    <n v="83"/>
    <d v="2021-01-22T00:00:00"/>
    <n v="3640236"/>
    <n v="38829184"/>
    <n v="38829184"/>
    <x v="0"/>
    <s v="DANIELA ANDREA HERNÁNDEZ BELTRÁN"/>
    <n v="47126"/>
    <x v="0"/>
    <n v="24236"/>
    <x v="0"/>
    <x v="0"/>
  </r>
  <r>
    <x v="6"/>
    <n v="7"/>
    <x v="7"/>
    <x v="5"/>
    <x v="6"/>
    <x v="0"/>
    <x v="0"/>
    <x v="0"/>
    <x v="3"/>
    <s v="Cartografía"/>
    <x v="0"/>
    <n v="81151600"/>
    <s v="Prestación de servicios profesionales para gestión de proyectos y atención a los requerimientos de la cancillería, en el marco de la demarcación de las fronteras del país."/>
    <x v="0"/>
    <x v="0"/>
    <n v="10"/>
    <x v="0"/>
    <x v="0"/>
    <x v="0"/>
    <n v="55900900"/>
    <n v="559009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6"/>
    <n v="53"/>
    <x v="7"/>
    <x v="5"/>
    <x v="6"/>
    <x v="0"/>
    <x v="0"/>
    <x v="0"/>
    <x v="3"/>
    <s v="Servicios de implementación de aplicaciones"/>
    <x v="0"/>
    <n v="81111508"/>
    <s v="Prestación de servicios para procesar y analizar información geográfica requerida para los estudios e investigaciones asignadas."/>
    <x v="0"/>
    <x v="0"/>
    <n v="255"/>
    <x v="1"/>
    <x v="0"/>
    <x v="1"/>
    <n v="24276825"/>
    <n v="24276825"/>
    <x v="0"/>
    <x v="0"/>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6"/>
    <n v="28"/>
    <x v="7"/>
    <x v="5"/>
    <x v="6"/>
    <x v="0"/>
    <x v="0"/>
    <x v="0"/>
    <x v="0"/>
    <s v="Cartografía"/>
    <x v="0"/>
    <n v="81151600"/>
    <s v="Prestación de servicios profesionales para la gestión, análisis y respuesta oportuna asociada con los procesos y proyectos de la Subdirección"/>
    <x v="0"/>
    <x v="0"/>
    <n v="10"/>
    <x v="0"/>
    <x v="0"/>
    <x v="1"/>
    <n v="84543460"/>
    <n v="84543460"/>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6"/>
    <n v="24"/>
    <x v="7"/>
    <x v="5"/>
    <x v="6"/>
    <x v="1"/>
    <x v="1"/>
    <x v="0"/>
    <x v="0"/>
    <s v="Cartografía"/>
    <x v="0"/>
    <n v="81151600"/>
    <s v="Prestación de servicio para realizar actividades de mantenimiento, materialización y cálculo de redes geodésicas locales y estaciones de mantenimiento continuo."/>
    <x v="0"/>
    <x v="0"/>
    <n v="11"/>
    <x v="0"/>
    <x v="0"/>
    <x v="0"/>
    <n v="62834134"/>
    <n v="62834134"/>
    <x v="0"/>
    <x v="1"/>
    <x v="0"/>
    <x v="9"/>
    <s v="Subdirección de Geografía y Cartografía "/>
    <x v="5"/>
    <s v="Subdirector de Geografía y Cartografía "/>
    <x v="7"/>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1"/>
    <x v="0"/>
  </r>
  <r>
    <x v="6"/>
    <n v="47"/>
    <x v="7"/>
    <x v="5"/>
    <x v="6"/>
    <x v="2"/>
    <x v="2"/>
    <x v="0"/>
    <x v="3"/>
    <s v="Cartografía"/>
    <x v="0"/>
    <n v="81151600"/>
    <s v="Prestación de servicios profesionales para realizar los diagnósticos de los límites de las entidades territoriales."/>
    <x v="0"/>
    <x v="0"/>
    <n v="10"/>
    <x v="0"/>
    <x v="0"/>
    <x v="0"/>
    <n v="85682910"/>
    <n v="85682910"/>
    <x v="0"/>
    <x v="2"/>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2"/>
    <x v="0"/>
  </r>
  <r>
    <x v="6"/>
    <n v="16"/>
    <x v="7"/>
    <x v="5"/>
    <x v="6"/>
    <x v="1"/>
    <x v="1"/>
    <x v="0"/>
    <x v="3"/>
    <s v="Cartografía"/>
    <x v="0"/>
    <n v="81151600"/>
    <s v="Prestación de servicios profesionales para realizar las actividades de cálculo de proyectos GNSS y demás asignados."/>
    <x v="2"/>
    <x v="2"/>
    <n v="11"/>
    <x v="0"/>
    <x v="0"/>
    <x v="0"/>
    <n v="66741840"/>
    <n v="66741840"/>
    <x v="0"/>
    <x v="1"/>
    <x v="0"/>
    <x v="9"/>
    <s v="Subdirección de Geografía y Cartografía "/>
    <x v="5"/>
    <s v="Subdirector de Geografía y Cartografía "/>
    <x v="7"/>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1"/>
    <x v="0"/>
  </r>
  <r>
    <x v="6"/>
    <n v="6"/>
    <x v="7"/>
    <x v="5"/>
    <x v="6"/>
    <x v="2"/>
    <x v="2"/>
    <x v="0"/>
    <x v="3"/>
    <s v="Cartografía"/>
    <x v="0"/>
    <n v="81151600"/>
    <s v="Prestación de servicios profesionales para apoyar la gestión técnica de los procesos de deslindes, de conformidad con los criterios técnicos y normatividad establecida"/>
    <x v="0"/>
    <x v="0"/>
    <n v="10"/>
    <x v="0"/>
    <x v="0"/>
    <x v="0"/>
    <n v="106026300"/>
    <n v="106026300"/>
    <x v="0"/>
    <x v="2"/>
    <x v="0"/>
    <x v="9"/>
    <s v="Subdirección de Geografía y Cartografía "/>
    <x v="5"/>
    <s v="Subdirector de Geografía y Cartografía "/>
    <x v="8"/>
    <x v="14"/>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2"/>
    <x v="0"/>
  </r>
  <r>
    <x v="6"/>
    <n v="36"/>
    <x v="7"/>
    <x v="5"/>
    <x v="6"/>
    <x v="0"/>
    <x v="0"/>
    <x v="0"/>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0"/>
    <x v="0"/>
    <n v="11"/>
    <x v="0"/>
    <x v="0"/>
    <x v="0"/>
    <n v="80634026"/>
    <n v="80634026"/>
    <x v="0"/>
    <x v="0"/>
    <x v="0"/>
    <x v="9"/>
    <s v="Subdirección de Geografía y Cartografía "/>
    <x v="5"/>
    <s v="Subdirector de Geografía y Cartografía "/>
    <x v="7"/>
    <x v="12"/>
    <s v="Generar insumos y/o productos cartográficos"/>
    <s v="Cartografía escalas Medianas generada (1:10,000, 1:25,000)"/>
    <n v="286"/>
    <d v="2021-02-15T00:00:00"/>
    <n v="7550277"/>
    <n v="80536288"/>
    <n v="80536288"/>
    <x v="0"/>
    <s v="SONIA BELTRAN"/>
    <n v="97738"/>
    <x v="0"/>
    <n v="24451"/>
    <x v="0"/>
    <x v="0"/>
  </r>
  <r>
    <x v="6"/>
    <n v="10"/>
    <x v="7"/>
    <x v="5"/>
    <x v="6"/>
    <x v="2"/>
    <x v="2"/>
    <x v="0"/>
    <x v="3"/>
    <s v="Cartografía"/>
    <x v="0"/>
    <n v="81151600"/>
    <s v="Prestación de servicios para la organización, administración y disposición de los productos cartográficos, geográficos y geodésicos de la subdirección de geografía y cartografía. "/>
    <x v="2"/>
    <x v="2"/>
    <n v="11"/>
    <x v="0"/>
    <x v="0"/>
    <x v="0"/>
    <n v="85591209"/>
    <n v="85591209"/>
    <x v="0"/>
    <x v="2"/>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2"/>
    <x v="0"/>
  </r>
  <r>
    <x v="6"/>
    <n v="52"/>
    <x v="7"/>
    <x v="5"/>
    <x v="6"/>
    <x v="1"/>
    <x v="1"/>
    <x v="0"/>
    <x v="3"/>
    <s v="Cartografía"/>
    <x v="0"/>
    <n v="81151600"/>
    <s v="Prestación de servicios para gestionar, organizar y procesar información geográfica requerida para los estudios e investigaciones asignadas."/>
    <x v="0"/>
    <x v="0"/>
    <n v="255"/>
    <x v="1"/>
    <x v="0"/>
    <x v="0"/>
    <n v="48553649"/>
    <n v="48553649"/>
    <x v="0"/>
    <x v="1"/>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1"/>
    <x v="0"/>
  </r>
  <r>
    <x v="6"/>
    <n v="22"/>
    <x v="7"/>
    <x v="5"/>
    <x v="6"/>
    <x v="0"/>
    <x v="0"/>
    <x v="0"/>
    <x v="0"/>
    <s v="Cartografía"/>
    <x v="0"/>
    <n v="81151600"/>
    <s v="Prestación de servicios para gestionar,  realizar el control  y seguimiento a la toma de fotografía aérea y consecución de insumos necesarios para producción cartográfica."/>
    <x v="0"/>
    <x v="0"/>
    <n v="11"/>
    <x v="0"/>
    <x v="0"/>
    <x v="0"/>
    <n v="92997806"/>
    <n v="92997806"/>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6"/>
    <n v="21"/>
    <x v="7"/>
    <x v="5"/>
    <x v="6"/>
    <x v="0"/>
    <x v="0"/>
    <x v="0"/>
    <x v="0"/>
    <s v="Servicios de formación profesional en ingeniería"/>
    <x v="0"/>
    <n v="86101610"/>
    <s v="Prestación de servicios profesionales para el acompañamiento y seguimiento a la ejecución de los  proyectos  y procesos de la Subdirección de Geografía y Cartografía."/>
    <x v="0"/>
    <x v="0"/>
    <n v="11"/>
    <x v="0"/>
    <x v="0"/>
    <x v="0"/>
    <n v="92997806"/>
    <n v="92997806"/>
    <x v="0"/>
    <x v="0"/>
    <x v="0"/>
    <x v="9"/>
    <s v="Subdirección de Geografía y Cartografía "/>
    <x v="5"/>
    <s v="Subdirector de Geografía y Cartografía "/>
    <x v="7"/>
    <x v="12"/>
    <s v="Generar insumos y/o productos cartográficos"/>
    <s v="Cartografía escalas Medianas generada (1:10,000, 1:25,000)"/>
    <n v="170"/>
    <d v="2021-02-04T00:00:00"/>
    <n v="8707976"/>
    <n v="92885077"/>
    <n v="92885077"/>
    <x v="0"/>
    <s v="JOHANNA MARÍA DÍAZ DÍAZ_x000a_"/>
    <n v="112729"/>
    <x v="0"/>
    <n v="24355"/>
    <x v="0"/>
    <x v="0"/>
  </r>
  <r>
    <x v="6"/>
    <n v="8"/>
    <x v="7"/>
    <x v="5"/>
    <x v="6"/>
    <x v="1"/>
    <x v="1"/>
    <x v="0"/>
    <x v="3"/>
    <s v="Cartografía"/>
    <x v="0"/>
    <n v="81151600"/>
    <s v="Prestación de servicios para el fortalecimiento de los productos y servicios de información geográfica, cartográfica y geodésica, promoviendo su descubrimiento y uso."/>
    <x v="2"/>
    <x v="2"/>
    <n v="10"/>
    <x v="0"/>
    <x v="0"/>
    <x v="1"/>
    <n v="146607320"/>
    <n v="146607320"/>
    <x v="0"/>
    <x v="1"/>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1"/>
    <x v="0"/>
  </r>
  <r>
    <x v="6"/>
    <n v="15"/>
    <x v="7"/>
    <x v="5"/>
    <x v="6"/>
    <x v="2"/>
    <x v="2"/>
    <x v="0"/>
    <x v="3"/>
    <s v="Cartografía"/>
    <x v="0"/>
    <n v="81151600"/>
    <s v="Prestación de servicios para realizar el proceso de aerotriangulación, de conformidad con las especificaciones técnicas y rendimientos establecidos."/>
    <x v="2"/>
    <x v="2"/>
    <n v="11"/>
    <x v="0"/>
    <x v="0"/>
    <x v="0"/>
    <n v="116628930"/>
    <n v="116628930"/>
    <x v="0"/>
    <x v="2"/>
    <x v="0"/>
    <x v="9"/>
    <s v="Subdirección de Geografía y Cartografía "/>
    <x v="5"/>
    <s v="Subdirector de Geografía y Cartografía "/>
    <x v="7"/>
    <x v="12"/>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2"/>
    <x v="0"/>
  </r>
  <r>
    <x v="6"/>
    <n v="19"/>
    <x v="7"/>
    <x v="5"/>
    <x v="6"/>
    <x v="0"/>
    <x v="0"/>
    <x v="0"/>
    <x v="0"/>
    <s v="Cartografía"/>
    <x v="0"/>
    <n v="81151600"/>
    <s v="Prestación de servicios para gestionar y orientar el cumplimiento de los proyectos liderados por la Subdirección de Geografía y Cartografía"/>
    <x v="0"/>
    <x v="0"/>
    <n v="11"/>
    <x v="0"/>
    <x v="0"/>
    <x v="1"/>
    <n v="117717006"/>
    <n v="117717006"/>
    <x v="0"/>
    <x v="0"/>
    <x v="0"/>
    <x v="9"/>
    <s v="Subdirección de Geografía y Cartografía "/>
    <x v="5"/>
    <s v="Subdirector de Geografía y Cartografía "/>
    <x v="7"/>
    <x v="16"/>
    <s v="Densificar el marco de referencia terrestre"/>
    <s v="Puntos Geodésicos Materializados"/>
    <n v="131"/>
    <d v="2021-02-04T00:00:00"/>
    <n v="11022592"/>
    <n v="117574315"/>
    <n v="117574315"/>
    <x v="0"/>
    <s v="ADRIANA PACHON LOZANO"/>
    <n v="142691"/>
    <x v="0"/>
    <n v="24359"/>
    <x v="0"/>
    <x v="0"/>
  </r>
  <r>
    <x v="6"/>
    <n v="51"/>
    <x v="7"/>
    <x v="5"/>
    <x v="6"/>
    <x v="2"/>
    <x v="2"/>
    <x v="0"/>
    <x v="3"/>
    <s v="Cartografía"/>
    <x v="0"/>
    <n v="81151600"/>
    <s v="Prestación de servicios para elaborar los mapas temáticos y salidas gráficas requeridas para los estudios y/o investigaciones geográficas asignadas, de conformidad con los lineamientos técnicos."/>
    <x v="0"/>
    <x v="0"/>
    <n v="255"/>
    <x v="1"/>
    <x v="0"/>
    <x v="1"/>
    <n v="66138662"/>
    <n v="66138662"/>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2"/>
    <x v="0"/>
  </r>
  <r>
    <x v="6"/>
    <n v="13"/>
    <x v="7"/>
    <x v="5"/>
    <x v="6"/>
    <x v="3"/>
    <x v="3"/>
    <x v="0"/>
    <x v="3"/>
    <s v="Cartografía"/>
    <x v="0"/>
    <n v="81151600"/>
    <s v="Prestación de servicios para la captura y procesamiento de coordenadas, elaboración de levantamientos topográficos y clasificación de campo, de acuerdo con las especificaciones de conformidad con los lineamientos establecidos."/>
    <x v="2"/>
    <x v="2"/>
    <n v="11"/>
    <x v="0"/>
    <x v="0"/>
    <x v="0"/>
    <n v="142652015"/>
    <n v="142652015"/>
    <x v="0"/>
    <x v="3"/>
    <x v="0"/>
    <x v="9"/>
    <s v="Subdirección de Geografía y Cartografía "/>
    <x v="5"/>
    <s v="Subdirector de Geografía y Cartografía "/>
    <x v="7"/>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3"/>
    <x v="0"/>
  </r>
  <r>
    <x v="6"/>
    <n v="44"/>
    <x v="7"/>
    <x v="5"/>
    <x v="6"/>
    <x v="6"/>
    <x v="8"/>
    <x v="0"/>
    <x v="0"/>
    <s v="Cartografía"/>
    <x v="0"/>
    <n v="81151600"/>
    <s v="Prestación de servicios para implementar y optimizar los procesos de aseguramiento de la calidad de productos cartográficos, de conformidad con las especificaciones técnicas y rendimientos establecidos."/>
    <x v="0"/>
    <x v="0"/>
    <n v="10"/>
    <x v="0"/>
    <x v="0"/>
    <x v="1"/>
    <n v="212052600"/>
    <n v="212052600"/>
    <x v="0"/>
    <x v="6"/>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0"/>
  </r>
  <r>
    <x v="6"/>
    <n v="55"/>
    <x v="7"/>
    <x v="5"/>
    <x v="6"/>
    <x v="1"/>
    <x v="1"/>
    <x v="0"/>
    <x v="3"/>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0"/>
    <x v="0"/>
    <n v="9"/>
    <x v="0"/>
    <x v="0"/>
    <x v="0"/>
    <n v="51409746"/>
    <n v="51409746"/>
    <x v="0"/>
    <x v="1"/>
    <x v="0"/>
    <x v="9"/>
    <s v="Subdirección de Geografía y Cartografía "/>
    <x v="5"/>
    <s v="Subdirector de Geografía y Cartografía "/>
    <x v="8"/>
    <x v="14"/>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1"/>
    <x v="0"/>
  </r>
  <r>
    <x v="6"/>
    <n v="49"/>
    <x v="7"/>
    <x v="5"/>
    <x v="6"/>
    <x v="5"/>
    <x v="6"/>
    <x v="0"/>
    <x v="0"/>
    <s v="Cartografía"/>
    <x v="0"/>
    <n v="81151600"/>
    <s v="Prestación de servicios para analizar y desarrollar el componente temático de los estudios y/o investigaciones geográficas asignadas, de conformidad con la metodología establecida."/>
    <x v="0"/>
    <x v="0"/>
    <n v="255"/>
    <x v="1"/>
    <x v="0"/>
    <x v="0"/>
    <n v="120163140"/>
    <n v="120163140"/>
    <x v="0"/>
    <x v="5"/>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6"/>
    <x v="0"/>
  </r>
  <r>
    <x v="6"/>
    <n v="11"/>
    <x v="7"/>
    <x v="5"/>
    <x v="6"/>
    <x v="3"/>
    <x v="3"/>
    <x v="0"/>
    <x v="3"/>
    <s v="Cartografía"/>
    <x v="0"/>
    <n v="81151600"/>
    <s v="Prestación de servicios para realizar la asignación , seguimiento y control de calidad de los procesos de producción cartográfica, de conformidad con las especificaciones técnicas y rendimientos establecidos."/>
    <x v="2"/>
    <x v="2"/>
    <n v="11"/>
    <x v="0"/>
    <x v="0"/>
    <x v="0"/>
    <n v="265731400"/>
    <n v="265731400"/>
    <x v="0"/>
    <x v="3"/>
    <x v="0"/>
    <x v="9"/>
    <s v="Subdirección de Geografía y Cartografía "/>
    <x v="5"/>
    <s v="Subdirector de Geografía y Cartografía "/>
    <x v="7"/>
    <x v="12"/>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3"/>
    <x v="0"/>
  </r>
  <r>
    <x v="6"/>
    <n v="50"/>
    <x v="7"/>
    <x v="5"/>
    <x v="6"/>
    <x v="2"/>
    <x v="2"/>
    <x v="0"/>
    <x v="3"/>
    <s v="Cartografía"/>
    <x v="0"/>
    <n v="81151600"/>
    <s v="Prestación de servicios para analizar, consolidar e integrar los documentos técnicos de los estudios e investigaciones geográficas, de conformidad con la metodología establecida."/>
    <x v="0"/>
    <x v="0"/>
    <n v="255"/>
    <x v="1"/>
    <x v="0"/>
    <x v="0"/>
    <n v="165464145"/>
    <n v="165464145"/>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2"/>
    <x v="0"/>
  </r>
  <r>
    <x v="6"/>
    <n v="14"/>
    <x v="7"/>
    <x v="5"/>
    <x v="6"/>
    <x v="8"/>
    <x v="10"/>
    <x v="0"/>
    <x v="3"/>
    <s v="Cartografía"/>
    <x v="0"/>
    <n v="81151600"/>
    <s v="Prestación de servicios para realizar la edición, estructuración e integración de la cartografía básica, de conformidad con las especificaciones técnicas establecidas."/>
    <x v="2"/>
    <x v="2"/>
    <n v="11"/>
    <x v="0"/>
    <x v="0"/>
    <x v="0"/>
    <n v="388763100"/>
    <n v="388763100"/>
    <x v="0"/>
    <x v="9"/>
    <x v="0"/>
    <x v="9"/>
    <s v="Subdirección de Geografía y Cartografía "/>
    <x v="5"/>
    <s v="Subdirector de Geografía y Cartografía "/>
    <x v="7"/>
    <x v="12"/>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0"/>
  </r>
  <r>
    <x v="6"/>
    <n v="62"/>
    <x v="7"/>
    <x v="5"/>
    <x v="6"/>
    <x v="2"/>
    <x v="2"/>
    <x v="0"/>
    <x v="14"/>
    <s v="Cartografía"/>
    <x v="0"/>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2"/>
    <x v="0"/>
  </r>
  <r>
    <x v="6"/>
    <n v="26"/>
    <x v="7"/>
    <x v="5"/>
    <x v="6"/>
    <x v="4"/>
    <x v="4"/>
    <x v="0"/>
    <x v="0"/>
    <s v="Cartografía"/>
    <x v="0"/>
    <n v="81151600"/>
    <s v="Prestación de servicios para elaborar ortoimágenes a diferentes escalas, de conformidad con las especificaciones técnicas y rendimientos establecidos."/>
    <x v="0"/>
    <x v="0"/>
    <n v="315"/>
    <x v="1"/>
    <x v="0"/>
    <x v="0"/>
    <n v="194381550"/>
    <n v="194381550"/>
    <x v="0"/>
    <x v="4"/>
    <x v="0"/>
    <x v="9"/>
    <s v="Subdirección de Geografía y Cartografía "/>
    <x v="5"/>
    <s v="Subdirector de Geografía y Cartografía "/>
    <x v="7"/>
    <x v="12"/>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4"/>
    <x v="0"/>
  </r>
  <r>
    <x v="6"/>
    <n v="32"/>
    <x v="7"/>
    <x v="5"/>
    <x v="6"/>
    <x v="0"/>
    <x v="0"/>
    <x v="0"/>
    <x v="0"/>
    <s v="Servicios de formación profesional en ingeniería"/>
    <x v="0"/>
    <n v="86101610"/>
    <s v="Prestación de servicios para  la preparación y trámite de información requerida para el desarrollo de los proyectos."/>
    <x v="0"/>
    <x v="0"/>
    <n v="11"/>
    <x v="0"/>
    <x v="0"/>
    <x v="1"/>
    <n v="38876310"/>
    <n v="38876310"/>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6"/>
    <n v="61"/>
    <x v="7"/>
    <x v="5"/>
    <x v="6"/>
    <x v="0"/>
    <x v="0"/>
    <x v="0"/>
    <x v="10"/>
    <s v="Cartografía"/>
    <x v="0"/>
    <n v="81151600"/>
    <s v="Prestación de servicios para la gestión, inventario y verificación de los equipos de medición de la subdirección de geografía y cartografía"/>
    <x v="1"/>
    <x v="1"/>
    <n v="315"/>
    <x v="1"/>
    <x v="0"/>
    <x v="0"/>
    <n v="28050571.5"/>
    <n v="28050571.5"/>
    <x v="0"/>
    <x v="0"/>
    <x v="0"/>
    <x v="9"/>
    <s v="Subdirección de Geografía y Cartografía "/>
    <x v="5"/>
    <s v="Subdirector de Geografía y Cartografía "/>
    <x v="7"/>
    <x v="16"/>
    <s v="Densificar el marco de referencia terrestre"/>
    <s v="Puntos Geodésicos Materializados"/>
    <n v="430"/>
    <d v="2021-03-08T00:00:00"/>
    <n v="2671483"/>
    <n v="26714830"/>
    <n v="26714830"/>
    <x v="0"/>
    <s v="GABRIEL ENRIQUE MEJIA ZAMORA"/>
    <n v="1335741.5"/>
    <x v="0"/>
    <n v="24560"/>
    <x v="0"/>
    <x v="0"/>
  </r>
  <r>
    <x v="6"/>
    <n v="29"/>
    <x v="7"/>
    <x v="5"/>
    <x v="6"/>
    <x v="0"/>
    <x v="0"/>
    <x v="0"/>
    <x v="0"/>
    <s v="Cartografía"/>
    <x v="0"/>
    <n v="81151600"/>
    <s v="Prestación de servicios para gestionar los requerimientos y procesos jurídicos que lidere la subdirección de geografía y cartografía"/>
    <x v="0"/>
    <x v="0"/>
    <n v="11"/>
    <x v="0"/>
    <x v="0"/>
    <x v="1"/>
    <n v="80634026"/>
    <n v="80634026"/>
    <x v="0"/>
    <x v="0"/>
    <x v="0"/>
    <x v="9"/>
    <s v="Subdirección de Geografía y Cartografía "/>
    <x v="5"/>
    <s v="Subdirector de Geografía y Cartografía "/>
    <x v="7"/>
    <x v="12"/>
    <s v="Generar insumos y/o productos cartográficos"/>
    <s v="Cartografía escalas Medianas generada (1:10,000, 1:25,000)"/>
    <n v="218"/>
    <d v="2021-02-09T00:00:00"/>
    <n v="7550277"/>
    <n v="79277909"/>
    <n v="79277909"/>
    <x v="0"/>
    <s v="EDGAR CAMILO GUTIÉRREZ RODRÍGUEZ"/>
    <n v="1356117"/>
    <x v="0"/>
    <n v="24408"/>
    <x v="0"/>
    <x v="0"/>
  </r>
  <r>
    <x v="6"/>
    <n v="65"/>
    <x v="7"/>
    <x v="5"/>
    <x v="6"/>
    <x v="0"/>
    <x v="0"/>
    <x v="0"/>
    <x v="10"/>
    <s v="Cartografía"/>
    <x v="0"/>
    <n v="81151600"/>
    <s v="Prestación de servicios para realizar estudios y análisis de información geológica como apoyo a los procesos de la Subdirección."/>
    <x v="1"/>
    <x v="1"/>
    <n v="10"/>
    <x v="0"/>
    <x v="0"/>
    <x v="0"/>
    <n v="30337200"/>
    <n v="303372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6"/>
    <n v="40"/>
    <x v="7"/>
    <x v="5"/>
    <x v="6"/>
    <x v="0"/>
    <x v="0"/>
    <x v="0"/>
    <x v="0"/>
    <s v="Cartografía"/>
    <x v="0"/>
    <n v="81151600"/>
    <s v="Prestación de servicios para realizar el seguimiento y control de calidad de los proyectos de producción cartográfica, de acuerdo con las priorizaciones"/>
    <x v="0"/>
    <x v="0"/>
    <n v="11"/>
    <x v="0"/>
    <x v="0"/>
    <x v="1"/>
    <n v="53146280"/>
    <n v="53146280"/>
    <x v="0"/>
    <x v="0"/>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6"/>
    <n v="45"/>
    <x v="7"/>
    <x v="5"/>
    <x v="6"/>
    <x v="0"/>
    <x v="0"/>
    <x v="0"/>
    <x v="0"/>
    <s v="Cartografía"/>
    <x v="0"/>
    <n v="81151600"/>
    <s v="Prestación de servicios profesionales para el apoyo en la gestión de procesamiento de estaciones y control de calidad en la obtención de coordenadas, de acuerdo con las especificaciones y prioridades establecidas"/>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361"/>
    <d v="2021-02-19T00:00:00"/>
    <n v="2941780"/>
    <n v="29417800"/>
    <n v="29417800"/>
    <x v="0"/>
    <s v="MARIA CAMILA BAUTISTA"/>
    <n v="1999267"/>
    <x v="0"/>
    <n v="24517"/>
    <x v="0"/>
    <x v="0"/>
  </r>
  <r>
    <x v="6"/>
    <n v="66"/>
    <x v="7"/>
    <x v="5"/>
    <x v="6"/>
    <x v="0"/>
    <x v="0"/>
    <x v="0"/>
    <x v="10"/>
    <s v="Cartografía"/>
    <x v="0"/>
    <n v="81151600"/>
    <s v="Prestación de servicios para gestionar desde el componente administrativo, procesos y proyectos misionales de la Subdirección de Geografía y Cartografía."/>
    <x v="1"/>
    <x v="1"/>
    <n v="10"/>
    <x v="0"/>
    <x v="0"/>
    <x v="1"/>
    <n v="31247320"/>
    <n v="31247320"/>
    <x v="0"/>
    <x v="0"/>
    <x v="0"/>
    <x v="9"/>
    <s v="Subdirección de Geografía y Cartografía "/>
    <x v="5"/>
    <s v="Subdirector de Geografía y Cartografía "/>
    <x v="7"/>
    <x v="12"/>
    <s v="Generar insumos y/o productos cartográficos"/>
    <s v="Cartografía escalas Medianas generada (1:10,000, 1:25,000)"/>
    <n v="456"/>
    <d v="2021-03-15T00:00:00"/>
    <n v="3124732"/>
    <n v="29164165"/>
    <n v="29164165"/>
    <x v="0"/>
    <s v="CINDY JINETH FLOREZ MOLINA"/>
    <n v="2083155"/>
    <x v="0"/>
    <n v="24596"/>
    <x v="0"/>
    <x v="0"/>
  </r>
  <r>
    <x v="6"/>
    <n v="42"/>
    <x v="7"/>
    <x v="5"/>
    <x v="6"/>
    <x v="0"/>
    <x v="0"/>
    <x v="0"/>
    <x v="0"/>
    <s v="Cartografía"/>
    <x v="0"/>
    <n v="81151600"/>
    <s v="Prestación de servicios para realizar la gestión, control y seguimiento del sistema y marco de referencia geodésico nacional con GNSS"/>
    <x v="0"/>
    <x v="0"/>
    <n v="11"/>
    <x v="0"/>
    <x v="0"/>
    <x v="0"/>
    <n v="53146280"/>
    <n v="53146280"/>
    <x v="0"/>
    <x v="0"/>
    <x v="0"/>
    <x v="9"/>
    <s v="Subdirección de Geografía y Cartografía "/>
    <x v="5"/>
    <s v="Subdirector de Geografía y Cartografía "/>
    <x v="7"/>
    <x v="16"/>
    <s v="Densificar el marco de referencia terrestre"/>
    <s v="Puntos Geodésicos Materializados"/>
    <n v="326"/>
    <d v="2021-02-18T00:00:00"/>
    <n v="4976424"/>
    <n v="50925406"/>
    <n v="50925406"/>
    <x v="0"/>
    <s v="ANDRÉS FELIPE BELTRÁN ZAMUDIO"/>
    <n v="2220874"/>
    <x v="0"/>
    <n v="24487"/>
    <x v="0"/>
    <x v="0"/>
  </r>
  <r>
    <x v="6"/>
    <n v="41"/>
    <x v="7"/>
    <x v="5"/>
    <x v="6"/>
    <x v="1"/>
    <x v="1"/>
    <x v="0"/>
    <x v="0"/>
    <s v="Cartografía"/>
    <x v="0"/>
    <n v="81151600"/>
    <s v="Prestación de servicios para la toma de datos en campo de gravimetría y geomagnetismo."/>
    <x v="0"/>
    <x v="0"/>
    <n v="11"/>
    <x v="0"/>
    <x v="0"/>
    <x v="0"/>
    <n v="57060806"/>
    <n v="57060806"/>
    <x v="0"/>
    <x v="1"/>
    <x v="0"/>
    <x v="9"/>
    <s v="Subdirección de Geografía y Cartografía "/>
    <x v="5"/>
    <s v="Subdirector de Geografía y Cartografía "/>
    <x v="7"/>
    <x v="16"/>
    <s v="Densificar el marco de referencia geomagnéticos"/>
    <s v="Valores geomagnéticos generados"/>
    <n v="324"/>
    <d v="2021-02-17T00:00:00"/>
    <n v="2671483"/>
    <n v="27338176"/>
    <n v="54676352"/>
    <x v="0"/>
    <s v="KAREN MILENA SIERRA GONZÁLEZ _x000a_DEIBID STIVEEN RINCÓN VEGA"/>
    <n v="2384454"/>
    <x v="0"/>
    <s v="24485_x000a_24487"/>
    <x v="1"/>
    <x v="0"/>
  </r>
  <r>
    <x v="6"/>
    <n v="33"/>
    <x v="7"/>
    <x v="5"/>
    <x v="6"/>
    <x v="0"/>
    <x v="0"/>
    <x v="0"/>
    <x v="13"/>
    <s v="Fotogrametría"/>
    <x v="0"/>
    <n v="81151603"/>
    <s v="Prestación de servicios para el copiado, control  y organización de información resultante de los procesos de la subdirección"/>
    <x v="0"/>
    <x v="0"/>
    <n v="11"/>
    <x v="0"/>
    <x v="0"/>
    <x v="1"/>
    <n v="31417067"/>
    <n v="31417067"/>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6"/>
    <n v="70"/>
    <x v="7"/>
    <x v="5"/>
    <x v="6"/>
    <x v="0"/>
    <x v="0"/>
    <x v="0"/>
    <x v="10"/>
    <s v="Cartografía"/>
    <x v="0"/>
    <n v="81151600"/>
    <s v="Prestación de servicios para apoyar la gestión logística de la Subdirección de Geografía y Cartografía"/>
    <x v="1"/>
    <x v="1"/>
    <n v="10"/>
    <x v="0"/>
    <x v="0"/>
    <x v="1"/>
    <n v="26714830"/>
    <n v="26714830"/>
    <x v="0"/>
    <x v="0"/>
    <x v="0"/>
    <x v="9"/>
    <s v="Subdirección de Geografía y Cartografía "/>
    <x v="5"/>
    <s v="Subdirector de Geografía y Cartografía "/>
    <x v="7"/>
    <x v="12"/>
    <s v="Generar insumos y/o productos cartográficos"/>
    <s v="Cartografía escalas Medianas generada (1:10,000, 1:25,000)"/>
    <n v="506"/>
    <d v="2021-03-24T00:00:00"/>
    <n v="2671483"/>
    <n v="24132396"/>
    <n v="24132396"/>
    <x v="0"/>
    <s v="JULIE ALEXANDRA PARRA SANTA"/>
    <n v="2582434"/>
    <x v="0"/>
    <n v="24639"/>
    <x v="0"/>
    <x v="0"/>
  </r>
  <r>
    <x v="6"/>
    <n v="64"/>
    <x v="7"/>
    <x v="5"/>
    <x v="6"/>
    <x v="1"/>
    <x v="1"/>
    <x v="0"/>
    <x v="10"/>
    <s v="Cartografía"/>
    <x v="0"/>
    <n v="81151600"/>
    <s v="Prestación de servicios para la captura de coordenadas, compilación toponímica y demás procesos en campo, de acuerdo con las especificaciones de conformidad con los lineamientos establecidos."/>
    <x v="1"/>
    <x v="1"/>
    <n v="10"/>
    <x v="0"/>
    <x v="0"/>
    <x v="1"/>
    <n v="53429660"/>
    <n v="53429660"/>
    <x v="0"/>
    <x v="1"/>
    <x v="0"/>
    <x v="9"/>
    <s v="Subdirección de Geografía y Cartografía "/>
    <x v="5"/>
    <s v="Subdirector de Geografía y Cartografía "/>
    <x v="7"/>
    <x v="16"/>
    <s v="Densificar el marco de referencia terrestre"/>
    <s v="Puntos Geodésicos Materializados"/>
    <n v="454"/>
    <d v="2021-03-10T00:00:00"/>
    <n v="2671483"/>
    <n v="25379089"/>
    <n v="50758178"/>
    <x v="0"/>
    <s v="DUVÁN DARIO TAVERA BERMÚDEZ  _x000a_ARELIS MONTENEGRO MENDIETA "/>
    <n v="2671482"/>
    <x v="0"/>
    <s v="24591_x000a_24592"/>
    <x v="1"/>
    <x v="0"/>
  </r>
  <r>
    <x v="6"/>
    <n v="68"/>
    <x v="7"/>
    <x v="5"/>
    <x v="6"/>
    <x v="0"/>
    <x v="0"/>
    <x v="0"/>
    <x v="3"/>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6"/>
    <n v="37"/>
    <x v="7"/>
    <x v="5"/>
    <x v="6"/>
    <x v="1"/>
    <x v="1"/>
    <x v="0"/>
    <x v="0"/>
    <s v="Cartografía"/>
    <x v="0"/>
    <n v="81151600"/>
    <s v="Prestación de servicios para  realizar la evaluación y procesamiento de las  imágenes adquiridas o gestionadas por el IGAC."/>
    <x v="0"/>
    <x v="0"/>
    <n v="11"/>
    <x v="0"/>
    <x v="0"/>
    <x v="0"/>
    <n v="57060806"/>
    <n v="57060806"/>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1"/>
    <x v="0"/>
  </r>
  <r>
    <x v="6"/>
    <n v="23"/>
    <x v="7"/>
    <x v="5"/>
    <x v="6"/>
    <x v="0"/>
    <x v="0"/>
    <x v="0"/>
    <x v="0"/>
    <s v="Cartografía"/>
    <x v="0"/>
    <n v="81151600"/>
    <s v="Prestación de servicio para realizar la revisión y reparación de los componentes eléctricos y electrónicos de las estaciones magna-eco para su instalación en campo"/>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184"/>
    <d v="2021-02-04T00:00:00"/>
    <n v="2671483"/>
    <n v="28495819"/>
    <n v="28495819"/>
    <x v="0"/>
    <s v="YIMMY FERNEY LONDOÑO HERNANDEZ"/>
    <n v="2921248"/>
    <x v="0"/>
    <n v="24369"/>
    <x v="0"/>
    <x v="0"/>
  </r>
  <r>
    <x v="6"/>
    <n v="43"/>
    <x v="7"/>
    <x v="5"/>
    <x v="6"/>
    <x v="0"/>
    <x v="0"/>
    <x v="0"/>
    <x v="13"/>
    <s v="Cartografía"/>
    <x v="0"/>
    <n v="81151600"/>
    <s v="Prestación de servicios profesionales para la evaluación del control y seguimiento al funcionamiento y modernización efectiva de la red geodésica nacional."/>
    <x v="0"/>
    <x v="0"/>
    <n v="11"/>
    <x v="0"/>
    <x v="0"/>
    <x v="0"/>
    <n v="45532762"/>
    <n v="45532762"/>
    <x v="0"/>
    <x v="0"/>
    <x v="0"/>
    <x v="9"/>
    <s v="Subdirección de Geografía y Cartografía "/>
    <x v="5"/>
    <s v="Subdirector de Geografía y Cartografía "/>
    <x v="7"/>
    <x v="16"/>
    <s v="Densificar el marco de referencia terrestre"/>
    <s v="Datos Rinex de las estaciones permanentes generados"/>
    <n v="320"/>
    <d v="2021-03-10T00:00:00"/>
    <n v="4263522"/>
    <n v="40503459"/>
    <n v="40503459"/>
    <x v="0"/>
    <s v="JUAN PABLO NARVAEZ SALAMANCA"/>
    <n v="5029303"/>
    <x v="0"/>
    <n v="24576"/>
    <x v="0"/>
    <x v="0"/>
  </r>
  <r>
    <x v="6"/>
    <n v="74"/>
    <x v="7"/>
    <x v="5"/>
    <x v="6"/>
    <x v="0"/>
    <x v="0"/>
    <x v="0"/>
    <x v="8"/>
    <s v="Cartografía"/>
    <x v="0"/>
    <n v="81151600"/>
    <s v="Contratar el servicio anual de rastreo y seguimiento satelital para los equipos de localización satelital SPOT GEN3"/>
    <x v="7"/>
    <x v="7"/>
    <n v="45"/>
    <x v="1"/>
    <x v="1"/>
    <x v="1"/>
    <n v="18000000"/>
    <n v="18000000"/>
    <x v="0"/>
    <x v="0"/>
    <x v="0"/>
    <x v="10"/>
    <s v="Subdirección de Geografia y Cartografia "/>
    <x v="0"/>
    <s v="Subdirector de Geografia y Cartografia "/>
    <x v="7"/>
    <x v="12"/>
    <s v="Generar insumos y/o productos cartográficos"/>
    <s v="Cartografía escalas Medianas generada (1:10,000, 1:25,000)"/>
    <n v="559"/>
    <d v="2021-04-22T00:00:00"/>
    <n v="11774115"/>
    <n v="11774115"/>
    <n v="11774115"/>
    <x v="0"/>
    <s v="GLOBALSAT COLOMBIA TELECOMUNICACIONES LTDA"/>
    <n v="6225885"/>
    <x v="0"/>
    <n v="24730"/>
    <x v="0"/>
    <x v="0"/>
  </r>
  <r>
    <x v="7"/>
    <n v="1"/>
    <x v="7"/>
    <x v="5"/>
    <x v="6"/>
    <x v="0"/>
    <x v="0"/>
    <x v="0"/>
    <x v="0"/>
    <s v="Placa de acero inoxidable"/>
    <x v="0"/>
    <n v="30102205"/>
    <s v="Adquisición de placas metálicas para materialización de puntos geodésicos."/>
    <x v="7"/>
    <x v="7"/>
    <n v="3"/>
    <x v="0"/>
    <x v="1"/>
    <x v="1"/>
    <n v="10000000"/>
    <n v="10000000"/>
    <x v="0"/>
    <x v="0"/>
    <x v="0"/>
    <x v="9"/>
    <s v="Subdirección de Geografía y Cartografía "/>
    <x v="5"/>
    <s v="Subdirector de Geografía y Cartografía "/>
    <x v="7"/>
    <x v="16"/>
    <s v="Densificar el marco de referencia terrestre"/>
    <s v="Puntos Geodésicos Materializados"/>
    <n v="544"/>
    <d v="2021-04-21T00:00:00"/>
    <n v="3659250"/>
    <n v="3659250"/>
    <n v="3659250"/>
    <x v="0"/>
    <s v="PROCESO DECLARADO DESIERTO"/>
    <n v="6340750"/>
    <x v="0"/>
    <m/>
    <x v="0"/>
    <x v="0"/>
  </r>
  <r>
    <x v="7"/>
    <n v="2"/>
    <x v="7"/>
    <x v="5"/>
    <x v="6"/>
    <x v="0"/>
    <x v="0"/>
    <x v="0"/>
    <x v="6"/>
    <s v="Placa de acero inoxidable"/>
    <x v="0"/>
    <n v="30102205"/>
    <s v="Adquisición de placas metálicas para materialización de puntos geodésicos."/>
    <x v="8"/>
    <x v="8"/>
    <n v="3"/>
    <x v="0"/>
    <x v="1"/>
    <x v="1"/>
    <n v="10000000"/>
    <n v="10000000"/>
    <x v="0"/>
    <x v="0"/>
    <x v="0"/>
    <x v="9"/>
    <s v="Subdirección de Geografía y Cartografía "/>
    <x v="5"/>
    <s v="Subdirector de Geografía y Cartografía "/>
    <x v="7"/>
    <x v="16"/>
    <s v="Densificar el marco de referencia terrestre"/>
    <s v="Puntos Geodésicos Materializados"/>
    <m/>
    <d v="2021-05-19T00:00:00"/>
    <n v="3659250"/>
    <n v="3659250"/>
    <n v="3659250"/>
    <x v="0"/>
    <s v="PROCESO DECLARADO DESIERTO"/>
    <n v="6340750"/>
    <x v="0"/>
    <m/>
    <x v="0"/>
    <x v="0"/>
  </r>
  <r>
    <x v="6"/>
    <n v="59"/>
    <x v="7"/>
    <x v="5"/>
    <x v="6"/>
    <x v="0"/>
    <x v="0"/>
    <x v="0"/>
    <x v="10"/>
    <s v="Cartografía"/>
    <x v="0"/>
    <n v="81151600"/>
    <s v="Prestación de servicios para la preparación de insumos, validación, y digitación de la información levantada en campo"/>
    <x v="1"/>
    <x v="1"/>
    <n v="315"/>
    <x v="1"/>
    <x v="0"/>
    <x v="0"/>
    <n v="57060806"/>
    <n v="57060806"/>
    <x v="0"/>
    <x v="0"/>
    <x v="0"/>
    <x v="9"/>
    <s v="Subdirección de Geografía y Cartografía "/>
    <x v="5"/>
    <s v="Subdirector de Geografía y Cartografía "/>
    <x v="7"/>
    <x v="16"/>
    <s v="Densificar el marco de referencia terrestre"/>
    <s v="Puntos Geodésicos Materializados"/>
    <n v="425"/>
    <d v="2021-03-08T00:00:00"/>
    <n v="2671483"/>
    <n v="26714830"/>
    <n v="26714830"/>
    <x v="0"/>
    <s v="JEISSON FERNANDO HERRERA GÓMEZ"/>
    <n v="30345976"/>
    <x v="0"/>
    <n v="24558"/>
    <x v="0"/>
    <x v="0"/>
  </r>
  <r>
    <x v="7"/>
    <n v="2"/>
    <x v="7"/>
    <x v="5"/>
    <x v="6"/>
    <x v="0"/>
    <x v="0"/>
    <x v="0"/>
    <x v="6"/>
    <s v="Cartografía"/>
    <x v="0"/>
    <n v="81151600"/>
    <s v="Adquisición de estaciones de funcionamiento continua, con sus respectivos accesorios, sistemas de comunicación y de alimentación, para el fortalecimiento de la Red Geodésica Nacional. "/>
    <x v="8"/>
    <x v="8"/>
    <n v="60"/>
    <x v="1"/>
    <x v="2"/>
    <x v="1"/>
    <n v="400000000"/>
    <n v="400000000"/>
    <x v="0"/>
    <x v="0"/>
    <x v="0"/>
    <x v="9"/>
    <s v="Subdirección de Geografía y Cartografía "/>
    <x v="0"/>
    <s v="Subdirector de Geografía y Cartografía "/>
    <x v="7"/>
    <x v="16"/>
    <s v="Densificar el marco de referencia terrestre"/>
    <s v="Datos Rinex de las estaciones permanentes generados"/>
    <m/>
    <d v="2021-05-21T00:00:00"/>
    <n v="366698967"/>
    <n v="366698967"/>
    <n v="366698967"/>
    <x v="0"/>
    <s v="INICIO PROCESO"/>
    <n v="33301033"/>
    <x v="0"/>
    <m/>
    <x v="0"/>
    <x v="0"/>
  </r>
  <r>
    <x v="6"/>
    <n v="69"/>
    <x v="7"/>
    <x v="5"/>
    <x v="6"/>
    <x v="0"/>
    <x v="0"/>
    <x v="0"/>
    <x v="0"/>
    <s v="Sistemas y equipo de apoyo para transporte aéreo"/>
    <x v="0"/>
    <n v="25191500"/>
    <s v="Servicio de mantenimiento preventivo y correctivo, incluidos los repuestos del dron ebee plus Rta/ppk"/>
    <x v="1"/>
    <x v="1"/>
    <n v="10"/>
    <x v="0"/>
    <x v="0"/>
    <x v="0"/>
    <n v="45000000"/>
    <n v="4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1"/>
    <x v="7"/>
    <x v="5"/>
    <x v="6"/>
    <x v="0"/>
    <x v="0"/>
    <x v="0"/>
    <x v="2"/>
    <s v="Cartografía"/>
    <x v="0"/>
    <n v="81151600"/>
    <s v="Capturar y/o adquirir imágenes para la producción cartográfica de proyectos específicos del IGAC"/>
    <x v="7"/>
    <x v="7"/>
    <n v="8"/>
    <x v="0"/>
    <x v="0"/>
    <x v="1"/>
    <n v="536446618"/>
    <n v="536446618"/>
    <x v="0"/>
    <x v="0"/>
    <x v="0"/>
    <x v="9"/>
    <s v="Subdirección de Geografía y Cartografía "/>
    <x v="0"/>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6"/>
    <n v="38"/>
    <x v="7"/>
    <x v="5"/>
    <x v="6"/>
    <x v="5"/>
    <x v="6"/>
    <x v="0"/>
    <x v="0"/>
    <s v="Cartografía"/>
    <x v="0"/>
    <n v="81151600"/>
    <s v="Prestación de servicios para la generación e integración de modelos digitales de elevación, de conformidad con las especificaciones técnicas y rendimientos establecidos."/>
    <x v="0"/>
    <x v="0"/>
    <n v="11"/>
    <x v="0"/>
    <x v="0"/>
    <x v="1"/>
    <n v="194381550"/>
    <n v="194381550"/>
    <x v="0"/>
    <x v="5"/>
    <x v="0"/>
    <x v="9"/>
    <s v="Subdirección de Geografía y Cartografía "/>
    <x v="5"/>
    <s v="Subdirector de Geografía y Cartografía "/>
    <x v="7"/>
    <x v="12"/>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6"/>
    <x v="0"/>
  </r>
  <r>
    <x v="6"/>
    <n v="27"/>
    <x v="7"/>
    <x v="5"/>
    <x v="6"/>
    <x v="0"/>
    <x v="0"/>
    <x v="0"/>
    <x v="0"/>
    <s v="Cartografía"/>
    <x v="0"/>
    <n v="81151600"/>
    <s v="Prestación de servicios para realizar la preparación, revisión y consolidación de datos de campo para el cálculo y ajuste de la línea de nivelación"/>
    <x v="0"/>
    <x v="0"/>
    <n v="315"/>
    <x v="1"/>
    <x v="0"/>
    <x v="1"/>
    <n v="106292560"/>
    <n v="106292560"/>
    <x v="0"/>
    <x v="0"/>
    <x v="0"/>
    <x v="9"/>
    <s v="Subdirección de Geografía y Cartografía "/>
    <x v="5"/>
    <s v="Subdirector de Geografía y Cartografía "/>
    <x v="7"/>
    <x v="16"/>
    <s v="Densificar el marco de referencia gravimétricos"/>
    <s v="Valores gravimétricos generados"/>
    <n v="252"/>
    <d v="2021-02-08T00:00:00"/>
    <n v="4976424"/>
    <n v="52252452"/>
    <n v="52252452"/>
    <x v="0"/>
    <s v="LEYDI JOHANNA MOISÉS SEPÚLVEDA"/>
    <n v="54040108"/>
    <x v="0"/>
    <n v="24428"/>
    <x v="0"/>
    <x v="0"/>
  </r>
  <r>
    <x v="6"/>
    <n v="2"/>
    <x v="7"/>
    <x v="5"/>
    <x v="6"/>
    <x v="0"/>
    <x v="0"/>
    <x v="0"/>
    <x v="3"/>
    <s v="Cartografía"/>
    <x v="0"/>
    <n v="81151600"/>
    <s v="Prestación de servicios para la  gestión e integración de productos y aplicaciones de la subdirección de geografía y cartografía "/>
    <x v="2"/>
    <x v="2"/>
    <n v="10"/>
    <x v="0"/>
    <x v="0"/>
    <x v="1"/>
    <n v="169086920"/>
    <n v="169086920"/>
    <x v="0"/>
    <x v="0"/>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6"/>
    <n v="67"/>
    <x v="7"/>
    <x v="5"/>
    <x v="6"/>
    <x v="1"/>
    <x v="1"/>
    <x v="0"/>
    <x v="0"/>
    <s v="Fotogrametría"/>
    <x v="0"/>
    <n v="81151603"/>
    <s v="Prestación de servicios para apoyar el proceso de escaneo fotogramétrico  de rollos de aerofotografías análogas y compresión de imágenes."/>
    <x v="1"/>
    <x v="1"/>
    <n v="10"/>
    <x v="0"/>
    <x v="0"/>
    <x v="1"/>
    <n v="57060806"/>
    <n v="57060806"/>
    <x v="0"/>
    <x v="1"/>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8014449"/>
    <x v="0"/>
    <s v="24614_x000a_24733"/>
    <x v="0"/>
    <x v="1"/>
  </r>
  <r>
    <x v="6"/>
    <n v="72"/>
    <x v="7"/>
    <x v="5"/>
    <x v="6"/>
    <x v="3"/>
    <x v="6"/>
    <x v="1"/>
    <x v="2"/>
    <s v="Cartografía"/>
    <x v="0"/>
    <n v="81151600"/>
    <s v="Prestación de servicios profesionales para la toma de datos en campo de exploración, materialización , gnss, nivelación geodésica y gravimetría"/>
    <x v="7"/>
    <x v="7"/>
    <n v="260"/>
    <x v="1"/>
    <x v="0"/>
    <x v="0"/>
    <n v="156236600"/>
    <n v="156236600"/>
    <x v="0"/>
    <x v="3"/>
    <x v="0"/>
    <x v="9"/>
    <s v="Subdirección de Geografía y Cartografía "/>
    <x v="5"/>
    <s v="Subdirector de Geografía y Cartografía "/>
    <x v="7"/>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6249464"/>
    <x v="0"/>
    <s v="24684_x000a_24727_x000a_24732_x000a_24747"/>
    <x v="6"/>
    <x v="1"/>
  </r>
  <r>
    <x v="6"/>
    <n v="58"/>
    <x v="7"/>
    <x v="5"/>
    <x v="6"/>
    <x v="8"/>
    <x v="10"/>
    <x v="0"/>
    <x v="0"/>
    <s v="Cartografía"/>
    <x v="0"/>
    <n v="81151600"/>
    <s v="Prestación de servicios para elaborar mapas y demás insumos a diferentes escalas, de conformidad con las especificaciones técnicas y rendimientos establecidos"/>
    <x v="1"/>
    <x v="1"/>
    <n v="10"/>
    <x v="0"/>
    <x v="0"/>
    <x v="1"/>
    <n v="388763100"/>
    <n v="388763100"/>
    <x v="0"/>
    <x v="9"/>
    <x v="0"/>
    <x v="9"/>
    <s v="Subdirección de Geografía y Cartografía "/>
    <x v="5"/>
    <s v="Subdirector de Geografía y Cartografía "/>
    <x v="7"/>
    <x v="12"/>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10920708"/>
    <x v="0"/>
    <s v="24572_x000a_24573_x000a_24574_x000a_24575_x000a_24669_x000a__x000a_24671_x000a_24672_x000a_24754"/>
    <x v="11"/>
    <x v="1"/>
  </r>
  <r>
    <x v="6"/>
    <m/>
    <x v="7"/>
    <x v="5"/>
    <x v="6"/>
    <x v="0"/>
    <x v="5"/>
    <x v="1"/>
    <x v="7"/>
    <s v="Cartografía"/>
    <x v="0"/>
    <n v="81151600"/>
    <s v="Prestación de servicios profesionales para orientar técnicamente la ejecución de los  proyectos  y procesos de la Subdirección de Geografía y Cartografía."/>
    <x v="5"/>
    <x v="5"/>
    <n v="7"/>
    <x v="0"/>
    <x v="0"/>
    <x v="0"/>
    <n v="52851939"/>
    <n v="52851939"/>
    <x v="0"/>
    <x v="0"/>
    <x v="0"/>
    <x v="9"/>
    <s v="Subdirección de Geografía y Cartografía "/>
    <x v="0"/>
    <s v="Subdirector de Geografía y Cartografía "/>
    <x v="7"/>
    <x v="19"/>
    <s v="Generar insumos y/o productos cartográficos "/>
    <s v="Cartografía escalas Medianas generada (1:10,000, 1:25,000)"/>
    <m/>
    <m/>
    <e v="#N/A"/>
    <e v="#N/A"/>
    <e v="#N/A"/>
    <x v="1"/>
    <m/>
    <n v="0"/>
    <x v="0"/>
    <m/>
    <x v="5"/>
    <x v="1"/>
  </r>
  <r>
    <x v="6"/>
    <m/>
    <x v="7"/>
    <x v="5"/>
    <x v="6"/>
    <x v="0"/>
    <x v="5"/>
    <x v="1"/>
    <x v="7"/>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2"/>
    <n v="355564593"/>
    <n v="355564593"/>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7"/>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1"/>
    <n v="550000000"/>
    <n v="550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4"/>
    <x v="9"/>
    <s v="Placa de acero inoxidable"/>
    <x v="1"/>
    <n v="30102205"/>
    <s v="Adquisición de placas metálicas para materialización de puntos geodésicos."/>
    <x v="4"/>
    <x v="4"/>
    <n v="3"/>
    <x v="0"/>
    <x v="1"/>
    <x v="1"/>
    <n v="10000000"/>
    <n v="1000000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2"/>
    <s v="Cartografía"/>
    <x v="0"/>
    <n v="81151600"/>
    <s v="Realizar el  mantenimiento, patronamiento y verificación de equipos geodésicos para el fortalecimiento de la red activa, red magna eco y red de nivelación nacional."/>
    <x v="3"/>
    <x v="3"/>
    <n v="5"/>
    <x v="0"/>
    <x v="3"/>
    <x v="1"/>
    <n v="57121940"/>
    <n v="5712194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7"/>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3"/>
    <x v="1"/>
    <n v="76844250"/>
    <n v="76844250"/>
    <x v="0"/>
    <x v="0"/>
    <x v="0"/>
    <x v="9"/>
    <s v="Subdirección de Geografía y Cartografía "/>
    <x v="5"/>
    <s v="Subdirector de Geografía y Cartografía "/>
    <x v="7"/>
    <x v="16"/>
    <s v="Densificar el marco de referencia terrestre"/>
    <s v="Puntos Geodésicos Materializados"/>
    <m/>
    <m/>
    <e v="#N/A"/>
    <e v="#N/A"/>
    <e v="#N/A"/>
    <x v="1"/>
    <m/>
    <n v="0"/>
    <x v="0"/>
    <m/>
    <x v="5"/>
    <x v="1"/>
  </r>
  <r>
    <x v="6"/>
    <n v="57"/>
    <x v="7"/>
    <x v="5"/>
    <x v="6"/>
    <x v="0"/>
    <x v="0"/>
    <x v="0"/>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15"/>
    <x v="1"/>
    <x v="0"/>
    <x v="2"/>
    <n v="103585482"/>
    <n v="103585482"/>
    <x v="0"/>
    <x v="0"/>
    <x v="0"/>
    <x v="9"/>
    <s v="Subdirección de Geografía y Cartografía "/>
    <x v="0"/>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n v="3"/>
    <x v="7"/>
    <x v="5"/>
    <x v="6"/>
    <x v="0"/>
    <x v="0"/>
    <x v="0"/>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8"/>
    <x v="8"/>
    <n v="3"/>
    <x v="0"/>
    <x v="4"/>
    <x v="2"/>
    <n v="9485236200"/>
    <n v="9485236200"/>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x v="0"/>
    <s v="DATUM INGENIERIA S.A.S"/>
    <n v="7735936200"/>
    <x v="0"/>
    <n v="24752"/>
    <x v="0"/>
    <x v="0"/>
  </r>
  <r>
    <x v="6"/>
    <n v="76"/>
    <x v="7"/>
    <x v="5"/>
    <x v="6"/>
    <x v="0"/>
    <x v="0"/>
    <x v="0"/>
    <x v="3"/>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2"/>
    <x v="0"/>
    <n v="12"/>
    <x v="0"/>
    <x v="4"/>
    <x v="2"/>
    <n v="9767257014"/>
    <n v="9767257014"/>
    <x v="2"/>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1"/>
    <n v="49200000"/>
    <n v="492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1"/>
    <n v="78000000"/>
    <n v="78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5"/>
    <x v="5"/>
    <n v="6"/>
    <x v="0"/>
    <x v="0"/>
    <x v="2"/>
    <n v="59191704"/>
    <n v="5919170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4"/>
    <x v="2"/>
    <n v="13671130281"/>
    <n v="13671130281"/>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2"/>
    <n v="2"/>
    <x v="2"/>
    <x v="2"/>
    <x v="2"/>
    <x v="1"/>
    <x v="1"/>
    <x v="0"/>
    <x v="3"/>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2"/>
    <x v="2"/>
    <n v="11"/>
    <x v="0"/>
    <x v="0"/>
    <x v="1"/>
    <n v="161268052"/>
    <n v="161268052"/>
    <x v="0"/>
    <x v="1"/>
    <x v="1"/>
    <x v="11"/>
    <s v="Secretaría General - GIT Gestión Contractual"/>
    <x v="0"/>
    <s v="Coordinador GIT Gestión Contractual"/>
    <x v="4"/>
    <x v="7"/>
    <s v="N/A"/>
    <s v="N/A"/>
    <n v="4"/>
    <d v="2021-01-07T00:00:00"/>
    <n v="7330366"/>
    <n v="80634026"/>
    <n v="161268052"/>
    <x v="0"/>
    <s v="ADRIANA PAOLA ALVAREZ MORENO_x000a_ORLANDO  RAMIREZ OLAYA"/>
    <n v="0"/>
    <x v="0"/>
    <s v="24163_x000a_24170"/>
    <x v="1"/>
    <x v="0"/>
  </r>
  <r>
    <x v="2"/>
    <n v="10"/>
    <x v="2"/>
    <x v="2"/>
    <x v="2"/>
    <x v="0"/>
    <x v="0"/>
    <x v="0"/>
    <x v="3"/>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2"/>
    <x v="2"/>
    <n v="11"/>
    <x v="0"/>
    <x v="0"/>
    <x v="1"/>
    <n v="41110377"/>
    <n v="41110377"/>
    <x v="0"/>
    <x v="0"/>
    <x v="1"/>
    <x v="11"/>
    <s v="Secretaría General - GIT Gestión Contractual"/>
    <x v="0"/>
    <s v="Coordinador GIT Gestión Contractual"/>
    <x v="4"/>
    <x v="7"/>
    <s v="N/A"/>
    <s v="N/A"/>
    <n v="10"/>
    <d v="2021-01-07T00:00:00"/>
    <n v="3737307"/>
    <n v="41110377"/>
    <n v="41110377"/>
    <x v="0"/>
    <s v="CRISTIAN CAMILO ROJAS MORALES"/>
    <n v="0"/>
    <x v="0"/>
    <n v="24154"/>
    <x v="0"/>
    <x v="0"/>
  </r>
  <r>
    <x v="2"/>
    <n v="9"/>
    <x v="2"/>
    <x v="2"/>
    <x v="2"/>
    <x v="2"/>
    <x v="2"/>
    <x v="0"/>
    <x v="3"/>
    <s v="Servicios secretariales o de administración de oficinas  "/>
    <x v="0"/>
    <n v="80161501"/>
    <s v="Prestación de servicios personales para adelantar actividades relacionadas con el ingreso, egreso y baja de bienes del IGAV. "/>
    <x v="2"/>
    <x v="2"/>
    <n v="11"/>
    <x v="0"/>
    <x v="0"/>
    <x v="1"/>
    <n v="85591209"/>
    <n v="85591209"/>
    <x v="0"/>
    <x v="2"/>
    <x v="1"/>
    <x v="11"/>
    <s v="Secretaría General - GIT Gestión Contractual"/>
    <x v="0"/>
    <s v="Coordinador GIT Gestión Contractual"/>
    <x v="4"/>
    <x v="7"/>
    <s v="N/A"/>
    <s v="N/A"/>
    <n v="9"/>
    <d v="2021-01-07T00:00:00"/>
    <n v="2593673"/>
    <n v="28530403"/>
    <n v="85591209"/>
    <x v="0"/>
    <s v="DANNY ADALBERTO GUARNIZO MOLINA_x000a_DANIELA FERNANDA CASAS SIERRA_x000a_WILLIAM  SANCHEZ SANDOVAL_x000a_"/>
    <n v="0"/>
    <x v="0"/>
    <s v="24152_x000a_24156_x000a_24158_x000a_"/>
    <x v="2"/>
    <x v="0"/>
  </r>
  <r>
    <x v="2"/>
    <n v="7"/>
    <x v="2"/>
    <x v="2"/>
    <x v="2"/>
    <x v="0"/>
    <x v="0"/>
    <x v="0"/>
    <x v="3"/>
    <s v="Servicios secretariales o de administración de oficinas  "/>
    <x v="0"/>
    <n v="80161501"/>
    <s v="Prestación de servicios profesionales para realizar contratación directa"/>
    <x v="2"/>
    <x v="2"/>
    <n v="5"/>
    <x v="0"/>
    <x v="0"/>
    <x v="1"/>
    <n v="24157400"/>
    <n v="24157400"/>
    <x v="0"/>
    <x v="0"/>
    <x v="1"/>
    <x v="11"/>
    <s v="Secretaría General - GIT Gestión Contractual"/>
    <x v="0"/>
    <s v="Coordinador GIT Gestión Contractual"/>
    <x v="4"/>
    <x v="7"/>
    <s v="N/A"/>
    <s v="N/A"/>
    <n v="7"/>
    <d v="2021-01-08T00:00:00"/>
    <n v="4831480"/>
    <n v="24157400"/>
    <n v="24157400"/>
    <x v="0"/>
    <s v="ERIKA PAOLA SERRANO RICAURTE"/>
    <n v="0"/>
    <x v="0"/>
    <n v="24177"/>
    <x v="0"/>
    <x v="0"/>
  </r>
  <r>
    <x v="2"/>
    <n v="1"/>
    <x v="2"/>
    <x v="2"/>
    <x v="2"/>
    <x v="1"/>
    <x v="1"/>
    <x v="0"/>
    <x v="3"/>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2"/>
    <x v="2"/>
    <n v="11"/>
    <x v="0"/>
    <x v="0"/>
    <x v="0"/>
    <n v="209000000"/>
    <n v="209000000"/>
    <x v="0"/>
    <x v="1"/>
    <x v="1"/>
    <x v="11"/>
    <s v="Secretaría General - GIT Gestión Contractual"/>
    <x v="0"/>
    <s v="Coordinador GIT Gestión Contractual"/>
    <x v="4"/>
    <x v="7"/>
    <s v="N/A"/>
    <s v="N/A"/>
    <n v="1"/>
    <d v="2021-01-07T00:00:00"/>
    <n v="9500000"/>
    <n v="104500000"/>
    <n v="209000000"/>
    <x v="0"/>
    <s v="GINNA PAOLA GARCIA BOHORQUEZ_x000a_BRENDA VIVIANA JIMENEZ DIAZ"/>
    <n v="0"/>
    <x v="0"/>
    <s v="24165_x000a_24169"/>
    <x v="1"/>
    <x v="0"/>
  </r>
  <r>
    <x v="2"/>
    <n v="4"/>
    <x v="2"/>
    <x v="2"/>
    <x v="2"/>
    <x v="0"/>
    <x v="0"/>
    <x v="0"/>
    <x v="3"/>
    <s v="Servicios secretariales o de administración de oficinas  "/>
    <x v="0"/>
    <n v="80161501"/>
    <s v="Prestación de servicios profesionales para realizar actividades relacionadas con el plan de compras y elaboración de informes."/>
    <x v="2"/>
    <x v="2"/>
    <n v="11"/>
    <x v="0"/>
    <x v="0"/>
    <x v="0"/>
    <n v="80634026"/>
    <n v="80634026"/>
    <x v="0"/>
    <x v="0"/>
    <x v="1"/>
    <x v="11"/>
    <s v="Secretaría General - GIT Gestión Contractual"/>
    <x v="0"/>
    <s v="Coordinador GIT Gestión Contractual"/>
    <x v="4"/>
    <x v="7"/>
    <s v="N/A"/>
    <s v="N/A"/>
    <n v="5"/>
    <d v="2021-01-07T00:00:00"/>
    <n v="7330366"/>
    <n v="80634026"/>
    <n v="80634026"/>
    <x v="0"/>
    <s v="HECTOR MAURICIO CUBIDES GARZON"/>
    <n v="0"/>
    <x v="0"/>
    <n v="24161"/>
    <x v="0"/>
    <x v="0"/>
  </r>
  <r>
    <x v="2"/>
    <n v="47"/>
    <x v="2"/>
    <x v="2"/>
    <x v="2"/>
    <x v="0"/>
    <x v="0"/>
    <x v="0"/>
    <x v="1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2"/>
    <x v="2"/>
    <n v="12"/>
    <x v="0"/>
    <x v="3"/>
    <x v="1"/>
    <n v="0"/>
    <n v="0"/>
    <x v="0"/>
    <x v="0"/>
    <x v="1"/>
    <x v="11"/>
    <s v="Secretaría General - GIT Gestión Contractual"/>
    <x v="0"/>
    <s v="Coordinador GIT Gestión Contractual"/>
    <x v="4"/>
    <x v="7"/>
    <s v="N/A"/>
    <s v="N/A"/>
    <n v="82"/>
    <d v="2021-01-22T00:00:00"/>
    <e v="#N/A"/>
    <e v="#N/A"/>
    <e v="#N/A"/>
    <x v="1"/>
    <s v="INICIO PROCESO"/>
    <n v="0"/>
    <x v="0"/>
    <m/>
    <x v="0"/>
    <x v="0"/>
  </r>
  <r>
    <x v="2"/>
    <n v="6"/>
    <x v="2"/>
    <x v="2"/>
    <x v="2"/>
    <x v="5"/>
    <x v="6"/>
    <x v="0"/>
    <x v="3"/>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2"/>
    <x v="2"/>
    <n v="11"/>
    <x v="0"/>
    <x v="0"/>
    <x v="0"/>
    <n v="283746760"/>
    <n v="283746760"/>
    <x v="0"/>
    <x v="5"/>
    <x v="1"/>
    <x v="11"/>
    <s v="Secretaría General - GIT Gestión Contractual"/>
    <x v="0"/>
    <s v="Coordinador GIT Gestión Contractual"/>
    <x v="4"/>
    <x v="7"/>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6"/>
    <x v="0"/>
  </r>
  <r>
    <x v="2"/>
    <n v="11"/>
    <x v="2"/>
    <x v="2"/>
    <x v="2"/>
    <x v="0"/>
    <x v="0"/>
    <x v="0"/>
    <x v="3"/>
    <s v="Servicios secretariales o de administración de oficinas  "/>
    <x v="0"/>
    <n v="80161501"/>
    <s v="Prestación de servicios profesionales para adelantar la revisión de los procesos de contratación que ingresan al área para asignación posterior."/>
    <x v="2"/>
    <x v="2"/>
    <n v="11"/>
    <x v="0"/>
    <x v="0"/>
    <x v="1"/>
    <n v="31417067"/>
    <n v="31417067"/>
    <x v="0"/>
    <x v="0"/>
    <x v="1"/>
    <x v="11"/>
    <s v="Secretaría General - GIT Gestión Contractual"/>
    <x v="0"/>
    <s v="Coordinador GIT Gestión Contractual"/>
    <x v="4"/>
    <x v="7"/>
    <s v="N/A"/>
    <s v="N/A"/>
    <n v="3"/>
    <d v="2021-01-07T00:00:00"/>
    <n v="2856097"/>
    <n v="31417067"/>
    <n v="31417067"/>
    <x v="0"/>
    <s v="KARIME ESPERANZA ARENAS DOMINGUEZ"/>
    <n v="0"/>
    <x v="0"/>
    <n v="24162"/>
    <x v="0"/>
    <x v="0"/>
  </r>
  <r>
    <x v="2"/>
    <n v="5"/>
    <x v="2"/>
    <x v="2"/>
    <x v="2"/>
    <x v="0"/>
    <x v="0"/>
    <x v="0"/>
    <x v="3"/>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2"/>
    <x v="2"/>
    <n v="11"/>
    <x v="0"/>
    <x v="0"/>
    <x v="1"/>
    <n v="80634026"/>
    <n v="80634026"/>
    <x v="0"/>
    <x v="0"/>
    <x v="1"/>
    <x v="11"/>
    <s v="Secretaría General - GIT Gestión Contractual"/>
    <x v="0"/>
    <s v="Coordinador GIT Gestión Contractual"/>
    <x v="4"/>
    <x v="7"/>
    <s v="N/A"/>
    <s v="N/A"/>
    <n v="6"/>
    <d v="2021-01-07T00:00:00"/>
    <n v="7330366"/>
    <n v="80634026"/>
    <n v="80634026"/>
    <x v="0"/>
    <s v="MARIA VICTORIA MOLINA MELO"/>
    <n v="0"/>
    <x v="0"/>
    <n v="24160"/>
    <x v="0"/>
    <x v="0"/>
  </r>
  <r>
    <x v="8"/>
    <s v="6-7-8-9-10-11-12-13-14-15-16-17-18"/>
    <x v="2"/>
    <x v="2"/>
    <x v="2"/>
    <x v="0"/>
    <x v="0"/>
    <x v="0"/>
    <x v="15"/>
    <s v="Suministros de escritorio"/>
    <x v="0"/>
    <n v="44121600"/>
    <s v="Adquisición de elementos de papelería e insumos"/>
    <x v="7"/>
    <x v="7"/>
    <n v="1"/>
    <x v="0"/>
    <x v="5"/>
    <x v="1"/>
    <n v="8531146"/>
    <n v="8531146"/>
    <x v="0"/>
    <x v="0"/>
    <x v="1"/>
    <x v="11"/>
    <s v="Secretaría General - GIT Gestión Contractual"/>
    <x v="0"/>
    <s v="Coordinador GIT Gestión Contractual"/>
    <x v="4"/>
    <x v="7"/>
    <s v="N/A"/>
    <s v="N/A"/>
    <n v="552"/>
    <d v="2021-04-27T00:00:00"/>
    <n v="8531146"/>
    <n v="8531146"/>
    <n v="8531146"/>
    <x v="0"/>
    <s v="PANAMERICANA LIBRERIA Y PAPELERIA SA"/>
    <n v="0"/>
    <x v="0"/>
    <n v="24694"/>
    <x v="0"/>
    <x v="0"/>
  </r>
  <r>
    <x v="2"/>
    <n v="3"/>
    <x v="2"/>
    <x v="2"/>
    <x v="2"/>
    <x v="0"/>
    <x v="0"/>
    <x v="0"/>
    <x v="3"/>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2"/>
    <x v="2"/>
    <n v="11"/>
    <x v="0"/>
    <x v="0"/>
    <x v="1"/>
    <n v="70936690"/>
    <n v="70936690"/>
    <x v="0"/>
    <x v="0"/>
    <x v="1"/>
    <x v="11"/>
    <s v="Secretaría General - GIT Gestión Contractual"/>
    <x v="0"/>
    <s v="Coordinador GIT Gestión Contractual"/>
    <x v="4"/>
    <x v="7"/>
    <s v="N/A"/>
    <s v="N/A"/>
    <n v="11"/>
    <d v="2021-01-07T00:00:00"/>
    <n v="6448790"/>
    <n v="70936690"/>
    <n v="70936690"/>
    <x v="0"/>
    <s v="WILDER ANDRES GONZALEZ ROJAS"/>
    <n v="0"/>
    <x v="0"/>
    <n v="24172"/>
    <x v="0"/>
    <x v="0"/>
  </r>
  <r>
    <x v="2"/>
    <n v="8"/>
    <x v="2"/>
    <x v="2"/>
    <x v="2"/>
    <x v="1"/>
    <x v="1"/>
    <x v="0"/>
    <x v="3"/>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2"/>
    <x v="2"/>
    <n v="11"/>
    <x v="0"/>
    <x v="0"/>
    <x v="1"/>
    <n v="58772630"/>
    <n v="58772630"/>
    <x v="0"/>
    <x v="1"/>
    <x v="1"/>
    <x v="11"/>
    <s v="Secretaría General - GIT Gestión Contractual"/>
    <x v="0"/>
    <s v="Coordinador GIT Gestión Contractual"/>
    <x v="4"/>
    <x v="7"/>
    <s v="N/A"/>
    <s v="N/A"/>
    <n v="8"/>
    <d v="2021-01-07T00:00:00"/>
    <n v="2671483"/>
    <n v="29386313"/>
    <n v="58772626"/>
    <x v="0"/>
    <s v="SANDRA YANETH CELEMIN_x000a_BIBIANA ANDREA CASAS SIERRA_x000a_"/>
    <n v="4"/>
    <x v="0"/>
    <s v="24164_x000a_24167_x000a_"/>
    <x v="1"/>
    <x v="0"/>
  </r>
  <r>
    <x v="2"/>
    <n v="61"/>
    <x v="2"/>
    <x v="2"/>
    <x v="2"/>
    <x v="0"/>
    <x v="0"/>
    <x v="0"/>
    <x v="4"/>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1"/>
    <x v="11"/>
    <s v="Secretaría General - GIT Gestión Contractual"/>
    <x v="0"/>
    <s v="Coordinador GIT Gestión Contractual"/>
    <x v="4"/>
    <x v="7"/>
    <s v="N/A"/>
    <s v="N/A"/>
    <n v="520"/>
    <d v="2021-04-12T00:00:00"/>
    <n v="11022592"/>
    <n v="95529131"/>
    <n v="95529131"/>
    <x v="0"/>
    <s v="BRENDA VIVIANA JIMENEZ DIAZ"/>
    <n v="7348395"/>
    <x v="0"/>
    <n v="24653"/>
    <x v="0"/>
    <x v="0"/>
  </r>
  <r>
    <x v="1"/>
    <n v="55"/>
    <x v="1"/>
    <x v="1"/>
    <x v="1"/>
    <x v="3"/>
    <x v="3"/>
    <x v="0"/>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7"/>
    <x v="7"/>
    <n v="270"/>
    <x v="1"/>
    <x v="0"/>
    <x v="1"/>
    <n v="339762465"/>
    <n v="339762465"/>
    <x v="0"/>
    <x v="3"/>
    <x v="0"/>
    <x v="1"/>
    <s v="Subdirección de Catastro"/>
    <x v="5"/>
    <s v="Subdirectora de Catastro"/>
    <x v="1"/>
    <x v="2"/>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3"/>
    <x v="0"/>
  </r>
  <r>
    <x v="8"/>
    <n v="5"/>
    <x v="2"/>
    <x v="2"/>
    <x v="2"/>
    <x v="0"/>
    <x v="0"/>
    <x v="0"/>
    <x v="15"/>
    <s v="Papel de imprenta y papel de escribir"/>
    <x v="0"/>
    <n v="14111500"/>
    <s v="Adquisición de productos derivados del papel, cartón y corrugados en Colombia"/>
    <x v="7"/>
    <x v="7"/>
    <n v="1"/>
    <x v="0"/>
    <x v="5"/>
    <x v="1"/>
    <n v="230000000"/>
    <n v="230000000"/>
    <x v="0"/>
    <x v="0"/>
    <x v="1"/>
    <x v="11"/>
    <s v="Secretaría General - GIT Gestión Contractual"/>
    <x v="0"/>
    <s v="Coordinador GIT Gestión Contractual"/>
    <x v="4"/>
    <x v="7"/>
    <s v="N/A"/>
    <s v="N/A"/>
    <n v="583"/>
    <d v="2021-04-27T00:00:00"/>
    <n v="16879994.82"/>
    <n v="16879994.82"/>
    <n v="16879994.82"/>
    <x v="0"/>
    <s v="SUMIMAS SAS"/>
    <n v="213120005.18000001"/>
    <x v="0"/>
    <n v="24723"/>
    <x v="0"/>
    <x v="0"/>
  </r>
  <r>
    <x v="2"/>
    <n v="78"/>
    <x v="2"/>
    <x v="2"/>
    <x v="2"/>
    <x v="0"/>
    <x v="0"/>
    <x v="0"/>
    <x v="5"/>
    <s v="Servicios secretariales o de administración de oficinas  "/>
    <x v="0"/>
    <n v="80161501"/>
    <s v="Prestación de servicios profesionales para realizar contratación directa"/>
    <x v="5"/>
    <x v="5"/>
    <n v="204"/>
    <x v="1"/>
    <x v="0"/>
    <x v="1"/>
    <n v="33839683"/>
    <n v="33839683"/>
    <x v="0"/>
    <x v="0"/>
    <x v="1"/>
    <x v="11"/>
    <s v="Secretaría General - GIT Gestión Contractual"/>
    <x v="0"/>
    <s v="Coordinador GIT Gestión Contractual"/>
    <x v="4"/>
    <x v="7"/>
    <s v="N/A"/>
    <s v="N/A"/>
    <m/>
    <d v="2021-06-04T00:00:00"/>
    <n v="4976424"/>
    <n v="33839683"/>
    <n v="33839683"/>
    <x v="0"/>
    <s v="ERIKA PAOLA SERRANO RICAURTE"/>
    <n v="0"/>
    <x v="0"/>
    <n v="24757"/>
    <x v="5"/>
    <x v="1"/>
  </r>
  <r>
    <x v="2"/>
    <m/>
    <x v="2"/>
    <x v="2"/>
    <x v="2"/>
    <x v="0"/>
    <x v="5"/>
    <x v="1"/>
    <x v="7"/>
    <s v="Tóner para impresoras o fax"/>
    <x v="0"/>
    <n v="44103103"/>
    <s v="Adquisición de consumibles de impresión a nivel nacional "/>
    <x v="4"/>
    <x v="4"/>
    <n v="1"/>
    <x v="0"/>
    <x v="5"/>
    <x v="1"/>
    <n v="265600000"/>
    <n v="265600000"/>
    <x v="0"/>
    <x v="0"/>
    <x v="1"/>
    <x v="11"/>
    <s v="Secretaría General - GIT Gestión Contractual"/>
    <x v="0"/>
    <s v="Coordinador GIT Gestión Contractual"/>
    <x v="4"/>
    <x v="7"/>
    <s v="N/A"/>
    <s v="N/A"/>
    <m/>
    <m/>
    <e v="#N/A"/>
    <e v="#N/A"/>
    <e v="#N/A"/>
    <x v="1"/>
    <m/>
    <n v="0"/>
    <x v="0"/>
    <m/>
    <x v="5"/>
    <x v="1"/>
  </r>
  <r>
    <x v="2"/>
    <n v="57"/>
    <x v="2"/>
    <x v="2"/>
    <x v="2"/>
    <x v="0"/>
    <x v="0"/>
    <x v="0"/>
    <x v="0"/>
    <s v="Servicios secretariales o de administración de oficinas  "/>
    <x v="0"/>
    <n v="80161501"/>
    <s v="prestación de servicios profesionales para la implementación y seguimiento del proceso de gestión documental conforme a los lineamienos dados por la entidad y el agn."/>
    <x v="0"/>
    <x v="0"/>
    <n v="11"/>
    <x v="0"/>
    <x v="0"/>
    <x v="0"/>
    <n v="51970000"/>
    <n v="51970000"/>
    <x v="0"/>
    <x v="0"/>
    <x v="0"/>
    <x v="3"/>
    <s v="Secretaria General- Gestión documental"/>
    <x v="0"/>
    <s v="Coordinador GIT Gestión Documental"/>
    <x v="9"/>
    <x v="20"/>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2"/>
    <n v="59"/>
    <x v="2"/>
    <x v="2"/>
    <x v="2"/>
    <x v="0"/>
    <x v="0"/>
    <x v="0"/>
    <x v="3"/>
    <s v="Servicios secretariales o de administración de oficinas  "/>
    <x v="0"/>
    <n v="80161501"/>
    <s v="Prestación de servicios profesionales para la implementación del sistema de gestión documental SIGAC a nivel nacional."/>
    <x v="0"/>
    <x v="0"/>
    <n v="10"/>
    <x v="0"/>
    <x v="0"/>
    <x v="0"/>
    <n v="36402363"/>
    <n v="36402363"/>
    <x v="0"/>
    <x v="0"/>
    <x v="0"/>
    <x v="3"/>
    <s v="Secretaria General- Gestión documental"/>
    <x v="0"/>
    <s v="Coordinador GIT Gestión Documental"/>
    <x v="9"/>
    <x v="10"/>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2"/>
    <n v="40"/>
    <x v="2"/>
    <x v="2"/>
    <x v="2"/>
    <x v="0"/>
    <x v="0"/>
    <x v="0"/>
    <x v="3"/>
    <s v="Servicios secretariales o de administración de oficinas  "/>
    <x v="0"/>
    <n v="80161501"/>
    <s v="Prestación de servicios personales para el acompañamiento y seguimiento de las actividades del procesos de gestión documental de la entidad de acuerdo a las normas vigentes."/>
    <x v="2"/>
    <x v="2"/>
    <n v="9"/>
    <x v="0"/>
    <x v="0"/>
    <x v="0"/>
    <n v="24043349"/>
    <n v="24043349"/>
    <x v="0"/>
    <x v="0"/>
    <x v="0"/>
    <x v="3"/>
    <s v="Secretaria General- Gestión documental"/>
    <x v="0"/>
    <s v="Coordinador GIT Gestión Documental"/>
    <x v="9"/>
    <x v="20"/>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2"/>
    <n v="39"/>
    <x v="2"/>
    <x v="2"/>
    <x v="2"/>
    <x v="2"/>
    <x v="2"/>
    <x v="0"/>
    <x v="3"/>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2"/>
    <x v="2"/>
    <n v="9"/>
    <x v="0"/>
    <x v="0"/>
    <x v="0"/>
    <n v="53527075"/>
    <n v="53527075"/>
    <x v="0"/>
    <x v="2"/>
    <x v="0"/>
    <x v="3"/>
    <s v="Secretaria General- Gestión documental"/>
    <x v="0"/>
    <s v="Coordinador GIT Gestión Documental"/>
    <x v="9"/>
    <x v="20"/>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2"/>
    <x v="0"/>
  </r>
  <r>
    <x v="2"/>
    <n v="48"/>
    <x v="2"/>
    <x v="2"/>
    <x v="2"/>
    <x v="0"/>
    <x v="0"/>
    <x v="0"/>
    <x v="0"/>
    <s v="Servicios secretariales o de administración de oficinas  "/>
    <x v="0"/>
    <n v="80161501"/>
    <s v="Prestación de servicios personales para apoyar la implementación del sistema de gestión documental de la entidad de acuerdo a las normas vigentes."/>
    <x v="0"/>
    <x v="0"/>
    <n v="11"/>
    <x v="0"/>
    <x v="0"/>
    <x v="1"/>
    <n v="29566233.890000001"/>
    <n v="29566233.890000001"/>
    <x v="0"/>
    <x v="0"/>
    <x v="1"/>
    <x v="12"/>
    <s v="Secretaría General - GIT Gestión Documental"/>
    <x v="0"/>
    <s v="Coordinador GIT Gestión Documental"/>
    <x v="4"/>
    <x v="7"/>
    <s v="N/A"/>
    <s v="N/A"/>
    <n v="235"/>
    <d v="2021-02-03T00:00:00"/>
    <n v="2593673"/>
    <n v="27406478"/>
    <n v="27406478"/>
    <x v="0"/>
    <s v="EDWIN DIDIER CASAS ARDILA"/>
    <n v="2159755.8900000006"/>
    <x v="0"/>
    <n v="24418"/>
    <x v="0"/>
    <x v="0"/>
  </r>
  <r>
    <x v="2"/>
    <n v="49"/>
    <x v="2"/>
    <x v="2"/>
    <x v="2"/>
    <x v="1"/>
    <x v="1"/>
    <x v="0"/>
    <x v="0"/>
    <s v="Servicios secretariales o de administración de oficinas  "/>
    <x v="0"/>
    <n v="80161501"/>
    <s v="Prestación de servicios personales para la aplicación de los procesos archvísticos  de acuerdo a las directrices de la entidad y las normas del archivo general de la nación. "/>
    <x v="0"/>
    <x v="0"/>
    <n v="11"/>
    <x v="0"/>
    <x v="0"/>
    <x v="1"/>
    <n v="43614654"/>
    <n v="43614653.780000001"/>
    <x v="0"/>
    <x v="1"/>
    <x v="1"/>
    <x v="12"/>
    <s v="Secretaría General - GIT Gestión Documental"/>
    <x v="0"/>
    <s v="Coordinador GIT Gestión Documental"/>
    <x v="4"/>
    <x v="7"/>
    <s v="N/A"/>
    <s v="N/A"/>
    <n v="196"/>
    <d v="2021-02-03T00:00:00"/>
    <n v="1924742"/>
    <n v="20402265"/>
    <n v="40804530"/>
    <x v="0"/>
    <s v="JENNY ALEXANDRA PEREZ GONZALEZ_x000a_RAFAEL ALIRIO GONZALEZ "/>
    <n v="2810123.7800000012"/>
    <x v="0"/>
    <s v="24380_x000a_24382"/>
    <x v="1"/>
    <x v="0"/>
  </r>
  <r>
    <x v="2"/>
    <m/>
    <x v="2"/>
    <x v="2"/>
    <x v="2"/>
    <x v="0"/>
    <x v="5"/>
    <x v="1"/>
    <x v="7"/>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3"/>
    <s v="Secretaria General-GIT Gestión Documental"/>
    <x v="0"/>
    <s v="Coordinadora GIT Gestión Documental"/>
    <x v="4"/>
    <x v="7"/>
    <s v="N/A"/>
    <s v="N/A"/>
    <m/>
    <m/>
    <e v="#N/A"/>
    <e v="#N/A"/>
    <e v="#N/A"/>
    <x v="1"/>
    <m/>
    <n v="0"/>
    <x v="0"/>
    <m/>
    <x v="5"/>
    <x v="1"/>
  </r>
  <r>
    <x v="2"/>
    <m/>
    <x v="2"/>
    <x v="2"/>
    <x v="2"/>
    <x v="0"/>
    <x v="5"/>
    <x v="1"/>
    <x v="5"/>
    <s v="Servicios secretariales o de administración de oficinas  "/>
    <x v="0"/>
    <n v="80161501"/>
    <s v="Prestación de servicios para el soporte tecnico, mantenimiento y actualización del Sistema de Gestión Documental -SIGAC sobre la plataforma BPM/FOREST."/>
    <x v="5"/>
    <x v="5"/>
    <n v="6"/>
    <x v="0"/>
    <x v="0"/>
    <x v="0"/>
    <n v="154403359"/>
    <n v="154403359"/>
    <x v="0"/>
    <x v="0"/>
    <x v="0"/>
    <x v="3"/>
    <s v="Secretaria General-GIT Gestión Documental"/>
    <x v="0"/>
    <s v="Coordinadora GIT Gestión Documental"/>
    <x v="9"/>
    <x v="10"/>
    <s v="Implementar las funcionalidades de la fase 2 del Sistema de Gestión de Documento Electrónico de Archivo  "/>
    <s v="Automatizar los procedimientos para la gestión de la información."/>
    <m/>
    <m/>
    <e v="#N/A"/>
    <e v="#N/A"/>
    <e v="#N/A"/>
    <x v="1"/>
    <m/>
    <n v="0"/>
    <x v="0"/>
    <m/>
    <x v="5"/>
    <x v="1"/>
  </r>
  <r>
    <x v="2"/>
    <m/>
    <x v="2"/>
    <x v="2"/>
    <x v="2"/>
    <x v="0"/>
    <x v="7"/>
    <x v="1"/>
    <x v="10"/>
    <s v="Servicios de envío, recogida o entrega de correo"/>
    <x v="0"/>
    <n v="78102203"/>
    <s v="Prestación de Servicios de administración, curso y entrega de toda clase de  correspondencia y demás envíos postales. "/>
    <x v="4"/>
    <x v="4"/>
    <n v="9"/>
    <x v="0"/>
    <x v="0"/>
    <x v="1"/>
    <n v="898185726"/>
    <n v="898185726"/>
    <x v="0"/>
    <x v="0"/>
    <x v="1"/>
    <x v="12"/>
    <s v="Secretaría General - GIT Gestión Documental"/>
    <x v="0"/>
    <s v="Coordinador GIT Gestión Documental"/>
    <x v="4"/>
    <x v="7"/>
    <s v="N/A"/>
    <s v="N/A"/>
    <m/>
    <m/>
    <e v="#N/A"/>
    <e v="#N/A"/>
    <e v="#N/A"/>
    <x v="1"/>
    <m/>
    <n v="0"/>
    <x v="0"/>
    <m/>
    <x v="7"/>
    <x v="1"/>
  </r>
  <r>
    <x v="2"/>
    <n v="29"/>
    <x v="2"/>
    <x v="2"/>
    <x v="2"/>
    <x v="0"/>
    <x v="0"/>
    <x v="0"/>
    <x v="3"/>
    <s v="Servicios secretariales o de administración de oficinas  "/>
    <x v="0"/>
    <n v="80161501"/>
    <s v="Prestación de servicios profesionales especializados para apoyar los temas tributarios, contables y financieros del Instituto Geográfico Agustín Codazzi a nivel nacional"/>
    <x v="2"/>
    <x v="2"/>
    <n v="4"/>
    <x v="0"/>
    <x v="0"/>
    <x v="1"/>
    <n v="34831906"/>
    <n v="34831906"/>
    <x v="0"/>
    <x v="0"/>
    <x v="1"/>
    <x v="13"/>
    <s v="Secretaría General - GIT Gestión Financiera"/>
    <x v="0"/>
    <s v="Coordinador GIT Gestión Financiera"/>
    <x v="4"/>
    <x v="7"/>
    <s v="N/A"/>
    <s v="N/A"/>
    <n v="27"/>
    <d v="2021-01-12T00:00:00"/>
    <n v="8707976"/>
    <n v="34831904"/>
    <n v="34831904"/>
    <x v="0"/>
    <s v="CARLOS JULIO AGUILAR RUIZ"/>
    <n v="2"/>
    <x v="0"/>
    <n v="24186"/>
    <x v="0"/>
    <x v="0"/>
  </r>
  <r>
    <x v="2"/>
    <n v="30"/>
    <x v="2"/>
    <x v="2"/>
    <x v="2"/>
    <x v="0"/>
    <x v="0"/>
    <x v="0"/>
    <x v="3"/>
    <s v="Servicios secretariales o de administración de oficinas  "/>
    <x v="0"/>
    <n v="80161501"/>
    <s v="Prestación de servicios personales para apoyar la gestión de la tesorería del Instituto Geográfico Agustín Codazzi."/>
    <x v="2"/>
    <x v="2"/>
    <n v="11"/>
    <x v="0"/>
    <x v="0"/>
    <x v="1"/>
    <n v="29386316"/>
    <n v="29386316"/>
    <x v="0"/>
    <x v="0"/>
    <x v="1"/>
    <x v="13"/>
    <s v="Secretaría General - GIT Gestión Financiera"/>
    <x v="0"/>
    <s v="Coordinador GIT Gestión Financiera"/>
    <x v="4"/>
    <x v="7"/>
    <s v="N/A"/>
    <s v="N/A"/>
    <n v="34"/>
    <d v="2021-01-13T00:00:00"/>
    <n v="2671483"/>
    <n v="29386313"/>
    <n v="29386313"/>
    <x v="0"/>
    <s v="LEONARDO  SEGURA CAMELO"/>
    <n v="3"/>
    <x v="0"/>
    <n v="24188"/>
    <x v="0"/>
    <x v="0"/>
  </r>
  <r>
    <x v="2"/>
    <n v="24"/>
    <x v="2"/>
    <x v="2"/>
    <x v="2"/>
    <x v="0"/>
    <x v="0"/>
    <x v="0"/>
    <x v="3"/>
    <s v="Servicios secretariales o de administración de oficinas  "/>
    <x v="0"/>
    <n v="80161501"/>
    <s v="Prestación de servicios personales para la recepción, revisión y elaboración de las cuentas por pagar y obligaciones del instituto en el sistema SIIF Nación."/>
    <x v="2"/>
    <x v="2"/>
    <n v="11"/>
    <x v="0"/>
    <x v="0"/>
    <x v="0"/>
    <n v="29386316"/>
    <n v="29386316"/>
    <x v="0"/>
    <x v="0"/>
    <x v="1"/>
    <x v="13"/>
    <s v="Secretaría General - GIT Gestión Financiera"/>
    <x v="0"/>
    <s v="Coordinador GIT Gestión Financiera"/>
    <x v="4"/>
    <x v="7"/>
    <s v="N/A"/>
    <s v="N/A"/>
    <n v="33"/>
    <d v="2021-01-13T00:00:00"/>
    <n v="2671483"/>
    <n v="29386313"/>
    <n v="29386313"/>
    <x v="0"/>
    <s v="MIREYA  ARTUNDUAGA CALDERON"/>
    <n v="3"/>
    <x v="0"/>
    <n v="24190"/>
    <x v="0"/>
    <x v="0"/>
  </r>
  <r>
    <x v="2"/>
    <n v="26"/>
    <x v="2"/>
    <x v="2"/>
    <x v="2"/>
    <x v="0"/>
    <x v="0"/>
    <x v="0"/>
    <x v="3"/>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2"/>
    <x v="2"/>
    <n v="11"/>
    <x v="0"/>
    <x v="0"/>
    <x v="1"/>
    <n v="40042599"/>
    <n v="40042599"/>
    <x v="0"/>
    <x v="0"/>
    <x v="1"/>
    <x v="13"/>
    <s v="Secretaría General - GIT Gestión Financiera"/>
    <x v="0"/>
    <s v="Coordinador GIT Gestión Financiera"/>
    <x v="4"/>
    <x v="7"/>
    <s v="N/A"/>
    <s v="N/A"/>
    <n v="32"/>
    <d v="2021-01-13T00:00:00"/>
    <n v="3640236"/>
    <n v="40042596"/>
    <n v="40042596"/>
    <x v="0"/>
    <s v="YOLI ANDREA MARTINEZ MOLINA"/>
    <n v="3"/>
    <x v="0"/>
    <n v="24189"/>
    <x v="0"/>
    <x v="0"/>
  </r>
  <r>
    <x v="2"/>
    <n v="28"/>
    <x v="2"/>
    <x v="2"/>
    <x v="2"/>
    <x v="0"/>
    <x v="0"/>
    <x v="0"/>
    <x v="3"/>
    <s v="Servicios secretariales o de administración de oficinas  "/>
    <x v="0"/>
    <n v="80161501"/>
    <s v="Prestación de servicios profesionales para realizar las actividades relacionadas con el manejo del presupuesto del Instituto Geográfico Agustín Codazzi."/>
    <x v="2"/>
    <x v="2"/>
    <n v="11"/>
    <x v="0"/>
    <x v="0"/>
    <x v="1"/>
    <n v="73517991"/>
    <n v="73517991"/>
    <x v="0"/>
    <x v="0"/>
    <x v="1"/>
    <x v="13"/>
    <s v="Secretaría General - GIT Gestión Financiera"/>
    <x v="0"/>
    <s v="Coordinador GIT Gestión Financiera"/>
    <x v="4"/>
    <x v="7"/>
    <s v="N/A"/>
    <s v="N/A"/>
    <n v="28"/>
    <d v="2021-01-13T00:00:00"/>
    <n v="6683453"/>
    <n v="73517983"/>
    <n v="73517983"/>
    <x v="0"/>
    <s v="BRENDA LUCIA FONSECA ROJAS"/>
    <n v="8"/>
    <x v="0"/>
    <n v="24187"/>
    <x v="0"/>
    <x v="0"/>
  </r>
  <r>
    <x v="2"/>
    <n v="23"/>
    <x v="2"/>
    <x v="2"/>
    <x v="2"/>
    <x v="0"/>
    <x v="0"/>
    <x v="0"/>
    <x v="3"/>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2"/>
    <x v="2"/>
    <n v="11"/>
    <x v="0"/>
    <x v="0"/>
    <x v="1"/>
    <n v="63335720"/>
    <n v="63335720"/>
    <x v="0"/>
    <x v="0"/>
    <x v="1"/>
    <x v="13"/>
    <s v="Secretaría General - GIT Gestión Financiera"/>
    <x v="0"/>
    <s v="Coordinador GIT Gestión Financiera"/>
    <x v="4"/>
    <x v="7"/>
    <s v="N/A"/>
    <s v="N/A"/>
    <n v="26"/>
    <d v="2021-01-12T00:00:00"/>
    <n v="5757792"/>
    <n v="63335712"/>
    <n v="63335712"/>
    <x v="0"/>
    <s v="DIANA MARCELA SANDOVAL HERRERA"/>
    <n v="8"/>
    <x v="0"/>
    <n v="24185"/>
    <x v="0"/>
    <x v="0"/>
  </r>
  <r>
    <x v="2"/>
    <n v="27"/>
    <x v="2"/>
    <x v="2"/>
    <x v="2"/>
    <x v="1"/>
    <x v="1"/>
    <x v="0"/>
    <x v="3"/>
    <s v="Servicios secretariales o de administración de oficinas  "/>
    <x v="0"/>
    <n v="80161501"/>
    <s v="Prestación de servicios profesionales para realizar la gestión de la tesorería del Instituto Geográfico Agustín Codazzi."/>
    <x v="2"/>
    <x v="2"/>
    <n v="11"/>
    <x v="0"/>
    <x v="0"/>
    <x v="1"/>
    <n v="147035981"/>
    <n v="147035981"/>
    <x v="0"/>
    <x v="1"/>
    <x v="1"/>
    <x v="13"/>
    <s v="Secretaría General - GIT Gestión Financiera"/>
    <x v="0"/>
    <s v="Coordinador GIT Gestión Financiera"/>
    <x v="4"/>
    <x v="7"/>
    <s v="N/A"/>
    <s v="N/A"/>
    <n v="31"/>
    <d v="2021-01-13T00:00:00"/>
    <n v="6683453"/>
    <n v="73517983"/>
    <n v="147035966"/>
    <x v="0"/>
    <s v="ALICIA PAOLA GARCIA MUÑOZ_x000a_ANGELA  MORALES RONCANCIO_x000a_"/>
    <n v="15"/>
    <x v="0"/>
    <s v="24191_x000a_24194"/>
    <x v="1"/>
    <x v="0"/>
  </r>
  <r>
    <x v="2"/>
    <n v="25"/>
    <x v="2"/>
    <x v="2"/>
    <x v="2"/>
    <x v="0"/>
    <x v="0"/>
    <x v="0"/>
    <x v="3"/>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2"/>
    <x v="2"/>
    <n v="11"/>
    <x v="0"/>
    <x v="0"/>
    <x v="0"/>
    <n v="73517991"/>
    <n v="73517991"/>
    <x v="0"/>
    <x v="0"/>
    <x v="1"/>
    <x v="13"/>
    <s v="Secretaría General - GIT Gestión Financiera"/>
    <x v="0"/>
    <s v="Coordinador GIT Gestión Financiera"/>
    <x v="4"/>
    <x v="7"/>
    <s v="N/A"/>
    <s v="N/A"/>
    <n v="35"/>
    <d v="2021-01-13T00:00:00"/>
    <n v="6683454"/>
    <n v="73295212"/>
    <n v="73295212"/>
    <x v="0"/>
    <s v="EDGAR GERMAN CAICEDO GONZALEZ"/>
    <n v="222779"/>
    <x v="0"/>
    <n v="24192"/>
    <x v="0"/>
    <x v="0"/>
  </r>
  <r>
    <x v="2"/>
    <n v="75"/>
    <x v="2"/>
    <x v="2"/>
    <x v="2"/>
    <x v="0"/>
    <x v="0"/>
    <x v="0"/>
    <x v="8"/>
    <s v="Servicios secretariales o de administración de oficinas  "/>
    <x v="0"/>
    <n v="80161501"/>
    <s v="Prestación de servicios para apoyar en la gestión de procesos financieros, contables y de Tesoreria a cargo de la Secretaria General "/>
    <x v="7"/>
    <x v="7"/>
    <n v="8"/>
    <x v="0"/>
    <x v="0"/>
    <x v="1"/>
    <n v="42743728"/>
    <n v="42743728"/>
    <x v="0"/>
    <x v="0"/>
    <x v="1"/>
    <x v="14"/>
    <m/>
    <x v="0"/>
    <m/>
    <x v="4"/>
    <x v="7"/>
    <s v="N/A"/>
    <s v="N/A"/>
    <n v="576"/>
    <d v="2021-05-04T00:00:00"/>
    <n v="4263522"/>
    <n v="29844654"/>
    <n v="29844654"/>
    <x v="0"/>
    <s v="DAVID AUGUSTO ZABARAIN COGOLLO"/>
    <n v="12899074"/>
    <x v="0"/>
    <n v="24708"/>
    <x v="0"/>
    <x v="0"/>
  </r>
  <r>
    <x v="2"/>
    <m/>
    <x v="2"/>
    <x v="2"/>
    <x v="2"/>
    <x v="0"/>
    <x v="7"/>
    <x v="1"/>
    <x v="3"/>
    <s v="Software de servidor de autenticación"/>
    <x v="0"/>
    <n v="43233201"/>
    <s v="Adquisición certificados digitales acceso a SIIF"/>
    <x v="6"/>
    <x v="6"/>
    <n v="1"/>
    <x v="0"/>
    <x v="1"/>
    <x v="1"/>
    <n v="10000000"/>
    <n v="10000000"/>
    <x v="0"/>
    <x v="0"/>
    <x v="1"/>
    <x v="13"/>
    <s v="Secretaria General - GIT Gestión Financiera"/>
    <x v="0"/>
    <s v="Coordinador GIT Gestión Financiera"/>
    <x v="4"/>
    <x v="7"/>
    <s v="N/A"/>
    <s v="N/A"/>
    <m/>
    <m/>
    <e v="#N/A"/>
    <e v="#N/A"/>
    <e v="#N/A"/>
    <x v="1"/>
    <m/>
    <n v="0"/>
    <x v="0"/>
    <m/>
    <x v="7"/>
    <x v="1"/>
  </r>
  <r>
    <x v="5"/>
    <n v="68"/>
    <x v="8"/>
    <x v="4"/>
    <x v="7"/>
    <x v="0"/>
    <x v="0"/>
    <x v="0"/>
    <x v="0"/>
    <s v="Servicios de implementación de aplicaciones"/>
    <x v="0"/>
    <n v="81111508"/>
    <s v="Prestación de servicios profesionales para el soporte, mantenimiento, análisis, diseño y desarrollo de los componentes de software en plataforma Oracle de los sistemas de la Institución."/>
    <x v="0"/>
    <x v="0"/>
    <n v="9"/>
    <x v="0"/>
    <x v="0"/>
    <x v="1"/>
    <n v="60151086"/>
    <n v="60151086"/>
    <x v="0"/>
    <x v="0"/>
    <x v="0"/>
    <x v="15"/>
    <s v="Oficina de Informática y Telecomunicaciones"/>
    <x v="0"/>
    <s v="José Luis Ariza Vargas (Jefe OIT)"/>
    <x v="5"/>
    <x v="21"/>
    <s v="Implementar y mantener sistemas de información, portales y aplicaciones"/>
    <s v="Índice de capacidad en la prestación de servicios de tecnología."/>
    <n v="336"/>
    <d v="2021-02-22T00:00:00"/>
    <n v="6683454"/>
    <n v="60151086"/>
    <n v="60151086"/>
    <x v="0"/>
    <s v="CLAUDIA MILENA TOVAR"/>
    <n v="0"/>
    <x v="0"/>
    <n v="24505"/>
    <x v="0"/>
    <x v="0"/>
  </r>
  <r>
    <x v="5"/>
    <n v="49"/>
    <x v="8"/>
    <x v="4"/>
    <x v="7"/>
    <x v="0"/>
    <x v="0"/>
    <x v="0"/>
    <x v="3"/>
    <s v="Servicios de soporte técnico o de mesa de ayuda"/>
    <x v="0"/>
    <n v="81111811"/>
    <s v="Prestación de servicios para realizar actividades de operación, soporte de solicitudes, incidentes,  requerimientos  y pruebas técnicas según los niveles de servicio establecidos."/>
    <x v="0"/>
    <x v="0"/>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5"/>
    <n v="56"/>
    <x v="8"/>
    <x v="4"/>
    <x v="7"/>
    <x v="0"/>
    <x v="0"/>
    <x v="0"/>
    <x v="3"/>
    <s v="Servicios de implementación de aplicaciones"/>
    <x v="0"/>
    <n v="81111508"/>
    <s v="Prestación de servicios profesionales para  el soporte, mantenimiento, análisis, diseño  y desarrollo de los componentes web  para la operación del sistema catastral."/>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43"/>
    <d v="2021-02-15T00:00:00"/>
    <n v="7550277"/>
    <n v="67952493"/>
    <n v="67952493"/>
    <x v="0"/>
    <s v="FELIPE ANDRES CADENA MOLANO"/>
    <n v="0"/>
    <x v="0"/>
    <n v="24498"/>
    <x v="0"/>
    <x v="0"/>
  </r>
  <r>
    <x v="5"/>
    <n v="70"/>
    <x v="8"/>
    <x v="4"/>
    <x v="7"/>
    <x v="0"/>
    <x v="0"/>
    <x v="0"/>
    <x v="3"/>
    <s v="Servicios de implementación de aplicaciones"/>
    <x v="0"/>
    <n v="81111508"/>
    <s v="Prestación de servicios profesionales para llevar a cabo la administración y monitoreo de servicios de ti y plataformas basadas en software libre adoptadas por la entidad."/>
    <x v="0"/>
    <x v="0"/>
    <n v="9"/>
    <x v="0"/>
    <x v="0"/>
    <x v="1"/>
    <n v="26476020"/>
    <n v="26476020"/>
    <x v="0"/>
    <x v="0"/>
    <x v="0"/>
    <x v="7"/>
    <s v="Informática y Telecomunicaciones"/>
    <x v="0"/>
    <s v="Jefe Oficina de Informática y Telecomunicaciones"/>
    <x v="5"/>
    <x v="21"/>
    <s v="Implementar y soportar plataforma de TI"/>
    <s v="Índice de capacidad en la prestación de servicios de tecnología."/>
    <n v="408"/>
    <d v="2021-02-25T00:00:00"/>
    <n v="2941780"/>
    <n v="26476020"/>
    <n v="26476020"/>
    <x v="0"/>
    <s v="FERNANDO DAVID VILLANUEVA"/>
    <n v="0"/>
    <x v="0"/>
    <n v="24549"/>
    <x v="0"/>
    <x v="0"/>
  </r>
  <r>
    <x v="5"/>
    <n v="34"/>
    <x v="8"/>
    <x v="4"/>
    <x v="7"/>
    <x v="0"/>
    <x v="0"/>
    <x v="0"/>
    <x v="3"/>
    <s v="Servicios de implementación de aplicaciones"/>
    <x v="0"/>
    <n v="81111508"/>
    <s v="Prestación de servicios profesionales para desarrollar actividades referentes a la gestión y aseguramiento del cumplimiento de la estrategia de gobierno digital."/>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65"/>
    <d v="2021-01-26T00:00:00"/>
    <n v="7550277"/>
    <n v="67952493"/>
    <n v="67952493"/>
    <x v="0"/>
    <s v="GUILLERMO ANTONIO GOMEZ BOLAÑOZ"/>
    <n v="0"/>
    <x v="0"/>
    <n v="24352"/>
    <x v="0"/>
    <x v="0"/>
  </r>
  <r>
    <x v="5"/>
    <n v="43"/>
    <x v="8"/>
    <x v="4"/>
    <x v="7"/>
    <x v="0"/>
    <x v="0"/>
    <x v="0"/>
    <x v="3"/>
    <s v="Servicios de implementación de aplicaciones"/>
    <x v="0"/>
    <n v="81111508"/>
    <s v="Prestación de servicios profesionales para llevar a cabo la operación, monitoreo y soporte técnico a las infraestructuras tecnológicas asignadas por la oficina de informática y telecomunicaciones."/>
    <x v="0"/>
    <x v="0"/>
    <n v="9"/>
    <x v="0"/>
    <x v="0"/>
    <x v="1"/>
    <n v="51820134"/>
    <n v="51820134"/>
    <x v="0"/>
    <x v="0"/>
    <x v="0"/>
    <x v="7"/>
    <s v="Informática y Telecomunicaciones"/>
    <x v="0"/>
    <s v="Jefe Oficina de Informática y Telecomunicaciones"/>
    <x v="5"/>
    <x v="21"/>
    <s v="Implementar y soportar plataforma de TI"/>
    <s v="Índice de capacidad en la prestación de servicios de tecnología."/>
    <n v="295"/>
    <d v="2021-02-11T00:00:00"/>
    <n v="5757792"/>
    <n v="51820134"/>
    <n v="51820134"/>
    <x v="0"/>
    <s v="HERMES  RAMIREZ AROCA"/>
    <n v="0"/>
    <x v="0"/>
    <n v="24464"/>
    <x v="0"/>
    <x v="0"/>
  </r>
  <r>
    <x v="5"/>
    <n v="41"/>
    <x v="8"/>
    <x v="4"/>
    <x v="7"/>
    <x v="0"/>
    <x v="0"/>
    <x v="0"/>
    <x v="3"/>
    <s v="Servicios de implementación de aplicaciones"/>
    <x v="0"/>
    <n v="81111508"/>
    <s v="Prestación de servicios profesionales para implementar, mantener, proponer y aplicar mejoras al sistema de gestión de seguridad de la información del igac"/>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262"/>
    <d v="2021-02-11T00:00:00"/>
    <n v="7550277"/>
    <n v="67952493"/>
    <n v="67952493"/>
    <x v="0"/>
    <s v="ISIS JOHANNA GOMEZ PERALTA"/>
    <n v="0"/>
    <x v="0"/>
    <n v="24483"/>
    <x v="0"/>
    <x v="0"/>
  </r>
  <r>
    <x v="5"/>
    <n v="36"/>
    <x v="8"/>
    <x v="4"/>
    <x v="7"/>
    <x v="0"/>
    <x v="0"/>
    <x v="0"/>
    <x v="3"/>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57"/>
    <d v="2021-01-26T00:00:00"/>
    <n v="7550277"/>
    <n v="67952493"/>
    <n v="67952493"/>
    <x v="0"/>
    <s v="JAIME ENRIQUE CARDENAS"/>
    <n v="0"/>
    <x v="0"/>
    <n v="24346"/>
    <x v="0"/>
    <x v="0"/>
  </r>
  <r>
    <x v="5"/>
    <n v="69"/>
    <x v="8"/>
    <x v="4"/>
    <x v="7"/>
    <x v="0"/>
    <x v="0"/>
    <x v="0"/>
    <x v="3"/>
    <s v="Servicios de implementación de aplicaciones"/>
    <x v="0"/>
    <n v="81111508"/>
    <s v="Prestación de servicios profesionales para gestionar, administrar y operar la infraestructura tecnológica de las plataformas Windows, virtualización y almacenamiento de la entidad."/>
    <x v="0"/>
    <x v="0"/>
    <n v="9"/>
    <x v="0"/>
    <x v="0"/>
    <x v="1"/>
    <n v="67952493"/>
    <n v="67952493"/>
    <x v="0"/>
    <x v="0"/>
    <x v="0"/>
    <x v="7"/>
    <s v="Informática y Telecomunicaciones"/>
    <x v="0"/>
    <s v="Jefe Oficina de Informática y Telecomunicaciones"/>
    <x v="5"/>
    <x v="21"/>
    <s v="Implementar y soportar plataforma de TI"/>
    <s v="Índice de capacidad en la prestación de servicios de tecnología."/>
    <n v="369"/>
    <d v="2021-03-30T00:00:00"/>
    <n v="7550277"/>
    <n v="67952493"/>
    <n v="67952493"/>
    <x v="0"/>
    <s v="JAMES YESID JARAMILLO"/>
    <n v="0"/>
    <x v="0"/>
    <n v="24640"/>
    <x v="0"/>
    <x v="0"/>
  </r>
  <r>
    <x v="5"/>
    <n v="76"/>
    <x v="8"/>
    <x v="4"/>
    <x v="7"/>
    <x v="0"/>
    <x v="0"/>
    <x v="0"/>
    <x v="10"/>
    <s v="Servicios de implementación de aplicaciones"/>
    <x v="0"/>
    <n v="81111508"/>
    <s v="Prestación de servicios profesionales para elaborar las historias de usuarios y prototipado de las funcionalidades requeridas por el instituto."/>
    <x v="1"/>
    <x v="1"/>
    <n v="9"/>
    <x v="0"/>
    <x v="0"/>
    <x v="1"/>
    <n v="51820137"/>
    <n v="51820137"/>
    <x v="0"/>
    <x v="0"/>
    <x v="0"/>
    <x v="15"/>
    <s v="Oficina de Informática y Telecomunicaciones"/>
    <x v="0"/>
    <s v="José Luis Ariza Vargas (Jefe OIT)"/>
    <x v="5"/>
    <x v="21"/>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5"/>
    <n v="63"/>
    <x v="8"/>
    <x v="4"/>
    <x v="7"/>
    <x v="0"/>
    <x v="0"/>
    <x v="0"/>
    <x v="3"/>
    <s v="Servicios de implementación de aplicaciones"/>
    <x v="0"/>
    <n v="81111508"/>
    <s v="Prestación de servicios profesionales para realizar la gestión de la seguridad informática y Perimetral de los sistemas de la entidad."/>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327"/>
    <d v="2021-02-19T00:00:00"/>
    <n v="7550277"/>
    <n v="67952493"/>
    <n v="67952493"/>
    <x v="0"/>
    <s v="JORGE SANDOVAL GONZALEZ"/>
    <n v="0"/>
    <x v="0"/>
    <n v="24488"/>
    <x v="0"/>
    <x v="0"/>
  </r>
  <r>
    <x v="5"/>
    <n v="73"/>
    <x v="8"/>
    <x v="4"/>
    <x v="7"/>
    <x v="0"/>
    <x v="0"/>
    <x v="0"/>
    <x v="1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5"/>
    <n v="74"/>
    <x v="8"/>
    <x v="4"/>
    <x v="7"/>
    <x v="0"/>
    <x v="0"/>
    <x v="0"/>
    <x v="10"/>
    <s v="Servicios de implementación de aplicaciones"/>
    <x v="0"/>
    <n v="81111508"/>
    <s v="Prestación de servicios de apoyo para ejecutar actividades de soporte técnico de primer nivel en la mesa de servicio del Sistema Nacional de Catastro."/>
    <x v="1"/>
    <x v="1"/>
    <n v="5"/>
    <x v="0"/>
    <x v="0"/>
    <x v="1"/>
    <n v="13357415"/>
    <n v="13357415"/>
    <x v="0"/>
    <x v="0"/>
    <x v="0"/>
    <x v="1"/>
    <s v="Oficina de Informática y Telecomunicaciones"/>
    <x v="0"/>
    <s v="José Luis Ariza Vargas (Jefe OIT)"/>
    <x v="1"/>
    <x v="2"/>
    <s v="Ejecutar procesos de actualización catastral a nivel nacional"/>
    <s v="Predios actualizados catastralmente"/>
    <n v="429"/>
    <d v="2021-03-08T00:00:00"/>
    <n v="2671483"/>
    <n v="13357415"/>
    <n v="13357415"/>
    <x v="0"/>
    <s v="LEIDY PAOLA ABRIL CANTOR"/>
    <n v="0"/>
    <x v="0"/>
    <n v="24559"/>
    <x v="0"/>
    <x v="0"/>
  </r>
  <r>
    <x v="5"/>
    <n v="67"/>
    <x v="8"/>
    <x v="4"/>
    <x v="7"/>
    <x v="0"/>
    <x v="0"/>
    <x v="0"/>
    <x v="3"/>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0"/>
    <x v="0"/>
    <n v="9"/>
    <x v="0"/>
    <x v="0"/>
    <x v="1"/>
    <n v="51820134"/>
    <n v="5182013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5"/>
    <n v="75"/>
    <x v="8"/>
    <x v="4"/>
    <x v="7"/>
    <x v="0"/>
    <x v="0"/>
    <x v="0"/>
    <x v="10"/>
    <s v="Servicios de implementación de aplicaciones"/>
    <x v="0"/>
    <n v="81111508"/>
    <s v="Prestación de servicios profesionales para realizar actividades de soporte técnico de segundo nivel en la mesa de servicio del Sistema Nacional de Catastro."/>
    <x v="1"/>
    <x v="1"/>
    <n v="5"/>
    <x v="0"/>
    <x v="0"/>
    <x v="1"/>
    <n v="24882120"/>
    <n v="24882120"/>
    <x v="0"/>
    <x v="0"/>
    <x v="0"/>
    <x v="1"/>
    <s v="Oficina de Informática y Telecomunicaciones"/>
    <x v="0"/>
    <s v="José Luis Ariza Vargas (Jefe OIT)"/>
    <x v="1"/>
    <x v="2"/>
    <s v="Ejecutar procesos de actualización catastral a nivel nacional"/>
    <s v="Predios actualizados catastralmente"/>
    <n v="431"/>
    <d v="2021-03-08T00:00:00"/>
    <n v="4976424"/>
    <n v="24882120"/>
    <n v="24882120"/>
    <x v="0"/>
    <s v="MARCELA PATRICIA HERRAN ALVAREZ"/>
    <n v="0"/>
    <x v="0"/>
    <n v="24561"/>
    <x v="0"/>
    <x v="0"/>
  </r>
  <r>
    <x v="5"/>
    <n v="66"/>
    <x v="8"/>
    <x v="4"/>
    <x v="7"/>
    <x v="0"/>
    <x v="0"/>
    <x v="0"/>
    <x v="3"/>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37"/>
    <d v="2021-02-22T00:00:00"/>
    <n v="7550277"/>
    <n v="67952493"/>
    <n v="67952493"/>
    <x v="0"/>
    <s v="VIRGILIO SANTANDER SOCARRAS"/>
    <n v="0"/>
    <x v="0"/>
    <m/>
    <x v="0"/>
    <x v="0"/>
  </r>
  <r>
    <x v="5"/>
    <n v="88"/>
    <x v="8"/>
    <x v="4"/>
    <x v="7"/>
    <x v="0"/>
    <x v="0"/>
    <x v="0"/>
    <x v="4"/>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484"/>
    <d v="2021-03-17T00:00:00"/>
    <n v="2671483"/>
    <n v="24043347"/>
    <n v="24043347"/>
    <x v="0"/>
    <s v="JOSE GREGORIO MATEUS MALAGON"/>
    <n v="2"/>
    <x v="0"/>
    <n v="24618"/>
    <x v="0"/>
    <x v="0"/>
  </r>
  <r>
    <x v="5"/>
    <n v="59"/>
    <x v="8"/>
    <x v="4"/>
    <x v="7"/>
    <x v="0"/>
    <x v="0"/>
    <x v="0"/>
    <x v="3"/>
    <s v="Servicios de implementación de aplicaciones"/>
    <x v="0"/>
    <n v="81111508"/>
    <s v="Prestación de servicios  para realizar actividades de administración, soporte y monitoreo de las plataformas basadas en software libre adoptadas por la entidad."/>
    <x v="0"/>
    <x v="0"/>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330"/>
    <d v="2021-02-17T00:00:00"/>
    <n v="2671483"/>
    <n v="24043347"/>
    <n v="24043347"/>
    <x v="0"/>
    <s v="JULIAN DAVID TETE MILES"/>
    <n v="2"/>
    <x v="0"/>
    <n v="24490"/>
    <x v="0"/>
    <x v="0"/>
  </r>
  <r>
    <x v="5"/>
    <n v="46"/>
    <x v="8"/>
    <x v="4"/>
    <x v="7"/>
    <x v="0"/>
    <x v="0"/>
    <x v="0"/>
    <x v="3"/>
    <s v="Servicios de soporte técnico o de mesa de ayuda"/>
    <x v="0"/>
    <n v="81111811"/>
    <s v="Prestación de servicios de apoyo para ejecutar actividades de soporte, mantenimiento y monitoreo a la infraestructura tecnológica donde se alojan los servicios web e interoperabilidad de la entidad"/>
    <x v="0"/>
    <x v="0"/>
    <n v="9"/>
    <x v="0"/>
    <x v="0"/>
    <x v="1"/>
    <n v="24043349"/>
    <n v="24043349"/>
    <x v="0"/>
    <x v="0"/>
    <x v="0"/>
    <x v="7"/>
    <s v="Informática y Telecomunicaciones"/>
    <x v="0"/>
    <s v="Jefe Oficina de Informática y Telecomunicaciones"/>
    <x v="5"/>
    <x v="21"/>
    <s v="Implementar y mantener sistemas de información, portales y aplicaciones"/>
    <s v="Índice de capacidad en la prestación de servicios de tecnología."/>
    <n v="46"/>
    <d v="2021-02-11T00:00:00"/>
    <n v="2671483"/>
    <n v="24043347"/>
    <n v="24043347"/>
    <x v="0"/>
    <s v="MIGUEL ANGEL TORRES ROMERO"/>
    <n v="2"/>
    <x v="0"/>
    <n v="24448"/>
    <x v="0"/>
    <x v="0"/>
  </r>
  <r>
    <x v="5"/>
    <n v="53"/>
    <x v="8"/>
    <x v="4"/>
    <x v="7"/>
    <x v="0"/>
    <x v="0"/>
    <x v="0"/>
    <x v="3"/>
    <s v="Servicios de implementación de aplicaciones"/>
    <x v="0"/>
    <n v="81111508"/>
    <s v="Prestación de Servicios Profesionales para realizar actividades de operación, soporte, mantenimiento y monitoreo a las plataformas tecnológicas."/>
    <x v="0"/>
    <x v="0"/>
    <n v="9"/>
    <x v="0"/>
    <x v="0"/>
    <x v="1"/>
    <n v="38371701"/>
    <n v="38371701"/>
    <x v="0"/>
    <x v="0"/>
    <x v="0"/>
    <x v="7"/>
    <s v="Informática y Telecomunicaciones"/>
    <x v="0"/>
    <s v="Jefe Oficina de Informática y Telecomunicaciones"/>
    <x v="5"/>
    <x v="21"/>
    <s v="Implementar y soportar plataforma de TI"/>
    <s v="Índice de capacidad en la prestación de servicios de tecnología."/>
    <n v="277"/>
    <d v="2021-02-11T00:00:00"/>
    <n v="4263522"/>
    <n v="38371698"/>
    <n v="38371698"/>
    <x v="0"/>
    <s v="JUAN CARLOS BEJARANO BAYONA"/>
    <n v="3"/>
    <x v="0"/>
    <n v="24442"/>
    <x v="0"/>
    <x v="0"/>
  </r>
  <r>
    <x v="5"/>
    <n v="60"/>
    <x v="8"/>
    <x v="4"/>
    <x v="7"/>
    <x v="0"/>
    <x v="0"/>
    <x v="0"/>
    <x v="3"/>
    <s v="Servicios de implementación de aplicaciones"/>
    <x v="0"/>
    <n v="81111508"/>
    <s v="Prestación de servicios profesionales para realizar el mantenimiento de la red regulada y el cableado estructurado de la entidad a nivel nacional."/>
    <x v="0"/>
    <x v="0"/>
    <n v="9"/>
    <x v="0"/>
    <x v="0"/>
    <x v="1"/>
    <n v="32762127"/>
    <n v="32762127"/>
    <x v="0"/>
    <x v="0"/>
    <x v="0"/>
    <x v="7"/>
    <s v="Informática y Telecomunicaciones"/>
    <x v="0"/>
    <s v="Jefe Oficina de Informática y Telecomunicaciones"/>
    <x v="5"/>
    <x v="21"/>
    <s v="Implementar y soportar plataforma de TI"/>
    <s v="Índice de capacidad en la prestación de servicios de tecnología."/>
    <n v="334"/>
    <d v="2021-02-17T00:00:00"/>
    <n v="3640236"/>
    <n v="32762124"/>
    <n v="32762124"/>
    <x v="0"/>
    <s v="RUBEN DARIO MARTINEZ MELLIZO"/>
    <n v="3"/>
    <x v="0"/>
    <n v="24493"/>
    <x v="0"/>
    <x v="0"/>
  </r>
  <r>
    <x v="5"/>
    <n v="98"/>
    <x v="8"/>
    <x v="4"/>
    <x v="7"/>
    <x v="0"/>
    <x v="0"/>
    <x v="0"/>
    <x v="6"/>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8"/>
    <x v="8"/>
    <n v="225"/>
    <x v="1"/>
    <x v="0"/>
    <x v="1"/>
    <n v="98376633.599999994"/>
    <n v="98376633.59999999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x v="0"/>
    <s v="ELIAS REINALDO GAMEZ PINILLA"/>
    <n v="3.5999999940395355"/>
    <x v="0"/>
    <n v="24744"/>
    <x v="0"/>
    <x v="0"/>
  </r>
  <r>
    <x v="5"/>
    <n v="64"/>
    <x v="8"/>
    <x v="4"/>
    <x v="7"/>
    <x v="0"/>
    <x v="0"/>
    <x v="0"/>
    <x v="3"/>
    <s v="Servicios de implementación de aplicaciones"/>
    <x v="0"/>
    <n v="81111508"/>
    <s v="Prestación de servicios profesionales para soportar, mantener, analizar, diseñar, desarrollar e integrar componentes de software en el marco de la implementación de la política de catastro multipropósito."/>
    <x v="0"/>
    <x v="0"/>
    <n v="9"/>
    <x v="0"/>
    <x v="0"/>
    <x v="1"/>
    <n v="44787820"/>
    <n v="44787820"/>
    <x v="0"/>
    <x v="0"/>
    <x v="0"/>
    <x v="7"/>
    <s v="Informática y Telecomunicaciones"/>
    <x v="0"/>
    <s v="Jefe Oficina de Informática y Telecomunicaciones"/>
    <x v="5"/>
    <x v="21"/>
    <s v="Implementar y soportar plataforma de TI"/>
    <s v="Índice de capacidad en la prestación de servicios de tecnología."/>
    <n v="339"/>
    <d v="2021-02-19T00:00:00"/>
    <n v="4976424"/>
    <n v="44787816"/>
    <n v="44787816"/>
    <x v="0"/>
    <s v="DIEGO FERNANDO CAICEDO"/>
    <n v="4"/>
    <x v="0"/>
    <n v="24497"/>
    <x v="0"/>
    <x v="0"/>
  </r>
  <r>
    <x v="5"/>
    <n v="52"/>
    <x v="8"/>
    <x v="4"/>
    <x v="7"/>
    <x v="0"/>
    <x v="0"/>
    <x v="0"/>
    <x v="3"/>
    <s v="Servicios de implementación de aplicaciones"/>
    <x v="0"/>
    <n v="81111508"/>
    <s v="Prestación de servicios profesionales  para realizar actividades de  operación, soporte  y desarrollo relacionados con la  gestión del Sistema Nacional de Catastro."/>
    <x v="0"/>
    <x v="0"/>
    <n v="11"/>
    <x v="0"/>
    <x v="0"/>
    <x v="1"/>
    <n v="46898746"/>
    <n v="46898746"/>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5"/>
    <n v="77"/>
    <x v="8"/>
    <x v="4"/>
    <x v="7"/>
    <x v="0"/>
    <x v="0"/>
    <x v="0"/>
    <x v="10"/>
    <s v="Servicios de implementación de aplicaciones"/>
    <x v="0"/>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7"/>
    <s v="Informática y Telecomunicaciones"/>
    <x v="0"/>
    <s v="Jefe Oficina de Informática y Telecomunicaciones"/>
    <x v="5"/>
    <x v="21"/>
    <s v="Implementar y soportar plataforma de TI"/>
    <s v="Índice de capacidad en la prestación de servicios de tecnología."/>
    <n v="452"/>
    <d v="2021-03-15T00:00:00"/>
    <n v="8707976"/>
    <n v="78371784"/>
    <n v="78371784"/>
    <x v="0"/>
    <s v="LUISA FERNANDA CAMACHO"/>
    <n v="4"/>
    <x v="0"/>
    <n v="24586"/>
    <x v="0"/>
    <x v="0"/>
  </r>
  <r>
    <x v="5"/>
    <n v="57"/>
    <x v="8"/>
    <x v="4"/>
    <x v="7"/>
    <x v="0"/>
    <x v="0"/>
    <x v="0"/>
    <x v="3"/>
    <s v="Servicios de implementación de aplicaciones"/>
    <x v="0"/>
    <n v="81111508"/>
    <s v="Prestación de servicios profesionales para gestionar la infraestructura tecnológica, plataforma de inteligencia de negocios y bases de datos de la entidad."/>
    <x v="0"/>
    <x v="0"/>
    <n v="9"/>
    <x v="0"/>
    <x v="0"/>
    <x v="1"/>
    <n v="88787560"/>
    <n v="88787560"/>
    <x v="0"/>
    <x v="0"/>
    <x v="0"/>
    <x v="7"/>
    <s v="Informática y Telecomunicaciones"/>
    <x v="0"/>
    <s v="Jefe Oficina de Informática y Telecomunicaciones"/>
    <x v="5"/>
    <x v="21"/>
    <s v="Implementar y soportar plataforma de TI"/>
    <s v="Índice de capacidad en la prestación de servicios de tecnología."/>
    <n v="293"/>
    <d v="2021-02-16T00:00:00"/>
    <n v="9865284"/>
    <n v="88787556"/>
    <n v="88787556"/>
    <x v="0"/>
    <s v="NESTOR ALONSO ESPITIA DIAZ"/>
    <n v="4"/>
    <x v="0"/>
    <n v="24461"/>
    <x v="0"/>
    <x v="0"/>
  </r>
  <r>
    <x v="5"/>
    <n v="37"/>
    <x v="8"/>
    <x v="4"/>
    <x v="7"/>
    <x v="0"/>
    <x v="0"/>
    <x v="0"/>
    <x v="3"/>
    <s v="Servicios de implementación de aplicaciones"/>
    <x v="0"/>
    <n v="81111508"/>
    <s v="Prestación de servicios profesionales para orientar y realizar la gestión de la infraestructura tecnológica y seguridad informática que soportan los sistemas de la entidad."/>
    <x v="0"/>
    <x v="0"/>
    <n v="9"/>
    <x v="0"/>
    <x v="0"/>
    <x v="1"/>
    <n v="99203332"/>
    <n v="99203332"/>
    <x v="0"/>
    <x v="0"/>
    <x v="0"/>
    <x v="7"/>
    <s v="Informática y Telecomunicaciones"/>
    <x v="0"/>
    <s v="Jefe Oficina de Informática y Telecomunicaciones"/>
    <x v="5"/>
    <x v="21"/>
    <s v="Implementar y soportar plataforma de TI"/>
    <s v="Índice de capacidad en la prestación de servicios de tecnología."/>
    <n v="154"/>
    <d v="2021-01-28T00:00:00"/>
    <n v="11022592"/>
    <n v="99203328"/>
    <n v="99203328"/>
    <x v="0"/>
    <s v="WILMER ESPITIA MUÑOZ"/>
    <n v="4"/>
    <x v="0"/>
    <n v="24332"/>
    <x v="0"/>
    <x v="0"/>
  </r>
  <r>
    <x v="5"/>
    <n v="50"/>
    <x v="8"/>
    <x v="4"/>
    <x v="7"/>
    <x v="1"/>
    <x v="1"/>
    <x v="0"/>
    <x v="3"/>
    <s v="Servicios de implementación de aplicaciones"/>
    <x v="0"/>
    <n v="81111508"/>
    <s v="Prestación de servicios de apoyo para ejecutar actividades de soporte técnico en la mesa de servicio del Sistema Nacional Catastro."/>
    <x v="0"/>
    <x v="0"/>
    <n v="11"/>
    <x v="0"/>
    <x v="0"/>
    <x v="1"/>
    <n v="58772631"/>
    <n v="58772631"/>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1"/>
    <x v="0"/>
  </r>
  <r>
    <x v="5"/>
    <n v="38"/>
    <x v="8"/>
    <x v="4"/>
    <x v="7"/>
    <x v="1"/>
    <x v="1"/>
    <x v="0"/>
    <x v="3"/>
    <s v="Servicios de implementación de aplicaciones"/>
    <x v="0"/>
    <n v="81111508"/>
    <s v="Prestación de servicios profesionales para  soportar, mantener  y desarrollar componentes de software de los sistemas de información de la entidad."/>
    <x v="0"/>
    <x v="0"/>
    <n v="9"/>
    <x v="0"/>
    <x v="0"/>
    <x v="1"/>
    <n v="156743575"/>
    <n v="156743575"/>
    <x v="0"/>
    <x v="1"/>
    <x v="0"/>
    <x v="7"/>
    <s v="Informática y Telecomunicaciones"/>
    <x v="0"/>
    <s v="Jefe Oficina de Informática y Telecomunicaciones"/>
    <x v="5"/>
    <x v="21"/>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1"/>
    <x v="0"/>
  </r>
  <r>
    <x v="5"/>
    <n v="35"/>
    <x v="8"/>
    <x v="4"/>
    <x v="7"/>
    <x v="0"/>
    <x v="0"/>
    <x v="0"/>
    <x v="3"/>
    <s v="Servicios de implementación de aplicaciones"/>
    <x v="0"/>
    <n v="81111508"/>
    <s v="Prestación de servicios profesionales para orientar y realizar las actividades de soporte técnico de las plataformas de la oficina de informática y telecomunicaciones"/>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162"/>
    <d v="2021-01-26T00:00:00"/>
    <n v="6683453"/>
    <n v="60151077"/>
    <n v="60151077"/>
    <x v="0"/>
    <s v="HENRY MAURICIO ROJAS PINEDA"/>
    <n v="7"/>
    <x v="0"/>
    <n v="24348"/>
    <x v="0"/>
    <x v="0"/>
  </r>
  <r>
    <x v="5"/>
    <n v="48"/>
    <x v="8"/>
    <x v="4"/>
    <x v="7"/>
    <x v="3"/>
    <x v="3"/>
    <x v="0"/>
    <x v="3"/>
    <s v="Servicios de soporte técnico o de mesa de ayuda"/>
    <x v="0"/>
    <n v="81111811"/>
    <s v="Prestación de servicios para realizar actividades de  operación, soporte  de solicitudes, incidentes y requerimientos  según los niveles de servicio establecidos."/>
    <x v="0"/>
    <x v="0"/>
    <n v="9"/>
    <x v="0"/>
    <x v="0"/>
    <x v="1"/>
    <n v="120216744"/>
    <n v="120216744"/>
    <x v="0"/>
    <x v="3"/>
    <x v="0"/>
    <x v="7"/>
    <s v="Informática y Telecomunicaciones"/>
    <x v="0"/>
    <s v="Jefe Oficina de Informática y Telecomunicaciones"/>
    <x v="5"/>
    <x v="21"/>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3"/>
    <x v="0"/>
  </r>
  <r>
    <x v="5"/>
    <n v="51"/>
    <x v="8"/>
    <x v="4"/>
    <x v="7"/>
    <x v="0"/>
    <x v="0"/>
    <x v="0"/>
    <x v="3"/>
    <s v="Servicios de implementación de aplicaciones"/>
    <x v="0"/>
    <n v="81111508"/>
    <s v="Prestación de servicios profesionales para desarrollar, administrar y dar soporte a los componentes de los portales web y micro sitios de la entidad."/>
    <x v="0"/>
    <x v="0"/>
    <n v="9"/>
    <x v="0"/>
    <x v="0"/>
    <x v="1"/>
    <n v="51820134"/>
    <n v="51820134"/>
    <x v="0"/>
    <x v="0"/>
    <x v="0"/>
    <x v="7"/>
    <s v="Informática y Telecomunicaciones"/>
    <x v="0"/>
    <s v="Jefe Oficina de Informática y Telecomunicaciones"/>
    <x v="5"/>
    <x v="21"/>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5"/>
    <n v="40"/>
    <x v="8"/>
    <x v="4"/>
    <x v="7"/>
    <x v="0"/>
    <x v="0"/>
    <x v="0"/>
    <x v="3"/>
    <s v="Servicios de implementación de aplicaciones"/>
    <x v="0"/>
    <n v="81111508"/>
    <s v="Prestación de servicios profesionales para gestionar, administrar y monitorear la red regulada y el cableado estructurado de la entidad a nivel nacional."/>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269"/>
    <d v="2021-02-11T00:00:00"/>
    <n v="6683454"/>
    <n v="59928304"/>
    <n v="59928304"/>
    <x v="0"/>
    <s v="LEONARDO LIZARAZO SIERRA"/>
    <n v="222780"/>
    <x v="0"/>
    <n v="24452"/>
    <x v="0"/>
    <x v="0"/>
  </r>
  <r>
    <x v="5"/>
    <n v="54"/>
    <x v="8"/>
    <x v="4"/>
    <x v="7"/>
    <x v="1"/>
    <x v="1"/>
    <x v="0"/>
    <x v="3"/>
    <s v="Servicios de implementación de aplicaciones"/>
    <x v="0"/>
    <n v="81111508"/>
    <s v="Prestación de servicios profesionales para analizar y desarrollar componentes de software en plataforma ORACLE."/>
    <x v="0"/>
    <x v="0"/>
    <n v="9"/>
    <x v="0"/>
    <x v="0"/>
    <x v="1"/>
    <n v="120302167"/>
    <n v="120302167"/>
    <x v="0"/>
    <x v="1"/>
    <x v="0"/>
    <x v="7"/>
    <s v="Informática y Telecomunicaciones"/>
    <x v="0"/>
    <s v="Jefe Oficina de Informática y Telecomunicaciones"/>
    <x v="5"/>
    <x v="21"/>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1"/>
    <x v="0"/>
  </r>
  <r>
    <x v="5"/>
    <n v="92"/>
    <x v="8"/>
    <x v="4"/>
    <x v="7"/>
    <x v="0"/>
    <x v="0"/>
    <x v="0"/>
    <x v="8"/>
    <s v="Servicios de implementación de aplicaciones"/>
    <x v="0"/>
    <n v="81111508"/>
    <s v="Prestación de servicios profesionales para configurar, administrar, gestionar, monitorear y soportar las bases de datos de la entidad."/>
    <x v="7"/>
    <x v="7"/>
    <n v="255"/>
    <x v="1"/>
    <x v="0"/>
    <x v="1"/>
    <n v="74017796"/>
    <n v="74017796"/>
    <x v="0"/>
    <x v="0"/>
    <x v="0"/>
    <x v="15"/>
    <s v="Oficina de Informática y Telecomunicaciones"/>
    <x v="0"/>
    <s v="José Luis Ariza Vargas (Jefe OIT)"/>
    <x v="5"/>
    <x v="21"/>
    <s v="Establecer la estratégia y gobierno de TI"/>
    <s v="Índice de capacidad en la prestación de servicios de tecnología."/>
    <n v="531"/>
    <d v="2021-04-15T00:00:00"/>
    <n v="8707976"/>
    <n v="73146998"/>
    <n v="73146998"/>
    <x v="0"/>
    <s v="LUIS ALEXANDER DUARTE PAREJA"/>
    <n v="870798"/>
    <x v="0"/>
    <n v="24675"/>
    <x v="0"/>
    <x v="0"/>
  </r>
  <r>
    <x v="5"/>
    <n v="47"/>
    <x v="8"/>
    <x v="4"/>
    <x v="7"/>
    <x v="0"/>
    <x v="0"/>
    <x v="0"/>
    <x v="3"/>
    <s v="Servicios de implementación de aplicaciones"/>
    <x v="0"/>
    <n v="81111508"/>
    <s v="Prestación de servicios profesionales para especificar, mantener y/o desarrollar funcionalidades para el sistema de captura de información en campo y ajustes a los sistemas de información de la entidad"/>
    <x v="0"/>
    <x v="0"/>
    <n v="11"/>
    <x v="0"/>
    <x v="0"/>
    <x v="1"/>
    <n v="63335720"/>
    <n v="63335720"/>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5"/>
    <n v="44"/>
    <x v="8"/>
    <x v="4"/>
    <x v="7"/>
    <x v="0"/>
    <x v="0"/>
    <x v="0"/>
    <x v="3"/>
    <s v="Servicios de implementación de aplicaciones"/>
    <x v="0"/>
    <n v="81111508"/>
    <s v="Prestación de servicios profesionales para diseñar, construir y mantener  nuevas funcionalidades   en PL/SQL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5"/>
    <n v="42"/>
    <x v="8"/>
    <x v="4"/>
    <x v="7"/>
    <x v="0"/>
    <x v="0"/>
    <x v="0"/>
    <x v="3"/>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5"/>
    <n v="97"/>
    <x v="8"/>
    <x v="4"/>
    <x v="7"/>
    <x v="0"/>
    <x v="0"/>
    <x v="0"/>
    <x v="6"/>
    <s v="Servicios de implementación de aplicaciones"/>
    <x v="0"/>
    <n v="81111508"/>
    <s v="Prestación de servicios profesionales para soportar, mantener, desarrollar y documentar los componentes de software de los sistemas de información requeridos por el Instituto."/>
    <x v="8"/>
    <x v="8"/>
    <n v="8"/>
    <x v="0"/>
    <x v="0"/>
    <x v="1"/>
    <n v="69663808"/>
    <n v="69663808"/>
    <x v="0"/>
    <x v="0"/>
    <x v="0"/>
    <x v="15"/>
    <s v="Oficina de Informática y Telecomunicaciones"/>
    <x v="0"/>
    <s v="José Luis Ariza Vargas (Jefe OIT)"/>
    <x v="10"/>
    <x v="21"/>
    <s v="Implementar y mantener sistemas de información, portales y aplicaciones"/>
    <s v="Índice de capacidad en la prestación de servicios de tecnología."/>
    <n v="592"/>
    <d v="2021-05-18T00:00:00"/>
    <n v="8707976"/>
    <n v="65309819.999999993"/>
    <n v="65309819.999999993"/>
    <x v="0"/>
    <s v="DARZEE YULI TORRES MORALES"/>
    <n v="4353988.0000000075"/>
    <x v="0"/>
    <n v="24751"/>
    <x v="0"/>
    <x v="0"/>
  </r>
  <r>
    <x v="5"/>
    <n v="45"/>
    <x v="8"/>
    <x v="4"/>
    <x v="7"/>
    <x v="1"/>
    <x v="1"/>
    <x v="0"/>
    <x v="3"/>
    <s v="Servicios de implementación de aplicaciones"/>
    <x v="0"/>
    <n v="81111508"/>
    <s v="Prestación de servicios profesionales para realizar actividades de soporte técnico y temático de los sistemas de información para la operación del Sistema Nacional de Catastro."/>
    <x v="0"/>
    <x v="0"/>
    <n v="11"/>
    <x v="0"/>
    <x v="0"/>
    <x v="1"/>
    <n v="109481337"/>
    <n v="109481337"/>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1"/>
    <x v="0"/>
  </r>
  <r>
    <x v="5"/>
    <n v="65"/>
    <x v="8"/>
    <x v="4"/>
    <x v="7"/>
    <x v="0"/>
    <x v="0"/>
    <x v="0"/>
    <x v="3"/>
    <s v="Servicios de implementación de aplicaciones"/>
    <x v="0"/>
    <n v="81111508"/>
    <s v="Prestación de servicios profesionales para orientar y ejecutar  las tareas de análisis y diseño en la construcción de los sistemas de información para la operación del Sistema Nacional de Catastro."/>
    <x v="0"/>
    <x v="0"/>
    <n v="11"/>
    <x v="0"/>
    <x v="0"/>
    <x v="1"/>
    <n v="73517991"/>
    <n v="7351799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5"/>
    <n v="55"/>
    <x v="8"/>
    <x v="4"/>
    <x v="7"/>
    <x v="0"/>
    <x v="0"/>
    <x v="0"/>
    <x v="3"/>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0"/>
    <x v="0"/>
    <n v="11"/>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5"/>
    <n v="61"/>
    <x v="8"/>
    <x v="4"/>
    <x v="7"/>
    <x v="0"/>
    <x v="0"/>
    <x v="0"/>
    <x v="3"/>
    <s v="Servicios de implementación de aplicaciones"/>
    <x v="0"/>
    <n v="81111508"/>
    <s v="Prestación de servicios profesionales para orientar y ejecutar actividades relacionadas con el componente geográfico de los sistemas de información y para la operación del Sistema Nacional de Catastro."/>
    <x v="0"/>
    <x v="0"/>
    <n v="11"/>
    <x v="0"/>
    <x v="0"/>
    <x v="1"/>
    <n v="108518129"/>
    <n v="108518129"/>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5"/>
    <n v="72"/>
    <x v="8"/>
    <x v="4"/>
    <x v="7"/>
    <x v="0"/>
    <x v="0"/>
    <x v="0"/>
    <x v="1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5"/>
    <n v="71"/>
    <x v="8"/>
    <x v="4"/>
    <x v="7"/>
    <x v="0"/>
    <x v="0"/>
    <x v="0"/>
    <x v="10"/>
    <s v="Servicios de implementación de aplicaciones"/>
    <x v="0"/>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5"/>
    <m/>
    <x v="8"/>
    <x v="4"/>
    <x v="7"/>
    <x v="0"/>
    <x v="5"/>
    <x v="1"/>
    <x v="7"/>
    <s v="Servicios de implementación de aplicaciones"/>
    <x v="0"/>
    <n v="81111508"/>
    <s v="Prestación de servicios profesionales para soportar, mantener, analizar, diseñar, desarrollar e integrar componentes de software para el instituto."/>
    <x v="5"/>
    <x v="5"/>
    <n v="195"/>
    <x v="1"/>
    <x v="0"/>
    <x v="1"/>
    <n v="39811392"/>
    <n v="39811392"/>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m/>
    <x v="8"/>
    <x v="4"/>
    <x v="7"/>
    <x v="0"/>
    <x v="5"/>
    <x v="1"/>
    <x v="5"/>
    <s v="Servicios de implementación de aplicaciones"/>
    <x v="0"/>
    <n v="81111508"/>
    <s v="Prestación de servicios profesionales para implementar, mantener, proponer y aplicar mejoras al sistema de gestión de seguridad de la información del IGAC"/>
    <x v="5"/>
    <x v="5"/>
    <n v="7"/>
    <x v="0"/>
    <x v="0"/>
    <x v="1"/>
    <n v="77158144"/>
    <n v="77158144"/>
    <x v="0"/>
    <x v="0"/>
    <x v="0"/>
    <x v="15"/>
    <s v="Oficina de Informática y Telecomunicaciones"/>
    <x v="0"/>
    <s v="Guillermo Gómez Gómez (Jefe OIT)"/>
    <x v="5"/>
    <x v="21"/>
    <s v="Implementar el sistema de gestión de seguridad de la información "/>
    <s v="Índice de capacidad en la prestación de servicios de tecnología."/>
    <m/>
    <m/>
    <e v="#N/A"/>
    <e v="#N/A"/>
    <e v="#N/A"/>
    <x v="1"/>
    <m/>
    <n v="0"/>
    <x v="0"/>
    <m/>
    <x v="5"/>
    <x v="1"/>
  </r>
  <r>
    <x v="5"/>
    <m/>
    <x v="8"/>
    <x v="4"/>
    <x v="7"/>
    <x v="0"/>
    <x v="5"/>
    <x v="1"/>
    <x v="6"/>
    <s v="Servicios de alquiler o arrendamiento de licencias de software de computador"/>
    <x v="0"/>
    <n v="81112500"/>
    <s v="Adquisición de productos y servicios Microsoft"/>
    <x v="4"/>
    <x v="4"/>
    <n v="12"/>
    <x v="0"/>
    <x v="5"/>
    <x v="0"/>
    <n v="1454161872.5999999"/>
    <n v="1454161872.5999999"/>
    <x v="0"/>
    <x v="0"/>
    <x v="0"/>
    <x v="15"/>
    <s v="Oficina de Informática y Telecomunicaciones"/>
    <x v="0"/>
    <s v="José Luis Ariza Vargas (Jefe OIT)"/>
    <x v="5"/>
    <x v="21"/>
    <s v="Implementar y soportar plataformas de TI"/>
    <s v="Índice de capacidad en la prestación de servicios de tecnología."/>
    <m/>
    <m/>
    <e v="#N/A"/>
    <e v="#N/A"/>
    <e v="#N/A"/>
    <x v="1"/>
    <m/>
    <n v="0"/>
    <x v="0"/>
    <m/>
    <x v="5"/>
    <x v="1"/>
  </r>
  <r>
    <x v="5"/>
    <m/>
    <x v="8"/>
    <x v="4"/>
    <x v="7"/>
    <x v="0"/>
    <x v="5"/>
    <x v="1"/>
    <x v="7"/>
    <s v="Ingeniería de software o hardware"/>
    <x v="0"/>
    <n v="81111500"/>
    <s v="Contratar los servicios de soporte técnicoproactivo, reactivo, de configuración, actualización, afinamiento y parametrización para productos ORACLE con los que cuenta el IGAC."/>
    <x v="5"/>
    <x v="5"/>
    <n v="3"/>
    <x v="0"/>
    <x v="5"/>
    <x v="0"/>
    <n v="162242850"/>
    <n v="162242850"/>
    <x v="0"/>
    <x v="0"/>
    <x v="0"/>
    <x v="15"/>
    <s v="Oficina de Informática y Telecomunicaciones"/>
    <x v="0"/>
    <s v="Guillermo Gómez Gómez (Jefe OIT)"/>
    <x v="10"/>
    <x v="21"/>
    <s v="Implementar y mantener sistemas de información, portales y aplicaciones"/>
    <s v="índice de capacidad en la prestación de servicios de tecnología."/>
    <m/>
    <m/>
    <e v="#N/A"/>
    <e v="#N/A"/>
    <e v="#N/A"/>
    <x v="1"/>
    <m/>
    <n v="0"/>
    <x v="0"/>
    <m/>
    <x v="5"/>
    <x v="1"/>
  </r>
  <r>
    <x v="5"/>
    <m/>
    <x v="8"/>
    <x v="4"/>
    <x v="7"/>
    <x v="0"/>
    <x v="5"/>
    <x v="1"/>
    <x v="7"/>
    <s v="Servicio de mantenimiento de energía de emergencia o de reserva"/>
    <x v="0"/>
    <n v="72151514"/>
    <s v="Mantenimiento preventivo y correctivo de UPS en las direcciones territoriales del IGAC"/>
    <x v="5"/>
    <x v="5"/>
    <n v="6"/>
    <x v="0"/>
    <x v="2"/>
    <x v="0"/>
    <n v="60000000"/>
    <n v="60000000"/>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n v="78"/>
    <x v="8"/>
    <x v="4"/>
    <x v="7"/>
    <x v="0"/>
    <x v="0"/>
    <x v="0"/>
    <x v="3"/>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5"/>
    <n v="81"/>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5"/>
    <n v="79"/>
    <x v="8"/>
    <x v="4"/>
    <x v="7"/>
    <x v="0"/>
    <x v="0"/>
    <x v="0"/>
    <x v="3"/>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5"/>
    <n v="80"/>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5"/>
    <n v="24"/>
    <x v="8"/>
    <x v="4"/>
    <x v="7"/>
    <x v="0"/>
    <x v="0"/>
    <x v="0"/>
    <x v="3"/>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2"/>
    <x v="2"/>
    <n v="345"/>
    <x v="1"/>
    <x v="0"/>
    <x v="2"/>
    <n v="116150000"/>
    <n v="116150000"/>
    <x v="0"/>
    <x v="0"/>
    <x v="0"/>
    <x v="16"/>
    <s v="Informática y Telecomunicaciones"/>
    <x v="0"/>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60"/>
    <n v="751362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70"/>
    <n v="7513627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80"/>
    <n v="7513628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90"/>
    <n v="7513629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300"/>
    <n v="751363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la construcción de un nuevo sistema de información nacional catastral, requerido por el IGAC"/>
    <x v="6"/>
    <x v="10"/>
    <n v="12"/>
    <x v="0"/>
    <x v="4"/>
    <x v="2"/>
    <n v="9000000000"/>
    <n v="90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el Análisis, Diseño, Desarrollo, pruebas y puesta en producción del Repositorio de Datos Maestro RDM, requerido por el IGAC."/>
    <x v="6"/>
    <x v="10"/>
    <n v="12"/>
    <x v="0"/>
    <x v="4"/>
    <x v="2"/>
    <n v="3387012110"/>
    <n v="338701211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Cartografía"/>
    <x v="0"/>
    <n v="81151600"/>
    <s v="Renovar los servicios de software update support y Oracle premie support for systems"/>
    <x v="4"/>
    <x v="3"/>
    <n v="12"/>
    <x v="0"/>
    <x v="4"/>
    <x v="2"/>
    <n v="2200000000"/>
    <n v="22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Adquirir e implementar una solución integral de comunicaciones, gestionada por software que contemple equipos de redes LAN y WLAN, con soporte y mantenimiento preventivo y correctivo para la entidad a nivel nacional."/>
    <x v="5"/>
    <x v="3"/>
    <n v="6"/>
    <x v="0"/>
    <x v="4"/>
    <x v="2"/>
    <n v="5000000000"/>
    <n v="5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Diseño del intercambio electrónico de datos (ied)"/>
    <x v="1"/>
    <n v="81111703"/>
    <s v="Adquirir el suministro, instalación y configuración de una solución integral de gestión de copias de respaldo para las diferentes plataformas de la entidad, con soporte preventivo  y correctivo."/>
    <x v="5"/>
    <x v="3"/>
    <n v="6"/>
    <x v="0"/>
    <x v="4"/>
    <x v="2"/>
    <n v="3000000000"/>
    <n v="3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Mantenimiento de sistemas de almacenamiento de discos"/>
    <x v="1"/>
    <n v="81112301"/>
    <s v="Adquirir servicio de outsourcing para la mesa de servicios y los componentes de impresión, escáner para la digitalización de documentos, plotter y equipos de computo, con los respectivos mantenimientos preventivos y correctivos."/>
    <x v="5"/>
    <x v="3"/>
    <n v="3"/>
    <x v="0"/>
    <x v="4"/>
    <x v="2"/>
    <n v="4000000000"/>
    <n v="4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n v="29"/>
    <x v="9"/>
    <x v="4"/>
    <x v="8"/>
    <x v="0"/>
    <x v="0"/>
    <x v="0"/>
    <x v="3"/>
    <s v="Servicios secretariales o de administración de oficinas  "/>
    <x v="0"/>
    <n v="80161501"/>
    <s v="Prestación de servicios profesionales en el área penal, actuando en representación y defensa del IGAC a nivel Nacional."/>
    <x v="2"/>
    <x v="2"/>
    <n v="11"/>
    <x v="0"/>
    <x v="0"/>
    <x v="1"/>
    <n v="83053047"/>
    <n v="83053047"/>
    <x v="0"/>
    <x v="0"/>
    <x v="1"/>
    <x v="17"/>
    <s v="Oficina Asesora Jurídica"/>
    <x v="0"/>
    <s v="Jefe Oficina Asesora Jurídica"/>
    <x v="4"/>
    <x v="7"/>
    <s v="N/A"/>
    <s v="N/A"/>
    <n v="117"/>
    <d v="2021-01-26T00:00:00"/>
    <n v="7550277"/>
    <n v="83053047"/>
    <n v="83053047"/>
    <x v="0"/>
    <s v="ALDEMAR GUARNIZO GARCÍA"/>
    <n v="0"/>
    <x v="0"/>
    <n v="24262"/>
    <x v="0"/>
    <x v="0"/>
  </r>
  <r>
    <x v="5"/>
    <n v="11"/>
    <x v="9"/>
    <x v="4"/>
    <x v="8"/>
    <x v="0"/>
    <x v="0"/>
    <x v="0"/>
    <x v="3"/>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2"/>
    <x v="2"/>
    <n v="11"/>
    <x v="0"/>
    <x v="0"/>
    <x v="1"/>
    <n v="269654000"/>
    <n v="269654000"/>
    <x v="0"/>
    <x v="0"/>
    <x v="1"/>
    <x v="17"/>
    <s v="Oficina Asesora Jurídica"/>
    <x v="0"/>
    <s v="Jefe Oficina Asesora Jurídica"/>
    <x v="4"/>
    <x v="7"/>
    <s v="N/A"/>
    <s v="N/A"/>
    <n v="36"/>
    <d v="2021-01-14T00:00:00"/>
    <n v="24514000"/>
    <n v="269654000"/>
    <n v="269654000"/>
    <x v="0"/>
    <s v="CARLOS EDUARDO MEDELLIN BECERRA"/>
    <n v="0"/>
    <x v="0"/>
    <n v="24197"/>
    <x v="0"/>
    <x v="0"/>
  </r>
  <r>
    <x v="5"/>
    <n v="27"/>
    <x v="9"/>
    <x v="4"/>
    <x v="8"/>
    <x v="0"/>
    <x v="0"/>
    <x v="0"/>
    <x v="3"/>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2"/>
    <x v="2"/>
    <n v="11"/>
    <x v="0"/>
    <x v="0"/>
    <x v="1"/>
    <n v="73517994"/>
    <n v="73517994"/>
    <x v="0"/>
    <x v="0"/>
    <x v="0"/>
    <x v="7"/>
    <s v="Oficina Asesora Jurídica"/>
    <x v="0"/>
    <s v="Jefe Oficina Asesora de Planeación"/>
    <x v="5"/>
    <x v="9"/>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5"/>
    <n v="26"/>
    <x v="9"/>
    <x v="4"/>
    <x v="8"/>
    <x v="0"/>
    <x v="0"/>
    <x v="0"/>
    <x v="3"/>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2"/>
    <x v="2"/>
    <n v="11"/>
    <x v="0"/>
    <x v="0"/>
    <x v="1"/>
    <n v="95787741"/>
    <n v="95787741"/>
    <x v="0"/>
    <x v="0"/>
    <x v="1"/>
    <x v="17"/>
    <s v="Oficina Asesora Jurídica"/>
    <x v="0"/>
    <s v="Jefe Oficina Asesora Jurídica"/>
    <x v="4"/>
    <x v="7"/>
    <s v="N/A"/>
    <s v="N/A"/>
    <n v="148"/>
    <d v="2021-01-26T00:00:00"/>
    <n v="8707975"/>
    <n v="95787736"/>
    <n v="95787736"/>
    <x v="0"/>
    <s v="DIANA KARIME VELEZ GONAZALE"/>
    <n v="5"/>
    <x v="0"/>
    <n v="24287"/>
    <x v="0"/>
    <x v="0"/>
  </r>
  <r>
    <x v="5"/>
    <n v="31"/>
    <x v="9"/>
    <x v="4"/>
    <x v="8"/>
    <x v="0"/>
    <x v="0"/>
    <x v="0"/>
    <x v="3"/>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2"/>
    <x v="2"/>
    <n v="11"/>
    <x v="0"/>
    <x v="0"/>
    <x v="1"/>
    <n v="95787741"/>
    <n v="95787741"/>
    <x v="0"/>
    <x v="0"/>
    <x v="1"/>
    <x v="17"/>
    <s v="Oficina Asesora Jurídica"/>
    <x v="0"/>
    <s v="Jefe Oficina Asesora Jurídica"/>
    <x v="4"/>
    <x v="7"/>
    <s v="N/A"/>
    <s v="N/A"/>
    <n v="147"/>
    <d v="2021-01-26T00:00:00"/>
    <n v="8707976"/>
    <n v="95787736"/>
    <n v="95787736"/>
    <x v="0"/>
    <s v="JULIO CESAR AMAYA MENDEZ"/>
    <n v="5"/>
    <x v="0"/>
    <n v="24286"/>
    <x v="0"/>
    <x v="0"/>
  </r>
  <r>
    <x v="5"/>
    <n v="32"/>
    <x v="9"/>
    <x v="4"/>
    <x v="8"/>
    <x v="0"/>
    <x v="0"/>
    <x v="0"/>
    <x v="3"/>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2"/>
    <x v="2"/>
    <n v="11"/>
    <x v="0"/>
    <x v="0"/>
    <x v="1"/>
    <n v="95787741"/>
    <n v="95787741"/>
    <x v="0"/>
    <x v="0"/>
    <x v="1"/>
    <x v="17"/>
    <s v="Oficina Asesora Jurídica"/>
    <x v="0"/>
    <s v="Jefe Oficina Asesora Jurídica"/>
    <x v="4"/>
    <x v="7"/>
    <s v="N/A"/>
    <s v="N/A"/>
    <n v="138"/>
    <d v="2021-01-26T00:00:00"/>
    <n v="8707976"/>
    <n v="95787736"/>
    <n v="95787736"/>
    <x v="0"/>
    <s v="LAURA VILLARRAGA ALBINO,"/>
    <n v="5"/>
    <x v="0"/>
    <n v="24271"/>
    <x v="0"/>
    <x v="0"/>
  </r>
  <r>
    <x v="5"/>
    <n v="28"/>
    <x v="9"/>
    <x v="4"/>
    <x v="8"/>
    <x v="0"/>
    <x v="0"/>
    <x v="0"/>
    <x v="3"/>
    <s v="Servicios secretariales o de administración de oficinas  "/>
    <x v="0"/>
    <n v="80161501"/>
    <s v="Prestación de servicios profesionales en los asuntos legales y contractuales que le sean asignados por la Oficina Asesora Jurídica."/>
    <x v="2"/>
    <x v="2"/>
    <n v="11"/>
    <x v="0"/>
    <x v="0"/>
    <x v="0"/>
    <n v="121248517"/>
    <n v="121248517"/>
    <x v="0"/>
    <x v="0"/>
    <x v="1"/>
    <x v="17"/>
    <s v="Oficina Asesora Jurídica"/>
    <x v="0"/>
    <s v="Jefe Oficina Asesora Jurídica"/>
    <x v="4"/>
    <x v="7"/>
    <s v="N/A"/>
    <s v="N/A"/>
    <n v="125"/>
    <d v="2021-01-26T00:00:00"/>
    <n v="11022592"/>
    <n v="121248512"/>
    <n v="121248512"/>
    <x v="0"/>
    <s v="LUZ ÁNGELA VILLALBA PACHÓ"/>
    <n v="5"/>
    <x v="0"/>
    <n v="24263"/>
    <x v="0"/>
    <x v="0"/>
  </r>
  <r>
    <x v="5"/>
    <n v="30"/>
    <x v="9"/>
    <x v="4"/>
    <x v="8"/>
    <x v="0"/>
    <x v="0"/>
    <x v="0"/>
    <x v="3"/>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2"/>
    <x v="2"/>
    <n v="8"/>
    <x v="0"/>
    <x v="0"/>
    <x v="1"/>
    <n v="60678706"/>
    <n v="60678706"/>
    <x v="0"/>
    <x v="0"/>
    <x v="1"/>
    <x v="17"/>
    <s v="Oficina Asesora Jurídica"/>
    <x v="0"/>
    <s v="Jefe Oficina Asesora Jurídica"/>
    <x v="4"/>
    <x v="7"/>
    <s v="N/A"/>
    <s v="N/A"/>
    <n v="146"/>
    <d v="2021-01-26T00:00:00"/>
    <n v="7550277"/>
    <n v="60402216"/>
    <n v="60402216"/>
    <x v="0"/>
    <s v="SANDRA MAGALLY SALGADO LEYV"/>
    <n v="276490"/>
    <x v="0"/>
    <n v="24285"/>
    <x v="0"/>
    <x v="0"/>
  </r>
  <r>
    <x v="5"/>
    <n v="33"/>
    <x v="9"/>
    <x v="4"/>
    <x v="8"/>
    <x v="1"/>
    <x v="1"/>
    <x v="0"/>
    <x v="3"/>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2"/>
    <x v="2"/>
    <n v="8"/>
    <x v="0"/>
    <x v="0"/>
    <x v="1"/>
    <n v="121357412"/>
    <n v="121357412"/>
    <x v="0"/>
    <x v="1"/>
    <x v="1"/>
    <x v="17"/>
    <s v="Oficina Asesora Jurídica"/>
    <x v="0"/>
    <s v="Jefe Oficina Asesora Jurídica"/>
    <x v="4"/>
    <x v="7"/>
    <s v="N/A"/>
    <s v="N/A"/>
    <n v="128"/>
    <d v="2021-01-26T00:00:00"/>
    <n v="7550277"/>
    <n v="60402216"/>
    <n v="120804432"/>
    <x v="0"/>
    <s v="ENIRQUE LESMES RODRIGUEZ_x000a_CAROLINA CARDONA BUENO"/>
    <n v="552980"/>
    <x v="0"/>
    <s v="24267_x000a_24268"/>
    <x v="1"/>
    <x v="0"/>
  </r>
  <r>
    <x v="5"/>
    <n v="18"/>
    <x v="10"/>
    <x v="4"/>
    <x v="9"/>
    <x v="0"/>
    <x v="0"/>
    <x v="0"/>
    <x v="3"/>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0"/>
    <x v="0"/>
    <n v="11"/>
    <x v="0"/>
    <x v="0"/>
    <x v="1"/>
    <n v="83053047"/>
    <n v="83053047"/>
    <x v="0"/>
    <x v="0"/>
    <x v="0"/>
    <x v="7"/>
    <s v="Oficina Asesora de Planeación"/>
    <x v="0"/>
    <s v="Jefe Oficina Asesora de Planeación"/>
    <x v="5"/>
    <x v="8"/>
    <s v="Actualizar e implementar los planes de trabajo y/o mejoramiento anual"/>
    <s v="Sistema de Gestión implementado_x000a_"/>
    <n v="95"/>
    <d v="2021-01-19T00:00:00"/>
    <n v="7550277"/>
    <n v="83053047"/>
    <n v="83053047"/>
    <x v="0"/>
    <s v="DAVID LEONARDO CARO PEDREROS"/>
    <n v="0"/>
    <x v="0"/>
    <n v="24295"/>
    <x v="0"/>
    <x v="0"/>
  </r>
  <r>
    <x v="5"/>
    <n v="21"/>
    <x v="10"/>
    <x v="4"/>
    <x v="9"/>
    <x v="2"/>
    <x v="2"/>
    <x v="0"/>
    <x v="3"/>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0"/>
    <x v="0"/>
    <n v="11"/>
    <x v="0"/>
    <x v="0"/>
    <x v="1"/>
    <n v="249159141"/>
    <n v="249159141"/>
    <x v="0"/>
    <x v="2"/>
    <x v="0"/>
    <x v="7"/>
    <s v="Oficina Asesora de Planeación"/>
    <x v="0"/>
    <s v="Jefe Oficina Asesora de Planeación"/>
    <x v="5"/>
    <x v="9"/>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2"/>
    <x v="0"/>
  </r>
  <r>
    <x v="5"/>
    <n v="94"/>
    <x v="10"/>
    <x v="4"/>
    <x v="9"/>
    <x v="0"/>
    <x v="0"/>
    <x v="0"/>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8"/>
    <x v="8"/>
    <n v="8"/>
    <x v="0"/>
    <x v="0"/>
    <x v="0"/>
    <n v="60402216"/>
    <n v="60402216"/>
    <x v="0"/>
    <x v="0"/>
    <x v="0"/>
    <x v="7"/>
    <s v="Oficina Asesora de Planeación"/>
    <x v="0"/>
    <s v="Jefe Oficina Asesora de Planeación"/>
    <x v="5"/>
    <x v="9"/>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5"/>
    <n v="13"/>
    <x v="10"/>
    <x v="4"/>
    <x v="9"/>
    <x v="5"/>
    <x v="6"/>
    <x v="0"/>
    <x v="3"/>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0"/>
    <x v="0"/>
    <n v="11"/>
    <x v="0"/>
    <x v="0"/>
    <x v="0"/>
    <n v="332212188"/>
    <n v="332212188"/>
    <x v="0"/>
    <x v="5"/>
    <x v="0"/>
    <x v="7"/>
    <s v="Oficina Asesora de Planeación"/>
    <x v="0"/>
    <s v="Jefe Oficina Asesora de Planeación"/>
    <x v="5"/>
    <x v="9"/>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6"/>
    <x v="0"/>
  </r>
  <r>
    <x v="5"/>
    <n v="16"/>
    <x v="10"/>
    <x v="4"/>
    <x v="9"/>
    <x v="0"/>
    <x v="0"/>
    <x v="0"/>
    <x v="3"/>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0"/>
    <x v="0"/>
    <n v="11"/>
    <x v="0"/>
    <x v="0"/>
    <x v="1"/>
    <n v="108518128"/>
    <n v="108518128"/>
    <x v="0"/>
    <x v="0"/>
    <x v="0"/>
    <x v="7"/>
    <s v="Oficina Asesora de Planeación"/>
    <x v="0"/>
    <s v="Jefe Oficina Asesora de Planeación"/>
    <x v="5"/>
    <x v="8"/>
    <s v="Actualizar e implementar los planes de trabajo y/o mejoramiento anual"/>
    <s v="Sistema de Gestión implementado_x000a_"/>
    <n v="92"/>
    <d v="2021-01-19T00:00:00"/>
    <n v="9865284"/>
    <n v="108518124"/>
    <n v="108518124"/>
    <x v="0"/>
    <s v="CARLOS RAFAEL GONZÁLEZ CONTRERAS"/>
    <n v="4"/>
    <x v="0"/>
    <n v="24288"/>
    <x v="0"/>
    <x v="0"/>
  </r>
  <r>
    <x v="5"/>
    <n v="17"/>
    <x v="10"/>
    <x v="4"/>
    <x v="9"/>
    <x v="0"/>
    <x v="0"/>
    <x v="0"/>
    <x v="3"/>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0"/>
    <x v="0"/>
    <n v="11"/>
    <x v="0"/>
    <x v="0"/>
    <x v="1"/>
    <n v="54740668"/>
    <n v="54740668"/>
    <x v="0"/>
    <x v="0"/>
    <x v="0"/>
    <x v="7"/>
    <s v="Oficina Asesora de Planeación"/>
    <x v="0"/>
    <s v="Jefe Oficina Asesora de Planeación"/>
    <x v="5"/>
    <x v="9"/>
    <s v="Realizar el seguimiento de los planes de acción anual"/>
    <s v="Documentos de planeación con seguimientos realizados"/>
    <n v="93"/>
    <d v="2021-01-19T00:00:00"/>
    <n v="4976424"/>
    <n v="54740664"/>
    <n v="54740664"/>
    <x v="0"/>
    <s v="DANIEL FERNANDO GALLEGO MORENO"/>
    <n v="4"/>
    <x v="0"/>
    <n v="24294"/>
    <x v="0"/>
    <x v="0"/>
  </r>
  <r>
    <x v="5"/>
    <n v="22"/>
    <x v="10"/>
    <x v="4"/>
    <x v="9"/>
    <x v="0"/>
    <x v="0"/>
    <x v="0"/>
    <x v="3"/>
    <s v="Servicios de auditoría"/>
    <x v="0"/>
    <n v="84111600"/>
    <s v="Prestación de servicios profesionales para realizar las actividades del sistema de gestión ambiental del instituto en el marco del modelo de planeación y gestión vigente para la nación "/>
    <x v="2"/>
    <x v="2"/>
    <n v="11"/>
    <x v="0"/>
    <x v="0"/>
    <x v="1"/>
    <n v="73517991"/>
    <n v="73517991"/>
    <x v="0"/>
    <x v="0"/>
    <x v="0"/>
    <x v="7"/>
    <s v="Oficina Asesora de Planeación"/>
    <x v="0"/>
    <s v="Jefe Oficina Asesora de Planeación"/>
    <x v="5"/>
    <x v="8"/>
    <s v="Actualizar e implementar los planes de trabajo y/o mejoramiento anual"/>
    <s v="Sistema de Gestión implementado_x000a_"/>
    <n v="94"/>
    <d v="2021-01-19T00:00:00"/>
    <n v="6683453"/>
    <n v="73517983"/>
    <n v="73517983"/>
    <x v="0"/>
    <s v="DANIEL ALEJANDRO VELASQUEZ PIRA"/>
    <n v="8"/>
    <x v="0"/>
    <n v="24260"/>
    <x v="0"/>
    <x v="0"/>
  </r>
  <r>
    <x v="5"/>
    <n v="15"/>
    <x v="10"/>
    <x v="4"/>
    <x v="9"/>
    <x v="0"/>
    <x v="0"/>
    <x v="0"/>
    <x v="0"/>
    <s v="Servicios secretariales o de administración de oficinas  "/>
    <x v="0"/>
    <n v="80161501"/>
    <s v="Prestación de servicios profesionales para apoyar la implementación del Modelo Integrado de Planeación y Gestión en el Instituto, con énfasis en la actualización documental."/>
    <x v="0"/>
    <x v="0"/>
    <n v="11"/>
    <x v="0"/>
    <x v="0"/>
    <x v="1"/>
    <n v="46898742"/>
    <n v="46898742"/>
    <x v="0"/>
    <x v="0"/>
    <x v="0"/>
    <x v="7"/>
    <s v="Oficina Asesora de Planeación"/>
    <x v="0"/>
    <s v="Jefe Oficina Asesora de Planeación"/>
    <x v="5"/>
    <x v="8"/>
    <s v="Actualizar e implementar los planes de trabajo y/o mejoramiento anual"/>
    <s v="Sistema de Gestión implementado_x000a_"/>
    <n v="100"/>
    <d v="2021-01-19T00:00:00"/>
    <n v="4263522"/>
    <n v="46472390"/>
    <n v="46472390"/>
    <x v="0"/>
    <s v="LAURA ISABEL GONZALEZ"/>
    <n v="426352"/>
    <x v="0"/>
    <n v="24340"/>
    <x v="0"/>
    <x v="0"/>
  </r>
  <r>
    <x v="5"/>
    <n v="19"/>
    <x v="10"/>
    <x v="4"/>
    <x v="9"/>
    <x v="0"/>
    <x v="0"/>
    <x v="0"/>
    <x v="3"/>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0"/>
    <x v="0"/>
    <n v="11"/>
    <x v="0"/>
    <x v="0"/>
    <x v="0"/>
    <n v="83053047"/>
    <n v="83053047"/>
    <x v="0"/>
    <x v="0"/>
    <x v="0"/>
    <x v="7"/>
    <s v="Oficina Asesora de Planeación"/>
    <x v="0"/>
    <s v="Jefe Oficina Asesora de Planeación"/>
    <x v="5"/>
    <x v="9"/>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5"/>
    <n v="93"/>
    <x v="10"/>
    <x v="4"/>
    <x v="9"/>
    <x v="0"/>
    <x v="0"/>
    <x v="0"/>
    <x v="4"/>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0"/>
    <x v="0"/>
    <x v="18"/>
    <s v="Oficina Asesora de Planeación"/>
    <x v="0"/>
    <s v="Jefe Oficina Asesora de Planeación"/>
    <x v="5"/>
    <x v="9"/>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2"/>
    <m/>
    <x v="10"/>
    <x v="4"/>
    <x v="9"/>
    <x v="0"/>
    <x v="7"/>
    <x v="1"/>
    <x v="3"/>
    <s v="Servicios de auditoría"/>
    <x v="0"/>
    <n v="84111600"/>
    <s v="Contratación de auditoria externa de seguimiento y auditoria con fines de certificación de calidad bajo la norma ISO 9001:2015, gestión ambiental bajo la norma ISO 14001:2015"/>
    <x v="9"/>
    <x v="9"/>
    <n v="11"/>
    <x v="0"/>
    <x v="0"/>
    <x v="1"/>
    <n v="20000000"/>
    <n v="20000000"/>
    <x v="0"/>
    <x v="0"/>
    <x v="0"/>
    <x v="7"/>
    <s v="Oficina Asesora de Planeación"/>
    <x v="0"/>
    <s v="Jefe Oficina Asesora de Planeación"/>
    <x v="5"/>
    <x v="8"/>
    <s v="Ejecutar el programa de auditoria"/>
    <s v="Sistema de Gestión implementado_x000a_"/>
    <m/>
    <m/>
    <e v="#N/A"/>
    <e v="#N/A"/>
    <e v="#N/A"/>
    <x v="1"/>
    <m/>
    <n v="0"/>
    <x v="0"/>
    <m/>
    <x v="7"/>
    <x v="1"/>
  </r>
  <r>
    <x v="5"/>
    <n v="23"/>
    <x v="10"/>
    <x v="4"/>
    <x v="9"/>
    <x v="0"/>
    <x v="0"/>
    <x v="0"/>
    <x v="3"/>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0"/>
    <x v="0"/>
    <n v="11"/>
    <x v="0"/>
    <x v="0"/>
    <x v="2"/>
    <n v="146709293"/>
    <n v="146709293"/>
    <x v="0"/>
    <x v="0"/>
    <x v="0"/>
    <x v="18"/>
    <s v="Oficina Asesora de Planeación "/>
    <x v="0"/>
    <s v="Jefe Oficina Asesora de Planeación"/>
    <x v="1"/>
    <x v="2"/>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5"/>
    <m/>
    <x v="10"/>
    <x v="4"/>
    <x v="9"/>
    <x v="0"/>
    <x v="5"/>
    <x v="1"/>
    <x v="7"/>
    <s v="Servicios de asesoramiento sobre tecnologías de la información"/>
    <x v="0"/>
    <n v="80101507"/>
    <s v="Análisis y asesoría en el modelamiento BPMN 2.0, optimización, instalación, parametrización, diseño y soporte de los procesos de la Entidad en la plataforma BPMS Bizagi."/>
    <x v="3"/>
    <x v="3"/>
    <n v="3"/>
    <x v="0"/>
    <x v="0"/>
    <x v="2"/>
    <n v="852290000"/>
    <n v="852290000"/>
    <x v="0"/>
    <x v="0"/>
    <x v="0"/>
    <x v="18"/>
    <s v="Oficina Asesora de Planeación "/>
    <x v="0"/>
    <s v="Jefe Oficina Asesora de Planeación"/>
    <x v="1"/>
    <x v="2"/>
    <s v="Fortalecer al IGAC para la implementación del sistema de administración de tierras"/>
    <s v="Sistema de Información Predial Actualizado_x000a_"/>
    <m/>
    <m/>
    <e v="#N/A"/>
    <e v="#N/A"/>
    <e v="#N/A"/>
    <x v="1"/>
    <m/>
    <n v="0"/>
    <x v="0"/>
    <m/>
    <x v="5"/>
    <x v="1"/>
  </r>
  <r>
    <x v="2"/>
    <n v="45"/>
    <x v="2"/>
    <x v="2"/>
    <x v="2"/>
    <x v="0"/>
    <x v="0"/>
    <x v="0"/>
    <x v="11"/>
    <s v="Servicios secretariales o de administración de oficinas  "/>
    <x v="0"/>
    <n v="80161501"/>
    <s v="Prestación de servicios profesionales para apoyar la gestión de atención al ciudadano en Sede Central y a nivel nacional."/>
    <x v="2"/>
    <x v="2"/>
    <n v="11"/>
    <x v="0"/>
    <x v="0"/>
    <x v="1"/>
    <n v="40042596"/>
    <n v="40042596"/>
    <x v="0"/>
    <x v="0"/>
    <x v="1"/>
    <x v="19"/>
    <s v="Secretaría General - Grupo Interno de Trabajo Servicio al Ciudadano"/>
    <x v="0"/>
    <s v="Coordinador Grupo Interno de Trabajo Servicio al Ciudadano"/>
    <x v="4"/>
    <x v="7"/>
    <s v="N/A"/>
    <s v="N/A"/>
    <n v="81"/>
    <d v="2021-01-22T00:00:00"/>
    <n v="3640236"/>
    <n v="40042596"/>
    <n v="40042596"/>
    <x v="0"/>
    <s v="ANYI MARCELA LEON RUBIANO"/>
    <n v="0"/>
    <x v="0"/>
    <n v="24239"/>
    <x v="0"/>
    <x v="0"/>
  </r>
  <r>
    <x v="2"/>
    <n v="46"/>
    <x v="2"/>
    <x v="2"/>
    <x v="2"/>
    <x v="0"/>
    <x v="0"/>
    <x v="0"/>
    <x v="11"/>
    <s v="Servicios secretariales o de administración de oficinas  "/>
    <x v="0"/>
    <n v="80161501"/>
    <s v="Prestación de servicios profesionales para apoyar la gestión administrativa del servicio al ciudadano en Sede Central y a nivel nacional."/>
    <x v="2"/>
    <x v="2"/>
    <n v="11"/>
    <x v="0"/>
    <x v="0"/>
    <x v="1"/>
    <n v="29386313"/>
    <n v="29386313"/>
    <x v="0"/>
    <x v="0"/>
    <x v="1"/>
    <x v="19"/>
    <s v="Secretaría General - Grupo Interno de Trabajo Servicio al Ciudadano"/>
    <x v="0"/>
    <s v="Coordinador Grupo Interno de Trabajo Servicio al Ciudadano"/>
    <x v="4"/>
    <x v="7"/>
    <s v="N/A"/>
    <s v="N/A"/>
    <n v="86"/>
    <d v="2021-01-22T00:00:00"/>
    <n v="2671483"/>
    <n v="29386313"/>
    <n v="29386313"/>
    <x v="0"/>
    <s v="JUAN DAVID DIAZ BUENDIA"/>
    <n v="0"/>
    <x v="0"/>
    <n v="24241"/>
    <x v="0"/>
    <x v="0"/>
  </r>
  <r>
    <x v="2"/>
    <n v="44"/>
    <x v="2"/>
    <x v="2"/>
    <x v="2"/>
    <x v="0"/>
    <x v="0"/>
    <x v="0"/>
    <x v="3"/>
    <s v="Servicios secretariales o de administración de oficinas  "/>
    <x v="0"/>
    <n v="80161501"/>
    <s v="Prestación de servicios profesionales para apoyar la gestión del servicio al ciudadano en Sede Central y a nivel nacional."/>
    <x v="2"/>
    <x v="2"/>
    <n v="11"/>
    <x v="0"/>
    <x v="0"/>
    <x v="1"/>
    <n v="46898742"/>
    <n v="46898742"/>
    <x v="0"/>
    <x v="0"/>
    <x v="1"/>
    <x v="19"/>
    <s v="Secretaría General - Grupo Interno de Trabajo Servicio al Ciudadano"/>
    <x v="0"/>
    <s v="Coordinador Grupo Interno de Trabajo Servicio al Ciudadano"/>
    <x v="4"/>
    <x v="7"/>
    <s v="N/A"/>
    <s v="N/A"/>
    <n v="75"/>
    <d v="2021-01-20T00:00:00"/>
    <n v="4263522"/>
    <n v="46898742"/>
    <n v="46898742"/>
    <x v="0"/>
    <s v="KAROL VIVIANA MORALES ALZATE"/>
    <n v="0"/>
    <x v="0"/>
    <n v="24229"/>
    <x v="0"/>
    <x v="0"/>
  </r>
  <r>
    <x v="2"/>
    <n v="36"/>
    <x v="2"/>
    <x v="2"/>
    <x v="2"/>
    <x v="0"/>
    <x v="0"/>
    <x v="0"/>
    <x v="3"/>
    <s v="Servicios secretariales o de administración de oficinas  "/>
    <x v="0"/>
    <n v="80161501"/>
    <s v="Prestación de servicios profesionales para apoyar las estrategias, procesos, procedimientos y actividades del servicio al ciudadano en Sede Central y a nivel nacional."/>
    <x v="2"/>
    <x v="2"/>
    <n v="11"/>
    <x v="0"/>
    <x v="0"/>
    <x v="1"/>
    <n v="63335720"/>
    <n v="63335720"/>
    <x v="0"/>
    <x v="0"/>
    <x v="1"/>
    <x v="20"/>
    <s v="Secretaria General - GIT Servicio al Ciudadano"/>
    <x v="0"/>
    <s v="Coordinador GIT Servicio al Ciudadano"/>
    <x v="4"/>
    <x v="7"/>
    <s v="N/A"/>
    <s v="N/A"/>
    <n v="36"/>
    <d v="2021-01-15T00:00:00"/>
    <n v="5757792"/>
    <n v="63335712"/>
    <n v="63335712"/>
    <x v="0"/>
    <s v="SHADIA  GENE BELTRAN"/>
    <n v="8"/>
    <x v="0"/>
    <n v="24228"/>
    <x v="0"/>
    <x v="0"/>
  </r>
  <r>
    <x v="2"/>
    <n v="32"/>
    <x v="2"/>
    <x v="2"/>
    <x v="2"/>
    <x v="0"/>
    <x v="0"/>
    <x v="0"/>
    <x v="3"/>
    <s v="Servicios secretariales o de administración de oficinas  "/>
    <x v="0"/>
    <n v="80161501"/>
    <s v="Prestación de servicios profesionales para apoyar la gestión jurídica del servicio al ciudadano en Sede Central y a nivel nacional."/>
    <x v="2"/>
    <x v="2"/>
    <n v="11"/>
    <x v="0"/>
    <x v="0"/>
    <x v="0"/>
    <n v="66214619"/>
    <n v="66214619"/>
    <x v="0"/>
    <x v="0"/>
    <x v="1"/>
    <x v="19"/>
    <s v="Secretaría General - Grupo Interno de Trabajo Servicio al Ciudadano"/>
    <x v="0"/>
    <s v="Coordinador Grupo Interno de Trabajo Servicio al Ciudadano"/>
    <x v="4"/>
    <x v="7"/>
    <s v="N/A"/>
    <s v="N/A"/>
    <n v="38"/>
    <d v="2021-01-19T00:00:00"/>
    <n v="5757793"/>
    <n v="63335723"/>
    <n v="63335723"/>
    <x v="0"/>
    <s v="MARIA PATRICIA ALDANA OSPINA"/>
    <n v="2878896"/>
    <x v="0"/>
    <n v="24214"/>
    <x v="0"/>
    <x v="0"/>
  </r>
  <r>
    <x v="2"/>
    <m/>
    <x v="2"/>
    <x v="2"/>
    <x v="2"/>
    <x v="0"/>
    <x v="5"/>
    <x v="1"/>
    <x v="5"/>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1"/>
    <n v="14000000"/>
    <n v="14000000"/>
    <x v="0"/>
    <x v="0"/>
    <x v="1"/>
    <x v="21"/>
    <s v="Secretaria General - GIT Talento Humano"/>
    <x v="0"/>
    <s v="Coordinador GIT Talento Humano"/>
    <x v="5"/>
    <x v="22"/>
    <s v="Desarrollar actividades de educación informal en competencias laborales y socioemocionales virtuales y presenciales"/>
    <s v="Personas Capacitadas"/>
    <m/>
    <m/>
    <e v="#N/A"/>
    <e v="#N/A"/>
    <e v="#N/A"/>
    <x v="1"/>
    <m/>
    <n v="0"/>
    <x v="0"/>
    <m/>
    <x v="5"/>
    <x v="1"/>
  </r>
  <r>
    <x v="2"/>
    <m/>
    <x v="2"/>
    <x v="2"/>
    <x v="2"/>
    <x v="0"/>
    <x v="5"/>
    <x v="1"/>
    <x v="16"/>
    <s v="Máquinas clasificadoras"/>
    <x v="0"/>
    <n v="44102500"/>
    <s v="Realizar el mantenimiento y/o adecuación de los digiturnos que tiene el IGAC a nivel nacional"/>
    <x v="5"/>
    <x v="5"/>
    <n v="7"/>
    <x v="0"/>
    <x v="0"/>
    <x v="1"/>
    <n v="120000000"/>
    <n v="120000000"/>
    <x v="0"/>
    <x v="0"/>
    <x v="1"/>
    <x v="20"/>
    <s v="Secretaria General - GIT Servicio al Ciudadano"/>
    <x v="0"/>
    <s v="Coordinador GIT Servicio al Ciudadano"/>
    <x v="4"/>
    <x v="7"/>
    <s v="N/A"/>
    <s v="N/A"/>
    <m/>
    <m/>
    <e v="#N/A"/>
    <e v="#N/A"/>
    <e v="#N/A"/>
    <x v="1"/>
    <m/>
    <n v="0"/>
    <x v="0"/>
    <m/>
    <x v="5"/>
    <x v="1"/>
  </r>
  <r>
    <x v="2"/>
    <n v="70"/>
    <x v="2"/>
    <x v="2"/>
    <x v="2"/>
    <x v="0"/>
    <x v="0"/>
    <x v="0"/>
    <x v="10"/>
    <s v="Servicios secretariales o de administración de oficinas  "/>
    <x v="0"/>
    <n v="80161501"/>
    <s v="Adquisición del seguro de casco avión y seguro vehículo aéreo no tripulado que ampare los bienes e intereses patrimoniales del IGAC"/>
    <x v="7"/>
    <x v="5"/>
    <n v="12"/>
    <x v="0"/>
    <x v="3"/>
    <x v="1"/>
    <n v="800000000"/>
    <n v="800000000"/>
    <x v="0"/>
    <x v="0"/>
    <x v="0"/>
    <x v="9"/>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2"/>
    <n v="76"/>
    <x v="2"/>
    <x v="2"/>
    <x v="2"/>
    <x v="0"/>
    <x v="0"/>
    <x v="0"/>
    <x v="6"/>
    <s v="Servicios secretariales o de administración de oficinas  "/>
    <x v="0"/>
    <n v="80161501"/>
    <s v="Prestación de servicios profesionales al IGAC apoyando la vinculación del personal requerido por la entidad, de conformidad con las solicitudes efectuadas por el supervisor del contrato."/>
    <x v="8"/>
    <x v="8"/>
    <n v="6"/>
    <x v="0"/>
    <x v="0"/>
    <x v="0"/>
    <n v="34546758"/>
    <n v="34546758"/>
    <x v="0"/>
    <x v="0"/>
    <x v="0"/>
    <x v="22"/>
    <s v="Secretaria General "/>
    <x v="0"/>
    <s v="María del Pilar Gonzalez Moreno"/>
    <x v="5"/>
    <x v="22"/>
    <s v="Desarrollar, hacer seguimiento y evaluar el avance en el proceso de gestión del conocimiento en la entidad."/>
    <s v="Personas capacitadas"/>
    <n v="584"/>
    <d v="2021-05-12T00:00:00"/>
    <n v="5757793"/>
    <n v="34546758"/>
    <n v="34546758"/>
    <x v="0"/>
    <s v="CLAUDIA EDITH MEJIA MEJIA"/>
    <n v="0"/>
    <x v="0"/>
    <n v="24725"/>
    <x v="0"/>
    <x v="0"/>
  </r>
  <r>
    <x v="2"/>
    <n v="38"/>
    <x v="2"/>
    <x v="2"/>
    <x v="2"/>
    <x v="0"/>
    <x v="0"/>
    <x v="0"/>
    <x v="3"/>
    <s v="Servicios secretariales o de administración de oficinas  "/>
    <x v="0"/>
    <n v="80161501"/>
    <s v="Prestación de servicios profesionales al IGAC apoyando la vinculación del personal requerido por la entidad, de conformidad con las solicitudes efectuadas por el supervisor del contrato"/>
    <x v="2"/>
    <x v="2"/>
    <n v="345"/>
    <x v="1"/>
    <x v="0"/>
    <x v="0"/>
    <n v="123067779"/>
    <n v="123067779"/>
    <x v="0"/>
    <x v="0"/>
    <x v="0"/>
    <x v="14"/>
    <m/>
    <x v="6"/>
    <m/>
    <x v="11"/>
    <x v="23"/>
    <m/>
    <m/>
    <n v="40"/>
    <d v="2021-01-15T00:00:00"/>
    <n v="10701546"/>
    <n v="122354343"/>
    <n v="122354343"/>
    <x v="0"/>
    <s v="LINDA CRISTINA SANTOS MEJIA"/>
    <n v="713436"/>
    <x v="0"/>
    <n v="24199"/>
    <x v="0"/>
    <x v="0"/>
  </r>
  <r>
    <x v="2"/>
    <n v="52"/>
    <x v="2"/>
    <x v="2"/>
    <x v="2"/>
    <x v="0"/>
    <x v="0"/>
    <x v="0"/>
    <x v="3"/>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0"/>
    <x v="0"/>
    <n v="11"/>
    <x v="0"/>
    <x v="0"/>
    <x v="1"/>
    <n v="73517991"/>
    <n v="73517991"/>
    <x v="0"/>
    <x v="0"/>
    <x v="0"/>
    <x v="3"/>
    <s v="Secretaría General"/>
    <x v="0"/>
    <s v="Secretaria General"/>
    <x v="5"/>
    <x v="9"/>
    <s v="Realizar el seguimiento de los planes de acción anual"/>
    <s v="Documentos de planeación con seguimientos realizados"/>
    <n v="194"/>
    <d v="2021-02-08T00:00:00"/>
    <n v="6683454"/>
    <n v="71290173"/>
    <n v="71290173"/>
    <x v="0"/>
    <s v="JENNFER  ABRIL"/>
    <n v="2227818"/>
    <x v="0"/>
    <n v="24378"/>
    <x v="0"/>
    <x v="0"/>
  </r>
  <r>
    <x v="2"/>
    <n v="56"/>
    <x v="2"/>
    <x v="2"/>
    <x v="2"/>
    <x v="0"/>
    <x v="0"/>
    <x v="0"/>
    <x v="14"/>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0"/>
    <x v="0"/>
    <n v="11"/>
    <x v="0"/>
    <x v="0"/>
    <x v="1"/>
    <n v="83053047"/>
    <n v="83053047"/>
    <x v="0"/>
    <x v="0"/>
    <x v="1"/>
    <x v="3"/>
    <s v="Secretaría General"/>
    <x v="0"/>
    <s v="Secretaria General"/>
    <x v="4"/>
    <x v="7"/>
    <s v="N/A"/>
    <s v="N/A"/>
    <n v="265"/>
    <d v="2021-02-15T00:00:00"/>
    <n v="7550277"/>
    <n v="79277909"/>
    <n v="79277909"/>
    <x v="0"/>
    <s v="JULIAN ALEJANDRO CRUZ ALARCON"/>
    <n v="3775138"/>
    <x v="0"/>
    <n v="24430"/>
    <x v="0"/>
    <x v="0"/>
  </r>
  <r>
    <x v="2"/>
    <n v="51"/>
    <x v="2"/>
    <x v="2"/>
    <x v="2"/>
    <x v="0"/>
    <x v="0"/>
    <x v="0"/>
    <x v="3"/>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0"/>
    <x v="0"/>
    <n v="11"/>
    <x v="0"/>
    <x v="0"/>
    <x v="1"/>
    <n v="83053047"/>
    <n v="83053047"/>
    <x v="0"/>
    <x v="0"/>
    <x v="0"/>
    <x v="3"/>
    <s v="Secretaría General"/>
    <x v="0"/>
    <s v="Secretaria General"/>
    <x v="5"/>
    <x v="9"/>
    <s v="Realizar el seguimiento de los planes de acción anual"/>
    <s v="Documentos de planeación con seguimientos realizados"/>
    <n v="287"/>
    <d v="2021-02-15T00:00:00"/>
    <n v="7550277"/>
    <n v="79026233"/>
    <n v="79026233"/>
    <x v="0"/>
    <s v="HELVIN IVAN CIFUENTES GONZALEZ"/>
    <n v="4026814"/>
    <x v="0"/>
    <n v="24449"/>
    <x v="0"/>
    <x v="0"/>
  </r>
  <r>
    <x v="2"/>
    <m/>
    <x v="2"/>
    <x v="2"/>
    <x v="2"/>
    <x v="0"/>
    <x v="5"/>
    <x v="1"/>
    <x v="7"/>
    <s v="Centros o servicios móviles de atención de salud"/>
    <x v="0"/>
    <n v="85101508"/>
    <s v="Capacitar a los funcionarios en el manejo y operación técnica de las aeronaves no tripuladas tipo UAS, propiedad del IGAC"/>
    <x v="5"/>
    <x v="5"/>
    <n v="8"/>
    <x v="0"/>
    <x v="1"/>
    <x v="1"/>
    <n v="10000000"/>
    <n v="10000000"/>
    <x v="0"/>
    <x v="0"/>
    <x v="1"/>
    <x v="3"/>
    <s v="Secretaría General - GIT de Talento Humano"/>
    <x v="0"/>
    <s v="Coordinador GIT Talento Humano"/>
    <x v="5"/>
    <x v="22"/>
    <s v="Desarrollar actividades de educación informal en competencias laborales y socioemocionales virtuales y presenciales"/>
    <s v="Personas Capacitadas"/>
    <m/>
    <m/>
    <e v="#N/A"/>
    <e v="#N/A"/>
    <e v="#N/A"/>
    <x v="1"/>
    <m/>
    <n v="0"/>
    <x v="0"/>
    <m/>
    <x v="5"/>
    <x v="1"/>
  </r>
  <r>
    <x v="2"/>
    <n v="34"/>
    <x v="2"/>
    <x v="2"/>
    <x v="2"/>
    <x v="0"/>
    <x v="0"/>
    <x v="0"/>
    <x v="3"/>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2"/>
    <x v="2"/>
    <n v="345"/>
    <x v="1"/>
    <x v="0"/>
    <x v="2"/>
    <n v="116150000"/>
    <n v="116150000"/>
    <x v="0"/>
    <x v="0"/>
    <x v="0"/>
    <x v="3"/>
    <s v="Secretaría General"/>
    <x v="0"/>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2"/>
    <n v="60"/>
    <x v="2"/>
    <x v="2"/>
    <x v="2"/>
    <x v="0"/>
    <x v="0"/>
    <x v="0"/>
    <x v="4"/>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3"/>
    <s v="Secretaria General"/>
    <x v="0"/>
    <s v="Maria del Pilar Gonzalez Moreno"/>
    <x v="1"/>
    <x v="2"/>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5"/>
    <n v="82"/>
    <x v="2"/>
    <x v="2"/>
    <x v="2"/>
    <x v="0"/>
    <x v="0"/>
    <x v="0"/>
    <x v="14"/>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0"/>
    <x v="0"/>
    <n v="315"/>
    <x v="1"/>
    <x v="0"/>
    <x v="2"/>
    <n v="103585482"/>
    <n v="103585482"/>
    <x v="0"/>
    <x v="0"/>
    <x v="0"/>
    <x v="3"/>
    <s v="Secretaria General"/>
    <x v="0"/>
    <s v="Secretaria General"/>
    <x v="12"/>
    <x v="2"/>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2"/>
    <n v="35"/>
    <x v="2"/>
    <x v="2"/>
    <x v="2"/>
    <x v="0"/>
    <x v="0"/>
    <x v="0"/>
    <x v="3"/>
    <s v="Servicios de asesoramiento sobre planificación estratégica"/>
    <x v="0"/>
    <n v="80101504"/>
    <s v="Apoyar al Instituto Geográfico Agustín Codazzi, como Coordinador Administrativo en el marco del  Programa para la adopción e implementación de un Catastro Multipropósito Urbano Rural "/>
    <x v="2"/>
    <x v="2"/>
    <n v="345"/>
    <x v="1"/>
    <x v="0"/>
    <x v="2"/>
    <n v="201400000"/>
    <n v="201400000"/>
    <x v="0"/>
    <x v="0"/>
    <x v="0"/>
    <x v="3"/>
    <s v="Secretaría General"/>
    <x v="0"/>
    <s v="Secretaria General"/>
    <x v="1"/>
    <x v="2"/>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2"/>
    <n v="33"/>
    <x v="2"/>
    <x v="2"/>
    <x v="2"/>
    <x v="0"/>
    <x v="0"/>
    <x v="0"/>
    <x v="3"/>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2"/>
    <x v="2"/>
    <n v="345"/>
    <x v="1"/>
    <x v="0"/>
    <x v="2"/>
    <n v="167000000"/>
    <n v="167000000"/>
    <x v="0"/>
    <x v="0"/>
    <x v="0"/>
    <x v="3"/>
    <s v="Secretaría General"/>
    <x v="0"/>
    <s v="Secretaria General"/>
    <x v="1"/>
    <x v="2"/>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2"/>
    <n v="71"/>
    <x v="2"/>
    <x v="2"/>
    <x v="2"/>
    <x v="0"/>
    <x v="0"/>
    <x v="0"/>
    <x v="1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0"/>
    <x v="0"/>
    <x v="3"/>
    <s v="Secretaría General"/>
    <x v="0"/>
    <s v="Secretaria General"/>
    <x v="1"/>
    <x v="2"/>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2"/>
    <n v="77"/>
    <x v="2"/>
    <x v="2"/>
    <x v="2"/>
    <x v="0"/>
    <x v="0"/>
    <x v="0"/>
    <x v="6"/>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8"/>
    <x v="8"/>
    <n v="9"/>
    <x v="0"/>
    <x v="0"/>
    <x v="2"/>
    <n v="178250000"/>
    <n v="178250000"/>
    <x v="0"/>
    <x v="0"/>
    <x v="0"/>
    <x v="3"/>
    <s v="Secretaría General"/>
    <x v="0"/>
    <s v="Secretaria General"/>
    <x v="1"/>
    <x v="2"/>
    <s v="Gestionar técnicamente la operación del proyecto de catastro multipropósito, en lo correspondiente al IGAC"/>
    <s v="Sistema de Información Predial Actualizado_x000a_"/>
    <m/>
    <d v="2021-06-03T00:00:00"/>
    <n v="15450000"/>
    <n v="108150000"/>
    <n v="108150000"/>
    <x v="0"/>
    <s v="MARIO PEDRO MAURICIO DE MILLERI BONILLA"/>
    <n v="70100000"/>
    <x v="0"/>
    <m/>
    <x v="0"/>
    <x v="0"/>
  </r>
  <r>
    <x v="2"/>
    <n v="42"/>
    <x v="2"/>
    <x v="2"/>
    <x v="2"/>
    <x v="1"/>
    <x v="1"/>
    <x v="0"/>
    <x v="11"/>
    <s v="Servicios secretariales o de administración de oficinas  "/>
    <x v="0"/>
    <n v="80161501"/>
    <s v=" Prestación de servicios profesionales para recibir, programar y controlar solicitudes que deba tramitar el git de servicios administrativos."/>
    <x v="2"/>
    <x v="2"/>
    <n v="11"/>
    <x v="0"/>
    <x v="0"/>
    <x v="1"/>
    <n v="68744104"/>
    <n v="68744104"/>
    <x v="0"/>
    <x v="1"/>
    <x v="1"/>
    <x v="23"/>
    <s v="Secretaría General - Servicios Administrativos"/>
    <x v="0"/>
    <s v="N/A"/>
    <x v="4"/>
    <x v="7"/>
    <s v="N/A"/>
    <s v="N/A"/>
    <n v="87"/>
    <d v="2021-01-20T00:00:00"/>
    <n v="3124732"/>
    <n v="34372052"/>
    <n v="68744104"/>
    <x v="0"/>
    <s v="LIESEL STEFHANIE CASTIBLANCO ROMERO_x000a_ANDRES LEONARDO RACHE MOYANO"/>
    <n v="0"/>
    <x v="0"/>
    <s v="24242_x000a_24245"/>
    <x v="1"/>
    <x v="0"/>
  </r>
  <r>
    <x v="8"/>
    <n v="2"/>
    <x v="2"/>
    <x v="2"/>
    <x v="2"/>
    <x v="0"/>
    <x v="0"/>
    <x v="0"/>
    <x v="0"/>
    <s v="Servicio de abastecimiento de combustible para vehículos"/>
    <x v="0"/>
    <n v="78181701"/>
    <s v="Suministro de combustible para el funcionamiento de los vehículos del Instituto Geográfico Agustín Codazzi a nivel nacional"/>
    <x v="0"/>
    <x v="0"/>
    <n v="11"/>
    <x v="0"/>
    <x v="5"/>
    <x v="1"/>
    <n v="175709558"/>
    <n v="175709558"/>
    <x v="0"/>
    <x v="0"/>
    <x v="1"/>
    <x v="24"/>
    <s v="Secretaria General - GIT Servicios Administrativos"/>
    <x v="0"/>
    <s v="Coordinador GIT Servicios Administrativos"/>
    <x v="4"/>
    <x v="7"/>
    <s v="N/A"/>
    <s v="N/A"/>
    <n v="158"/>
    <d v="2021-02-03T00:00:00"/>
    <m/>
    <n v="175709558"/>
    <n v="175709558"/>
    <x v="0"/>
    <s v="ORGANIZACION TERPEL S.A."/>
    <n v="0"/>
    <x v="0"/>
    <n v="24342"/>
    <x v="0"/>
    <x v="0"/>
  </r>
  <r>
    <x v="2"/>
    <n v="37"/>
    <x v="2"/>
    <x v="2"/>
    <x v="2"/>
    <x v="0"/>
    <x v="0"/>
    <x v="0"/>
    <x v="3"/>
    <s v="Viajes en aviones comerciales"/>
    <x v="0"/>
    <n v="78111502"/>
    <s v="Suministro de tiquetes aéreos nacionales e internacionales para el Instituto Geográfico Agustín Codazzi."/>
    <x v="2"/>
    <x v="2"/>
    <n v="12"/>
    <x v="0"/>
    <x v="5"/>
    <x v="1"/>
    <n v="739850240"/>
    <n v="739850240"/>
    <x v="0"/>
    <x v="0"/>
    <x v="1"/>
    <x v="24"/>
    <s v="Secretaria General - GIT Servicios Administrativos"/>
    <x v="0"/>
    <s v="Coordinador GIT Servicios Administrativos"/>
    <x v="4"/>
    <x v="7"/>
    <s v="N/A"/>
    <s v="N/A"/>
    <n v="72"/>
    <d v="2021-01-15T00:00:00"/>
    <n v="0"/>
    <n v="739850240"/>
    <n v="739850240"/>
    <x v="0"/>
    <s v="SUBATOURS LTDA"/>
    <n v="0"/>
    <x v="0"/>
    <n v="24331"/>
    <x v="0"/>
    <x v="0"/>
  </r>
  <r>
    <x v="2"/>
    <n v="54"/>
    <x v="2"/>
    <x v="2"/>
    <x v="2"/>
    <x v="0"/>
    <x v="0"/>
    <x v="0"/>
    <x v="0"/>
    <s v="Transporte de personal"/>
    <x v="0"/>
    <n v="20102301"/>
    <s v="Servicio de Transporte Especial de Pasajeros y de carga a Nivel Nacional del Instituto Geográfico Agustín Codazzi. "/>
    <x v="0"/>
    <x v="0"/>
    <n v="11"/>
    <x v="0"/>
    <x v="5"/>
    <x v="1"/>
    <n v="1421305246"/>
    <n v="1421305246"/>
    <x v="0"/>
    <x v="0"/>
    <x v="1"/>
    <x v="24"/>
    <s v="Secretaria General - GIT Servicios Administrativos"/>
    <x v="0"/>
    <s v="Coordinador GIT Servicios Administrativos"/>
    <x v="4"/>
    <x v="7"/>
    <s v="N/A"/>
    <s v="N/A"/>
    <n v="210"/>
    <d v="2021-02-08T00:00:00"/>
    <n v="1421305246"/>
    <n v="1421305246"/>
    <n v="1421305246"/>
    <x v="0"/>
    <s v="UNION TEMPORAL UT G3 IGAC 2021"/>
    <n v="0"/>
    <x v="0"/>
    <n v="24738"/>
    <x v="0"/>
    <x v="0"/>
  </r>
  <r>
    <x v="2"/>
    <n v="68"/>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5"/>
    <x v="0"/>
    <n v="346300000"/>
    <n v="346300000"/>
    <x v="0"/>
    <x v="0"/>
    <x v="1"/>
    <x v="24"/>
    <s v="Secretaria General - GIT Servicios Administrativos"/>
    <x v="0"/>
    <s v="Coordinador GIT Servicios Administrativos"/>
    <x v="4"/>
    <x v="7"/>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2"/>
    <n v="63"/>
    <x v="2"/>
    <x v="2"/>
    <x v="2"/>
    <x v="0"/>
    <x v="0"/>
    <x v="0"/>
    <x v="4"/>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0"/>
    <x v="1"/>
    <x v="25"/>
    <s v="Secretaria General - GIT servicios administrativos"/>
    <x v="0"/>
    <s v="Coordinador GIT GIT servicios administrativos"/>
    <x v="11"/>
    <x v="23"/>
    <m/>
    <m/>
    <n v="504"/>
    <d v="2021-03-25T00:00:00"/>
    <n v="4382339"/>
    <n v="39441051"/>
    <n v="39441051"/>
    <x v="0"/>
    <s v="ASTRID ANGELICA VELA MARTINEZ"/>
    <n v="1058949"/>
    <x v="0"/>
    <n v="24638"/>
    <x v="0"/>
    <x v="0"/>
  </r>
  <r>
    <x v="2"/>
    <n v="53"/>
    <x v="2"/>
    <x v="2"/>
    <x v="2"/>
    <x v="0"/>
    <x v="0"/>
    <x v="0"/>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0"/>
    <x v="0"/>
    <n v="11"/>
    <x v="0"/>
    <x v="0"/>
    <x v="0"/>
    <n v="80634026"/>
    <n v="80634026"/>
    <x v="0"/>
    <x v="0"/>
    <x v="0"/>
    <x v="23"/>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2"/>
    <n v="55"/>
    <x v="2"/>
    <x v="2"/>
    <x v="2"/>
    <x v="0"/>
    <x v="0"/>
    <x v="0"/>
    <x v="0"/>
    <s v="Servicios de mantenimiento y reparación de vehículos"/>
    <x v="0"/>
    <n v="78181500"/>
    <s v="Prestación de servicios para la revision tecnico mecanica de los vehiculos de propiedad del IGAC C "/>
    <x v="0"/>
    <x v="0"/>
    <n v="12"/>
    <x v="0"/>
    <x v="1"/>
    <x v="1"/>
    <n v="16000000"/>
    <n v="16000000"/>
    <x v="0"/>
    <x v="0"/>
    <x v="1"/>
    <x v="24"/>
    <s v="Secretaria General - GIT Servicios Administrativos"/>
    <x v="0"/>
    <s v="Coordinador GIT Servicios Administrativos"/>
    <x v="4"/>
    <x v="7"/>
    <s v="N/A"/>
    <s v="N/A"/>
    <n v="312"/>
    <d v="2021-02-15T00:00:00"/>
    <n v="0"/>
    <n v="13492673"/>
    <n v="13492673"/>
    <x v="0"/>
    <s v="INSPECCION TECNICA AUTOMOTRIZ INTECO SAS"/>
    <n v="2507327"/>
    <x v="0"/>
    <n v="24534"/>
    <x v="0"/>
    <x v="0"/>
  </r>
  <r>
    <x v="2"/>
    <n v="50"/>
    <x v="2"/>
    <x v="2"/>
    <x v="2"/>
    <x v="0"/>
    <x v="0"/>
    <x v="0"/>
    <x v="0"/>
    <s v="Servicios secretariales o de administración de oficinas  "/>
    <x v="0"/>
    <n v="80161501"/>
    <s v="Prestación de servicios personales  para apoyar los asuntos  y las supervisiones que sean designadas en cabeza de los funcionarios del GIT de Servicios Administrativos"/>
    <x v="0"/>
    <x v="0"/>
    <n v="11"/>
    <x v="0"/>
    <x v="0"/>
    <x v="1"/>
    <n v="34372052"/>
    <n v="34372052"/>
    <x v="0"/>
    <x v="0"/>
    <x v="1"/>
    <x v="23"/>
    <s v="Secretaría General - Servicios Administrativos"/>
    <x v="0"/>
    <s v="N/A"/>
    <x v="4"/>
    <x v="7"/>
    <s v="N/A"/>
    <s v="N/A"/>
    <n v="176"/>
    <d v="2021-02-03T00:00:00"/>
    <n v="2671483"/>
    <n v="29386313"/>
    <n v="29386313"/>
    <x v="0"/>
    <s v="SONIA BAUTISTA CIFUENTE"/>
    <n v="4985739"/>
    <x v="0"/>
    <n v="24377"/>
    <x v="0"/>
    <x v="0"/>
  </r>
  <r>
    <x v="2"/>
    <n v="67"/>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2"/>
    <x v="1"/>
    <n v="117600000"/>
    <n v="117600000"/>
    <x v="0"/>
    <x v="0"/>
    <x v="1"/>
    <x v="24"/>
    <s v="Secretaria General - GIT Servicios Administrativos"/>
    <x v="0"/>
    <s v="Coordinador GIT Servicios Administrativos"/>
    <x v="4"/>
    <x v="7"/>
    <s v="N/A"/>
    <s v="N/A"/>
    <n v="542"/>
    <d v="2021-04-14T00:00:00"/>
    <n v="109168733"/>
    <n v="109168733"/>
    <n v="109168733"/>
    <x v="0"/>
    <s v="COMPAÑIA OPERADORA DE CONTRATOS SAS"/>
    <n v="8431267"/>
    <x v="0"/>
    <n v="24763"/>
    <x v="0"/>
    <x v="0"/>
  </r>
  <r>
    <x v="2"/>
    <n v="73"/>
    <x v="2"/>
    <x v="2"/>
    <x v="2"/>
    <x v="0"/>
    <x v="0"/>
    <x v="0"/>
    <x v="17"/>
    <s v="Servicios de mantenimiento de ascensores"/>
    <x v="0"/>
    <n v="72101506"/>
    <s v="Prestación de servicios para el mantenimiento correctivo y preventivo ascensores sede central "/>
    <x v="7"/>
    <x v="7"/>
    <n v="8"/>
    <x v="0"/>
    <x v="0"/>
    <x v="1"/>
    <n v="60000000"/>
    <n v="60000000"/>
    <x v="0"/>
    <x v="0"/>
    <x v="0"/>
    <x v="21"/>
    <s v="Secretaria General - GIT Talento Humano"/>
    <x v="0"/>
    <s v="Coordinador GIT Talento Humano"/>
    <x v="2"/>
    <x v="24"/>
    <s v="Dotar de equipamientos las sedes"/>
    <s v="Sedes Mantenidas"/>
    <n v="555"/>
    <d v="2021-04-26T00:00:00"/>
    <n v="0"/>
    <n v="18329600"/>
    <n v="18329600"/>
    <x v="0"/>
    <s v="OTIS ELEVATOR COMPANY COLOMBIA SAS"/>
    <n v="41670400"/>
    <x v="0"/>
    <n v="24698"/>
    <x v="0"/>
    <x v="0"/>
  </r>
  <r>
    <x v="2"/>
    <m/>
    <x v="2"/>
    <x v="2"/>
    <x v="2"/>
    <x v="0"/>
    <x v="5"/>
    <x v="1"/>
    <x v="7"/>
    <s v="Desinfección"/>
    <x v="0"/>
    <n v="76101500"/>
    <s v="Prestación de servicios para saneamiento básico de la sede central IGAC"/>
    <x v="5"/>
    <x v="5"/>
    <n v="7"/>
    <x v="0"/>
    <x v="1"/>
    <x v="1"/>
    <n v="15000000"/>
    <n v="15000000"/>
    <x v="0"/>
    <x v="0"/>
    <x v="1"/>
    <x v="21"/>
    <s v="sertvcios admnistrativos "/>
    <x v="0"/>
    <s v="Coordinador GIT Talento Humano"/>
    <x v="4"/>
    <x v="7"/>
    <s v="N/A"/>
    <s v="N/A"/>
    <m/>
    <m/>
    <e v="#N/A"/>
    <e v="#N/A"/>
    <e v="#N/A"/>
    <x v="1"/>
    <m/>
    <n v="0"/>
    <x v="0"/>
    <m/>
    <x v="5"/>
    <x v="1"/>
  </r>
  <r>
    <x v="2"/>
    <n v="69"/>
    <x v="2"/>
    <x v="2"/>
    <x v="2"/>
    <x v="0"/>
    <x v="0"/>
    <x v="0"/>
    <x v="2"/>
    <s v="Publicidad en periódicos"/>
    <x v="0"/>
    <n v="82101504"/>
    <s v="Prestación de servicios para realizar la publicación de avisos en un diario de circulación nacional"/>
    <x v="7"/>
    <x v="7"/>
    <n v="9"/>
    <x v="0"/>
    <x v="1"/>
    <x v="1"/>
    <n v="7000000"/>
    <n v="7000000"/>
    <x v="0"/>
    <x v="0"/>
    <x v="1"/>
    <x v="21"/>
    <s v="Secretaria General - GIT Talento Humano"/>
    <x v="0"/>
    <s v="Coordinador GIT Talento Humano"/>
    <x v="4"/>
    <x v="7"/>
    <s v="N/A"/>
    <s v="N/A"/>
    <n v="538"/>
    <d v="2021-04-20T00:00:00"/>
    <e v="#N/A"/>
    <n v="7000000"/>
    <n v="7000000"/>
    <x v="0"/>
    <s v="BIG MEDIA PUBLICIDAD S.A.S"/>
    <n v="0"/>
    <x v="0"/>
    <n v="24719"/>
    <x v="0"/>
    <x v="0"/>
  </r>
  <r>
    <x v="2"/>
    <n v="64"/>
    <x v="2"/>
    <x v="2"/>
    <x v="2"/>
    <x v="0"/>
    <x v="5"/>
    <x v="1"/>
    <x v="10"/>
    <s v="Servicios secretariales o de administración de oficinas  "/>
    <x v="0"/>
    <n v="80161501"/>
    <s v="prestación de servicios personales para realizar actividades relacionadas con la elaboración de novedades administrativas de los funcionarios  de la entidad"/>
    <x v="1"/>
    <x v="1"/>
    <n v="4"/>
    <x v="0"/>
    <x v="0"/>
    <x v="1"/>
    <n v="10685932"/>
    <n v="10685932"/>
    <x v="0"/>
    <x v="0"/>
    <x v="1"/>
    <x v="21"/>
    <s v="Secretaria General - GIT Talento Humano"/>
    <x v="0"/>
    <s v="Coordinador GIT Talento Humano"/>
    <x v="11"/>
    <x v="23"/>
    <m/>
    <m/>
    <n v="558"/>
    <d v="2021-04-28T00:00:00"/>
    <n v="2671483"/>
    <n v="10685932"/>
    <n v="10685932"/>
    <x v="0"/>
    <s v="DAIRO JAVIER MARINEZ ACHURY (contrato anulado a solicitud del abogado9"/>
    <n v="0"/>
    <x v="0"/>
    <n v="24703"/>
    <x v="0"/>
    <x v="0"/>
  </r>
  <r>
    <x v="2"/>
    <n v="66"/>
    <x v="2"/>
    <x v="2"/>
    <x v="2"/>
    <x v="1"/>
    <x v="1"/>
    <x v="0"/>
    <x v="10"/>
    <s v="Servicios secretariales o de administración de oficinas  "/>
    <x v="0"/>
    <n v="80161501"/>
    <s v="prestación de servicios personales para la actualización y el mantenimiento de la información generada desde el proc eso  de talento humano"/>
    <x v="1"/>
    <x v="1"/>
    <n v="4"/>
    <x v="0"/>
    <x v="0"/>
    <x v="1"/>
    <n v="16785720"/>
    <n v="16785720"/>
    <x v="0"/>
    <x v="1"/>
    <x v="1"/>
    <x v="14"/>
    <m/>
    <x v="6"/>
    <m/>
    <x v="11"/>
    <x v="23"/>
    <m/>
    <m/>
    <n v="562"/>
    <d v="2021-04-28T00:00:00"/>
    <e v="#N/A"/>
    <e v="#N/A"/>
    <e v="#N/A"/>
    <x v="1"/>
    <s v="GINA VANESSA CRUZ GARCIA_x000a_YEISON FABIÁN MORALES BOTACHE"/>
    <n v="0"/>
    <x v="0"/>
    <m/>
    <x v="1"/>
    <x v="0"/>
  </r>
  <r>
    <x v="2"/>
    <n v="22"/>
    <x v="2"/>
    <x v="2"/>
    <x v="2"/>
    <x v="0"/>
    <x v="0"/>
    <x v="0"/>
    <x v="3"/>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2"/>
    <x v="2"/>
    <n v="345"/>
    <x v="1"/>
    <x v="0"/>
    <x v="0"/>
    <n v="32845116"/>
    <n v="32845116"/>
    <x v="0"/>
    <x v="0"/>
    <x v="1"/>
    <x v="26"/>
    <s v="Secretaría General - GIT de Talento Humano"/>
    <x v="0"/>
    <s v="Coordinador GIT de Talento Humano"/>
    <x v="4"/>
    <x v="7"/>
    <s v="N/A"/>
    <s v="N/A"/>
    <n v="22"/>
    <d v="2021-01-08T00:00:00"/>
    <n v="2856097"/>
    <n v="32845116"/>
    <n v="32845116"/>
    <x v="0"/>
    <s v="MARIA FERNANDA CELY VARGAS"/>
    <n v="0"/>
    <x v="0"/>
    <n v="24183"/>
    <x v="0"/>
    <x v="0"/>
  </r>
  <r>
    <x v="2"/>
    <n v="21"/>
    <x v="2"/>
    <x v="2"/>
    <x v="2"/>
    <x v="5"/>
    <x v="6"/>
    <x v="0"/>
    <x v="3"/>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2"/>
    <x v="2"/>
    <n v="345"/>
    <x v="1"/>
    <x v="0"/>
    <x v="1"/>
    <n v="267858460"/>
    <n v="267858460"/>
    <x v="0"/>
    <x v="5"/>
    <x v="1"/>
    <x v="26"/>
    <s v="Secretaría General - GIT de Talento Humano"/>
    <x v="0"/>
    <s v="Coordinador GIT de Talento Humano"/>
    <x v="4"/>
    <x v="7"/>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6"/>
    <x v="0"/>
  </r>
  <r>
    <x v="2"/>
    <n v="19"/>
    <x v="2"/>
    <x v="2"/>
    <x v="2"/>
    <x v="0"/>
    <x v="0"/>
    <x v="0"/>
    <x v="3"/>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2"/>
    <x v="2"/>
    <n v="345"/>
    <x v="1"/>
    <x v="0"/>
    <x v="1"/>
    <n v="92327704"/>
    <n v="92327704"/>
    <x v="0"/>
    <x v="0"/>
    <x v="1"/>
    <x v="26"/>
    <s v="Secretaría General - GIT de Talento Humano"/>
    <x v="0"/>
    <s v="Coordinador GIT de Talento Humano"/>
    <x v="4"/>
    <x v="7"/>
    <s v="N/A"/>
    <s v="N/A"/>
    <n v="20"/>
    <d v="2021-01-12T00:00:00"/>
    <n v="8028496"/>
    <n v="92327704"/>
    <n v="92327704"/>
    <x v="0"/>
    <s v="NYDIA MARCELA RIVERA RODRIGUEZ"/>
    <n v="0"/>
    <x v="0"/>
    <n v="24184"/>
    <x v="0"/>
    <x v="0"/>
  </r>
  <r>
    <x v="2"/>
    <n v="20"/>
    <x v="2"/>
    <x v="2"/>
    <x v="2"/>
    <x v="0"/>
    <x v="0"/>
    <x v="0"/>
    <x v="3"/>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2"/>
    <x v="2"/>
    <n v="345"/>
    <x v="1"/>
    <x v="0"/>
    <x v="0"/>
    <n v="92327704"/>
    <n v="92327704"/>
    <x v="0"/>
    <x v="0"/>
    <x v="1"/>
    <x v="26"/>
    <s v="Secretaría General - GIT de Talento Humano"/>
    <x v="0"/>
    <s v="Coordinador GIT de Talento Humano"/>
    <x v="4"/>
    <x v="7"/>
    <s v="N/A"/>
    <s v="N/A"/>
    <n v="21"/>
    <d v="2021-01-07T00:00:00"/>
    <n v="8028496"/>
    <n v="92327704"/>
    <n v="92327704"/>
    <x v="0"/>
    <s v="YENNY ZULEIMA CARREÑO CONTRERAS"/>
    <n v="0"/>
    <x v="0"/>
    <n v="24168"/>
    <x v="0"/>
    <x v="0"/>
  </r>
  <r>
    <x v="2"/>
    <n v="65"/>
    <x v="2"/>
    <x v="2"/>
    <x v="2"/>
    <x v="1"/>
    <x v="1"/>
    <x v="0"/>
    <x v="4"/>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1"/>
    <x v="1"/>
    <x v="21"/>
    <s v="Secretaria General - GIT Talento Humano"/>
    <x v="0"/>
    <s v="Coordinador GIT Talento Humano"/>
    <x v="11"/>
    <x v="23"/>
    <m/>
    <m/>
    <n v="511"/>
    <d v="2021-03-29T00:00:00"/>
    <n v="4263522"/>
    <n v="17054088"/>
    <n v="34108176"/>
    <x v="0"/>
    <s v="YESED ALEJANDRA RODRIGUEZ ROJAS_x000a_DIANAMARCELA RAMIREZ CASTILLO"/>
    <n v="0"/>
    <x v="0"/>
    <s v="24646_x000a_24648"/>
    <x v="1"/>
    <x v="0"/>
  </r>
  <r>
    <x v="8"/>
    <n v="1"/>
    <x v="2"/>
    <x v="2"/>
    <x v="2"/>
    <x v="0"/>
    <x v="0"/>
    <x v="0"/>
    <x v="6"/>
    <s v="Desfibrilador cardiovertidor implantable icd o desfibrilador para terapia de re sincronización cardíaca crt-d"/>
    <x v="0"/>
    <n v="42203505"/>
    <s v="Adquisición de desfibrilador para las direcciones territoriales"/>
    <x v="8"/>
    <x v="8"/>
    <n v="1"/>
    <x v="0"/>
    <x v="1"/>
    <x v="1"/>
    <n v="20000000"/>
    <n v="20000000"/>
    <x v="0"/>
    <x v="0"/>
    <x v="1"/>
    <x v="21"/>
    <s v="Secretaria General - GIT Talento Humano"/>
    <x v="0"/>
    <s v="Coordinador GIT Talento Humano"/>
    <x v="4"/>
    <x v="7"/>
    <s v="N/A"/>
    <s v="N/A"/>
    <n v="591"/>
    <d v="2021-05-19T00:00:00"/>
    <n v="12530700"/>
    <n v="12530700"/>
    <n v="12530700"/>
    <x v="0"/>
    <s v="HEALTHCORP SAS"/>
    <n v="7469300"/>
    <x v="0"/>
    <n v="24745"/>
    <x v="0"/>
    <x v="0"/>
  </r>
  <r>
    <x v="8"/>
    <s v="3--4"/>
    <x v="2"/>
    <x v="2"/>
    <x v="2"/>
    <x v="0"/>
    <x v="0"/>
    <x v="0"/>
    <x v="10"/>
    <s v="Ropa de seguridad"/>
    <x v="0"/>
    <n v="46181500"/>
    <s v="Adquisición de elementos de Protección Personal (EPP) para la protección de los colaboradores del IGAC a nivel nacional en el marco de la emergencia declarada&quot; COVD-19&quot;"/>
    <x v="1"/>
    <x v="1"/>
    <n v="1"/>
    <x v="0"/>
    <x v="5"/>
    <x v="1"/>
    <n v="100000000"/>
    <n v="100000000"/>
    <x v="0"/>
    <x v="0"/>
    <x v="1"/>
    <x v="21"/>
    <s v="Secretaria General - GIT Talento Humano"/>
    <x v="0"/>
    <s v="Coordinador GIT Talento Humano"/>
    <x v="4"/>
    <x v="7"/>
    <s v="N/A"/>
    <s v="N/A"/>
    <n v="487"/>
    <d v="2021-03-18T00:00:00"/>
    <e v="#N/A"/>
    <n v="84103190"/>
    <n v="84103190"/>
    <x v="0"/>
    <s v="BON SANTE SAS_x000a_LOGISTICA Y GESTION DE NEGOCIOS SAS"/>
    <n v="15896810"/>
    <x v="0"/>
    <s v="24621_x000a_24635"/>
    <x v="0"/>
    <x v="0"/>
  </r>
  <r>
    <x v="2"/>
    <n v="72"/>
    <x v="2"/>
    <x v="2"/>
    <x v="2"/>
    <x v="1"/>
    <x v="1"/>
    <x v="0"/>
    <x v="8"/>
    <s v="Servicios de capacitación vocacional científica"/>
    <x v="0"/>
    <n v="86101600"/>
    <s v="Prestación de servicios de apoyo a la Gestión para llevar a cabo los programas y proyectos del Plan Institucional de Capacitación de la entidad."/>
    <x v="7"/>
    <x v="7"/>
    <n v="8"/>
    <x v="0"/>
    <x v="0"/>
    <x v="1"/>
    <n v="374494211"/>
    <n v="374494211"/>
    <x v="0"/>
    <x v="1"/>
    <x v="0"/>
    <x v="3"/>
    <s v="Secretaría General - GIT de Talento Humano"/>
    <x v="0"/>
    <s v="Coordinador GIT Talento Humano"/>
    <x v="5"/>
    <x v="22"/>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1"/>
    <x v="0"/>
  </r>
  <r>
    <x v="2"/>
    <n v="62"/>
    <x v="2"/>
    <x v="2"/>
    <x v="2"/>
    <x v="0"/>
    <x v="0"/>
    <x v="0"/>
    <x v="1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0"/>
    <x v="1"/>
    <x v="21"/>
    <s v="Secretaria General - GIT Talento Humano"/>
    <x v="0"/>
    <s v="Coordinador GIT Talento Humano"/>
    <x v="4"/>
    <x v="7"/>
    <s v="N/A"/>
    <s v="N/A"/>
    <n v="499"/>
    <d v="2021-03-25T00:00:00"/>
    <n v="0"/>
    <n v="142694916"/>
    <n v="142694916"/>
    <x v="0"/>
    <s v="CAFAM"/>
    <n v="107305084"/>
    <x v="0"/>
    <n v="24632"/>
    <x v="0"/>
    <x v="0"/>
  </r>
  <r>
    <x v="8"/>
    <s v="19-20-21-22-23-24-25-26-27-28-29-30-31-32-33-34-35-36-37-38"/>
    <x v="2"/>
    <x v="2"/>
    <x v="2"/>
    <x v="0"/>
    <x v="0"/>
    <x v="0"/>
    <x v="6"/>
    <s v="Batas protectoras"/>
    <x v="0"/>
    <n v="46181533"/>
    <s v="Adquisición de elementos de seguridad industrial "/>
    <x v="8"/>
    <x v="8"/>
    <n v="11"/>
    <x v="0"/>
    <x v="5"/>
    <x v="1"/>
    <n v="400000000"/>
    <n v="400000000"/>
    <x v="0"/>
    <x v="0"/>
    <x v="1"/>
    <x v="21"/>
    <s v="Secretaria General - GIT Talento Humano"/>
    <x v="0"/>
    <s v="Coordinador GIT Talento Humano"/>
    <x v="4"/>
    <x v="7"/>
    <s v="N/A"/>
    <s v="N/A"/>
    <n v="603"/>
    <d v="2021-05-21T00:00:00"/>
    <n v="39174441"/>
    <n v="39174441"/>
    <n v="39174441"/>
    <x v="0"/>
    <s v="CENCOSUD_x000a_PANAMERICANA LIBRERIA Y PAPELERIA SA_x000a_PROVEER INSTITUCIONAL SAS_x000a_ALMACENES EXITO S A"/>
    <n v="360825559"/>
    <x v="0"/>
    <s v="24739_x000a_24740_x000a_24741_x000a_24742"/>
    <x v="0"/>
    <x v="0"/>
  </r>
  <r>
    <x v="2"/>
    <m/>
    <x v="2"/>
    <x v="2"/>
    <x v="2"/>
    <x v="0"/>
    <x v="5"/>
    <x v="1"/>
    <x v="7"/>
    <s v="Servicios de compra de vestuario"/>
    <x v="0"/>
    <n v="91111703"/>
    <s v="Adquisición de dotación de vestuario de calle para los funcionarios a nivel nacional "/>
    <x v="5"/>
    <x v="5"/>
    <n v="5"/>
    <x v="0"/>
    <x v="5"/>
    <x v="1"/>
    <n v="400000000"/>
    <n v="400000000"/>
    <x v="0"/>
    <x v="0"/>
    <x v="1"/>
    <x v="21"/>
    <s v="Secretaria General - GIT Talento Humano"/>
    <x v="0"/>
    <s v="Coordinador GIT Talento Humano"/>
    <x v="4"/>
    <x v="7"/>
    <s v="N/A"/>
    <s v="N/A"/>
    <m/>
    <m/>
    <e v="#N/A"/>
    <e v="#N/A"/>
    <e v="#N/A"/>
    <x v="1"/>
    <m/>
    <n v="0"/>
    <x v="0"/>
    <m/>
    <x v="5"/>
    <x v="1"/>
  </r>
  <r>
    <x v="2"/>
    <m/>
    <x v="2"/>
    <x v="2"/>
    <x v="2"/>
    <x v="0"/>
    <x v="5"/>
    <x v="1"/>
    <x v="5"/>
    <s v="Batas protectoras"/>
    <x v="0"/>
    <n v="46181533"/>
    <s v="Adquisición de elementos de protección personal para el personal que desarrolla actividades a nivel territorial en el desarrollo de la misionalidad del IGAC. "/>
    <x v="5"/>
    <x v="5"/>
    <n v="16"/>
    <x v="0"/>
    <x v="5"/>
    <x v="1"/>
    <n v="40000000"/>
    <n v="40000000"/>
    <x v="0"/>
    <x v="0"/>
    <x v="1"/>
    <x v="21"/>
    <s v="Secretaria General - GIT Talento Humano"/>
    <x v="0"/>
    <s v="Coordinador GIT Talento Humano"/>
    <x v="4"/>
    <x v="7"/>
    <s v="N/A"/>
    <s v="N/A"/>
    <m/>
    <m/>
    <e v="#N/A"/>
    <e v="#N/A"/>
    <e v="#N/A"/>
    <x v="1"/>
    <m/>
    <n v="0"/>
    <x v="0"/>
    <m/>
    <x v="5"/>
    <x v="1"/>
  </r>
  <r>
    <x v="2"/>
    <m/>
    <x v="2"/>
    <x v="2"/>
    <x v="2"/>
    <x v="0"/>
    <x v="5"/>
    <x v="1"/>
    <x v="5"/>
    <s v="Servicios de compra de vestuario"/>
    <x v="0"/>
    <n v="91111703"/>
    <s v="Adquición de zapatos y elementos de vestuario de protección "/>
    <x v="5"/>
    <x v="5"/>
    <n v="16"/>
    <x v="0"/>
    <x v="5"/>
    <x v="1"/>
    <n v="20000000"/>
    <n v="20000000"/>
    <x v="0"/>
    <x v="0"/>
    <x v="1"/>
    <x v="21"/>
    <s v="Secretaria General - GIT Talento Humano"/>
    <x v="0"/>
    <s v="Coordinador GIT Talento Humano"/>
    <x v="4"/>
    <x v="7"/>
    <s v="N/A"/>
    <s v="N/A"/>
    <m/>
    <m/>
    <e v="#N/A"/>
    <e v="#N/A"/>
    <e v="#N/A"/>
    <x v="1"/>
    <m/>
    <n v="0"/>
    <x v="0"/>
    <m/>
    <x v="5"/>
    <x v="1"/>
  </r>
  <r>
    <x v="2"/>
    <m/>
    <x v="2"/>
    <x v="2"/>
    <x v="2"/>
    <x v="0"/>
    <x v="5"/>
    <x v="1"/>
    <x v="6"/>
    <s v="Centros o servicios móviles de atención de salud"/>
    <x v="0"/>
    <n v="85101508"/>
    <s v="Prestación de servicios para la realización de los exámenes ocupacionales para los funcionarios de la entidad a nivel nacional"/>
    <x v="5"/>
    <x v="5"/>
    <n v="7"/>
    <x v="0"/>
    <x v="2"/>
    <x v="1"/>
    <n v="80000000"/>
    <n v="80000000"/>
    <x v="0"/>
    <x v="0"/>
    <x v="1"/>
    <x v="21"/>
    <s v="Secretaria General - GIT Talento Humano"/>
    <x v="0"/>
    <s v="Coordinador GIT Talento Humano"/>
    <x v="4"/>
    <x v="7"/>
    <s v="N/A"/>
    <s v="N/A"/>
    <m/>
    <m/>
    <e v="#N/A"/>
    <e v="#N/A"/>
    <e v="#N/A"/>
    <x v="1"/>
    <m/>
    <n v="0"/>
    <x v="0"/>
    <m/>
    <x v="5"/>
    <x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
  <r>
    <x v="0"/>
    <n v="25"/>
    <x v="0"/>
    <x v="0"/>
    <x v="0"/>
    <x v="0"/>
    <x v="0"/>
    <x v="0"/>
    <x v="0"/>
    <s v="Servicios de formación profesional en ingeniería"/>
    <x v="0"/>
    <n v="86101610"/>
    <s v="Prestación de servicios personales para realizar el lavado y alistamiento de la instrumentación requerida para la ejecución de análisis en el GIT Laboratorio Nacional de Suelos."/>
    <x v="0"/>
    <x v="0"/>
    <n v="7"/>
    <x v="0"/>
    <x v="0"/>
    <x v="0"/>
    <n v="28519428"/>
    <n v="28519428"/>
    <x v="0"/>
    <x v="0"/>
    <x v="0"/>
    <x v="0"/>
    <x v="0"/>
    <s v="Subdirección de Agrología"/>
    <x v="0"/>
    <s v="Subdirector de Agrología "/>
    <x v="0"/>
    <x v="0"/>
    <s v="Análisis físicos, químicos, biológicos y mineralógicos de suelos"/>
    <s v="Pruebas químicas, físicas, mineralógicas y biológicas de suelos realizadas"/>
    <n v="129"/>
    <d v="2021-01-22T00:00:00"/>
    <n v="2004904"/>
    <n v="14034328"/>
    <n v="28068656"/>
    <s v=" GLADYS VELANDIA  _x000a_ANA JAZMÍN OTALORA RODRÍGUEZ"/>
    <n v="450772"/>
    <x v="0"/>
    <s v="24353_x000a_24354"/>
    <x v="0"/>
  </r>
  <r>
    <x v="0"/>
    <n v="14"/>
    <x v="0"/>
    <x v="0"/>
    <x v="0"/>
    <x v="0"/>
    <x v="0"/>
    <x v="0"/>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_x000a_MARIA ELENA REBOLLO_x000a_WILMER  GUZMAN MARTINEZ"/>
    <n v="1297660"/>
    <x v="0"/>
    <s v="24368_x000a_24499"/>
    <x v="0"/>
  </r>
  <r>
    <x v="0"/>
    <n v="1"/>
    <x v="0"/>
    <x v="0"/>
    <x v="1"/>
    <x v="1"/>
    <x v="0"/>
    <x v="0"/>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1"/>
    <x v="0"/>
    <x v="0"/>
    <s v="Subdirección de Agrología"/>
    <x v="2"/>
    <s v="Subdirector de Agrología "/>
    <x v="0"/>
    <x v="1"/>
    <s v="Estudio de suelos como insumo para el ordenamiento integral del territorio."/>
    <s v="Sistema de información agrologica actualizado"/>
    <n v="105"/>
    <d v="2021-01-22T00:00:00"/>
    <n v="7261336"/>
    <n v="50829352"/>
    <n v="50829352"/>
    <s v="ADRIANA CAROLINA RIVADENEIRA PISCIOTTI"/>
    <n v="483210"/>
    <x v="0"/>
    <n v="24307"/>
    <x v="1"/>
  </r>
  <r>
    <x v="0"/>
    <n v="6"/>
    <x v="0"/>
    <x v="0"/>
    <x v="1"/>
    <x v="1"/>
    <x v="0"/>
    <x v="0"/>
    <x v="0"/>
    <s v="Servicios de formación profesional en ingeniería"/>
    <x v="0"/>
    <n v="86101610"/>
    <s v="Prestación de servicios para el manejo de la información que genere la subdirección de agrología en el desarrollo de sus proyectos."/>
    <x v="0"/>
    <x v="0"/>
    <n v="7"/>
    <x v="0"/>
    <x v="0"/>
    <x v="0"/>
    <n v="18155711"/>
    <n v="18155711"/>
    <x v="0"/>
    <x v="0"/>
    <x v="1"/>
    <x v="0"/>
    <x v="0"/>
    <s v="Subdirección de Agrología"/>
    <x v="2"/>
    <s v="Subdirector de Agrología "/>
    <x v="0"/>
    <x v="1"/>
    <s v="Estudio de suelos como insumo para el ordenamiento integral del territorio."/>
    <s v="Sistema de información agrologica actualizado"/>
    <n v="119"/>
    <d v="2021-01-22T00:00:00"/>
    <n v="2575938"/>
    <n v="18031566"/>
    <n v="18031566"/>
    <s v="ANDREA PILAR SINTURA HUERTA"/>
    <n v="124145"/>
    <x v="0"/>
    <n v="24309"/>
    <x v="1"/>
  </r>
  <r>
    <x v="0"/>
    <n v="9"/>
    <x v="0"/>
    <x v="0"/>
    <x v="2"/>
    <x v="2"/>
    <x v="0"/>
    <x v="0"/>
    <x v="0"/>
    <s v="Servicios de formación profesional en ingeniería"/>
    <x v="0"/>
    <n v="86101610"/>
    <s v="Prestación de servicios profesionales para realizar el levantamiento de suelos  y capacidad de uso de las tierras en los proyectos que adelanta la Subdirección de Agrología"/>
    <x v="0"/>
    <x v="0"/>
    <n v="7"/>
    <x v="0"/>
    <x v="0"/>
    <x v="0"/>
    <n v="202827758"/>
    <n v="202827758"/>
    <x v="0"/>
    <x v="0"/>
    <x v="2"/>
    <x v="0"/>
    <x v="0"/>
    <s v="Subdirección de Agrología"/>
    <x v="2"/>
    <s v="Subdirector de Agrología "/>
    <x v="0"/>
    <x v="1"/>
    <s v="Estudio de suelos como insumo para el ordenamiento integral del territorio."/>
    <s v="Sistema de información agrologica actualizado"/>
    <n v="107"/>
    <d v="2021-01-22T00:00:00"/>
    <n v="4112781"/>
    <n v="28789467"/>
    <n v="201526269"/>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2"/>
  </r>
  <r>
    <x v="0"/>
    <n v="19"/>
    <x v="0"/>
    <x v="0"/>
    <x v="3"/>
    <x v="3"/>
    <x v="0"/>
    <x v="0"/>
    <x v="0"/>
    <s v="Servicios de formación profesional en ingeniería"/>
    <x v="0"/>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0"/>
    <s v="Subdirector de Agrología "/>
    <x v="0"/>
    <x v="0"/>
    <s v="Análisis físicos, químicos, biológicos y mineralógicos de suelos"/>
    <s v="Pruebas químicas, físicas, mineralógicas y biológicas de suelos realizadas"/>
    <n v="118"/>
    <d v="2021-01-22T00:00:00"/>
    <n v="2575938"/>
    <n v="18031566"/>
    <n v="54094698"/>
    <s v="DAVID LEONARDO CACERES_x000a_ANGELICA MARIA  SANCHEZ  ORDOÑEZ  _x000a_MARY  LESVIA  ARDILA  QUINTANA"/>
    <n v="372435"/>
    <x v="0"/>
    <s v="24317_x000a_24318_x000a_24319"/>
    <x v="3"/>
  </r>
  <r>
    <x v="0"/>
    <n v="13"/>
    <x v="0"/>
    <x v="0"/>
    <x v="0"/>
    <x v="0"/>
    <x v="0"/>
    <x v="0"/>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DIANA PATRICIA MERA GARZON _x000a_ LIZBETH GONZÁLEZ"/>
    <n v="371854"/>
    <x v="0"/>
    <s v="24343_x000a_24456"/>
    <x v="0"/>
  </r>
  <r>
    <x v="0"/>
    <n v="24"/>
    <x v="0"/>
    <x v="0"/>
    <x v="1"/>
    <x v="1"/>
    <x v="0"/>
    <x v="0"/>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1"/>
    <x v="0"/>
    <x v="0"/>
    <s v="Subdirección de Agrología"/>
    <x v="0"/>
    <s v="Subdirector de Agrología "/>
    <x v="0"/>
    <x v="0"/>
    <s v="Análisis físicos, químicos, biológicos y mineralógicos de suelos"/>
    <s v="Pruebas químicas, físicas, mineralógicas y biológicas de suelos realizadas"/>
    <n v="139"/>
    <d v="2021-01-22T00:00:00"/>
    <n v="4738790"/>
    <n v="33171530"/>
    <n v="33171530"/>
    <s v="ELSA MATILDE GONZÁLEZ"/>
    <n v="648830"/>
    <x v="0"/>
    <n v="24337"/>
    <x v="1"/>
  </r>
  <r>
    <x v="0"/>
    <n v="18"/>
    <x v="0"/>
    <x v="0"/>
    <x v="0"/>
    <x v="0"/>
    <x v="0"/>
    <x v="0"/>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0"/>
    <x v="0"/>
    <x v="0"/>
    <s v="Subdirección de Agrología"/>
    <x v="0"/>
    <s v="Subdirector de Agrología "/>
    <x v="0"/>
    <x v="0"/>
    <s v="Análisis físicos, químicos, biológicos y mineralógicos de suelos"/>
    <s v="Pruebas químicas, físicas, mineralógicas y biológicas de suelos realizadas"/>
    <n v="106"/>
    <d v="2021-01-22T00:00:00"/>
    <n v="3033256"/>
    <n v="21232792"/>
    <n v="42465584"/>
    <s v="GREGORY STEVEN PUENTES GONZALEZ _x000a_ JUAN GÓMEZ GÓMEZ"/>
    <n v="6496"/>
    <x v="0"/>
    <s v="24298_x000a_24301"/>
    <x v="0"/>
  </r>
  <r>
    <x v="0"/>
    <n v="26"/>
    <x v="0"/>
    <x v="0"/>
    <x v="1"/>
    <x v="1"/>
    <x v="0"/>
    <x v="1"/>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1"/>
    <x v="1"/>
    <n v="7"/>
    <x v="0"/>
    <x v="0"/>
    <x v="0"/>
    <n v="21446236"/>
    <n v="21446236"/>
    <x v="0"/>
    <x v="0"/>
    <x v="1"/>
    <x v="0"/>
    <x v="0"/>
    <s v="Subdirección de Agrología"/>
    <x v="3"/>
    <s v="Subdriector de Agrología"/>
    <x v="0"/>
    <x v="1"/>
    <s v="Estudio de suelos como insumo para el ordenamiento integral del territorio."/>
    <s v="Sistema de información agrologica actualizado"/>
    <n v="151"/>
    <d v="2021-02-01T00:00:00"/>
    <n v="3063748"/>
    <n v="21446236"/>
    <n v="21446236"/>
    <s v="GUERTHY ADRIANA MORENO SÁNCHEZ"/>
    <n v="0"/>
    <x v="0"/>
    <n v="24431"/>
    <x v="1"/>
  </r>
  <r>
    <x v="0"/>
    <n v="12"/>
    <x v="0"/>
    <x v="0"/>
    <x v="1"/>
    <x v="1"/>
    <x v="0"/>
    <x v="0"/>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JENNIFER LORENA TÉLLEZ"/>
    <n v="648830"/>
    <x v="0"/>
    <n v="24344"/>
    <x v="1"/>
  </r>
  <r>
    <x v="0"/>
    <n v="5"/>
    <x v="0"/>
    <x v="0"/>
    <x v="1"/>
    <x v="1"/>
    <x v="0"/>
    <x v="0"/>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1"/>
    <x v="0"/>
    <x v="0"/>
    <s v="Subdirección de Agrología"/>
    <x v="2"/>
    <s v="Subdirector de Agrología "/>
    <x v="0"/>
    <x v="1"/>
    <s v="Estudio de suelos como insumo para el ordenamiento integral del territorio."/>
    <s v="Sistema de información agrologica actualizado"/>
    <n v="258"/>
    <d v="2021-01-22T00:00:00"/>
    <n v="4112781"/>
    <n v="28789467"/>
    <n v="28789467"/>
    <s v="JOHANNA KATERINE CORDERO CASALLAS"/>
    <n v="185927"/>
    <x v="0"/>
    <n v="24434"/>
    <x v="1"/>
  </r>
  <r>
    <x v="0"/>
    <n v="23"/>
    <x v="0"/>
    <x v="0"/>
    <x v="1"/>
    <x v="1"/>
    <x v="0"/>
    <x v="0"/>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135"/>
    <d v="2021-01-22T00:00:00"/>
    <n v="2575938"/>
    <n v="18031566"/>
    <n v="18031566"/>
    <s v="JOHN JAIRO YATE ALAPE"/>
    <n v="124145"/>
    <x v="0"/>
    <n v="24350"/>
    <x v="1"/>
  </r>
  <r>
    <x v="0"/>
    <n v="22"/>
    <x v="0"/>
    <x v="0"/>
    <x v="1"/>
    <x v="1"/>
    <x v="0"/>
    <x v="0"/>
    <x v="0"/>
    <s v="Servicios de formación profesional en ingeniería"/>
    <x v="0"/>
    <n v="86101610"/>
    <s v="Prestación de servicios personales para realizar la preparación y manejo de muestras de suelos, aguas, compost y tejido vegetal en el GIT Laboratorio Nacional de Suelos. "/>
    <x v="0"/>
    <x v="0"/>
    <n v="7"/>
    <x v="0"/>
    <x v="0"/>
    <x v="0"/>
    <n v="16296816"/>
    <n v="16296816"/>
    <x v="0"/>
    <x v="0"/>
    <x v="1"/>
    <x v="0"/>
    <x v="0"/>
    <s v="Subdirección de Agrología"/>
    <x v="0"/>
    <s v="Subdirector de Agrología "/>
    <x v="0"/>
    <x v="0"/>
    <s v="Análisis físicos, químicos, biológicos y mineralógicos de suelos"/>
    <s v="Pruebas químicas, físicas, mineralógicas y biológicas de suelos realizadas"/>
    <n v="132"/>
    <d v="2021-01-22T00:00:00"/>
    <n v="2004904"/>
    <n v="16039232"/>
    <n v="16039232"/>
    <s v="JUAN FELIPE RUEDA CALDERON"/>
    <n v="257584"/>
    <x v="0"/>
    <n v="24349"/>
    <x v="1"/>
  </r>
  <r>
    <x v="0"/>
    <n v="7"/>
    <x v="0"/>
    <x v="0"/>
    <x v="1"/>
    <x v="1"/>
    <x v="0"/>
    <x v="0"/>
    <x v="0"/>
    <s v="Servicios de formación profesional en ingeniería"/>
    <x v="0"/>
    <n v="86101610"/>
    <s v="Prestación de servicios profesionales para realizar el control de calidad de la interacción de la información de los levantamientos de suelos y aplicaciones agrologicas a nivel nacional"/>
    <x v="0"/>
    <x v="0"/>
    <n v="7"/>
    <x v="0"/>
    <x v="0"/>
    <x v="0"/>
    <n v="33820360"/>
    <n v="33820360"/>
    <x v="0"/>
    <x v="0"/>
    <x v="1"/>
    <x v="0"/>
    <x v="0"/>
    <s v="Subdirección de Agrología"/>
    <x v="2"/>
    <s v="Subdirector de Agrología "/>
    <x v="0"/>
    <x v="1"/>
    <s v="Estudio de suelos como insumo para el ordenamiento integral del territorio."/>
    <s v="Sistema de información agrologica actualizado"/>
    <n v="258"/>
    <d v="2021-01-22T00:00:00"/>
    <n v="4738790"/>
    <n v="33171530"/>
    <n v="33171530"/>
    <s v="JULIANA YAMILE CUY TORRES"/>
    <n v="648830"/>
    <x v="0"/>
    <n v="24434"/>
    <x v="1"/>
  </r>
  <r>
    <x v="0"/>
    <n v="16"/>
    <x v="0"/>
    <x v="0"/>
    <x v="1"/>
    <x v="1"/>
    <x v="0"/>
    <x v="2"/>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KATHERINE GÓMEZ RODRIGUEZ"/>
    <n v="185927"/>
    <x v="0"/>
    <n v="24550"/>
    <x v="1"/>
  </r>
  <r>
    <x v="0"/>
    <n v="3"/>
    <x v="0"/>
    <x v="0"/>
    <x v="1"/>
    <x v="1"/>
    <x v="0"/>
    <x v="0"/>
    <x v="0"/>
    <s v="Servicios de formación profesional en ingeniería"/>
    <x v="0"/>
    <n v="86101610"/>
    <s v="Prestación de servicios personales para realizar la digitación y consolidación de la información agrológica, acorde con los estándares de control de calidad de la entidad."/>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226"/>
    <d v="2021-01-22T00:00:00"/>
    <n v="1873015"/>
    <n v="13111105"/>
    <n v="13111105"/>
    <s v="MARÍA PAULA ROJAS"/>
    <n v="362089"/>
    <x v="0"/>
    <n v="24420"/>
    <x v="1"/>
  </r>
  <r>
    <x v="0"/>
    <n v="8"/>
    <x v="0"/>
    <x v="0"/>
    <x v="3"/>
    <x v="3"/>
    <x v="0"/>
    <x v="1"/>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1"/>
    <x v="1"/>
    <n v="7"/>
    <x v="0"/>
    <x v="0"/>
    <x v="0"/>
    <n v="63708120"/>
    <n v="63708120"/>
    <x v="0"/>
    <x v="0"/>
    <x v="3"/>
    <x v="0"/>
    <x v="0"/>
    <s v="Subdirección de Agrología"/>
    <x v="3"/>
    <s v="Subdriector de Agrología"/>
    <x v="0"/>
    <x v="1"/>
    <s v="Estudio de suelos como insumo para el cumplimiento de los acuerdos de paz"/>
    <s v="Sistema de información agrologica actualizado"/>
    <n v="126"/>
    <d v="2021-02-18T00:00:00"/>
    <n v="3033256"/>
    <n v="21232792"/>
    <n v="63698376"/>
    <s v="SANDRA JULIANA DIAZ WAGNER_x000a_TITO LEONARDO FANDIÑO _x000a_LEYDER ECHEVERRY "/>
    <n v="9744"/>
    <x v="0"/>
    <s v="24480_x000a_24578_x000a_24579"/>
    <x v="3"/>
  </r>
  <r>
    <x v="0"/>
    <n v="20"/>
    <x v="0"/>
    <x v="0"/>
    <x v="1"/>
    <x v="1"/>
    <x v="0"/>
    <x v="0"/>
    <x v="0"/>
    <s v="Servicios de formación profesional en ingeniería"/>
    <x v="0"/>
    <n v="86101610"/>
    <s v="Prestación de servicios personales para implementar y ejecutar las actividades de control ambiental bajo la Norma ISO 14001 y manejo de residuos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204"/>
    <d v="2021-01-22T00:00:00"/>
    <n v="2575938"/>
    <n v="18031566"/>
    <n v="18031566"/>
    <s v="SERGIO ANDRÉS ARENAS ENMOGA"/>
    <n v="124145"/>
    <x v="0"/>
    <n v="24392"/>
    <x v="1"/>
  </r>
  <r>
    <x v="0"/>
    <n v="4"/>
    <x v="0"/>
    <x v="0"/>
    <x v="1"/>
    <x v="1"/>
    <x v="0"/>
    <x v="0"/>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140"/>
    <d v="2021-01-22T00:00:00"/>
    <n v="1911592"/>
    <n v="13381144"/>
    <n v="13381144"/>
    <s v="VALENTINA ROJAS"/>
    <n v="92050"/>
    <x v="0"/>
    <n v="24338"/>
    <x v="1"/>
  </r>
  <r>
    <x v="0"/>
    <n v="2"/>
    <x v="0"/>
    <x v="0"/>
    <x v="1"/>
    <x v="1"/>
    <x v="0"/>
    <x v="0"/>
    <x v="0"/>
    <s v="Servicios de formación profesional en ingeniería"/>
    <x v="0"/>
    <n v="86101610"/>
    <s v="Prestación de servicios profesionales para realizar actividades de apoyo a los procesos administrativos que adelanta la Subdirección de Agrología"/>
    <x v="0"/>
    <x v="0"/>
    <n v="7"/>
    <x v="0"/>
    <x v="0"/>
    <x v="0"/>
    <n v="21236040"/>
    <n v="21236040"/>
    <x v="0"/>
    <x v="0"/>
    <x v="1"/>
    <x v="0"/>
    <x v="0"/>
    <s v="Subdirección de Agrología"/>
    <x v="2"/>
    <s v="Subdirector de Agrología "/>
    <x v="0"/>
    <x v="1"/>
    <s v="Estudio de suelos como insumo para el ordenamiento integral del territorio."/>
    <s v="Sistema de información agrologica actualizado"/>
    <n v="114"/>
    <d v="2021-01-22T00:00:00"/>
    <n v="3033256"/>
    <n v="21232792"/>
    <n v="21232792"/>
    <s v="VIVIANA ANDREA RUEDA CALDERÓN"/>
    <n v="3248"/>
    <x v="0"/>
    <n v="24308"/>
    <x v="1"/>
  </r>
  <r>
    <x v="0"/>
    <n v="21"/>
    <x v="0"/>
    <x v="0"/>
    <x v="1"/>
    <x v="1"/>
    <x v="0"/>
    <x v="0"/>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1"/>
    <x v="0"/>
    <x v="0"/>
    <s v="Subdirección de Agrología"/>
    <x v="0"/>
    <s v="Subdirector de Agrología "/>
    <x v="0"/>
    <x v="0"/>
    <s v="Análisis físicos, químicos, biológicos y mineralógicos de suelos"/>
    <s v="Pruebas químicas, físicas, mineralógicas y biológicas de suelos realizadas"/>
    <n v="137"/>
    <d v="2021-01-22T00:00:00"/>
    <n v="4112781"/>
    <n v="28789467"/>
    <n v="28789467"/>
    <s v="VLADIMIR PAEZ FONSECA"/>
    <n v="185927"/>
    <x v="0"/>
    <n v="24336"/>
    <x v="1"/>
  </r>
  <r>
    <x v="0"/>
    <n v="10"/>
    <x v="0"/>
    <x v="0"/>
    <x v="4"/>
    <x v="4"/>
    <x v="0"/>
    <x v="0"/>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4"/>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WALTER HERRERA  _x000a_RICARDO VALBUENA _x000a_ANDRÉS FELIPE PICÓN _x000a_ADELINA MONTEALEGRE _x000a_JUAN MEDINA AVELLANEDA _x000a_"/>
    <n v="929635"/>
    <x v="0"/>
    <s v="24345_x000a_24457_x000a_24458_x000a_24540_x000a_24584"/>
    <x v="4"/>
  </r>
  <r>
    <x v="0"/>
    <n v="17"/>
    <x v="0"/>
    <x v="0"/>
    <x v="1"/>
    <x v="1"/>
    <x v="0"/>
    <x v="0"/>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WVEIMAR SAMACA TORRES"/>
    <n v="648830"/>
    <x v="0"/>
    <n v="24472"/>
    <x v="1"/>
  </r>
  <r>
    <x v="0"/>
    <n v="11"/>
    <x v="0"/>
    <x v="0"/>
    <x v="0"/>
    <x v="0"/>
    <x v="0"/>
    <x v="0"/>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YONATAN HERRERA _x000a_ HERNAN GUILLERMO BENITEZ"/>
    <n v="248290"/>
    <x v="0"/>
    <s v="24476_x000a_24585"/>
    <x v="0"/>
  </r>
  <r>
    <x v="0"/>
    <n v="15"/>
    <x v="0"/>
    <x v="0"/>
    <x v="1"/>
    <x v="1"/>
    <x v="0"/>
    <x v="0"/>
    <x v="0"/>
    <s v="Servicios de formación profesional en ingeniería"/>
    <x v="0"/>
    <n v="86101610"/>
    <s v="Prestación de servicios profesionales para asignación, elaboración y consolidación de información fotogramétrica de los diferentes proyectos que adelante la subdirección de Agrología."/>
    <x v="0"/>
    <x v="0"/>
    <n v="7"/>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ZULY YESENIA OLAYA ACOSTA"/>
    <n v="185927"/>
    <x v="0"/>
    <n v="24467"/>
    <x v="1"/>
  </r>
  <r>
    <x v="1"/>
    <n v="51"/>
    <x v="1"/>
    <x v="1"/>
    <x v="1"/>
    <x v="1"/>
    <x v="0"/>
    <x v="3"/>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0"/>
    <n v="18748392"/>
    <n v="18748392"/>
    <x v="0"/>
    <x v="0"/>
    <x v="1"/>
    <x v="0"/>
    <x v="1"/>
    <s v="DT Casanare"/>
    <x v="4"/>
    <s v="HERMES SALCEDO RODRIGUEZ"/>
    <x v="1"/>
    <x v="2"/>
    <s v="Ejecutar procesos de conservación catastral a nivel nacional"/>
    <s v="Mutaciones realizadas"/>
    <n v="512"/>
    <d v="2021-03-30T00:00:00"/>
    <n v="3124732"/>
    <n v="18748392"/>
    <n v="18748392"/>
    <s v="HONOFRE QUINTERO CABICHE"/>
    <n v="0"/>
    <x v="0"/>
    <n v="24645"/>
    <x v="1"/>
  </r>
  <r>
    <x v="1"/>
    <n v="53"/>
    <x v="1"/>
    <x v="1"/>
    <x v="1"/>
    <x v="1"/>
    <x v="0"/>
    <x v="3"/>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0"/>
    <n v="12589290"/>
    <n v="12589290"/>
    <x v="0"/>
    <x v="0"/>
    <x v="1"/>
    <x v="0"/>
    <x v="1"/>
    <s v="DT Casanare"/>
    <x v="4"/>
    <s v="HERMES SALCEDO RODRIGUEZ"/>
    <x v="1"/>
    <x v="2"/>
    <s v="Ejecutar procesos de conservación catastral a nivel nacional"/>
    <s v="Mutaciones realizadas"/>
    <n v="508"/>
    <d v="2021-03-30T00:00:00"/>
    <n v="2098215"/>
    <n v="12589290"/>
    <n v="12589290"/>
    <s v="JOSE LEONIDAS VEGA PEREZ_x000a_"/>
    <n v="0"/>
    <x v="0"/>
    <n v="24641"/>
    <x v="1"/>
  </r>
  <r>
    <x v="1"/>
    <n v="62"/>
    <x v="1"/>
    <x v="1"/>
    <x v="1"/>
    <x v="1"/>
    <x v="0"/>
    <x v="4"/>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1"/>
    <x v="0"/>
    <x v="0"/>
    <n v="15623660"/>
    <n v="15623660"/>
    <x v="0"/>
    <x v="0"/>
    <x v="1"/>
    <x v="0"/>
    <x v="1"/>
    <s v="DT Casanare"/>
    <x v="4"/>
    <s v="HERMES SALCEDO RODRIGUEZ"/>
    <x v="1"/>
    <x v="2"/>
    <s v="Ejecutar procesos de conservación catastral a nivel nacional"/>
    <s v="Mutaciones realizadas"/>
    <n v="548"/>
    <d v="2021-04-23T00:00:00"/>
    <n v="3124732"/>
    <n v="15623660"/>
    <n v="15623660"/>
    <s v="LILIANA  ALFONSO CHAVITA"/>
    <n v="0"/>
    <x v="0"/>
    <n v="24692"/>
    <x v="1"/>
  </r>
  <r>
    <x v="1"/>
    <n v="70"/>
    <x v="1"/>
    <x v="1"/>
    <x v="1"/>
    <x v="1"/>
    <x v="0"/>
    <x v="5"/>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4"/>
    <x v="4"/>
    <n v="210"/>
    <x v="1"/>
    <x v="0"/>
    <x v="0"/>
    <n v="19827500"/>
    <n v="19827500"/>
    <x v="0"/>
    <x v="1"/>
    <x v="1"/>
    <x v="0"/>
    <x v="1"/>
    <s v="DT Casanare"/>
    <x v="4"/>
    <s v="HERMES SALCEDO RODRIGUEZ"/>
    <x v="1"/>
    <x v="2"/>
    <s v="Atender las solicitudes en materia de Política de Restitución de Tierras y Ley de Víctimas"/>
    <s v="Solicitudes Atendidas"/>
    <n v="616"/>
    <d v="2021-06-04T00:00:00"/>
    <n v="2832500"/>
    <n v="14162500"/>
    <n v="14162500"/>
    <s v="LUISA FERNANDA LONDOÑO ORTIZ"/>
    <n v="5665000"/>
    <x v="0"/>
    <n v="24761"/>
    <x v="1"/>
  </r>
  <r>
    <x v="1"/>
    <n v="52"/>
    <x v="1"/>
    <x v="1"/>
    <x v="1"/>
    <x v="1"/>
    <x v="0"/>
    <x v="3"/>
    <x v="0"/>
    <s v="Servicios secretariales o de administración de oficinas  "/>
    <x v="0"/>
    <n v="80161501"/>
    <s v="Prestación de servicios de apoyo a la gestión desarrollada en procesos catastrales de la dirección territorial casanare "/>
    <x v="2"/>
    <x v="2"/>
    <n v="6"/>
    <x v="0"/>
    <x v="0"/>
    <x v="0"/>
    <n v="10207458"/>
    <n v="10207458"/>
    <x v="0"/>
    <x v="0"/>
    <x v="1"/>
    <x v="0"/>
    <x v="1"/>
    <s v="DT Casanare"/>
    <x v="4"/>
    <s v="HERMES SALCEDO RODRIGUEZ"/>
    <x v="1"/>
    <x v="2"/>
    <s v="Ejecutar procesos de conservación catastral a nivel nacional"/>
    <s v="Mutaciones realizadas"/>
    <n v="513"/>
    <d v="2021-03-30T00:00:00"/>
    <n v="1701243"/>
    <n v="10207458"/>
    <n v="10207458"/>
    <s v="YULY MARICELA ROJAS PACAGUI_x000a_"/>
    <n v="0"/>
    <x v="0"/>
    <n v="24650"/>
    <x v="1"/>
  </r>
  <r>
    <x v="2"/>
    <n v="41"/>
    <x v="2"/>
    <x v="2"/>
    <x v="1"/>
    <x v="1"/>
    <x v="0"/>
    <x v="6"/>
    <x v="0"/>
    <s v="Alquiler y arrendamiento de propiedades o edificaciones"/>
    <x v="0"/>
    <n v="80131500"/>
    <s v="Arrendamiento de bien inmueble para el funcionamiento de la dirección territorial casanare del instituto geográfico agustín codazzi-igac."/>
    <x v="0"/>
    <x v="0"/>
    <n v="11"/>
    <x v="0"/>
    <x v="0"/>
    <x v="0"/>
    <n v="162316000"/>
    <n v="162316000"/>
    <x v="0"/>
    <x v="0"/>
    <x v="1"/>
    <x v="0"/>
    <x v="2"/>
    <s v="DT Casanare"/>
    <x v="4"/>
    <s v="HERMES SALCEDO RODRIGUEZ"/>
    <x v="2"/>
    <x v="3"/>
    <s v="Realizar actividades preliminares"/>
    <s v="Sedes adecuadas"/>
    <n v="70"/>
    <d v="2021-01-19T00:00:00"/>
    <n v="14756000"/>
    <n v="162316000"/>
    <n v="162316000"/>
    <s v="INMOBILIARIA ROYALS COMPANY SAS"/>
    <n v="0"/>
    <x v="0"/>
    <n v="24234"/>
    <x v="1"/>
  </r>
  <r>
    <x v="1"/>
    <n v="18"/>
    <x v="1"/>
    <x v="1"/>
    <x v="5"/>
    <x v="5"/>
    <x v="0"/>
    <x v="0"/>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108518124"/>
    <n v="434072496"/>
    <s v=" CECILIA MARIA OCAMPO BOHORQUEZ _x000a_DIANA CAROLINA NARANJO OLARTE_x000a_GLORIA MARCELA HERNÁNDEZ ARDILA _x000a_VICTOR MANUEL RAMOS PEÑUELA"/>
    <n v="17"/>
    <x v="0"/>
    <s v="24244_x000a_24314_x000a_24315_x000a_24321"/>
    <x v="5"/>
  </r>
  <r>
    <x v="1"/>
    <n v="15"/>
    <x v="1"/>
    <x v="1"/>
    <x v="1"/>
    <x v="1"/>
    <x v="0"/>
    <x v="1"/>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1"/>
    <x v="1"/>
    <n v="325"/>
    <x v="1"/>
    <x v="0"/>
    <x v="0"/>
    <n v="144486420"/>
    <n v="144486420"/>
    <x v="0"/>
    <x v="0"/>
    <x v="1"/>
    <x v="0"/>
    <x v="1"/>
    <s v="Subdirección de Catastro"/>
    <x v="5"/>
    <s v="Subdirectora de Catastro"/>
    <x v="1"/>
    <x v="2"/>
    <s v="Ejecutar procesos de actualización catastral a nivel nacional"/>
    <s v="Predios actualizados catastralmente"/>
    <n v="88"/>
    <d v="2021-01-22T00:00:00"/>
    <n v="13337208"/>
    <n v="120034872"/>
    <n v="120034872"/>
    <s v=" CLAUDIA PATRICIA RODRÍGUEZ RODRÍGUEZ"/>
    <n v="24451548"/>
    <x v="0"/>
    <n v="24300"/>
    <x v="1"/>
  </r>
  <r>
    <x v="1"/>
    <n v="9"/>
    <x v="1"/>
    <x v="1"/>
    <x v="5"/>
    <x v="5"/>
    <x v="0"/>
    <x v="0"/>
    <x v="0"/>
    <s v="Servicios secretariales o de administración de oficinas  "/>
    <x v="0"/>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23080365"/>
    <n v="92321460"/>
    <s v=" LEIDY PATRICIA CORREA MARTINEZ_x000a_ OSCAR EDUARDO CHAPARRO RODRIGUEZ _x000a_ PAULA CAROLINA TACHA LOPEZ_x000a_ROCIO ANGELICA TORRES MANRIQUE"/>
    <n v="3"/>
    <x v="0"/>
    <s v="24216_x000a_24217_x000a_24218_x000a_24292"/>
    <x v="5"/>
  </r>
  <r>
    <x v="1"/>
    <n v="37"/>
    <x v="1"/>
    <x v="1"/>
    <x v="0"/>
    <x v="0"/>
    <x v="0"/>
    <x v="7"/>
    <x v="0"/>
    <s v="Servicios de sistemas de información geográfica (sig)"/>
    <x v="0"/>
    <n v="81101512"/>
    <s v="Prestación de servicios profesionales para la gestión, control y seguimiento a los procesos catastrales de formación, actualización y conservación catastral con enfoque multipropósito"/>
    <x v="1"/>
    <x v="1"/>
    <n v="325"/>
    <x v="1"/>
    <x v="0"/>
    <x v="0"/>
    <n v="124752182"/>
    <n v="124752182"/>
    <x v="0"/>
    <x v="1"/>
    <x v="0"/>
    <x v="0"/>
    <x v="1"/>
    <s v="Subdirección de Catastro"/>
    <x v="5"/>
    <s v="Subdirectora de Catastro"/>
    <x v="1"/>
    <x v="2"/>
    <s v="Ejecutar procesos de actualización catastral a nivel nacional"/>
    <s v="Predios actualizados catastralmente"/>
    <n v="317"/>
    <d v="2021-02-12T00:00:00"/>
    <n v="5757793"/>
    <n v="59881047"/>
    <n v="119762094"/>
    <s v=" MAYELYN LORENA BECERRA SORAIDA _x000a_MARIA TARAZONA DOMINGUEZ"/>
    <n v="4990088"/>
    <x v="0"/>
    <s v="24478_x000a_24479"/>
    <x v="0"/>
  </r>
  <r>
    <x v="1"/>
    <n v="14"/>
    <x v="1"/>
    <x v="1"/>
    <x v="1"/>
    <x v="1"/>
    <x v="0"/>
    <x v="1"/>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1"/>
    <x v="1"/>
    <n v="325"/>
    <x v="1"/>
    <x v="0"/>
    <x v="0"/>
    <n v="81794668"/>
    <n v="81794668"/>
    <x v="0"/>
    <x v="0"/>
    <x v="1"/>
    <x v="0"/>
    <x v="1"/>
    <s v="Subdirección de Catastro"/>
    <x v="5"/>
    <s v="Subdirectora de Catastro"/>
    <x v="1"/>
    <x v="2"/>
    <s v="Ejecutar procesos de actualización catastral a nivel nacional"/>
    <s v="Predios actualizados catastralmente"/>
    <n v="193"/>
    <d v="2021-02-03T00:00:00"/>
    <n v="7550277"/>
    <n v="80536288"/>
    <n v="80536288"/>
    <s v="ADRIANA MARIA MARTINEZ BUSTOS"/>
    <n v="1258380"/>
    <x v="0"/>
    <n v="24376"/>
    <x v="1"/>
  </r>
  <r>
    <x v="1"/>
    <n v="33"/>
    <x v="1"/>
    <x v="1"/>
    <x v="1"/>
    <x v="1"/>
    <x v="0"/>
    <x v="1"/>
    <x v="0"/>
    <s v="Servicios secretariales o de administración de oficinas  "/>
    <x v="0"/>
    <n v="80161501"/>
    <s v="Prestación de servicios para la generación de productos de la información alfanumérica catastral en el marco del Proyecto de &quot;Actualización y gestión catastral Nacional&quot;"/>
    <x v="1"/>
    <x v="1"/>
    <n v="6"/>
    <x v="0"/>
    <x v="0"/>
    <x v="0"/>
    <n v="16028900"/>
    <n v="16028900"/>
    <x v="0"/>
    <x v="0"/>
    <x v="1"/>
    <x v="0"/>
    <x v="1"/>
    <s v="Subdirección de Catastro"/>
    <x v="5"/>
    <s v="Subdirectora de Catastro"/>
    <x v="1"/>
    <x v="2"/>
    <s v="Estandarizar las coberturas de información del proceso de catastro"/>
    <s v="Sistema de Información predial actualizado"/>
    <n v="259"/>
    <d v="2021-02-09T00:00:00"/>
    <n v="2671483"/>
    <n v="16028898"/>
    <n v="16028898"/>
    <s v="ALEJANDRO ORTIZ BARON"/>
    <n v="2"/>
    <x v="0"/>
    <n v="24438"/>
    <x v="1"/>
  </r>
  <r>
    <x v="1"/>
    <n v="2"/>
    <x v="1"/>
    <x v="1"/>
    <x v="1"/>
    <x v="1"/>
    <x v="0"/>
    <x v="0"/>
    <x v="0"/>
    <s v="Servicios secretariales o de administración de oficinas  "/>
    <x v="0"/>
    <n v="80161501"/>
    <s v="Prestación de servicios profesionales para apoyar desde el componente social, el desarrollo de los proyectos programados para la gestión catastral."/>
    <x v="0"/>
    <x v="0"/>
    <n v="11"/>
    <x v="0"/>
    <x v="0"/>
    <x v="0"/>
    <n v="121248517"/>
    <n v="121248517"/>
    <x v="0"/>
    <x v="0"/>
    <x v="1"/>
    <x v="0"/>
    <x v="1"/>
    <s v="Subdirección de Catastro"/>
    <x v="5"/>
    <s v="Subdirectora de Catastro"/>
    <x v="1"/>
    <x v="2"/>
    <s v="Ejecutar procesos de actualización catastral a nivel nacional"/>
    <s v="Predios actualizados catastralmente"/>
    <n v="45"/>
    <d v="2021-01-18T00:00:00"/>
    <n v="11022592"/>
    <n v="121248517"/>
    <n v="121248517"/>
    <s v="ANA MARIA SANTOFIMIO MAHECHA"/>
    <n v="0"/>
    <x v="0"/>
    <n v="24205"/>
    <x v="1"/>
  </r>
  <r>
    <x v="1"/>
    <n v="27"/>
    <x v="1"/>
    <x v="1"/>
    <x v="1"/>
    <x v="1"/>
    <x v="0"/>
    <x v="1"/>
    <x v="0"/>
    <s v="Servicios secretariales o de administración de oficinas  "/>
    <x v="0"/>
    <n v="80161501"/>
    <s v="Prestación de servicios profesionales para adelantar los análisis estadísticos requeridos para el desarrollo de los procesos de catastro multipropósito."/>
    <x v="1"/>
    <x v="1"/>
    <n v="325"/>
    <x v="1"/>
    <x v="0"/>
    <x v="0"/>
    <n v="106873910"/>
    <n v="106873910"/>
    <x v="0"/>
    <x v="0"/>
    <x v="1"/>
    <x v="0"/>
    <x v="1"/>
    <s v="Subdirección de Catastro"/>
    <x v="5"/>
    <s v="Subdirectora de Catastro"/>
    <x v="1"/>
    <x v="2"/>
    <s v="Ejecutar procesos de actualización catastral a nivel nacional"/>
    <s v="Predios actualizados catastralmente"/>
    <n v="180"/>
    <d v="2021-02-04T00:00:00"/>
    <n v="9865284"/>
    <n v="105229696"/>
    <n v="105229696"/>
    <s v="BRAYAN ARTURO CAMARGO LOZANO"/>
    <n v="1644214"/>
    <x v="0"/>
    <n v="24366"/>
    <x v="1"/>
  </r>
  <r>
    <x v="1"/>
    <n v="41"/>
    <x v="1"/>
    <x v="1"/>
    <x v="1"/>
    <x v="1"/>
    <x v="0"/>
    <x v="7"/>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1"/>
    <x v="1"/>
    <n v="325"/>
    <x v="1"/>
    <x v="0"/>
    <x v="0"/>
    <n v="81794668"/>
    <n v="81794668"/>
    <x v="0"/>
    <x v="1"/>
    <x v="1"/>
    <x v="0"/>
    <x v="1"/>
    <s v="Subdirección de Catastro"/>
    <x v="5"/>
    <s v="Subdirectora de Catastro"/>
    <x v="1"/>
    <x v="2"/>
    <s v="Ejecutar procesos de actualización catastral a nivel nacional"/>
    <s v="Predios actualizados catastralmente"/>
    <n v="350"/>
    <d v="2021-02-19T00:00:00"/>
    <n v="7550277"/>
    <n v="77012825"/>
    <n v="77012825"/>
    <s v="DANIEL MUÑOZ CASTRO"/>
    <n v="4781843"/>
    <x v="0"/>
    <n v="24506"/>
    <x v="1"/>
  </r>
  <r>
    <x v="1"/>
    <n v="21"/>
    <x v="1"/>
    <x v="1"/>
    <x v="1"/>
    <x v="1"/>
    <x v="0"/>
    <x v="0"/>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1"/>
    <x v="0"/>
    <x v="1"/>
    <s v="Subdirección de Catastro"/>
    <x v="5"/>
    <s v="Subdirectora de Catastro"/>
    <x v="1"/>
    <x v="2"/>
    <s v="Atender las solicitudes en materia de Política de Restitución de Tierras y Ley de Víctimas"/>
    <s v="Solicitudes Atendidas"/>
    <n v="124"/>
    <d v="2021-01-25T00:00:00"/>
    <n v="4976424"/>
    <n v="54740664"/>
    <n v="54740664"/>
    <s v="DANILO BERNAL DIAZ"/>
    <n v="5"/>
    <x v="0"/>
    <n v="24264"/>
    <x v="1"/>
  </r>
  <r>
    <x v="1"/>
    <n v="36"/>
    <x v="1"/>
    <x v="1"/>
    <x v="1"/>
    <x v="1"/>
    <x v="0"/>
    <x v="1"/>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1"/>
    <x v="1"/>
    <n v="6"/>
    <x v="0"/>
    <x v="0"/>
    <x v="0"/>
    <n v="29858547"/>
    <n v="29858547"/>
    <x v="0"/>
    <x v="0"/>
    <x v="1"/>
    <x v="0"/>
    <x v="1"/>
    <s v="Subdirección de Catastro"/>
    <x v="5"/>
    <s v="Subdirectora de Catastro"/>
    <x v="1"/>
    <x v="2"/>
    <s v="Estandarizar las coberturas de información del proceso de catastro"/>
    <s v="Sistema de Información predial actualizado"/>
    <n v="294"/>
    <d v="2021-02-11T00:00:00"/>
    <n v="4976424"/>
    <n v="29858544"/>
    <n v="29858544"/>
    <s v="DIEGO FERNANDO GRISALES RAMIREZ"/>
    <n v="3"/>
    <x v="0"/>
    <n v="24462"/>
    <x v="1"/>
  </r>
  <r>
    <x v="1"/>
    <n v="22"/>
    <x v="1"/>
    <x v="1"/>
    <x v="1"/>
    <x v="1"/>
    <x v="0"/>
    <x v="1"/>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1"/>
    <n v="325"/>
    <x v="1"/>
    <x v="0"/>
    <x v="0"/>
    <n v="53911260"/>
    <n v="53911260"/>
    <x v="0"/>
    <x v="0"/>
    <x v="1"/>
    <x v="0"/>
    <x v="1"/>
    <s v="Subdirección de Catastro"/>
    <x v="5"/>
    <s v="Subdirectora de Catastro"/>
    <x v="1"/>
    <x v="2"/>
    <s v="Atender las solicitudes en materia de Política de Restitución de Tierras y Ley de Víctimas"/>
    <s v="Solicitudes Atendidas"/>
    <n v="134"/>
    <d v="2021-01-25T00:00:00"/>
    <n v="4976424"/>
    <n v="54740664"/>
    <n v="54740664"/>
    <s v="ELIZABETH HERNANDEZ SANTAMARIA"/>
    <n v="0"/>
    <x v="0"/>
    <n v="24372"/>
    <x v="1"/>
  </r>
  <r>
    <x v="1"/>
    <n v="76"/>
    <x v="1"/>
    <x v="1"/>
    <x v="1"/>
    <x v="1"/>
    <x v="0"/>
    <x v="8"/>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1"/>
    <x v="0"/>
    <x v="1"/>
    <s v="Subdirección de Catastro"/>
    <x v="5"/>
    <s v="Subdirectora de Catastro"/>
    <x v="1"/>
    <x v="2"/>
    <s v="Ejecutar procesos de actualización catastral a nivel nacional"/>
    <s v="Predios actualizados catastralmente"/>
    <m/>
    <d v="2021-06-24T00:00:00"/>
    <n v="3605000"/>
    <n v="18025000"/>
    <n v="18025000"/>
    <s v="FREDY LEONARDO SOLORZANO VASQUEZ"/>
    <n v="0"/>
    <x v="0"/>
    <m/>
    <x v="1"/>
  </r>
  <r>
    <x v="1"/>
    <n v="10"/>
    <x v="1"/>
    <x v="1"/>
    <x v="1"/>
    <x v="1"/>
    <x v="0"/>
    <x v="0"/>
    <x v="0"/>
    <s v="Servicios secretariales o de administración de oficinas  "/>
    <x v="0"/>
    <n v="80161501"/>
    <s v="Prestación de servicios profesionales para el desarrollo de procesos estadísticos en el marco de la gestión catastral a cargo del IGAC."/>
    <x v="0"/>
    <x v="0"/>
    <n v="11"/>
    <x v="0"/>
    <x v="0"/>
    <x v="0"/>
    <n v="164285000"/>
    <n v="164285000"/>
    <x v="0"/>
    <x v="0"/>
    <x v="1"/>
    <x v="0"/>
    <x v="1"/>
    <s v="Subdirección de Catastro"/>
    <x v="5"/>
    <s v="Subdirectora de Catastro"/>
    <x v="1"/>
    <x v="2"/>
    <s v="Ejecutar procesos de actualización catastral a nivel nacional"/>
    <s v="Predios actualizados catastralmente"/>
    <n v="57"/>
    <d v="2021-01-20T00:00:00"/>
    <n v="14935000"/>
    <n v="164285000"/>
    <n v="164285000"/>
    <s v="GABRIEL ANTONIO VALLEJO HERNANDEZ"/>
    <n v="0"/>
    <x v="0"/>
    <n v="24220"/>
    <x v="1"/>
  </r>
  <r>
    <x v="1"/>
    <n v="49"/>
    <x v="1"/>
    <x v="1"/>
    <x v="1"/>
    <x v="1"/>
    <x v="0"/>
    <x v="3"/>
    <x v="0"/>
    <s v="Publicidad en periódicos"/>
    <x v="0"/>
    <n v="82101504"/>
    <s v="Prestación de servicios para la publicación de los actos administrativos de la entidad en el diario oficial"/>
    <x v="2"/>
    <x v="2"/>
    <n v="9"/>
    <x v="0"/>
    <x v="0"/>
    <x v="0"/>
    <n v="30000000"/>
    <n v="30000000"/>
    <x v="0"/>
    <x v="0"/>
    <x v="1"/>
    <x v="0"/>
    <x v="1"/>
    <s v="Subdirección de Catastro"/>
    <x v="5"/>
    <s v="Subdirectora de Catastro"/>
    <x v="1"/>
    <x v="2"/>
    <s v="Ejecutar procesos de actualización catastral a nivel nacional"/>
    <s v="Predios actualizados catastralmente"/>
    <n v="491"/>
    <d v="2021-03-19T00:00:00"/>
    <n v="0"/>
    <n v="30000000"/>
    <n v="30000000"/>
    <s v="IMPRENTA NACIONAL"/>
    <n v="0"/>
    <x v="0"/>
    <n v="24626"/>
    <x v="1"/>
  </r>
  <r>
    <x v="1"/>
    <n v="75"/>
    <x v="1"/>
    <x v="1"/>
    <x v="1"/>
    <x v="1"/>
    <x v="0"/>
    <x v="5"/>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1"/>
    <x v="1"/>
    <x v="0"/>
    <x v="1"/>
    <s v="Subdirección de Catastro"/>
    <x v="5"/>
    <s v="Subdirectora de Catastro"/>
    <x v="1"/>
    <x v="2"/>
    <s v="Ejecutar procesos de actualización catastral a nivel nacional"/>
    <s v="Predios actualizados catastralmente"/>
    <m/>
    <d v="2021-06-24T00:00:00"/>
    <n v="4976424"/>
    <n v="24882120"/>
    <n v="24882120"/>
    <s v="JUAN CAMILO MADERA CALAO"/>
    <n v="0"/>
    <x v="0"/>
    <m/>
    <x v="1"/>
  </r>
  <r>
    <x v="1"/>
    <n v="23"/>
    <x v="1"/>
    <x v="1"/>
    <x v="1"/>
    <x v="1"/>
    <x v="0"/>
    <x v="0"/>
    <x v="0"/>
    <s v="Servicios secretariales o de administración de oficinas  "/>
    <x v="0"/>
    <n v="80161501"/>
    <s v="Prestación de servicios profesionales para adelantar el control de calidad de los avalúos asignados, así como la elaboración de avalúos comerciales e IVP."/>
    <x v="0"/>
    <x v="0"/>
    <n v="11"/>
    <x v="0"/>
    <x v="0"/>
    <x v="0"/>
    <n v="83053047"/>
    <n v="83053047"/>
    <x v="0"/>
    <x v="0"/>
    <x v="1"/>
    <x v="0"/>
    <x v="1"/>
    <s v="Subdirección de Catastro"/>
    <x v="5"/>
    <s v="Subdirectora de Catastro"/>
    <x v="1"/>
    <x v="4"/>
    <s v="Realizar avalúos IVP"/>
    <s v="Avalúos realizados"/>
    <n v="110"/>
    <d v="2021-01-27T00:00:00"/>
    <n v="7550277"/>
    <n v="83053047"/>
    <n v="83053047"/>
    <s v="JULIO CESAR DIAZ"/>
    <n v="0"/>
    <x v="0"/>
    <n v="24255"/>
    <x v="1"/>
  </r>
  <r>
    <x v="1"/>
    <n v="26"/>
    <x v="1"/>
    <x v="1"/>
    <x v="1"/>
    <x v="1"/>
    <x v="0"/>
    <x v="1"/>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1"/>
    <x v="1"/>
    <n v="325"/>
    <x v="1"/>
    <x v="0"/>
    <x v="0"/>
    <n v="81794668"/>
    <n v="81794668"/>
    <x v="0"/>
    <x v="0"/>
    <x v="1"/>
    <x v="0"/>
    <x v="1"/>
    <s v="Subdirección de Catastro"/>
    <x v="5"/>
    <s v="Subdirectora de Catastro"/>
    <x v="1"/>
    <x v="2"/>
    <s v="Ejecutar procesos de actualización catastral a nivel nacional"/>
    <s v="Predios actualizados catastralmente"/>
    <n v="171"/>
    <d v="2021-02-04T00:00:00"/>
    <n v="7550277"/>
    <n v="81794668"/>
    <n v="81794668"/>
    <s v="LAURA FERNANDA PARRA PINZON"/>
    <n v="0"/>
    <x v="0"/>
    <n v="24356"/>
    <x v="1"/>
  </r>
  <r>
    <x v="1"/>
    <n v="17"/>
    <x v="1"/>
    <x v="1"/>
    <x v="1"/>
    <x v="1"/>
    <x v="0"/>
    <x v="1"/>
    <x v="0"/>
    <s v="Servicios secretariales o de administración de oficinas  "/>
    <x v="0"/>
    <n v="80161501"/>
    <s v="Prestación de servicios profesionales para la programación, control y seguimiento presupuestal y financiero del proyecto de inversión &quot;Actualización y gestión catastral Nacional&quot;"/>
    <x v="1"/>
    <x v="1"/>
    <n v="325"/>
    <x v="1"/>
    <x v="0"/>
    <x v="0"/>
    <n v="72404085"/>
    <n v="72404085"/>
    <x v="0"/>
    <x v="0"/>
    <x v="1"/>
    <x v="0"/>
    <x v="1"/>
    <s v="Subdirección de Catastro"/>
    <x v="5"/>
    <s v="Subdirectora de Catastro"/>
    <x v="1"/>
    <x v="2"/>
    <s v="Ejecutar procesos de actualización catastral a nivel nacional"/>
    <s v="Predios actualizados catastralmente"/>
    <n v="115"/>
    <d v="2021-02-04T00:00:00"/>
    <n v="6683454"/>
    <n v="71290176"/>
    <n v="71290176"/>
    <s v="LEIDY ANDREA GUZMAN_x000a_CAMELO"/>
    <n v="1113909"/>
    <x v="0"/>
    <n v="24367"/>
    <x v="1"/>
  </r>
  <r>
    <x v="1"/>
    <n v="12"/>
    <x v="1"/>
    <x v="1"/>
    <x v="3"/>
    <x v="3"/>
    <x v="0"/>
    <x v="1"/>
    <x v="0"/>
    <s v="Servicios de sistemas de información geográfica (sig)"/>
    <x v="0"/>
    <n v="81101512"/>
    <s v="Prestación de servicios profesionales para apoyar la gestión requerida para la habilitación de gestores catastrales."/>
    <x v="1"/>
    <x v="1"/>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7"/>
    <n v="189431391"/>
    <s v="LUZ ANGELA MUÑOZ LOPEZ  _x000a_RAUL RINCON PIÑEROS_x000a_YESNITH LUIDINA PEREZ AREVALO"/>
    <n v="0"/>
    <x v="0"/>
    <s v="24362_x000a_24364_x000a_24365"/>
    <x v="3"/>
  </r>
  <r>
    <x v="1"/>
    <n v="13"/>
    <x v="1"/>
    <x v="1"/>
    <x v="1"/>
    <x v="1"/>
    <x v="0"/>
    <x v="1"/>
    <x v="0"/>
    <s v="Servicios de formación profesional en derecho"/>
    <x v="0"/>
    <n v="86101713"/>
    <s v="Prestación de servicios profesionales para apoyar el desarrollo de los proyectos programados en el marco de la habilitación de gestores catastrales."/>
    <x v="1"/>
    <x v="1"/>
    <n v="325"/>
    <x v="1"/>
    <x v="0"/>
    <x v="0"/>
    <n v="144486420"/>
    <n v="144486420"/>
    <x v="0"/>
    <x v="0"/>
    <x v="1"/>
    <x v="0"/>
    <x v="1"/>
    <s v="Subdirección de Catastro"/>
    <x v="5"/>
    <s v="Subdirectora de Catastro"/>
    <x v="1"/>
    <x v="2"/>
    <s v="Implementar el modelo de habilitación de gestores catastrales a nivel nacional"/>
    <s v="Sistema de Información predial actualizado"/>
    <n v="79"/>
    <d v="2021-01-21T00:00:00"/>
    <n v="13337208"/>
    <n v="144486420"/>
    <n v="144486420"/>
    <s v="LUZ DARY LEON SANCHEZ"/>
    <n v="0"/>
    <x v="0"/>
    <n v="24357"/>
    <x v="1"/>
  </r>
  <r>
    <x v="1"/>
    <n v="16"/>
    <x v="1"/>
    <x v="1"/>
    <x v="1"/>
    <x v="1"/>
    <x v="0"/>
    <x v="1"/>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1"/>
    <x v="1"/>
    <n v="325"/>
    <x v="1"/>
    <x v="0"/>
    <x v="0"/>
    <n v="131948917"/>
    <n v="131948917"/>
    <x v="0"/>
    <x v="0"/>
    <x v="1"/>
    <x v="0"/>
    <x v="1"/>
    <s v="Subdirección de Catastro"/>
    <x v="5"/>
    <s v="Subdirectora de Catastro"/>
    <x v="1"/>
    <x v="2"/>
    <s v="Ejecutar procesos de actualización catastral a nivel nacional"/>
    <s v="Predios actualizados catastralmente"/>
    <n v="121"/>
    <d v="2021-01-22T00:00:00"/>
    <n v="12179900"/>
    <n v="121799000"/>
    <n v="121799000"/>
    <s v="MAGDA JOHANNA RAMIREZ PARDO"/>
    <n v="10149917"/>
    <x v="0"/>
    <n v="24370"/>
    <x v="1"/>
  </r>
  <r>
    <x v="1"/>
    <n v="11"/>
    <x v="1"/>
    <x v="1"/>
    <x v="1"/>
    <x v="1"/>
    <x v="0"/>
    <x v="0"/>
    <x v="0"/>
    <s v="Servicios secretariales o de administración de oficinas  "/>
    <x v="0"/>
    <n v="80161501"/>
    <s v="Prestación de servicios profesionales para la atención, control y seguimiento a las peticiones presentadas en el área asignada."/>
    <x v="0"/>
    <x v="0"/>
    <n v="11"/>
    <x v="0"/>
    <x v="0"/>
    <x v="0"/>
    <n v="63335720"/>
    <n v="63335720"/>
    <x v="0"/>
    <x v="0"/>
    <x v="1"/>
    <x v="0"/>
    <x v="1"/>
    <s v="Subdirección de Catastro"/>
    <x v="5"/>
    <s v="Subdirectora de Catastro"/>
    <x v="1"/>
    <x v="2"/>
    <s v="Ejecutar procesos de actualización catastral a nivel nacional"/>
    <s v="Predios actualizados catastralmente"/>
    <n v="68"/>
    <d v="2021-01-20T00:00:00"/>
    <n v="5757793"/>
    <n v="63143797"/>
    <n v="63143797"/>
    <s v="MARTHA YANET DIAZ AYALA"/>
    <n v="191923"/>
    <x v="0"/>
    <n v="24225"/>
    <x v="1"/>
  </r>
  <r>
    <x v="1"/>
    <n v="8"/>
    <x v="1"/>
    <x v="1"/>
    <x v="0"/>
    <x v="0"/>
    <x v="0"/>
    <x v="0"/>
    <x v="0"/>
    <s v="Servicios secretariales o de administración de oficinas  "/>
    <x v="0"/>
    <n v="80161501"/>
    <s v="Prestación de servicios para apoyar las actividades técnicas y operativas para la habilitación de gestores catastrales."/>
    <x v="0"/>
    <x v="0"/>
    <n v="11"/>
    <x v="0"/>
    <x v="0"/>
    <x v="0"/>
    <n v="58772631"/>
    <n v="58772631"/>
    <x v="0"/>
    <x v="0"/>
    <x v="0"/>
    <x v="0"/>
    <x v="1"/>
    <s v="Subdirección de Catastro"/>
    <x v="5"/>
    <s v="Subdirectora de Catastro"/>
    <x v="1"/>
    <x v="2"/>
    <s v="Implementar el modelo de habilitación de gestores catastrales a nivel nacional"/>
    <s v="Sistema de Información predial actualizado"/>
    <n v="47"/>
    <d v="2021-01-19T00:00:00"/>
    <n v="2671483"/>
    <n v="29386313"/>
    <n v="58772626"/>
    <s v="MAX HENRY SALAZAR GARCIA_x000a_CAMILO ALFONSO ESCOBAR GIRALDO"/>
    <n v="5"/>
    <x v="0"/>
    <s v="24212_x000a_24347_x000a_"/>
    <x v="0"/>
  </r>
  <r>
    <x v="1"/>
    <n v="39"/>
    <x v="1"/>
    <x v="1"/>
    <x v="1"/>
    <x v="1"/>
    <x v="0"/>
    <x v="1"/>
    <x v="0"/>
    <s v="Servicios de sistemas de información geográfica (sig)"/>
    <x v="0"/>
    <n v="81101512"/>
    <s v="Prestación de servicios profesionales para gestionar, controlar y hacer seguimiento de la información  alfanumérica y gráfica de los procesos catastrales."/>
    <x v="1"/>
    <x v="1"/>
    <n v="6"/>
    <x v="0"/>
    <x v="0"/>
    <x v="0"/>
    <n v="29858547"/>
    <n v="29858547"/>
    <x v="0"/>
    <x v="0"/>
    <x v="1"/>
    <x v="0"/>
    <x v="1"/>
    <s v="Subdirección de Catastro"/>
    <x v="5"/>
    <s v="Subdirectora de Catastro"/>
    <x v="1"/>
    <x v="2"/>
    <s v="Estandarizar las coberturas de información del proceso de catastro"/>
    <s v="Sistema de Información predial actualizado"/>
    <n v="316"/>
    <d v="2021-02-16T00:00:00"/>
    <n v="4976424"/>
    <n v="29858544"/>
    <n v="29858544"/>
    <s v="NANCY YOLANDA LÓPEZ FORERO"/>
    <n v="3"/>
    <x v="0"/>
    <n v="24477"/>
    <x v="1"/>
  </r>
  <r>
    <x v="1"/>
    <n v="5"/>
    <x v="1"/>
    <x v="1"/>
    <x v="1"/>
    <x v="1"/>
    <x v="0"/>
    <x v="0"/>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1"/>
    <x v="0"/>
    <x v="1"/>
    <s v="Subdirección de Catastro"/>
    <x v="5"/>
    <s v="Subdirectora de Catastro"/>
    <x v="1"/>
    <x v="2"/>
    <s v="Atender las solicitudes en materia de Política de Restitución de Tierras y Ley de Víctimas"/>
    <s v="Solicitudes Atendidas"/>
    <n v="46"/>
    <d v="2021-01-19T00:00:00"/>
    <n v="7550277"/>
    <n v="83053047"/>
    <n v="83053047"/>
    <s v="ROBERTH ANDRES BELTRAN MARTINEZ"/>
    <n v="0"/>
    <x v="0"/>
    <n v="24211"/>
    <x v="1"/>
  </r>
  <r>
    <x v="1"/>
    <n v="30"/>
    <x v="1"/>
    <x v="1"/>
    <x v="1"/>
    <x v="1"/>
    <x v="0"/>
    <x v="1"/>
    <x v="0"/>
    <s v="Servicios secretariales o de administración de oficinas  "/>
    <x v="0"/>
    <n v="80161501"/>
    <s v="Prestación de servicios profesionales para apoyar los análisis estadísticos requeridos para los procesos de gestión catastral con enfoque multipropósito."/>
    <x v="1"/>
    <x v="1"/>
    <n v="325"/>
    <x v="1"/>
    <x v="0"/>
    <x v="0"/>
    <n v="81794668"/>
    <n v="81794668"/>
    <x v="0"/>
    <x v="0"/>
    <x v="1"/>
    <x v="0"/>
    <x v="1"/>
    <s v="Subdirección de Catastro"/>
    <x v="5"/>
    <s v="Subdirectora de Catastro"/>
    <x v="1"/>
    <x v="2"/>
    <s v="Ejecutar procesos de actualización catastral a nivel nacional"/>
    <s v="Predios actualizados catastralmente"/>
    <n v="215"/>
    <d v="2021-02-10T00:00:00"/>
    <n v="7550277"/>
    <n v="80536288"/>
    <n v="80536288"/>
    <s v="SANTIAGO ANDRES BARRAGAN LOPEZ"/>
    <n v="1258380"/>
    <x v="0"/>
    <n v="24398"/>
    <x v="1"/>
  </r>
  <r>
    <x v="1"/>
    <n v="35"/>
    <x v="1"/>
    <x v="1"/>
    <x v="0"/>
    <x v="0"/>
    <x v="0"/>
    <x v="1"/>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1"/>
    <x v="1"/>
    <n v="6"/>
    <x v="0"/>
    <x v="0"/>
    <x v="0"/>
    <n v="69093513"/>
    <n v="69093513"/>
    <x v="0"/>
    <x v="0"/>
    <x v="0"/>
    <x v="0"/>
    <x v="1"/>
    <s v="Subdirección de Catastro"/>
    <x v="5"/>
    <s v="Subdirectora de Catastro"/>
    <x v="1"/>
    <x v="2"/>
    <s v="Estandarizar las coberturas de información del proceso de catastro"/>
    <s v="Sistema de Información predial actualizado"/>
    <n v="239"/>
    <d v="2021-02-11T00:00:00"/>
    <n v="5757793"/>
    <n v="34354832"/>
    <n v="68709664"/>
    <s v="SONIA ELIZABETH ERASO HANRRYR_x000a_CLAUDIA ALEJANDRA BELTRAN FERNADEZ"/>
    <n v="383849"/>
    <x v="0"/>
    <s v="24415_x000a_24416"/>
    <x v="0"/>
  </r>
  <r>
    <x v="1"/>
    <n v="40"/>
    <x v="1"/>
    <x v="1"/>
    <x v="0"/>
    <x v="0"/>
    <x v="0"/>
    <x v="1"/>
    <x v="0"/>
    <s v="Servicios secretariales o de administración de oficinas  "/>
    <x v="0"/>
    <n v="80161501"/>
    <s v="Prestación de servicios profesionales para actuar como auxiliares de la justicia y en la ejecución de avalúos IVP, de acuerdo a los procesos que le sean asignados."/>
    <x v="1"/>
    <x v="1"/>
    <n v="325"/>
    <x v="1"/>
    <x v="0"/>
    <x v="0"/>
    <n v="63738567"/>
    <n v="63738567"/>
    <x v="0"/>
    <x v="0"/>
    <x v="0"/>
    <x v="0"/>
    <x v="1"/>
    <s v="Subdirección de Catastro"/>
    <x v="5"/>
    <s v="Subdirectora de Catastro"/>
    <x v="1"/>
    <x v="4"/>
    <s v="Realizar avalúos IVP"/>
    <s v="Avalúos realizados"/>
    <n v="342"/>
    <d v="2021-02-16T00:00:00"/>
    <n v="2941780"/>
    <n v="30398393"/>
    <n v="60796786"/>
    <s v="STEFANNYE BUITRAGO MARULANDA _x000a_YEISON ALEJANDRO SÁNCHEZ GONZALEZ"/>
    <n v="2941781"/>
    <x v="0"/>
    <s v="24504_x000a_24507"/>
    <x v="0"/>
  </r>
  <r>
    <x v="1"/>
    <n v="38"/>
    <x v="1"/>
    <x v="1"/>
    <x v="1"/>
    <x v="1"/>
    <x v="0"/>
    <x v="1"/>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1"/>
    <x v="1"/>
    <n v="325"/>
    <x v="1"/>
    <x v="0"/>
    <x v="0"/>
    <n v="28941066"/>
    <n v="28941066"/>
    <x v="0"/>
    <x v="0"/>
    <x v="1"/>
    <x v="0"/>
    <x v="1"/>
    <s v="Subdirección de Catastro"/>
    <x v="5"/>
    <s v="Subdirectora de Catastro"/>
    <x v="1"/>
    <x v="4"/>
    <s v="Realizar avalúos IVP"/>
    <s v="Avalúos realizados"/>
    <n v="332"/>
    <d v="2021-02-16T00:00:00"/>
    <n v="2671483"/>
    <n v="27694374"/>
    <n v="27694374"/>
    <s v="WILSON JAVIER NUÑEZ BARRERA"/>
    <n v="1246692"/>
    <x v="0"/>
    <n v="24492"/>
    <x v="1"/>
  </r>
  <r>
    <x v="1"/>
    <m/>
    <x v="1"/>
    <x v="1"/>
    <x v="1"/>
    <x v="6"/>
    <x v="1"/>
    <x v="5"/>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5"/>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8"/>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1"/>
    <x v="0"/>
    <x v="1"/>
    <s v="Subdirección de Catastro"/>
    <x v="5"/>
    <s v="Subdirectora de Catastro"/>
    <x v="1"/>
    <x v="2"/>
    <s v="Ejecutar procesos de actualización catastral a nivel nacional"/>
    <s v="Predios actualizados catastralmente"/>
    <m/>
    <m/>
    <e v="#N/A"/>
    <e v="#N/A"/>
    <e v="#N/A"/>
    <m/>
    <n v="0"/>
    <x v="2"/>
    <m/>
    <x v="6"/>
  </r>
  <r>
    <x v="1"/>
    <m/>
    <x v="1"/>
    <x v="1"/>
    <x v="1"/>
    <x v="6"/>
    <x v="1"/>
    <x v="5"/>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1"/>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1"/>
    <x v="1"/>
    <x v="0"/>
    <x v="1"/>
    <s v="Subdirección de Catastro"/>
    <x v="5"/>
    <s v="Subdirectora de Catastro"/>
    <x v="1"/>
    <x v="2"/>
    <s v="Ejecutar procesos de actualización catastral a nivel nacional"/>
    <s v="Predios actualizados catastralmente"/>
    <m/>
    <m/>
    <e v="#N/A"/>
    <e v="#N/A"/>
    <e v="#N/A"/>
    <m/>
    <n v="0"/>
    <x v="4"/>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1"/>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1"/>
    <x v="1"/>
    <x v="0"/>
    <x v="1"/>
    <s v="Subdirección de Catastro"/>
    <x v="5"/>
    <s v="Subdirectora de Catastro"/>
    <x v="1"/>
    <x v="2"/>
    <s v="Ejecutar procesos de actualización catastral a nivel nacional"/>
    <s v="Predios actualizados catastralmente"/>
    <m/>
    <m/>
    <e v="#N/A"/>
    <e v="#N/A"/>
    <e v="#N/A"/>
    <m/>
    <n v="0"/>
    <x v="6"/>
    <m/>
    <x v="6"/>
  </r>
  <r>
    <x v="1"/>
    <m/>
    <x v="1"/>
    <x v="1"/>
    <x v="4"/>
    <x v="6"/>
    <x v="2"/>
    <x v="5"/>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1"/>
    <x v="4"/>
    <x v="0"/>
    <x v="1"/>
    <s v="Subdirección de Catastro"/>
    <x v="5"/>
    <s v="Subdirectora de Catastro"/>
    <x v="1"/>
    <x v="2"/>
    <s v="Ejecutar procesos de actualización catastral a nivel nacional"/>
    <s v="Predios actualizados catastralmente"/>
    <m/>
    <m/>
    <e v="#N/A"/>
    <e v="#N/A"/>
    <e v="#N/A"/>
    <m/>
    <n v="0"/>
    <x v="0"/>
    <m/>
    <x v="6"/>
  </r>
  <r>
    <x v="3"/>
    <n v="1"/>
    <x v="1"/>
    <x v="1"/>
    <x v="1"/>
    <x v="1"/>
    <x v="0"/>
    <x v="3"/>
    <x v="0"/>
    <s v="Cintas métricas"/>
    <x v="0"/>
    <n v="27111801"/>
    <s v="Compra y calibración de cintas métricas (patrón) metálicas de 20 metros por un ente acreditado"/>
    <x v="2"/>
    <x v="2"/>
    <n v="1"/>
    <x v="0"/>
    <x v="1"/>
    <x v="0"/>
    <n v="40000000"/>
    <n v="40000000"/>
    <x v="0"/>
    <x v="0"/>
    <x v="1"/>
    <x v="0"/>
    <x v="1"/>
    <s v="Subdirección de Catastro"/>
    <x v="5"/>
    <s v="Subdirectora de Catastro"/>
    <x v="1"/>
    <x v="2"/>
    <s v="Ejecutar procesos de actualización catastral a nivel nacional"/>
    <s v="Predios actualizados catastralmente"/>
    <n v="448"/>
    <d v="2021-03-04T00:00:00"/>
    <m/>
    <n v="19230400"/>
    <n v="19230400"/>
    <s v="SUMINISTROS INDUSTRIALES DE COLOMBIA SOCIEDAD POR ACCIONES SIMPLIFICADA SAS"/>
    <n v="20769600"/>
    <x v="0"/>
    <n v="24644"/>
    <x v="1"/>
  </r>
  <r>
    <x v="4"/>
    <n v="1"/>
    <x v="3"/>
    <x v="3"/>
    <x v="1"/>
    <x v="1"/>
    <x v="0"/>
    <x v="0"/>
    <x v="0"/>
    <s v="Servicios de sistemas de información geográfica (sig)"/>
    <x v="0"/>
    <n v="81101512"/>
    <s v="Prestación de servicios profesionales especializados en la planeación estratégica y ejecución de los proyectos de la oficina CIAF"/>
    <x v="0"/>
    <x v="0"/>
    <n v="4"/>
    <x v="0"/>
    <x v="0"/>
    <x v="0"/>
    <n v="42806184"/>
    <n v="42806184"/>
    <x v="0"/>
    <x v="0"/>
    <x v="1"/>
    <x v="0"/>
    <x v="3"/>
    <s v="Oficina CIAF"/>
    <x v="3"/>
    <s v="Jefe Oficina CIAF"/>
    <x v="3"/>
    <x v="5"/>
    <s v="Realizar el desarrollo y soporte del sistemas de información geográfica para grupos étnicos"/>
    <s v="Entidades Asistidas"/>
    <n v="23"/>
    <d v="2021-01-08T00:00:00"/>
    <n v="10701546"/>
    <n v="21403092"/>
    <n v="21403092"/>
    <s v="ALEXANDER  MONTEALEGRE TRUJILLO"/>
    <n v="21403092"/>
    <x v="0"/>
    <n v="24193"/>
    <x v="1"/>
  </r>
  <r>
    <x v="4"/>
    <n v="4"/>
    <x v="3"/>
    <x v="3"/>
    <x v="1"/>
    <x v="1"/>
    <x v="0"/>
    <x v="0"/>
    <x v="0"/>
    <s v="Servicios de sistemas de información geográfica (sig)"/>
    <x v="0"/>
    <n v="81101512"/>
    <s v="Prestación de servicios profesionales para realizar actividades de gestión requerida en el desarrollo del proyecto de inversión y actividades a cargo de la jefatura de la oficina CIAF."/>
    <x v="0"/>
    <x v="0"/>
    <n v="195"/>
    <x v="1"/>
    <x v="0"/>
    <x v="0"/>
    <n v="17031787"/>
    <n v="17031787"/>
    <x v="0"/>
    <x v="0"/>
    <x v="1"/>
    <x v="0"/>
    <x v="3"/>
    <s v="Oficina CIAF"/>
    <x v="3"/>
    <s v="Jefe Oficina CIAF"/>
    <x v="3"/>
    <x v="5"/>
    <s v="Planear la asistencia técnica, asesoría, análisis y/o consultoría a desarrollar"/>
    <s v="Entidades Asistidas"/>
    <n v="44"/>
    <d v="2021-01-18T00:00:00"/>
    <n v="2671483"/>
    <n v="17031787"/>
    <n v="17031787"/>
    <s v="ANDRES FELIPE LOPEZ ORTIZ"/>
    <n v="0"/>
    <x v="0"/>
    <n v="24203"/>
    <x v="1"/>
  </r>
  <r>
    <x v="4"/>
    <n v="2"/>
    <x v="3"/>
    <x v="3"/>
    <x v="1"/>
    <x v="1"/>
    <x v="0"/>
    <x v="0"/>
    <x v="0"/>
    <s v="Servicios de sistemas de información geográfica (sig)"/>
    <x v="0"/>
    <n v="81101512"/>
    <s v="Prestación de servicios  profesionales para realizar la verificación, control, seguimiento y  gestión de los proyectos de tecnologías de la información geográfica a cargo de la oficina CIAF"/>
    <x v="0"/>
    <x v="0"/>
    <n v="234"/>
    <x v="1"/>
    <x v="0"/>
    <x v="0"/>
    <n v="57152855"/>
    <n v="57152855"/>
    <x v="0"/>
    <x v="0"/>
    <x v="1"/>
    <x v="0"/>
    <x v="3"/>
    <s v="Oficina CIAF"/>
    <x v="3"/>
    <s v="Jefe Oficina CIAF"/>
    <x v="3"/>
    <x v="5"/>
    <s v="Realizar el desarrollo y soporte del sistemas de información geográfica para grupos étnicos"/>
    <s v="Entidades Asistidas"/>
    <n v="24"/>
    <d v="2021-01-08T00:00:00"/>
    <n v="7330366"/>
    <n v="56932509"/>
    <n v="56932509"/>
    <s v="YESENIA  VARGAS TEJEDOR"/>
    <n v="220346"/>
    <x v="0"/>
    <n v="24195"/>
    <x v="1"/>
  </r>
  <r>
    <x v="2"/>
    <n v="12"/>
    <x v="2"/>
    <x v="2"/>
    <x v="3"/>
    <x v="3"/>
    <x v="0"/>
    <x v="0"/>
    <x v="0"/>
    <s v="Servicios secretariales o de administración de oficinas  "/>
    <x v="0"/>
    <n v="80161501"/>
    <s v="Prestación de servicios profesionales para brindar apoyo jurídico en la evaluación, sustanciación y  revisión de los procesos disciplinarios que se adelantan en el IGAC."/>
    <x v="0"/>
    <x v="0"/>
    <n v="11"/>
    <x v="0"/>
    <x v="0"/>
    <x v="0"/>
    <n v="220553972"/>
    <n v="220553972"/>
    <x v="0"/>
    <x v="1"/>
    <x v="3"/>
    <x v="1"/>
    <x v="4"/>
    <s v="Secretaría General - GIT Control Disciplinario"/>
    <x v="3"/>
    <s v="Coordinador GIT Control Disciplinario"/>
    <x v="4"/>
    <x v="6"/>
    <s v="N/A"/>
    <s v="N/A"/>
    <n v="12"/>
    <d v="2021-01-07T00:00:00"/>
    <n v="6683453"/>
    <n v="73517983"/>
    <n v="220553949"/>
    <s v="GABRIEL ANTONIO MORATO RODRIGUEZ_x000a_NELSON ORLANDO YAZO MARTINEZ_x000a_YESSICA JULIETH MAHECHA TOVAR_x000a_"/>
    <n v="23"/>
    <x v="0"/>
    <s v="24166_x000a_24171_x000a_24173_x000a_"/>
    <x v="3"/>
  </r>
  <r>
    <x v="5"/>
    <m/>
    <x v="4"/>
    <x v="4"/>
    <x v="1"/>
    <x v="7"/>
    <x v="1"/>
    <x v="0"/>
    <x v="0"/>
    <s v="Software de edición y creación de contenidos"/>
    <x v="0"/>
    <n v="43232100"/>
    <s v="Adquisición Licenciamiento Adobe "/>
    <x v="6"/>
    <x v="6"/>
    <n v="1"/>
    <x v="0"/>
    <x v="1"/>
    <x v="0"/>
    <n v="17000000"/>
    <n v="17000000"/>
    <x v="0"/>
    <x v="0"/>
    <x v="1"/>
    <x v="0"/>
    <x v="5"/>
    <s v="Oficina de Difusión y Mercadeo"/>
    <x v="3"/>
    <s v="Jefe Oficina de Difusión y Mercadeo de Información "/>
    <x v="5"/>
    <x v="7"/>
    <s v="Realizar campañas en medios digitales y/o presenciales sobre los productos y servicios que genera la entidad."/>
    <s v="Servicios de información implementados"/>
    <m/>
    <m/>
    <e v="#N/A"/>
    <e v="#N/A"/>
    <e v="#N/A"/>
    <m/>
    <n v="0"/>
    <x v="0"/>
    <m/>
    <x v="7"/>
  </r>
  <r>
    <x v="5"/>
    <n v="87"/>
    <x v="4"/>
    <x v="4"/>
    <x v="1"/>
    <x v="1"/>
    <x v="0"/>
    <x v="3"/>
    <x v="0"/>
    <s v="Etiquetas de códigos de barra"/>
    <x v="0"/>
    <n v="55121608"/>
    <s v="Adquisición del derecho de uso del sistema de codificación EAN/UCC."/>
    <x v="2"/>
    <x v="2"/>
    <n v="1"/>
    <x v="0"/>
    <x v="0"/>
    <x v="0"/>
    <n v="8131000"/>
    <n v="8131000"/>
    <x v="0"/>
    <x v="0"/>
    <x v="6"/>
    <x v="0"/>
    <x v="5"/>
    <s v="Oficina de Difusión y Mercadeo"/>
    <x v="3"/>
    <s v="Jefe Oficina de Difusión y Mercadeo de Información "/>
    <x v="5"/>
    <x v="7"/>
    <s v="Ampliar y/o actualizar la oferta de los productos de la entidad atráves de: biblioteca virtual, tienda virtual y del ecosistema digital. "/>
    <s v="Servicios de información implementados"/>
    <n v="501"/>
    <d v="2021-03-16T00:00:00"/>
    <n v="0"/>
    <n v="8131000"/>
    <n v="8131000"/>
    <s v="LOGYCA ASOCIACION"/>
    <n v="0"/>
    <x v="0"/>
    <n v="24636"/>
    <x v="1"/>
  </r>
  <r>
    <x v="5"/>
    <m/>
    <x v="4"/>
    <x v="4"/>
    <x v="1"/>
    <x v="6"/>
    <x v="1"/>
    <x v="10"/>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5"/>
    <x v="5"/>
    <n v="7"/>
    <x v="0"/>
    <x v="0"/>
    <x v="0"/>
    <n v="18155711"/>
    <n v="1815571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m/>
    <m/>
    <e v="#N/A"/>
    <e v="#N/A"/>
    <e v="#N/A"/>
    <m/>
    <n v="0"/>
    <x v="7"/>
    <m/>
    <x v="6"/>
  </r>
  <r>
    <x v="6"/>
    <m/>
    <x v="5"/>
    <x v="5"/>
    <x v="1"/>
    <x v="6"/>
    <x v="1"/>
    <x v="10"/>
    <x v="0"/>
    <s v="Cartografía"/>
    <x v="2"/>
    <n v="81151600"/>
    <s v="Prestación de servicios profesionales para orientar técnicamente la ejecución de los  proyectos  y procesos de la Subdirección de Geografía y Cartografía."/>
    <x v="7"/>
    <x v="7"/>
    <n v="6"/>
    <x v="0"/>
    <x v="0"/>
    <x v="0"/>
    <n v="45301662"/>
    <n v="45301662"/>
    <x v="0"/>
    <x v="0"/>
    <x v="1"/>
    <x v="0"/>
    <x v="6"/>
    <s v="Subdirección de Geografía y Cartografía "/>
    <x v="3"/>
    <s v="Subdirector de Geografía y Cartografía "/>
    <x v="6"/>
    <x v="8"/>
    <s v="Generar insumos y/o productos cartográficos "/>
    <s v="Cartografía escalas Medianas generada (1:10,000, 1:25,000)"/>
    <m/>
    <m/>
    <e v="#N/A"/>
    <e v="#N/A"/>
    <e v="#N/A"/>
    <m/>
    <n v="0"/>
    <x v="0"/>
    <m/>
    <x v="6"/>
  </r>
  <r>
    <x v="6"/>
    <n v="20"/>
    <x v="5"/>
    <x v="5"/>
    <x v="1"/>
    <x v="1"/>
    <x v="0"/>
    <x v="1"/>
    <x v="0"/>
    <s v="Cartografía"/>
    <x v="0"/>
    <n v="81151600"/>
    <s v="Prestación de servicios para realizar actividades que promuevan la gestión y disposición de los datos geográficos, cartográficos y geodésicos."/>
    <x v="1"/>
    <x v="1"/>
    <n v="11"/>
    <x v="0"/>
    <x v="0"/>
    <x v="0"/>
    <n v="45518000"/>
    <n v="45518000"/>
    <x v="0"/>
    <x v="0"/>
    <x v="1"/>
    <x v="0"/>
    <x v="6"/>
    <s v="Subdirección de Geografía y Cartografía "/>
    <x v="5"/>
    <s v="Subdirector de Geografía y Cartografía "/>
    <x v="6"/>
    <x v="9"/>
    <s v="Implementar servicios transaccionales en Colombia en Mapas que permitan la generación y pago de certificaciones y demás productos."/>
    <s v="Datos publicados de información geográfica, geodésica y cartográfica"/>
    <n v="174"/>
    <d v="2021-02-04T00:00:00"/>
    <n v="4263522"/>
    <n v="45477568"/>
    <n v="45477568"/>
    <s v=" MAYCOL ALEJANDRO ZARAZA AGUILERA"/>
    <n v="40432"/>
    <x v="0"/>
    <n v="24358"/>
    <x v="1"/>
  </r>
  <r>
    <x v="6"/>
    <n v="15"/>
    <x v="5"/>
    <x v="5"/>
    <x v="3"/>
    <x v="3"/>
    <x v="0"/>
    <x v="0"/>
    <x v="0"/>
    <s v="Cartografía"/>
    <x v="0"/>
    <n v="81151600"/>
    <s v="Prestación de servicios para realizar el proceso de aerotriangulación, de conformidad con las especificaciones técnicas y rendimientos establecidos."/>
    <x v="0"/>
    <x v="0"/>
    <n v="11"/>
    <x v="0"/>
    <x v="0"/>
    <x v="0"/>
    <n v="116628930"/>
    <n v="116628930"/>
    <x v="0"/>
    <x v="0"/>
    <x v="3"/>
    <x v="0"/>
    <x v="6"/>
    <s v="Subdirección de Geografía y Cartografía "/>
    <x v="5"/>
    <s v="Subdirector de Geografía y Cartografía "/>
    <x v="6"/>
    <x v="10"/>
    <s v="Generar insumos y/o productos cartográficos"/>
    <s v="Cartografía escalas Medianas generada (1:10,000, 1:25,000)"/>
    <n v="109"/>
    <d v="2021-01-26T00:00:00"/>
    <n v="3640236"/>
    <n v="38829184"/>
    <n v="116487552"/>
    <s v="ABRIEL ANDRES PUENTES GUTIERREZ_x000a_DANNY STIVENS MORENO SANCHEZ _x000a_ANGIE LORENA AVENDAÑO GOMEZ"/>
    <n v="141378"/>
    <x v="0"/>
    <s v="24256_x000a_24254_x000a_24256"/>
    <x v="3"/>
  </r>
  <r>
    <x v="6"/>
    <n v="13"/>
    <x v="5"/>
    <x v="5"/>
    <x v="4"/>
    <x v="4"/>
    <x v="0"/>
    <x v="0"/>
    <x v="0"/>
    <s v="Cartografía"/>
    <x v="0"/>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4"/>
    <x v="0"/>
    <x v="6"/>
    <s v="Subdirección de Geografía y Cartografía "/>
    <x v="5"/>
    <s v="Subdirector de Geografía y Cartografía "/>
    <x v="6"/>
    <x v="11"/>
    <s v="Densificar el marco de referencia terrestre"/>
    <s v="Puntos Geodésicos Materializados"/>
    <n v="90"/>
    <d v="2021-01-26T00:00:00"/>
    <n v="2671483"/>
    <n v="28495819"/>
    <n v="142479095"/>
    <s v="ADRIANA LIZETH RICAURTE MENESES _x000a_BRIGITTE DAYANA VEGA BERNAL_x000a_SONIA CASTILLO_x000a_NUBIA STELLA REYES MESA_x000a_JUAN CARLOS LOSADA"/>
    <n v="172920"/>
    <x v="0"/>
    <s v="24246_x000a_24247_x000a_24272_x000a_24273_x000a_24274"/>
    <x v="4"/>
  </r>
  <r>
    <x v="6"/>
    <n v="24"/>
    <x v="5"/>
    <x v="5"/>
    <x v="0"/>
    <x v="0"/>
    <x v="0"/>
    <x v="1"/>
    <x v="0"/>
    <s v="Cartografía"/>
    <x v="0"/>
    <n v="81151600"/>
    <s v="Prestación de servicio para realizar actividades de mantenimiento, materialización y cálculo de redes geodésicas locales y estaciones de mantenimiento continuo."/>
    <x v="1"/>
    <x v="1"/>
    <n v="11"/>
    <x v="0"/>
    <x v="0"/>
    <x v="0"/>
    <n v="62834134"/>
    <n v="62834134"/>
    <x v="0"/>
    <x v="0"/>
    <x v="0"/>
    <x v="0"/>
    <x v="6"/>
    <s v="Subdirección de Geografía y Cartografía "/>
    <x v="5"/>
    <s v="Subdirector de Geografía y Cartografía "/>
    <x v="6"/>
    <x v="11"/>
    <s v="Densificar el marco de referencia terrestre"/>
    <s v="Datos Rinex de las estaciones permanentes generados"/>
    <n v="198"/>
    <d v="2021-02-05T00:00:00"/>
    <n v="2941780"/>
    <n v="31378987"/>
    <n v="62757974"/>
    <s v="ALEJANDRO RODRÍGUEZ URREA _x000a_DIEGO ANDRÉS GARCÍA CASTAÑEDA"/>
    <n v="76160"/>
    <x v="0"/>
    <s v="24385_x000a_24387"/>
    <x v="0"/>
  </r>
  <r>
    <x v="6"/>
    <n v="42"/>
    <x v="5"/>
    <x v="5"/>
    <x v="1"/>
    <x v="1"/>
    <x v="0"/>
    <x v="1"/>
    <x v="0"/>
    <s v="Cartografía"/>
    <x v="0"/>
    <n v="81151600"/>
    <s v="Prestación de servicios para realizar la gestión, control y seguimiento del sistema y marco de referencia geodésico nacional con GNSS"/>
    <x v="1"/>
    <x v="1"/>
    <n v="11"/>
    <x v="0"/>
    <x v="0"/>
    <x v="0"/>
    <n v="53146280"/>
    <n v="53146280"/>
    <x v="0"/>
    <x v="0"/>
    <x v="1"/>
    <x v="0"/>
    <x v="6"/>
    <s v="Subdirección de Geografía y Cartografía "/>
    <x v="5"/>
    <s v="Subdirector de Geografía y Cartografía "/>
    <x v="6"/>
    <x v="11"/>
    <s v="Densificar el marco de referencia terrestre"/>
    <s v="Puntos Geodésicos Materializados"/>
    <n v="326"/>
    <d v="2021-02-18T00:00:00"/>
    <n v="4976424"/>
    <n v="50925406"/>
    <n v="50925406"/>
    <s v="ANDRÉS FELIPE BELTRÁN ZAMUDIO"/>
    <n v="2220874"/>
    <x v="0"/>
    <n v="24487"/>
    <x v="1"/>
  </r>
  <r>
    <x v="6"/>
    <n v="46"/>
    <x v="5"/>
    <x v="5"/>
    <x v="1"/>
    <x v="1"/>
    <x v="0"/>
    <x v="0"/>
    <x v="0"/>
    <s v="Cartografía"/>
    <x v="0"/>
    <n v="81151600"/>
    <s v="Prestación de servicios para apoyar el análisis, evaluación y atención de requerimientos cartográficos relacionados con resguardos y territorios colectivos."/>
    <x v="1"/>
    <x v="1"/>
    <n v="10"/>
    <x v="0"/>
    <x v="0"/>
    <x v="0"/>
    <n v="48314800"/>
    <n v="48314800"/>
    <x v="0"/>
    <x v="0"/>
    <x v="1"/>
    <x v="0"/>
    <x v="6"/>
    <s v="Subdirección de Geografía y Cartografía "/>
    <x v="5"/>
    <s v="Subdirector de Geografía y Cartografía "/>
    <x v="7"/>
    <x v="1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ÁNGELA PATRICIA MORENO MONTERO"/>
    <n v="43487"/>
    <x v="0"/>
    <n v="24491"/>
    <x v="1"/>
  </r>
  <r>
    <x v="6"/>
    <n v="30"/>
    <x v="5"/>
    <x v="5"/>
    <x v="0"/>
    <x v="0"/>
    <x v="0"/>
    <x v="1"/>
    <x v="0"/>
    <s v="Cartografía"/>
    <x v="0"/>
    <n v="81151600"/>
    <s v="Prestación de servicios profesionales para gestionar, controlar y hacer seguimiento de los procesos de producción cartográfica, asignados de conformidad con los lineamientos establecidos."/>
    <x v="1"/>
    <x v="1"/>
    <n v="315"/>
    <x v="1"/>
    <x v="0"/>
    <x v="0"/>
    <n v="140352534"/>
    <n v="140352534"/>
    <x v="0"/>
    <x v="0"/>
    <x v="0"/>
    <x v="0"/>
    <x v="6"/>
    <s v="Subdirección de Geografía y Cartografía "/>
    <x v="5"/>
    <s v="Subdirector de Geografía y Cartografía "/>
    <x v="6"/>
    <x v="10"/>
    <s v="Generar insumos y/o productos cartográficos"/>
    <s v="Cartografía escalas Medianas generada (1:10,000, 1:25,000)"/>
    <n v="206"/>
    <d v="2021-02-10T00:00:00"/>
    <n v="6683454"/>
    <n v="70176267"/>
    <n v="140352534"/>
    <s v="CARLOS ALBERTO SEDANO ARIZA  _x000a_CARLOS  EDUARDO  PLATA  CABRERA"/>
    <n v="0"/>
    <x v="0"/>
    <s v="24394_x000a_24395"/>
    <x v="0"/>
  </r>
  <r>
    <x v="6"/>
    <n v="47"/>
    <x v="5"/>
    <x v="5"/>
    <x v="3"/>
    <x v="3"/>
    <x v="0"/>
    <x v="0"/>
    <x v="0"/>
    <s v="Cartografía"/>
    <x v="0"/>
    <n v="81151600"/>
    <s v="Prestación de servicios profesionales para realizar los diagnósticos de los límites de las entidades territoriales."/>
    <x v="1"/>
    <x v="1"/>
    <n v="10"/>
    <x v="0"/>
    <x v="0"/>
    <x v="0"/>
    <n v="85682910"/>
    <n v="85682910"/>
    <x v="0"/>
    <x v="0"/>
    <x v="3"/>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CÉSAR ERNESTO MALPICA RODRÍGUEZ _x000a_JULY   PAOLA   PIÑEROS   CORREA_x000a_ALEJANDRAREGINAALCARCELMORALES"/>
    <n v="77112"/>
    <x v="0"/>
    <s v="24529_x000a_24530_x000a_24531"/>
    <x v="3"/>
  </r>
  <r>
    <x v="6"/>
    <n v="31"/>
    <x v="5"/>
    <x v="5"/>
    <x v="6"/>
    <x v="8"/>
    <x v="0"/>
    <x v="1"/>
    <x v="0"/>
    <s v="Cartografía"/>
    <x v="0"/>
    <n v="81151600"/>
    <s v="Prestación de servicios para la captura o digitalización de elementos vectoriales a diferentes escalas y dimensiones, de conformidad con las especificaciones técnicas y rendimientos establecidos."/>
    <x v="1"/>
    <x v="1"/>
    <n v="11"/>
    <x v="0"/>
    <x v="0"/>
    <x v="0"/>
    <n v="381694680"/>
    <n v="381694680"/>
    <x v="0"/>
    <x v="0"/>
    <x v="7"/>
    <x v="0"/>
    <x v="6"/>
    <s v="Subdirección de Geografía y Cartografía "/>
    <x v="5"/>
    <s v="Subdirector de Geografía y Cartografía "/>
    <x v="6"/>
    <x v="10"/>
    <s v="Generar insumos y/o productos cartográficos"/>
    <s v="Cartografía escalas Medianas generada (1:10,000, 1:25,000)"/>
    <n v="217"/>
    <d v="2021-02-10T00:00:00"/>
    <n v="0"/>
    <n v="63615780"/>
    <n v="381694680"/>
    <s v="CLAUDIA  ARANGUREN PEÑA_x000a_REMY FERNANDO MATEUS SALINAS_x000a_MÓNICA ALEJANDRA CRUZ BARRETO_x000a_LUIS ALBA _x000a_WILLIAM ALFONSO MORA HERNÁNDEZ_x000a_NOHORA MARIA AYALA QUINTANA"/>
    <n v="0"/>
    <x v="0"/>
    <s v="24407_x000a_24412_x000a_24411_x000a_24413_x000a_24676"/>
    <x v="8"/>
  </r>
  <r>
    <x v="6"/>
    <n v="65"/>
    <x v="5"/>
    <x v="5"/>
    <x v="1"/>
    <x v="1"/>
    <x v="0"/>
    <x v="3"/>
    <x v="0"/>
    <s v="Cartografía"/>
    <x v="0"/>
    <n v="81151600"/>
    <s v="Prestación de servicios para realizar estudios y análisis de información geológica como apoyo a los procesos de la Subdirección."/>
    <x v="2"/>
    <x v="2"/>
    <n v="10"/>
    <x v="0"/>
    <x v="0"/>
    <x v="0"/>
    <n v="30337200"/>
    <n v="303372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483"/>
    <d v="2021-03-15T00:00:00"/>
    <n v="3124732"/>
    <n v="28851692"/>
    <n v="28851692"/>
    <s v="DANIEL ESTEBAN GONGORA BLANCO"/>
    <n v="1485508"/>
    <x v="0"/>
    <n v="24617"/>
    <x v="1"/>
  </r>
  <r>
    <x v="6"/>
    <n v="55"/>
    <x v="5"/>
    <x v="5"/>
    <x v="0"/>
    <x v="0"/>
    <x v="0"/>
    <x v="0"/>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1"/>
    <n v="9"/>
    <x v="0"/>
    <x v="0"/>
    <x v="0"/>
    <n v="51409746"/>
    <n v="51409746"/>
    <x v="0"/>
    <x v="0"/>
    <x v="0"/>
    <x v="0"/>
    <x v="6"/>
    <s v="Subdirección de Geografía y Cartografía "/>
    <x v="5"/>
    <s v="Subdirector de Geografía y Cartografía "/>
    <x v="7"/>
    <x v="12"/>
    <s v="Realizar la apertura y expedición del acta de deslinde de tres (3) procesos"/>
    <s v="Documentos de estudios técnicos de deslindes y de Territorios Indígenas"/>
    <n v="377"/>
    <d v="2021-02-25T00:00:00"/>
    <n v="2941780"/>
    <n v="25593486"/>
    <n v="51186972"/>
    <s v="DANIEL LÓPEZ PINZÓN _x000a_ JOSÉ FERNANDO CORTÉS MOLANO"/>
    <n v="222774"/>
    <x v="0"/>
    <s v="24527_x000a_24533_x000a_"/>
    <x v="0"/>
  </r>
  <r>
    <x v="6"/>
    <n v="9"/>
    <x v="5"/>
    <x v="5"/>
    <x v="1"/>
    <x v="1"/>
    <x v="0"/>
    <x v="0"/>
    <x v="0"/>
    <s v="Cartografía"/>
    <x v="0"/>
    <n v="81151600"/>
    <s v="Prestación de servicios para la revisión, compilación y validación de los datos de campo y calculados de gravimetría y geomagnetismo para su vinculación a la base de datos unificados"/>
    <x v="0"/>
    <x v="0"/>
    <n v="11"/>
    <x v="0"/>
    <x v="0"/>
    <x v="0"/>
    <n v="38876310"/>
    <n v="38876310"/>
    <x v="0"/>
    <x v="0"/>
    <x v="1"/>
    <x v="0"/>
    <x v="6"/>
    <s v="Subdirección de Geografía y Cartografía "/>
    <x v="5"/>
    <s v="Subdirector de Geografía y Cartografía "/>
    <x v="6"/>
    <x v="11"/>
    <s v="Densificar el marco de referencia gravimétricos"/>
    <s v="Valores gravimétricos generados"/>
    <n v="83"/>
    <d v="2021-01-22T00:00:00"/>
    <n v="3640236"/>
    <n v="38829184"/>
    <n v="38829184"/>
    <s v="DANIELA ANDREA HERNÁNDEZ BELTRÁN"/>
    <n v="47126"/>
    <x v="0"/>
    <n v="24236"/>
    <x v="1"/>
  </r>
  <r>
    <x v="6"/>
    <n v="10"/>
    <x v="5"/>
    <x v="5"/>
    <x v="3"/>
    <x v="3"/>
    <x v="0"/>
    <x v="0"/>
    <x v="0"/>
    <s v="Cartografía"/>
    <x v="0"/>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84"/>
    <d v="2021-01-22T00:00:00"/>
    <n v="2671483"/>
    <n v="28495819"/>
    <n v="85487457"/>
    <s v="DANIELA MARIN LOPEZ _x000a_CAROL TATIANA CHICUAZUQUE GUTIERREZ_x000a_MARLON RICARDO RUIZ"/>
    <n v="103752"/>
    <x v="0"/>
    <s v="23237_x000a_23238_x000a_24552"/>
    <x v="3"/>
  </r>
  <r>
    <x v="6"/>
    <n v="7"/>
    <x v="5"/>
    <x v="5"/>
    <x v="1"/>
    <x v="1"/>
    <x v="0"/>
    <x v="0"/>
    <x v="0"/>
    <s v="Cartografía"/>
    <x v="0"/>
    <n v="81151600"/>
    <s v="Prestación de servicios profesionales para gestión de proyectos y atención a los requerimientos de la cancillería, en el marco de la demarcación de las fronteras del país."/>
    <x v="1"/>
    <x v="1"/>
    <n v="10"/>
    <x v="0"/>
    <x v="0"/>
    <x v="0"/>
    <n v="55900900"/>
    <n v="559009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78"/>
    <d v="2021-01-21T00:00:00"/>
    <n v="5757793"/>
    <n v="55850592"/>
    <n v="55850592"/>
    <s v="DEYBI LIBARDO MORA CASTAÑEDA"/>
    <n v="50308"/>
    <x v="0"/>
    <n v="24316"/>
    <x v="1"/>
  </r>
  <r>
    <x v="6"/>
    <n v="37"/>
    <x v="5"/>
    <x v="5"/>
    <x v="0"/>
    <x v="0"/>
    <x v="0"/>
    <x v="1"/>
    <x v="0"/>
    <s v="Cartografía"/>
    <x v="0"/>
    <n v="81151600"/>
    <s v="Prestación de servicios para  realizar la evaluación y procesamiento de las  imágenes adquiridas o gestionadas por el IGAC."/>
    <x v="1"/>
    <x v="1"/>
    <n v="11"/>
    <x v="0"/>
    <x v="0"/>
    <x v="0"/>
    <n v="57060806"/>
    <n v="57060806"/>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DIANA CAROLINA BENITEZ CASTRO _x000a_ DEISY LORENA MORA MORENO"/>
    <n v="2740652"/>
    <x v="0"/>
    <s v="24500_x000a_24501"/>
    <x v="0"/>
  </r>
  <r>
    <x v="6"/>
    <n v="69"/>
    <x v="5"/>
    <x v="5"/>
    <x v="1"/>
    <x v="1"/>
    <x v="0"/>
    <x v="1"/>
    <x v="0"/>
    <s v="Sistemas y equipo de apoyo para transporte aéreo"/>
    <x v="0"/>
    <n v="25191500"/>
    <s v="Servicio de mantenimiento preventivo y correctivo, incluidos los repuestos del dron ebee plus Rta/ppk"/>
    <x v="2"/>
    <x v="2"/>
    <n v="10"/>
    <x v="0"/>
    <x v="0"/>
    <x v="0"/>
    <n v="45000000"/>
    <n v="4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ECOMPASS SAS"/>
    <n v="40508933"/>
    <x v="0"/>
    <n v="24633"/>
    <x v="1"/>
  </r>
  <r>
    <x v="6"/>
    <n v="22"/>
    <x v="5"/>
    <x v="5"/>
    <x v="1"/>
    <x v="1"/>
    <x v="0"/>
    <x v="1"/>
    <x v="0"/>
    <s v="Cartografía"/>
    <x v="0"/>
    <n v="81151600"/>
    <s v="Prestación de servicios para gestionar,  realizar el control  y seguimiento a la toma de fotografía aérea y consecución de insumos necesarios para producción cartográfica."/>
    <x v="1"/>
    <x v="1"/>
    <n v="11"/>
    <x v="0"/>
    <x v="0"/>
    <x v="0"/>
    <n v="92997806"/>
    <n v="92997806"/>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GABRIEL CADENA"/>
    <n v="112729"/>
    <x v="0"/>
    <n v="24351"/>
    <x v="1"/>
  </r>
  <r>
    <x v="6"/>
    <n v="61"/>
    <x v="5"/>
    <x v="5"/>
    <x v="1"/>
    <x v="1"/>
    <x v="0"/>
    <x v="3"/>
    <x v="0"/>
    <s v="Cartografía"/>
    <x v="0"/>
    <n v="81151600"/>
    <s v="Prestación de servicios para la gestión, inventario y verificación de los equipos de medición de la subdirección de geografía y cartografía"/>
    <x v="2"/>
    <x v="2"/>
    <n v="315"/>
    <x v="1"/>
    <x v="0"/>
    <x v="0"/>
    <n v="28050571.5"/>
    <n v="28050571.5"/>
    <x v="0"/>
    <x v="0"/>
    <x v="1"/>
    <x v="0"/>
    <x v="6"/>
    <s v="Subdirección de Geografía y Cartografía "/>
    <x v="5"/>
    <s v="Subdirector de Geografía y Cartografía "/>
    <x v="6"/>
    <x v="11"/>
    <s v="Densificar el marco de referencia terrestre"/>
    <s v="Puntos Geodésicos Materializados"/>
    <n v="430"/>
    <d v="2021-03-08T00:00:00"/>
    <n v="2671483"/>
    <n v="26714830"/>
    <n v="26714830"/>
    <s v="GABRIEL ENRIQUE MEJIA ZAMORA"/>
    <n v="1335741.5"/>
    <x v="0"/>
    <n v="24560"/>
    <x v="1"/>
  </r>
  <r>
    <x v="6"/>
    <n v="11"/>
    <x v="5"/>
    <x v="5"/>
    <x v="4"/>
    <x v="4"/>
    <x v="0"/>
    <x v="0"/>
    <x v="0"/>
    <s v="Cartografía"/>
    <x v="0"/>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4"/>
    <x v="0"/>
    <x v="6"/>
    <s v="Subdirección de Geografía y Cartografía "/>
    <x v="5"/>
    <s v="Subdirector de Geografía y Cartografía "/>
    <x v="6"/>
    <x v="10"/>
    <s v="Generar insumos y/o productos cartográficos"/>
    <s v="Cartografía escalas Medianas generada (1:10,000, 1:25,000)"/>
    <n v="152"/>
    <d v="2021-01-22T00:00:00"/>
    <n v="4976424"/>
    <n v="53081856"/>
    <n v="265409280"/>
    <s v="GIZELA ANDREA GUZMAN LUGO_x000a_HERMAN FELIPE ZAPATA SERRANO _x000a_FABIAN GUZMAN PATIÑO_x000a_CARLOS ANDRES VELASCO PEÑA_x000a_RAFAEL HUMBERTO CUADROS ROMERO_x000a_"/>
    <n v="322120"/>
    <x v="0"/>
    <s v="24312_x000a_24313_x000a_24322_x000a_24323_x000a_24324"/>
    <x v="4"/>
  </r>
  <r>
    <x v="6"/>
    <n v="59"/>
    <x v="5"/>
    <x v="5"/>
    <x v="1"/>
    <x v="1"/>
    <x v="0"/>
    <x v="3"/>
    <x v="0"/>
    <s v="Cartografía"/>
    <x v="0"/>
    <n v="81151600"/>
    <s v="Prestación de servicios para la preparación de insumos, validación, y digitación de la información levantada en campo"/>
    <x v="2"/>
    <x v="2"/>
    <n v="315"/>
    <x v="1"/>
    <x v="0"/>
    <x v="0"/>
    <n v="57060806"/>
    <n v="57060806"/>
    <x v="0"/>
    <x v="0"/>
    <x v="1"/>
    <x v="0"/>
    <x v="6"/>
    <s v="Subdirección de Geografía y Cartografía "/>
    <x v="5"/>
    <s v="Subdirector de Geografía y Cartografía "/>
    <x v="6"/>
    <x v="11"/>
    <s v="Densificar el marco de referencia terrestre"/>
    <s v="Puntos Geodésicos Materializados"/>
    <n v="425"/>
    <d v="2021-03-08T00:00:00"/>
    <n v="2671483"/>
    <n v="26714830"/>
    <n v="26714830"/>
    <s v="JEISSON FERNANDO HERRERA GÓMEZ"/>
    <n v="30345976"/>
    <x v="0"/>
    <n v="24558"/>
    <x v="1"/>
  </r>
  <r>
    <x v="6"/>
    <n v="68"/>
    <x v="5"/>
    <x v="5"/>
    <x v="1"/>
    <x v="1"/>
    <x v="0"/>
    <x v="0"/>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0"/>
    <n v="55000000"/>
    <n v="5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JOHAN JOSE GARCIA"/>
    <n v="2738872"/>
    <x v="0"/>
    <n v="24620"/>
    <x v="1"/>
  </r>
  <r>
    <x v="6"/>
    <n v="21"/>
    <x v="5"/>
    <x v="5"/>
    <x v="1"/>
    <x v="1"/>
    <x v="0"/>
    <x v="1"/>
    <x v="0"/>
    <s v="Servicios de formación profesional en ingeniería"/>
    <x v="0"/>
    <n v="86101610"/>
    <s v="Prestación de servicios profesionales para el acompañamiento y seguimiento a la ejecución de los  proyectos  y procesos de la Subdirección de Geografía y Cartografía."/>
    <x v="1"/>
    <x v="1"/>
    <n v="11"/>
    <x v="0"/>
    <x v="0"/>
    <x v="0"/>
    <n v="92997806"/>
    <n v="92997806"/>
    <x v="0"/>
    <x v="0"/>
    <x v="1"/>
    <x v="0"/>
    <x v="6"/>
    <s v="Subdirección de Geografía y Cartografía "/>
    <x v="5"/>
    <s v="Subdirector de Geografía y Cartografía "/>
    <x v="6"/>
    <x v="10"/>
    <s v="Generar insumos y/o productos cartográficos"/>
    <s v="Cartografía escalas Medianas generada (1:10,000, 1:25,000)"/>
    <n v="170"/>
    <d v="2021-02-04T00:00:00"/>
    <n v="8707976"/>
    <n v="92885077"/>
    <n v="92885077"/>
    <s v="JOHANNA MARÍA DÍAZ DÍAZ_x000a_"/>
    <n v="112729"/>
    <x v="0"/>
    <n v="24355"/>
    <x v="1"/>
  </r>
  <r>
    <x v="6"/>
    <n v="72"/>
    <x v="5"/>
    <x v="5"/>
    <x v="4"/>
    <x v="3"/>
    <x v="3"/>
    <x v="11"/>
    <x v="0"/>
    <s v="Cartografía"/>
    <x v="0"/>
    <n v="81151600"/>
    <s v="Prestación de servicios profesionales para la toma de datos en campo de exploración, materialización , gnss, nivelación geodésica y gravimetría"/>
    <x v="3"/>
    <x v="3"/>
    <n v="260"/>
    <x v="1"/>
    <x v="0"/>
    <x v="0"/>
    <n v="156236600"/>
    <n v="156236600"/>
    <x v="0"/>
    <x v="0"/>
    <x v="4"/>
    <x v="0"/>
    <x v="6"/>
    <s v="Subdirección de Geografía y Cartografía "/>
    <x v="5"/>
    <s v="Subdirector de Geografía y Cartografía "/>
    <x v="6"/>
    <x v="11"/>
    <s v="Densificar el marco de referencia terrestre"/>
    <s v="Datos altimétricos generados"/>
    <n v="535"/>
    <d v="2021-04-20T00:00:00"/>
    <n v="3124732"/>
    <n v="25518645"/>
    <n v="76555935"/>
    <s v="JORGE ERNESTO CORRADINE ACOSTA _x000a_NATHALIA YEPES GOMEZ_x000a_JOSE IGNACIO DUARTE_x000a__x000a_"/>
    <n v="42183881"/>
    <x v="0"/>
    <s v="24684_x000a_24727_x000a_24732_x000a_"/>
    <x v="3"/>
  </r>
  <r>
    <x v="6"/>
    <n v="17"/>
    <x v="5"/>
    <x v="5"/>
    <x v="1"/>
    <x v="1"/>
    <x v="0"/>
    <x v="0"/>
    <x v="0"/>
    <s v="Cartografía"/>
    <x v="0"/>
    <n v="81151600"/>
    <s v="Prestación de servicios profesionales para el seguimiento al proceso de implementación de los servicios ntrip vrs"/>
    <x v="0"/>
    <x v="0"/>
    <n v="11"/>
    <x v="0"/>
    <x v="0"/>
    <x v="0"/>
    <n v="28530403"/>
    <n v="28530403"/>
    <x v="0"/>
    <x v="0"/>
    <x v="1"/>
    <x v="0"/>
    <x v="6"/>
    <s v="Subdirección de Geografía y Cartografía "/>
    <x v="5"/>
    <s v="Subdirector de Geografía y Cartografía "/>
    <x v="6"/>
    <x v="11"/>
    <s v="Densificar el marco de referencia terrestre"/>
    <s v="Datos altimétricos generados"/>
    <n v="123"/>
    <d v="2021-01-27T00:00:00"/>
    <n v="2671483"/>
    <n v="28495819"/>
    <n v="28495819"/>
    <s v="JUAN DAVID HURTADO JAIMES"/>
    <n v="34584"/>
    <x v="0"/>
    <n v="24261"/>
    <x v="1"/>
  </r>
  <r>
    <x v="6"/>
    <n v="43"/>
    <x v="5"/>
    <x v="5"/>
    <x v="1"/>
    <x v="1"/>
    <x v="0"/>
    <x v="12"/>
    <x v="0"/>
    <s v="Cartografía"/>
    <x v="0"/>
    <n v="81151600"/>
    <s v="Prestación de servicios profesionales para la evaluación del control y seguimiento al funcionamiento y modernización efectiva de la red geodésica nacional."/>
    <x v="1"/>
    <x v="1"/>
    <n v="11"/>
    <x v="0"/>
    <x v="0"/>
    <x v="0"/>
    <n v="45532762"/>
    <n v="45532762"/>
    <x v="0"/>
    <x v="0"/>
    <x v="1"/>
    <x v="0"/>
    <x v="6"/>
    <s v="Subdirección de Geografía y Cartografía "/>
    <x v="5"/>
    <s v="Subdirector de Geografía y Cartografía "/>
    <x v="6"/>
    <x v="11"/>
    <s v="Densificar el marco de referencia terrestre"/>
    <s v="Datos Rinex de las estaciones permanentes generados"/>
    <n v="320"/>
    <d v="2021-03-10T00:00:00"/>
    <n v="4263522"/>
    <n v="40503459"/>
    <n v="40503459"/>
    <s v="JUAN PABLO NARVAEZ SALAMANCA"/>
    <n v="5029303"/>
    <x v="0"/>
    <n v="24576"/>
    <x v="1"/>
  </r>
  <r>
    <x v="6"/>
    <n v="63"/>
    <x v="5"/>
    <x v="5"/>
    <x v="3"/>
    <x v="3"/>
    <x v="0"/>
    <x v="3"/>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0"/>
    <n v="75015390"/>
    <n v="75015390"/>
    <x v="0"/>
    <x v="0"/>
    <x v="3"/>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JULIAN ESTEBAN PEÑA AGUDELO_x000a_FRANCISCO IVAN FRANCO RODRIGUEZ _x000a_MARIA ALEJANDRA GUERRERO MORILLO"/>
    <n v="0"/>
    <x v="0"/>
    <s v="24581_x000a_24582_x000a_24583"/>
    <x v="3"/>
  </r>
  <r>
    <x v="6"/>
    <n v="34"/>
    <x v="5"/>
    <x v="5"/>
    <x v="1"/>
    <x v="1"/>
    <x v="0"/>
    <x v="2"/>
    <x v="0"/>
    <s v="Cartografía"/>
    <x v="0"/>
    <n v="81151600"/>
    <s v="Prestación de servicios para realizar apoyo a la gestión administrativa de los procesos y proyectos misionales de la Subdirección de Geografía y Cartografía"/>
    <x v="2"/>
    <x v="2"/>
    <n v="10"/>
    <x v="0"/>
    <x v="0"/>
    <x v="0"/>
    <n v="26714830"/>
    <n v="26714830"/>
    <x v="0"/>
    <x v="0"/>
    <x v="1"/>
    <x v="0"/>
    <x v="6"/>
    <s v="Subdirección de Geografía y Cartografía "/>
    <x v="5"/>
    <s v="Subdirector de Geografía y Cartografía "/>
    <x v="6"/>
    <x v="10"/>
    <s v="Generar insumos y/o productos cartográficos"/>
    <s v="Cartografía escalas Medianas generada (1:10,000, 1:25,000)"/>
    <n v="441"/>
    <d v="2021-03-11T00:00:00"/>
    <e v="#N/A"/>
    <e v="#N/A"/>
    <e v="#N/A"/>
    <s v="JULIE ALEXANDRA PARRA SANTA"/>
    <n v="0"/>
    <x v="0"/>
    <n v="24577"/>
    <x v="1"/>
  </r>
  <r>
    <x v="6"/>
    <n v="41"/>
    <x v="5"/>
    <x v="5"/>
    <x v="0"/>
    <x v="0"/>
    <x v="0"/>
    <x v="1"/>
    <x v="0"/>
    <s v="Cartografía"/>
    <x v="0"/>
    <n v="81151600"/>
    <s v="Prestación de servicios para la toma de datos en campo de gravimetría y geomagnetismo."/>
    <x v="1"/>
    <x v="1"/>
    <n v="11"/>
    <x v="0"/>
    <x v="0"/>
    <x v="0"/>
    <n v="57060806"/>
    <n v="57060806"/>
    <x v="0"/>
    <x v="0"/>
    <x v="0"/>
    <x v="0"/>
    <x v="6"/>
    <s v="Subdirección de Geografía y Cartografía "/>
    <x v="5"/>
    <s v="Subdirector de Geografía y Cartografía "/>
    <x v="6"/>
    <x v="11"/>
    <s v="Densificar el marco de referencia geomagnéticos"/>
    <s v="Valores geomagnéticos generados"/>
    <n v="324"/>
    <d v="2021-02-17T00:00:00"/>
    <n v="2671483"/>
    <n v="27338176"/>
    <n v="54676352"/>
    <s v="KAREN MILENA SIERRA GONZÁLEZ _x000a_DEIBID STIVEEN RINCÓN VEGA"/>
    <n v="2384454"/>
    <x v="0"/>
    <s v="24485_x000a_24487"/>
    <x v="0"/>
  </r>
  <r>
    <x v="6"/>
    <n v="18"/>
    <x v="5"/>
    <x v="5"/>
    <x v="1"/>
    <x v="1"/>
    <x v="0"/>
    <x v="0"/>
    <x v="0"/>
    <s v="Cartografía"/>
    <x v="0"/>
    <n v="81151600"/>
    <s v="Prestación de servicios para el análisis, procesamiento y caracterización de imágenes insumo para la producción cartográfica."/>
    <x v="0"/>
    <x v="0"/>
    <n v="11"/>
    <x v="0"/>
    <x v="0"/>
    <x v="0"/>
    <n v="28530403"/>
    <n v="28530403"/>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KAREN TATIANA BASTIDAS MENDEZ"/>
    <n v="34584"/>
    <x v="0"/>
    <n v="24259"/>
    <x v="1"/>
  </r>
  <r>
    <x v="6"/>
    <n v="52"/>
    <x v="5"/>
    <x v="5"/>
    <x v="0"/>
    <x v="0"/>
    <x v="0"/>
    <x v="0"/>
    <x v="0"/>
    <s v="Cartografía"/>
    <x v="0"/>
    <n v="81151600"/>
    <s v="Prestación de servicios para gestionar, organizar y procesar información geográfica requerida para los estudios e investigaciones asignadas."/>
    <x v="1"/>
    <x v="1"/>
    <n v="255"/>
    <x v="1"/>
    <x v="0"/>
    <x v="0"/>
    <n v="48553649"/>
    <n v="48553649"/>
    <x v="0"/>
    <x v="0"/>
    <x v="0"/>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68"/>
    <d v="2021-02-23T00:00:00"/>
    <n v="2941780"/>
    <n v="24220655"/>
    <n v="48441310"/>
    <s v="LAURA ALEJANDRA CANO ESPINEL_x000a_LUISA FERNANDA HERNANDEZ GUZMAN"/>
    <n v="112339"/>
    <x v="0"/>
    <s v="24522_x000a_24523"/>
    <x v="0"/>
  </r>
  <r>
    <x v="6"/>
    <n v="48"/>
    <x v="5"/>
    <x v="5"/>
    <x v="1"/>
    <x v="1"/>
    <x v="0"/>
    <x v="0"/>
    <x v="0"/>
    <s v="Cartografía"/>
    <x v="0"/>
    <n v="81151600"/>
    <s v="Prestación de servicios profesionales para realizar el control de calidad de los diagnósticos de los límites de las entidades territoriales y demás proyectos asociados"/>
    <x v="1"/>
    <x v="1"/>
    <n v="10"/>
    <x v="0"/>
    <x v="0"/>
    <x v="0"/>
    <n v="35342100"/>
    <n v="35342100"/>
    <x v="0"/>
    <x v="0"/>
    <x v="1"/>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LEIBY  VIVIANA  LÓPEZ URRUTIA"/>
    <n v="31811"/>
    <x v="0"/>
    <n v="24516"/>
    <x v="1"/>
  </r>
  <r>
    <x v="6"/>
    <n v="50"/>
    <x v="5"/>
    <x v="5"/>
    <x v="3"/>
    <x v="3"/>
    <x v="0"/>
    <x v="0"/>
    <x v="0"/>
    <s v="Cartografía"/>
    <x v="0"/>
    <n v="81151600"/>
    <s v="Prestación de servicios para analizar, consolidar e integrar los documentos técnicos de los estudios e investigaciones geográficas, de conformidad con la metodología establecida."/>
    <x v="1"/>
    <x v="1"/>
    <n v="255"/>
    <x v="1"/>
    <x v="0"/>
    <x v="0"/>
    <n v="165464145"/>
    <n v="165464145"/>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2"/>
    <d v="2021-02-22T00:00:00"/>
    <n v="6683454"/>
    <n v="55027105"/>
    <n v="165081315"/>
    <s v="LEIDY MARITZA BERNAL VARGAS_x000a_AURA LORENA PINEDA JAIMES _x000a_MARGARITA MARÍA GALVIS"/>
    <n v="382830"/>
    <x v="0"/>
    <s v="24543_x000a_24544_x000a_24545"/>
    <x v="3"/>
  </r>
  <r>
    <x v="6"/>
    <n v="45"/>
    <x v="5"/>
    <x v="5"/>
    <x v="1"/>
    <x v="1"/>
    <x v="0"/>
    <x v="1"/>
    <x v="0"/>
    <s v="Cartografía"/>
    <x v="0"/>
    <n v="81151600"/>
    <s v="Prestación de servicios profesionales para el apoyo en la gestión de procesamiento de estaciones y control de calidad en la obtención de coordenadas, de acuerdo con las especificaciones y prioridades establecidas"/>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361"/>
    <d v="2021-02-19T00:00:00"/>
    <n v="2941780"/>
    <n v="29417800"/>
    <n v="29417800"/>
    <s v="MARIA CAMILA BAUTISTA"/>
    <n v="1999267"/>
    <x v="0"/>
    <n v="24517"/>
    <x v="1"/>
  </r>
  <r>
    <x v="6"/>
    <n v="1"/>
    <x v="5"/>
    <x v="5"/>
    <x v="1"/>
    <x v="1"/>
    <x v="0"/>
    <x v="0"/>
    <x v="0"/>
    <s v="Servicios de formación profesional en ingeniería"/>
    <x v="0"/>
    <n v="86101610"/>
    <s v="Prestación de servicios para apoyar la actualización de los procesos de la Subdirección de Geografía y Cartografía"/>
    <x v="0"/>
    <x v="0"/>
    <n v="11"/>
    <x v="0"/>
    <x v="0"/>
    <x v="0"/>
    <n v="45518000"/>
    <n v="45518000"/>
    <x v="0"/>
    <x v="0"/>
    <x v="1"/>
    <x v="0"/>
    <x v="6"/>
    <s v="Subdirección de Geografía y Cartografía "/>
    <x v="5"/>
    <s v="Subdirector de Geografía y Cartografía "/>
    <x v="6"/>
    <x v="10"/>
    <s v="Generar insumos y/o productos cartográficos"/>
    <s v="Cartografía escalas Medianas generada (1:10,000, 1:25,000)"/>
    <n v="42"/>
    <d v="2021-01-25T00:00:00"/>
    <n v="4263522"/>
    <n v="45477568"/>
    <n v="45477568"/>
    <s v="MARIANA  JARAMILLO RAMIREZ"/>
    <n v="40432"/>
    <x v="0"/>
    <n v="24243"/>
    <x v="1"/>
  </r>
  <r>
    <x v="6"/>
    <n v="25"/>
    <x v="5"/>
    <x v="5"/>
    <x v="0"/>
    <x v="0"/>
    <x v="0"/>
    <x v="1"/>
    <x v="0"/>
    <s v="Cartografía"/>
    <x v="0"/>
    <n v="81151600"/>
    <s v="Prestación de servicios profesionales para orientar y optimizar los procesos de producción cartográfica, asignados de conformidad con los lineamientos establecidos."/>
    <x v="1"/>
    <x v="1"/>
    <n v="315"/>
    <x v="1"/>
    <x v="0"/>
    <x v="0"/>
    <n v="120913653"/>
    <n v="120913653"/>
    <x v="0"/>
    <x v="0"/>
    <x v="0"/>
    <x v="0"/>
    <x v="6"/>
    <s v="Subdirección de Geografía y Cartografía "/>
    <x v="5"/>
    <s v="Subdirector de Geografía y Cartografía "/>
    <x v="6"/>
    <x v="10"/>
    <s v="Generar insumos y/o productos cartográficos"/>
    <s v="Cartografía escalas Medianas generada (1:10,000, 1:25,000)"/>
    <n v="199"/>
    <d v="2021-02-05T00:00:00"/>
    <n v="5757793"/>
    <n v="60456826"/>
    <n v="120913652"/>
    <s v="MIGUEL ANGEL RAMÍREZ GUTIÉRREZ_x000a_VICTOR ANDRÉS MARTÍNEZ RUÍZ"/>
    <n v="1"/>
    <x v="0"/>
    <s v="24386_x000a_24388"/>
    <x v="0"/>
  </r>
  <r>
    <x v="6"/>
    <n v="16"/>
    <x v="5"/>
    <x v="5"/>
    <x v="0"/>
    <x v="0"/>
    <x v="0"/>
    <x v="0"/>
    <x v="0"/>
    <s v="Cartografía"/>
    <x v="0"/>
    <n v="81151600"/>
    <s v="Prestación de servicios profesionales para realizar las actividades de cálculo de proyectos GNSS y demás asignados."/>
    <x v="0"/>
    <x v="0"/>
    <n v="11"/>
    <x v="0"/>
    <x v="0"/>
    <x v="0"/>
    <n v="66741840"/>
    <n v="66741840"/>
    <x v="0"/>
    <x v="0"/>
    <x v="0"/>
    <x v="0"/>
    <x v="6"/>
    <s v="Subdirección de Geografía y Cartografía "/>
    <x v="5"/>
    <s v="Subdirector de Geografía y Cartografía "/>
    <x v="6"/>
    <x v="11"/>
    <s v="Densificar el marco de referencia terrestre"/>
    <s v="Datos Rinex de las estaciones permanentes generados"/>
    <n v="108"/>
    <d v="2021-01-27T00:00:00"/>
    <n v="3124732"/>
    <n v="33330475"/>
    <n v="66660950"/>
    <s v="PABLO ALEJANDRO MENDEZ HERNANDEZ_x000a_JENNY AZUCENA HERRERA GARZON"/>
    <n v="80890"/>
    <x v="0"/>
    <s v="24250_x000a_24251"/>
    <x v="0"/>
  </r>
  <r>
    <x v="6"/>
    <n v="6"/>
    <x v="5"/>
    <x v="5"/>
    <x v="3"/>
    <x v="3"/>
    <x v="0"/>
    <x v="0"/>
    <x v="0"/>
    <s v="Cartografía"/>
    <x v="0"/>
    <n v="81151600"/>
    <s v="Prestación de servicios profesionales para apoyar la gestión técnica de los procesos de deslindes, de conformidad con los criterios técnicos y normatividad establecida"/>
    <x v="1"/>
    <x v="1"/>
    <n v="10"/>
    <x v="0"/>
    <x v="0"/>
    <x v="0"/>
    <n v="106026300"/>
    <n v="106026300"/>
    <x v="0"/>
    <x v="0"/>
    <x v="3"/>
    <x v="0"/>
    <x v="6"/>
    <s v="Subdirección de Geografía y Cartografía "/>
    <x v="5"/>
    <s v="Subdirector de Geografía y Cartografía "/>
    <x v="7"/>
    <x v="12"/>
    <s v="Realizar la apertura y expedición del acta de deslinde de tres (3) procesos"/>
    <s v="Documentos de estudios técnicos de deslindes y de Territorios Indígenas"/>
    <n v="69"/>
    <d v="2021-01-21T00:00:00"/>
    <n v="3640236"/>
    <n v="35310289"/>
    <n v="105930867"/>
    <s v="SAIDY CAROLINA CASTRO VASQUEZ_x000a_HUGO ANDRES CERON BERMUDEZ_x000a_DIANA ALEXANDRA CHINGATE CACERES_x000a_"/>
    <n v="95433"/>
    <x v="0"/>
    <s v="24224_x000a_24226_x000a_24227"/>
    <x v="3"/>
  </r>
  <r>
    <x v="6"/>
    <n v="49"/>
    <x v="5"/>
    <x v="5"/>
    <x v="5"/>
    <x v="5"/>
    <x v="0"/>
    <x v="1"/>
    <x v="0"/>
    <s v="Cartografía"/>
    <x v="0"/>
    <n v="81151600"/>
    <s v="Prestación de servicios para analizar y desarrollar el componente temático de los estudios y/o investigaciones geográficas asignadas, de conformidad con la metodología establecida."/>
    <x v="1"/>
    <x v="1"/>
    <n v="255"/>
    <x v="1"/>
    <x v="0"/>
    <x v="0"/>
    <n v="120163140"/>
    <n v="120163140"/>
    <x v="0"/>
    <x v="0"/>
    <x v="5"/>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49"/>
    <d v="2021-02-22T00:00:00"/>
    <n v="3640236"/>
    <n v="29971276"/>
    <n v="119885104"/>
    <s v="SANDRA MIREYA ROMERO RODRIGUEZ_x000a_DIANA ALEJANDRA ESQUIVEL PERDOMO_x000a_YURY DHUSLEY ENTRADA TOBAR _x000a_LEIDY VANESSA ALBA AYALA "/>
    <n v="278036"/>
    <x v="0"/>
    <s v="24508_x000a_24513_x000a_24514_x000a_24515"/>
    <x v="5"/>
  </r>
  <r>
    <x v="6"/>
    <n v="75"/>
    <x v="5"/>
    <x v="5"/>
    <x v="0"/>
    <x v="0"/>
    <x v="0"/>
    <x v="4"/>
    <x v="0"/>
    <s v="Servicios de comercio internacional"/>
    <x v="0"/>
    <n v="80151600"/>
    <s v="Prestación de servicio para apoyar la organización, digitalización, control y seguimiento de los productos y servicios de la Subdirección de Geografía y Cartografía."/>
    <x v="3"/>
    <x v="3"/>
    <n v="8"/>
    <x v="0"/>
    <x v="0"/>
    <x v="0"/>
    <n v="33571440"/>
    <n v="33571440"/>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SANTIAGO ANDRADE GIL _x000a_NUBIA ESPERAZA MONTALVE PATIÑO"/>
    <n v="0"/>
    <x v="0"/>
    <s v="24688_x000a_24689"/>
    <x v="0"/>
  </r>
  <r>
    <x v="6"/>
    <n v="73"/>
    <x v="5"/>
    <x v="5"/>
    <x v="0"/>
    <x v="0"/>
    <x v="0"/>
    <x v="4"/>
    <x v="0"/>
    <s v="Servicios de comercio internacional"/>
    <x v="0"/>
    <n v="80151600"/>
    <s v="Prestación de servicios para estructurar y elaborar cartografía temática de los proyectos asignados, de conformidad con las especificaciones técnicas y los tiempos establecidos."/>
    <x v="3"/>
    <x v="3"/>
    <n v="8"/>
    <x v="0"/>
    <x v="0"/>
    <x v="0"/>
    <n v="42743728"/>
    <n v="42743728"/>
    <x v="0"/>
    <x v="0"/>
    <x v="0"/>
    <x v="0"/>
    <x v="6"/>
    <s v="Subdirección de Geografía y Cartografía "/>
    <x v="5"/>
    <s v="Subdirector de Geografía y Cartografía "/>
    <x v="6"/>
    <x v="10"/>
    <s v="Generar insumos y/o productos cartográficos"/>
    <s v="Cartografía escalas Medianas generada (1:10,000, 1:25,000)"/>
    <n v="541"/>
    <d v="2021-04-22T00:00:00"/>
    <n v="2671483"/>
    <n v="21371864"/>
    <n v="42743728"/>
    <s v="SANTIAGO DÍAZ BOLÍVAR _x000a_LINA PAOLA FANDIÑO HERRERA"/>
    <n v="0"/>
    <x v="0"/>
    <s v="24686_x000a_24691"/>
    <x v="0"/>
  </r>
  <r>
    <x v="6"/>
    <n v="36"/>
    <x v="5"/>
    <x v="5"/>
    <x v="1"/>
    <x v="1"/>
    <x v="0"/>
    <x v="1"/>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1"/>
    <x v="1"/>
    <n v="11"/>
    <x v="0"/>
    <x v="0"/>
    <x v="0"/>
    <n v="80634026"/>
    <n v="80634026"/>
    <x v="0"/>
    <x v="0"/>
    <x v="1"/>
    <x v="0"/>
    <x v="6"/>
    <s v="Subdirección de Geografía y Cartografía "/>
    <x v="5"/>
    <s v="Subdirector de Geografía y Cartografía "/>
    <x v="6"/>
    <x v="10"/>
    <s v="Generar insumos y/o productos cartográficos"/>
    <s v="Cartografía escalas Medianas generada (1:10,000, 1:25,000)"/>
    <n v="286"/>
    <d v="2021-02-15T00:00:00"/>
    <n v="7550277"/>
    <n v="80536288"/>
    <n v="80536288"/>
    <s v="SONIA BELTRAN"/>
    <n v="97738"/>
    <x v="0"/>
    <n v="24451"/>
    <x v="1"/>
  </r>
  <r>
    <x v="6"/>
    <n v="26"/>
    <x v="5"/>
    <x v="5"/>
    <x v="2"/>
    <x v="2"/>
    <x v="0"/>
    <x v="1"/>
    <x v="0"/>
    <s v="Cartografía"/>
    <x v="0"/>
    <n v="81151600"/>
    <s v="Prestación de servicios para elaborar ortoimágenes a diferentes escalas, de conformidad con las especificaciones técnicas y rendimientos establecidos."/>
    <x v="1"/>
    <x v="1"/>
    <n v="315"/>
    <x v="1"/>
    <x v="0"/>
    <x v="0"/>
    <n v="194381550"/>
    <n v="194381550"/>
    <x v="0"/>
    <x v="0"/>
    <x v="2"/>
    <x v="0"/>
    <x v="6"/>
    <s v="Subdirección de Geografía y Cartografía "/>
    <x v="5"/>
    <s v="Subdirector de Geografía y Cartografía "/>
    <x v="6"/>
    <x v="10"/>
    <s v="Generar insumos y/o productos cartográficos"/>
    <s v="Cartografía escalas Medianas generada (1:10,000, 1:25,000)"/>
    <n v="214"/>
    <d v="2021-02-08T00:00:00"/>
    <n v="2671483"/>
    <n v="27605324"/>
    <n v="193237268"/>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2"/>
  </r>
  <r>
    <x v="6"/>
    <n v="23"/>
    <x v="5"/>
    <x v="5"/>
    <x v="1"/>
    <x v="1"/>
    <x v="0"/>
    <x v="1"/>
    <x v="0"/>
    <s v="Cartografía"/>
    <x v="0"/>
    <n v="81151600"/>
    <s v="Prestación de servicio para realizar la revisión y reparación de los componentes eléctricos y electrónicos de las estaciones magna-eco para su instalación en campo"/>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184"/>
    <d v="2021-02-04T00:00:00"/>
    <n v="2671483"/>
    <n v="28495819"/>
    <n v="28495819"/>
    <s v="YIMMY FERNEY LONDOÑO HERNANDEZ"/>
    <n v="2921248"/>
    <x v="0"/>
    <n v="24369"/>
    <x v="1"/>
  </r>
  <r>
    <x v="6"/>
    <n v="14"/>
    <x v="5"/>
    <x v="5"/>
    <x v="7"/>
    <x v="9"/>
    <x v="0"/>
    <x v="0"/>
    <x v="0"/>
    <s v="Cartografía"/>
    <x v="0"/>
    <n v="81151600"/>
    <s v="Prestación de servicios para realizar la edición, estructuración e integración de la cartografía básica, de conformidad con las especificaciones técnicas establecidas."/>
    <x v="0"/>
    <x v="0"/>
    <n v="11"/>
    <x v="0"/>
    <x v="0"/>
    <x v="0"/>
    <n v="388763100"/>
    <n v="388763100"/>
    <x v="0"/>
    <x v="0"/>
    <x v="8"/>
    <x v="0"/>
    <x v="6"/>
    <s v="Subdirección de Geografía y Cartografía "/>
    <x v="5"/>
    <s v="Subdirector de Geografía y Cartografía "/>
    <x v="6"/>
    <x v="10"/>
    <s v="Generar insumos y/o productos cartográficos"/>
    <s v="Cartografía escalas Medianas generada (1:10,000, 1:25,000)"/>
    <n v="111"/>
    <d v="2021-01-26T00:00:00"/>
    <n v="3640236"/>
    <n v="38829184"/>
    <n v="38829184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9"/>
  </r>
  <r>
    <x v="2"/>
    <n v="61"/>
    <x v="2"/>
    <x v="2"/>
    <x v="1"/>
    <x v="1"/>
    <x v="0"/>
    <x v="2"/>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0"/>
    <n v="102877526"/>
    <n v="102877526"/>
    <x v="0"/>
    <x v="0"/>
    <x v="1"/>
    <x v="1"/>
    <x v="7"/>
    <s v="Secretaría General - GIT Gestión Contractual"/>
    <x v="3"/>
    <s v="Coordinador GIT Gestión Contractual"/>
    <x v="4"/>
    <x v="6"/>
    <s v="N/A"/>
    <s v="N/A"/>
    <n v="520"/>
    <d v="2021-04-12T00:00:00"/>
    <n v="11022592"/>
    <n v="95529131"/>
    <n v="95529131"/>
    <s v="BRENDA VIVIANA JIMENEZ DIAZ"/>
    <n v="7348395"/>
    <x v="0"/>
    <n v="24653"/>
    <x v="1"/>
  </r>
  <r>
    <x v="2"/>
    <n v="1"/>
    <x v="2"/>
    <x v="2"/>
    <x v="0"/>
    <x v="0"/>
    <x v="0"/>
    <x v="0"/>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0"/>
    <x v="1"/>
    <x v="7"/>
    <s v="Secretaría General - GIT Gestión Contractual"/>
    <x v="3"/>
    <s v="Coordinador GIT Gestión Contractual"/>
    <x v="4"/>
    <x v="6"/>
    <s v="N/A"/>
    <s v="N/A"/>
    <n v="1"/>
    <d v="2021-01-07T00:00:00"/>
    <n v="9500000"/>
    <n v="104500000"/>
    <n v="209000000"/>
    <s v="GINNA PAOLA GARCIA BOHORQUEZ_x000a_BRENDA VIVIANA JIMENEZ DIAZ"/>
    <n v="0"/>
    <x v="0"/>
    <s v="24165_x000a_24169"/>
    <x v="0"/>
  </r>
  <r>
    <x v="2"/>
    <n v="4"/>
    <x v="2"/>
    <x v="2"/>
    <x v="1"/>
    <x v="1"/>
    <x v="0"/>
    <x v="0"/>
    <x v="0"/>
    <s v="Servicios secretariales o de administración de oficinas  "/>
    <x v="0"/>
    <n v="80161501"/>
    <s v="Prestación de servicios profesionales para realizar actividades relacionadas con el plan de compras y elaboración de informes."/>
    <x v="0"/>
    <x v="0"/>
    <n v="11"/>
    <x v="0"/>
    <x v="0"/>
    <x v="0"/>
    <n v="80634026"/>
    <n v="80634026"/>
    <x v="0"/>
    <x v="1"/>
    <x v="1"/>
    <x v="1"/>
    <x v="7"/>
    <s v="Secretaría General - GIT Gestión Contractual"/>
    <x v="3"/>
    <s v="Coordinador GIT Gestión Contractual"/>
    <x v="4"/>
    <x v="6"/>
    <s v="N/A"/>
    <s v="N/A"/>
    <n v="5"/>
    <d v="2021-01-07T00:00:00"/>
    <n v="7330366"/>
    <n v="80634026"/>
    <n v="80634026"/>
    <s v="HECTOR MAURICIO CUBIDES GARZON"/>
    <n v="0"/>
    <x v="0"/>
    <n v="24161"/>
    <x v="1"/>
  </r>
  <r>
    <x v="2"/>
    <n v="6"/>
    <x v="2"/>
    <x v="2"/>
    <x v="5"/>
    <x v="5"/>
    <x v="0"/>
    <x v="0"/>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7"/>
    <s v="Secretaría General - GIT Gestión Contractual"/>
    <x v="3"/>
    <s v="Coordinador GIT Gestión Contractual"/>
    <x v="4"/>
    <x v="6"/>
    <s v="N/A"/>
    <s v="N/A"/>
    <n v="2"/>
    <d v="2021-01-07T00:00:00"/>
    <n v="6448790"/>
    <n v="70936690"/>
    <n v="283746760"/>
    <s v="JAVIER ENRIQUE GUTIERREZ ROCHA_x000a_JUAN MANUEL CORDOBA MARTINEZ_x000a_MARIA MERCEDES GONZALEZ VARGAS_x000a_VIVIANA DEL PILAR RAMIREZ ROZO_x000a_"/>
    <n v="0"/>
    <x v="0"/>
    <s v="24153_x000a_24155_x000a_24157_x000a_24159_x000a_"/>
    <x v="5"/>
  </r>
  <r>
    <x v="2"/>
    <n v="57"/>
    <x v="2"/>
    <x v="2"/>
    <x v="1"/>
    <x v="1"/>
    <x v="0"/>
    <x v="1"/>
    <x v="0"/>
    <s v="Servicios secretariales o de administración de oficinas  "/>
    <x v="0"/>
    <n v="80161501"/>
    <s v="prestación de servicios profesionales para la implementación y seguimiento del proceso de gestión documental conforme a los lineamienos dados por la entidad y el agn."/>
    <x v="1"/>
    <x v="1"/>
    <n v="11"/>
    <x v="0"/>
    <x v="0"/>
    <x v="0"/>
    <n v="51970000"/>
    <n v="51970000"/>
    <x v="0"/>
    <x v="0"/>
    <x v="1"/>
    <x v="0"/>
    <x v="8"/>
    <s v="Secretaria General- Gestión documental"/>
    <x v="3"/>
    <s v="Coordinador GIT Gestión Documental"/>
    <x v="8"/>
    <x v="15"/>
    <s v="Actualizar los instrumentos archivísticos y de gestión de la información bajo la normatividad vigente y necesidad del instrumento."/>
    <s v="Sistema de gestión documental implementado"/>
    <n v="356"/>
    <d v="2021-02-16T00:00:00"/>
    <n v="5197000"/>
    <n v="51970000"/>
    <n v="51970000"/>
    <s v="EDWAR FABIAN CASTAÑEDA"/>
    <n v="0"/>
    <x v="0"/>
    <n v="24518"/>
    <x v="1"/>
  </r>
  <r>
    <x v="2"/>
    <n v="39"/>
    <x v="2"/>
    <x v="2"/>
    <x v="3"/>
    <x v="3"/>
    <x v="0"/>
    <x v="0"/>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8"/>
    <s v="Secretaria General- Gestión documental"/>
    <x v="3"/>
    <s v="Coordinador GIT Gestión Documental"/>
    <x v="8"/>
    <x v="15"/>
    <s v="Aplicar los procedimientos para la conservación documental de 30 Metro lineal."/>
    <s v="Aplicar los procesos archivísticos al acervo documental."/>
    <n v="49"/>
    <d v="2021-01-19T00:00:00"/>
    <n v="1924742"/>
    <n v="17322678"/>
    <n v="51968034"/>
    <s v="FRANCISCO ROJAS UNDAGAMA_x000a_LAURA LILIANA VELA CRUZ_x000a_ROSA FARIAS"/>
    <n v="1559041"/>
    <x v="0"/>
    <s v="24208_x000a_24209_x000a_24210"/>
    <x v="3"/>
  </r>
  <r>
    <x v="2"/>
    <n v="79"/>
    <x v="2"/>
    <x v="2"/>
    <x v="1"/>
    <x v="1"/>
    <x v="0"/>
    <x v="8"/>
    <x v="0"/>
    <s v="Mantenimiento y soporte de software"/>
    <x v="0"/>
    <n v="81112200"/>
    <s v="Prestación de servicios para el soporte tecnico, mantenimiento y actualización del Sistema de Gestión Documental -SIGAC sobre la plataforma BPM/FOREST."/>
    <x v="5"/>
    <x v="5"/>
    <n v="6"/>
    <x v="0"/>
    <x v="0"/>
    <x v="0"/>
    <n v="154403359"/>
    <n v="154403359"/>
    <x v="0"/>
    <x v="0"/>
    <x v="1"/>
    <x v="0"/>
    <x v="8"/>
    <s v="Secretaria General-GIT Gestión Documental"/>
    <x v="3"/>
    <s v="Coordinadora GIT Gestión Documental"/>
    <x v="8"/>
    <x v="7"/>
    <s v="Implementar las funcionalidades de la fase 2 del Sistema de Gestión de Documento Electrónico de Archivo  "/>
    <s v="Automatizar los procedimientos para la gestión de la información."/>
    <m/>
    <d v="2021-06-17T00:00:00"/>
    <n v="154403359"/>
    <n v="154403359"/>
    <n v="154403359"/>
    <s v="MACRO PROYECTOS S.A.S"/>
    <n v="0"/>
    <x v="0"/>
    <m/>
    <x v="6"/>
  </r>
  <r>
    <x v="2"/>
    <n v="40"/>
    <x v="2"/>
    <x v="2"/>
    <x v="1"/>
    <x v="1"/>
    <x v="0"/>
    <x v="0"/>
    <x v="0"/>
    <s v="Servicios secretariales o de administración de oficinas  "/>
    <x v="0"/>
    <n v="80161501"/>
    <s v="Prestación de servicios personales para el acompañamiento y seguimiento de las actividades del procesos de gestión documental de la entidad de acuerdo a las normas vigentes."/>
    <x v="0"/>
    <x v="0"/>
    <n v="9"/>
    <x v="0"/>
    <x v="0"/>
    <x v="0"/>
    <n v="24043349"/>
    <n v="24043349"/>
    <x v="0"/>
    <x v="0"/>
    <x v="1"/>
    <x v="0"/>
    <x v="8"/>
    <s v="Secretaria General- Gestión documental"/>
    <x v="3"/>
    <s v="Coordinador GIT Gestión Documental"/>
    <x v="8"/>
    <x v="15"/>
    <s v="Realizar los procesos de organización al acervo documental de  30 metros lineales."/>
    <s v="Aplicar los procesos archivísticos al acervo documental."/>
    <n v="59"/>
    <d v="2021-01-19T00:00:00"/>
    <n v="2593673"/>
    <n v="23343057"/>
    <n v="23343057"/>
    <s v="MARTHA LUCIA ROCHA AREVALO"/>
    <n v="700292"/>
    <x v="0"/>
    <n v="24222"/>
    <x v="1"/>
  </r>
  <r>
    <x v="2"/>
    <n v="59"/>
    <x v="2"/>
    <x v="2"/>
    <x v="1"/>
    <x v="1"/>
    <x v="0"/>
    <x v="0"/>
    <x v="0"/>
    <s v="Servicios secretariales o de administración de oficinas  "/>
    <x v="0"/>
    <n v="80161501"/>
    <s v="Prestación de servicios profesionales para la implementación del sistema de gestión documental SIGAC a nivel nacional."/>
    <x v="1"/>
    <x v="1"/>
    <n v="10"/>
    <x v="0"/>
    <x v="0"/>
    <x v="0"/>
    <n v="36402363"/>
    <n v="36402363"/>
    <x v="0"/>
    <x v="0"/>
    <x v="1"/>
    <x v="0"/>
    <x v="8"/>
    <s v="Secretaria General- Gestión documental"/>
    <x v="3"/>
    <s v="Coordinador GIT Gestión Documental"/>
    <x v="8"/>
    <x v="7"/>
    <s v="Dar soporte a la fase 1 del Sistema de Gestión de Documento Electrónico de Archivo   "/>
    <s v="Automatizar los procedimientos para la gestión de la información."/>
    <n v="422"/>
    <d v="2021-02-24T00:00:00"/>
    <n v="3640236"/>
    <n v="36402360"/>
    <n v="36402360"/>
    <s v="PIEDAD  AMPARO MARTINEZ REDONDO"/>
    <n v="3"/>
    <x v="0"/>
    <n v="24556"/>
    <x v="1"/>
  </r>
  <r>
    <x v="2"/>
    <m/>
    <x v="2"/>
    <x v="2"/>
    <x v="1"/>
    <x v="6"/>
    <x v="1"/>
    <x v="13"/>
    <x v="0"/>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1"/>
    <x v="8"/>
    <s v="Secretaria General-GIT Gestión Documental"/>
    <x v="3"/>
    <s v="Coordinadora GIT Gestión Documental"/>
    <x v="4"/>
    <x v="6"/>
    <s v="N/A"/>
    <s v="N/A"/>
    <m/>
    <m/>
    <e v="#N/A"/>
    <e v="#N/A"/>
    <e v="#N/A"/>
    <m/>
    <n v="0"/>
    <x v="8"/>
    <m/>
    <x v="6"/>
  </r>
  <r>
    <x v="2"/>
    <n v="25"/>
    <x v="2"/>
    <x v="2"/>
    <x v="1"/>
    <x v="1"/>
    <x v="0"/>
    <x v="0"/>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1"/>
    <x v="1"/>
    <x v="9"/>
    <s v="Secretaría General - GIT Gestión Financiera"/>
    <x v="3"/>
    <s v="Coordinador GIT Gestión Financiera"/>
    <x v="4"/>
    <x v="6"/>
    <s v="N/A"/>
    <s v="N/A"/>
    <n v="35"/>
    <d v="2021-01-13T00:00:00"/>
    <n v="6683454"/>
    <n v="73295212"/>
    <n v="73295212"/>
    <s v="EDGAR GERMAN CAICEDO GONZALEZ"/>
    <n v="222779"/>
    <x v="0"/>
    <n v="24192"/>
    <x v="1"/>
  </r>
  <r>
    <x v="2"/>
    <n v="24"/>
    <x v="2"/>
    <x v="2"/>
    <x v="1"/>
    <x v="1"/>
    <x v="0"/>
    <x v="0"/>
    <x v="0"/>
    <s v="Servicios secretariales o de administración de oficinas  "/>
    <x v="0"/>
    <n v="80161501"/>
    <s v="Prestación de servicios personales para la recepción, revisión y elaboración de las cuentas por pagar y obligaciones del instituto en el sistema SIIF Nación."/>
    <x v="0"/>
    <x v="0"/>
    <n v="11"/>
    <x v="0"/>
    <x v="0"/>
    <x v="0"/>
    <n v="29386316"/>
    <n v="29386316"/>
    <x v="0"/>
    <x v="1"/>
    <x v="1"/>
    <x v="1"/>
    <x v="9"/>
    <s v="Secretaría General - GIT Gestión Financiera"/>
    <x v="3"/>
    <s v="Coordinador GIT Gestión Financiera"/>
    <x v="4"/>
    <x v="6"/>
    <s v="N/A"/>
    <s v="N/A"/>
    <n v="33"/>
    <d v="2021-01-13T00:00:00"/>
    <n v="2671483"/>
    <n v="29386313"/>
    <n v="29386313"/>
    <s v="MIREYA  ARTUNDUAGA CALDERON"/>
    <n v="3"/>
    <x v="0"/>
    <n v="24190"/>
    <x v="1"/>
  </r>
  <r>
    <x v="5"/>
    <m/>
    <x v="4"/>
    <x v="6"/>
    <x v="1"/>
    <x v="6"/>
    <x v="1"/>
    <x v="5"/>
    <x v="0"/>
    <s v="Servicios de alquiler o arrendamiento de licencias de software de computador"/>
    <x v="0"/>
    <n v="81112500"/>
    <s v="Adquisición de productos y servicios Microsoft"/>
    <x v="7"/>
    <x v="7"/>
    <n v="12"/>
    <x v="0"/>
    <x v="2"/>
    <x v="0"/>
    <n v="1454161872.5999999"/>
    <n v="1454161872.5999999"/>
    <x v="0"/>
    <x v="1"/>
    <x v="1"/>
    <x v="0"/>
    <x v="10"/>
    <s v="Oficina de Informática y Telecomunicaciones"/>
    <x v="3"/>
    <s v="José Luis Ariza Vargas (Jefe OIT)"/>
    <x v="9"/>
    <x v="16"/>
    <s v="Implementar y soportar plataformas de TI"/>
    <s v="Índice de capacidad en la prestación de servicios de tecnología."/>
    <m/>
    <m/>
    <e v="#N/A"/>
    <e v="#N/A"/>
    <e v="#N/A"/>
    <m/>
    <n v="0"/>
    <x v="0"/>
    <m/>
    <x v="6"/>
  </r>
  <r>
    <x v="5"/>
    <m/>
    <x v="4"/>
    <x v="6"/>
    <x v="1"/>
    <x v="6"/>
    <x v="1"/>
    <x v="13"/>
    <x v="0"/>
    <s v="Ingeniería de software o hardware"/>
    <x v="0"/>
    <n v="81111500"/>
    <s v="Contratar los servicios de soporte técnicoproactivo, reactivo, de configuración, actualización, afinamiento y parametrización para productos ORACLE con los que cuenta el IGAC."/>
    <x v="5"/>
    <x v="5"/>
    <n v="3"/>
    <x v="0"/>
    <x v="2"/>
    <x v="0"/>
    <n v="162242850"/>
    <n v="162242850"/>
    <x v="0"/>
    <x v="2"/>
    <x v="1"/>
    <x v="0"/>
    <x v="10"/>
    <s v="Oficina de Informática y Telecomunicaciones"/>
    <x v="3"/>
    <s v="Guillermo Gómez Gómez (Jefe OIT)"/>
    <x v="10"/>
    <x v="16"/>
    <s v="Implementar y mantener sistemas de información, portales y aplicaciones"/>
    <s v="Índice de capacidad en la prestación de servicios de tecnología."/>
    <m/>
    <m/>
    <e v="#N/A"/>
    <e v="#N/A"/>
    <e v="#N/A"/>
    <m/>
    <n v="0"/>
    <x v="0"/>
    <m/>
    <x v="6"/>
  </r>
  <r>
    <x v="5"/>
    <m/>
    <x v="4"/>
    <x v="6"/>
    <x v="1"/>
    <x v="6"/>
    <x v="1"/>
    <x v="13"/>
    <x v="0"/>
    <s v="Servicio de mantenimiento de energía de emergencia o de reserva"/>
    <x v="0"/>
    <n v="72151514"/>
    <s v="Mantenimiento preventivo y correctivo de UPS en las direcciones territoriales del IGAC"/>
    <x v="5"/>
    <x v="5"/>
    <n v="6"/>
    <x v="0"/>
    <x v="3"/>
    <x v="0"/>
    <n v="60000000"/>
    <n v="60000000"/>
    <x v="0"/>
    <x v="0"/>
    <x v="1"/>
    <x v="0"/>
    <x v="10"/>
    <s v="Oficina de Informática y Telecomunicaciones"/>
    <x v="3"/>
    <s v="Guillermo Gómez Gómez (Jefe OIT)"/>
    <x v="9"/>
    <x v="16"/>
    <s v="Implementar y soportar plataformas de TI"/>
    <s v="Índice de capacidad en la prestación de servicios de tecnología."/>
    <m/>
    <m/>
    <e v="#N/A"/>
    <e v="#N/A"/>
    <e v="#N/A"/>
    <m/>
    <n v="0"/>
    <x v="0"/>
    <m/>
    <x v="6"/>
  </r>
  <r>
    <x v="5"/>
    <n v="28"/>
    <x v="4"/>
    <x v="7"/>
    <x v="1"/>
    <x v="1"/>
    <x v="0"/>
    <x v="0"/>
    <x v="0"/>
    <s v="Servicios secretariales o de administración de oficinas  "/>
    <x v="0"/>
    <n v="80161501"/>
    <s v="Prestación de servicios profesionales en los asuntos legales y contractuales que le sean asignados por la Oficina Asesora Jurídica."/>
    <x v="0"/>
    <x v="0"/>
    <n v="11"/>
    <x v="0"/>
    <x v="0"/>
    <x v="0"/>
    <n v="121248517"/>
    <n v="121248517"/>
    <x v="0"/>
    <x v="0"/>
    <x v="1"/>
    <x v="1"/>
    <x v="11"/>
    <s v="Oficina Asesora Jurídica"/>
    <x v="3"/>
    <s v="Jefe Oficina Asesora Jurídica"/>
    <x v="4"/>
    <x v="6"/>
    <s v="N/A"/>
    <s v="N/A"/>
    <n v="125"/>
    <d v="2021-01-26T00:00:00"/>
    <n v="11022592"/>
    <n v="121248512"/>
    <n v="121248512"/>
    <s v="LUZ ÁNGELA VILLALBA PACHÓ"/>
    <n v="5"/>
    <x v="0"/>
    <n v="24263"/>
    <x v="1"/>
  </r>
  <r>
    <x v="5"/>
    <n v="19"/>
    <x v="4"/>
    <x v="8"/>
    <x v="1"/>
    <x v="1"/>
    <x v="0"/>
    <x v="0"/>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1"/>
    <n v="11"/>
    <x v="0"/>
    <x v="0"/>
    <x v="0"/>
    <n v="83053047"/>
    <n v="83053047"/>
    <x v="0"/>
    <x v="0"/>
    <x v="1"/>
    <x v="0"/>
    <x v="5"/>
    <s v="Oficina Asesora de Planeación"/>
    <x v="3"/>
    <s v="Jefe Oficina Asesora de Planeación"/>
    <x v="9"/>
    <x v="17"/>
    <s v="Actualizar planes institucionales"/>
    <s v="Documentos de planeación realizados_x000a__x000a_Documentos de planeación con seguimientos realizados_x000a_"/>
    <n v="98"/>
    <d v="2021-01-19T00:00:00"/>
    <n v="7550277"/>
    <n v="79277909"/>
    <n v="79277909"/>
    <s v="DIANA XIMENA SIERRA MÉNDEZ"/>
    <n v="3775138"/>
    <x v="0"/>
    <n v="24429"/>
    <x v="1"/>
  </r>
  <r>
    <x v="5"/>
    <n v="93"/>
    <x v="4"/>
    <x v="8"/>
    <x v="1"/>
    <x v="1"/>
    <x v="0"/>
    <x v="2"/>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0"/>
    <n v="63492813"/>
    <n v="63492813"/>
    <x v="0"/>
    <x v="1"/>
    <x v="1"/>
    <x v="0"/>
    <x v="12"/>
    <s v="Oficina Asesora de Planeación"/>
    <x v="3"/>
    <s v="Jefe Oficina Asesora de Planeación"/>
    <x v="9"/>
    <x v="17"/>
    <s v="Realizar el seguimiento de los planes de acción anual"/>
    <s v="Documentos de planeación realizados_x000a__x000a_Documentos de planeación con seguimientos realizados_x000a_"/>
    <n v="550"/>
    <d v="2021-04-22T00:00:00"/>
    <n v="6683454"/>
    <n v="53467632"/>
    <n v="53467632"/>
    <s v="MARIO ALEJANDRO LASSO LEDESMA"/>
    <n v="10025181"/>
    <x v="0"/>
    <n v="24693"/>
    <x v="1"/>
  </r>
  <r>
    <x v="5"/>
    <n v="94"/>
    <x v="4"/>
    <x v="8"/>
    <x v="1"/>
    <x v="1"/>
    <x v="0"/>
    <x v="1"/>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4"/>
    <x v="4"/>
    <n v="8"/>
    <x v="0"/>
    <x v="0"/>
    <x v="0"/>
    <n v="60402216"/>
    <n v="60402216"/>
    <x v="0"/>
    <x v="0"/>
    <x v="1"/>
    <x v="0"/>
    <x v="5"/>
    <s v="Oficina Asesora de Planeación"/>
    <x v="3"/>
    <s v="Jefe Oficina Asesora de Planeación"/>
    <x v="9"/>
    <x v="17"/>
    <s v="Actualizar planes institucionales"/>
    <s v="Documentos de planeación realizados_x000a__x000a_Documentos de planeación con seguimientos realizados_x000a_"/>
    <n v="571"/>
    <d v="2021-04-15T00:00:00"/>
    <n v="7550277"/>
    <n v="60402216"/>
    <n v="60402216"/>
    <s v="NATALIA MARIA PINEDA BETANCOURT"/>
    <n v="0"/>
    <x v="0"/>
    <n v="24704"/>
    <x v="1"/>
  </r>
  <r>
    <x v="5"/>
    <n v="13"/>
    <x v="4"/>
    <x v="8"/>
    <x v="5"/>
    <x v="5"/>
    <x v="0"/>
    <x v="0"/>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1"/>
    <n v="11"/>
    <x v="0"/>
    <x v="0"/>
    <x v="0"/>
    <n v="332212188"/>
    <n v="332212188"/>
    <x v="0"/>
    <x v="0"/>
    <x v="5"/>
    <x v="0"/>
    <x v="5"/>
    <s v="Oficina Asesora de Planeación"/>
    <x v="3"/>
    <s v="Jefe Oficina Asesora de Planeación"/>
    <x v="9"/>
    <x v="17"/>
    <s v="Actualizar planes institucionales"/>
    <s v="Documentos de planeación realizados_x000a__x000a_Documentos de planeación con seguimientos realizados_x000a_"/>
    <n v="97"/>
    <d v="2021-01-19T00:00:00"/>
    <n v="7550277"/>
    <n v="83053047"/>
    <n v="332212188"/>
    <s v="ROSA NATACHA CALDERON LUNG_x000a_MIGUEL COLLAZOS COLLAZOS_x000a_DIANA MILENA CALDERÓN SANCHEZ_x000a_GINA MARCELA POPAYAN"/>
    <n v="0"/>
    <x v="0"/>
    <s v="24296_x000a_24297_x000a_24299_x000a_24302"/>
    <x v="5"/>
  </r>
  <r>
    <x v="2"/>
    <n v="32"/>
    <x v="2"/>
    <x v="2"/>
    <x v="1"/>
    <x v="1"/>
    <x v="0"/>
    <x v="0"/>
    <x v="0"/>
    <s v="Servicios secretariales o de administración de oficinas  "/>
    <x v="0"/>
    <n v="80161501"/>
    <s v="Prestación de servicios profesionales para apoyar la gestión jurídica del servicio al ciudadano en Sede Central y a nivel nacional."/>
    <x v="0"/>
    <x v="0"/>
    <n v="11"/>
    <x v="0"/>
    <x v="0"/>
    <x v="0"/>
    <n v="66214619"/>
    <n v="66214619"/>
    <x v="0"/>
    <x v="0"/>
    <x v="1"/>
    <x v="1"/>
    <x v="13"/>
    <s v="Secretaría General - Grupo Interno de Trabajo Servicio al Ciudadano"/>
    <x v="3"/>
    <s v="Coordinador Grupo Interno de Trabajo Servicio al Ciudadano"/>
    <x v="4"/>
    <x v="6"/>
    <s v="N/A"/>
    <s v="N/A"/>
    <n v="38"/>
    <d v="2021-01-19T00:00:00"/>
    <n v="5757793"/>
    <n v="63335723"/>
    <n v="63335723"/>
    <s v="MARIA PATRICIA ALDANA OSPINA"/>
    <n v="2878896"/>
    <x v="0"/>
    <n v="24214"/>
    <x v="1"/>
  </r>
  <r>
    <x v="2"/>
    <n v="76"/>
    <x v="2"/>
    <x v="2"/>
    <x v="1"/>
    <x v="1"/>
    <x v="0"/>
    <x v="5"/>
    <x v="0"/>
    <s v="Servicios secretariales o de administración de oficinas  "/>
    <x v="0"/>
    <n v="80161501"/>
    <s v="Prestación de servicios profesionales al IGAC apoyando la vinculación del personal requerido por la entidad, de conformidad con las solicitudes efectuadas por el supervisor del contrato."/>
    <x v="4"/>
    <x v="4"/>
    <n v="6"/>
    <x v="0"/>
    <x v="0"/>
    <x v="0"/>
    <n v="34546758"/>
    <n v="34546758"/>
    <x v="0"/>
    <x v="1"/>
    <x v="1"/>
    <x v="0"/>
    <x v="14"/>
    <s v="Secretaria General "/>
    <x v="3"/>
    <s v="María del Pilar Gonzalez Moreno"/>
    <x v="9"/>
    <x v="18"/>
    <s v="Desarrollar, hacer seguimiento y evaluar el avance en el proceso de gestión del conocimiento en la entidad."/>
    <s v="Personas capacitadas"/>
    <n v="584"/>
    <d v="2021-05-12T00:00:00"/>
    <n v="5757793"/>
    <n v="34546758"/>
    <n v="34546758"/>
    <s v="CLAUDIA EDITH MEJIA MEJIA"/>
    <n v="0"/>
    <x v="0"/>
    <n v="24725"/>
    <x v="1"/>
  </r>
  <r>
    <x v="2"/>
    <n v="38"/>
    <x v="2"/>
    <x v="2"/>
    <x v="1"/>
    <x v="1"/>
    <x v="0"/>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0"/>
    <x v="0"/>
    <n v="345"/>
    <x v="1"/>
    <x v="0"/>
    <x v="0"/>
    <n v="123067779"/>
    <n v="123067779"/>
    <x v="0"/>
    <x v="0"/>
    <x v="1"/>
    <x v="0"/>
    <x v="15"/>
    <m/>
    <x v="6"/>
    <m/>
    <x v="11"/>
    <x v="19"/>
    <m/>
    <m/>
    <n v="40"/>
    <d v="2021-01-15T00:00:00"/>
    <n v="10701546"/>
    <n v="122354343"/>
    <n v="122354343"/>
    <s v="LINDA CRISTINA SANTOS MEJIA"/>
    <n v="713436"/>
    <x v="0"/>
    <n v="24199"/>
    <x v="1"/>
  </r>
  <r>
    <x v="2"/>
    <n v="53"/>
    <x v="2"/>
    <x v="2"/>
    <x v="1"/>
    <x v="1"/>
    <x v="0"/>
    <x v="1"/>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1"/>
    <x v="1"/>
    <n v="11"/>
    <x v="0"/>
    <x v="0"/>
    <x v="0"/>
    <n v="80634026"/>
    <n v="80634026"/>
    <x v="0"/>
    <x v="0"/>
    <x v="1"/>
    <x v="0"/>
    <x v="16"/>
    <s v="Secretaría General - Servicios Administrativos"/>
    <x v="3"/>
    <s v="Coordinador(a) GIT Servicios Administrativos"/>
    <x v="12"/>
    <x v="20"/>
    <s v="Dotar de equipamentos las sedes"/>
    <s v="Sedes Mantenidas"/>
    <n v="192"/>
    <d v="2021-02-08T00:00:00"/>
    <n v="7330366"/>
    <n v="78190571"/>
    <n v="78190571"/>
    <s v="WILSON BENITES CORREA"/>
    <n v="2443455"/>
    <x v="0"/>
    <n v="24373"/>
    <x v="1"/>
  </r>
  <r>
    <x v="2"/>
    <n v="68"/>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2"/>
    <x v="0"/>
    <n v="346300000"/>
    <n v="346300000"/>
    <x v="0"/>
    <x v="0"/>
    <x v="1"/>
    <x v="1"/>
    <x v="17"/>
    <s v="Secretaria General - GIT Servicios Administrativos"/>
    <x v="3"/>
    <s v="Coordinador GIT Servicios Administrativos"/>
    <x v="4"/>
    <x v="6"/>
    <s v="N/A"/>
    <s v="N/A"/>
    <n v="528"/>
    <d v="2021-04-14T00:00:00"/>
    <n v="0"/>
    <n v="346223527"/>
    <n v="346223527"/>
    <s v="UNION TEMPORAL AUTOMOTRIZ 2020_x000a_AUTO INVERSIONES COLOMBIA S.A AUTOINVERCOL_x000a_CENTRO INTEGRAL DE MANTENIMIENTO ATOCARS SAS_x000a_"/>
    <n v="76473"/>
    <x v="0"/>
    <s v="24711_x000a_24712_x000a_24713_x000a_24735"/>
    <x v="1"/>
  </r>
  <r>
    <x v="2"/>
    <n v="22"/>
    <x v="2"/>
    <x v="2"/>
    <x v="1"/>
    <x v="1"/>
    <x v="0"/>
    <x v="0"/>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1"/>
    <x v="1"/>
    <x v="18"/>
    <s v="Secretaría General - GIT de Talento Humano"/>
    <x v="3"/>
    <s v="Coordinador GIT de Talento Humano"/>
    <x v="4"/>
    <x v="6"/>
    <s v="N/A"/>
    <s v="N/A"/>
    <n v="22"/>
    <d v="2021-01-08T00:00:00"/>
    <n v="2856097"/>
    <n v="32845116"/>
    <n v="32845116"/>
    <s v="MARIA FERNANDA CELY VARGAS"/>
    <n v="0"/>
    <x v="0"/>
    <n v="24183"/>
    <x v="1"/>
  </r>
  <r>
    <x v="2"/>
    <n v="20"/>
    <x v="2"/>
    <x v="2"/>
    <x v="1"/>
    <x v="1"/>
    <x v="0"/>
    <x v="0"/>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1"/>
    <x v="1"/>
    <x v="18"/>
    <s v="Secretaría General - GIT de Talento Humano"/>
    <x v="3"/>
    <s v="Coordinador GIT de Talento Humano"/>
    <x v="4"/>
    <x v="6"/>
    <s v="N/A"/>
    <s v="N/A"/>
    <n v="21"/>
    <d v="2021-01-07T00:00:00"/>
    <n v="8028496"/>
    <n v="92327704"/>
    <n v="92327704"/>
    <s v="YENNY ZULEIMA CARREÑO CONTRERAS"/>
    <n v="0"/>
    <x v="0"/>
    <n v="24168"/>
    <x v="1"/>
  </r>
  <r>
    <x v="0"/>
    <n v="38"/>
    <x v="0"/>
    <x v="0"/>
    <x v="1"/>
    <x v="1"/>
    <x v="0"/>
    <x v="2"/>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1"/>
    <n v="53900000"/>
    <n v="53900000"/>
    <x v="0"/>
    <x v="0"/>
    <x v="1"/>
    <x v="0"/>
    <x v="0"/>
    <s v="Subdirección de Agrología"/>
    <x v="3"/>
    <s v="Subdirector de Agrología "/>
    <x v="1"/>
    <x v="2"/>
    <s v="Generar los productos agrológicos como insumos para el Catastro multipropósito"/>
    <s v="Sistema de Información Predial Actualizado_x000a_"/>
    <n v="471"/>
    <d v="2021-03-15T00:00:00"/>
    <n v="4976424"/>
    <n v="47276028"/>
    <n v="47276028"/>
    <s v="ANA MARIA DEL ROSARIO PALACINO DE WALTEROS"/>
    <n v="6623972"/>
    <x v="0"/>
    <n v="24606"/>
    <x v="1"/>
  </r>
  <r>
    <x v="0"/>
    <n v="28"/>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8"/>
    <d v="2021-03-15T00:00:00"/>
    <n v="4263522"/>
    <n v="40503459"/>
    <n v="40503459"/>
    <s v="ANDRES EMILIO MORENO CASTRO"/>
    <n v="3496541"/>
    <x v="0"/>
    <n v="24613"/>
    <x v="1"/>
  </r>
  <r>
    <x v="0"/>
    <n v="27"/>
    <x v="0"/>
    <x v="0"/>
    <x v="1"/>
    <x v="1"/>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9"/>
    <d v="2021-03-15T00:00:00"/>
    <n v="2671483"/>
    <n v="25379089"/>
    <n v="25379089"/>
    <s v="ANGIE LORENA CARDENAS PUERTO"/>
    <n v="3220911"/>
    <x v="0"/>
    <n v="24624"/>
    <x v="1"/>
  </r>
  <r>
    <x v="0"/>
    <n v="29"/>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3"/>
    <d v="2021-03-15T00:00:00"/>
    <n v="4263522"/>
    <n v="40503459"/>
    <n v="40503459"/>
    <s v="DANIEL JOSE MORALES MEJIA"/>
    <n v="3496541"/>
    <x v="0"/>
    <n v="24602"/>
    <x v="1"/>
  </r>
  <r>
    <x v="0"/>
    <n v="36"/>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85"/>
    <d v="2021-03-15T00:00:00"/>
    <n v="4263522"/>
    <n v="40503459"/>
    <n v="40503459"/>
    <s v="EDWIN ALFONSO PERILLA"/>
    <n v="3496541"/>
    <x v="0"/>
    <n v="24619"/>
    <x v="1"/>
  </r>
  <r>
    <x v="0"/>
    <n v="35"/>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53"/>
    <d v="2021-03-15T00:00:00"/>
    <n v="4263522"/>
    <n v="38798050"/>
    <n v="38798050"/>
    <s v="GERSE DAVID RUIZ"/>
    <n v="10701950"/>
    <x v="0"/>
    <n v="24590"/>
    <x v="1"/>
  </r>
  <r>
    <x v="0"/>
    <n v="34"/>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65"/>
    <d v="2021-03-15T00:00:00"/>
    <n v="4976424"/>
    <n v="47276028"/>
    <n v="47276028"/>
    <s v="JAIME ANDRES NEIRA"/>
    <n v="2223972"/>
    <x v="0"/>
    <n v="24604"/>
    <x v="1"/>
  </r>
  <r>
    <x v="0"/>
    <n v="33"/>
    <x v="0"/>
    <x v="0"/>
    <x v="1"/>
    <x v="1"/>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73"/>
    <d v="2021-03-15T00:00:00"/>
    <n v="4263522"/>
    <n v="40503459"/>
    <n v="40503459"/>
    <s v="MARCO ANTONIO SUAREZ GALEANO"/>
    <n v="3496541"/>
    <x v="0"/>
    <n v="24607"/>
    <x v="1"/>
  </r>
  <r>
    <x v="0"/>
    <n v="37"/>
    <x v="0"/>
    <x v="0"/>
    <x v="1"/>
    <x v="1"/>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6"/>
    <d v="2021-03-15T00:00:00"/>
    <n v="2671483"/>
    <n v="25379089"/>
    <n v="25379089"/>
    <s v="MARISOL  ARDILA CUBIDES"/>
    <n v="3220911"/>
    <x v="0"/>
    <n v="24611"/>
    <x v="1"/>
  </r>
  <r>
    <x v="0"/>
    <n v="32"/>
    <x v="0"/>
    <x v="0"/>
    <x v="1"/>
    <x v="1"/>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59"/>
    <d v="2021-03-15T00:00:00"/>
    <n v="2671483"/>
    <n v="25379089"/>
    <n v="25379089"/>
    <s v="MONICA ANDREA GARCIA"/>
    <n v="3220911"/>
    <x v="0"/>
    <n v="24600"/>
    <x v="1"/>
  </r>
  <r>
    <x v="0"/>
    <n v="31"/>
    <x v="0"/>
    <x v="0"/>
    <x v="1"/>
    <x v="1"/>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1"/>
    <n v="11"/>
    <x v="0"/>
    <x v="0"/>
    <x v="1"/>
    <n v="47300000"/>
    <n v="47300000"/>
    <x v="0"/>
    <x v="0"/>
    <x v="1"/>
    <x v="0"/>
    <x v="0"/>
    <s v="Subdirección de Agrología"/>
    <x v="3"/>
    <s v="Subdirector de Agrología "/>
    <x v="1"/>
    <x v="2"/>
    <s v="Generar los productos agrológicos como insumos para el Catastro multipropósito"/>
    <s v="Sistema de Información Predial Actualizado_x000a_"/>
    <n v="481"/>
    <d v="2021-03-15T00:00:00"/>
    <n v="4976424"/>
    <n v="46280743"/>
    <n v="46280743"/>
    <s v="NATALIA PRECIADO"/>
    <n v="1019257"/>
    <x v="0"/>
    <n v="24616"/>
    <x v="1"/>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7"/>
    <x v="7"/>
    <n v="12"/>
    <x v="0"/>
    <x v="0"/>
    <x v="1"/>
    <n v="25027258562"/>
    <n v="2502725856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7"/>
    <x v="7"/>
    <n v="12"/>
    <x v="0"/>
    <x v="4"/>
    <x v="1"/>
    <n v="24975982389"/>
    <n v="24975982389"/>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n v="1"/>
    <x v="1"/>
    <x v="1"/>
    <x v="1"/>
    <x v="1"/>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0"/>
    <x v="0"/>
    <n v="345"/>
    <x v="1"/>
    <x v="0"/>
    <x v="1"/>
    <n v="94300000"/>
    <n v="94300000"/>
    <x v="0"/>
    <x v="0"/>
    <x v="1"/>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277"/>
    <n v="85569806"/>
    <n v="85569806"/>
    <s v="MARIA VIVIANA BORDA CALVACHE"/>
    <n v="8730194"/>
    <x v="0"/>
    <n v="24219"/>
    <x v="1"/>
  </r>
  <r>
    <x v="1"/>
    <n v="69"/>
    <x v="1"/>
    <x v="1"/>
    <x v="1"/>
    <x v="1"/>
    <x v="0"/>
    <x v="3"/>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n v="345"/>
    <x v="1"/>
    <x v="0"/>
    <x v="1"/>
    <n v="116150000"/>
    <n v="116150000"/>
    <x v="0"/>
    <x v="0"/>
    <x v="1"/>
    <x v="0"/>
    <x v="1"/>
    <s v="Subdirección de Catastro"/>
    <x v="3"/>
    <s v="Subdirectora de Catastro"/>
    <x v="1"/>
    <x v="2"/>
    <s v="Gestionar técnicamente la operación del proyecto de catastro multipropósito, en lo correspondiente al IGAC"/>
    <s v="Sistema de Información Predial Actualizado_x000a_"/>
    <m/>
    <d v="2021-06-03T00:00:00"/>
    <n v="9865284"/>
    <n v="69056988"/>
    <n v="69056988"/>
    <s v="NELSON ENRIQUE SILVA NIÑO"/>
    <n v="47093012"/>
    <x v="0"/>
    <m/>
    <x v="1"/>
  </r>
  <r>
    <x v="1"/>
    <m/>
    <x v="1"/>
    <x v="1"/>
    <x v="1"/>
    <x v="6"/>
    <x v="1"/>
    <x v="9"/>
    <x v="0"/>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1"/>
    <n v="200000000"/>
    <n v="20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1"/>
    <n v="210000000"/>
    <n v="21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1"/>
    <n v="714000000"/>
    <n v="714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1"/>
    <n v="1148985120"/>
    <n v="114898512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1"/>
    <n v="2114430486"/>
    <n v="211443048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8"/>
    <x v="6"/>
    <x v="4"/>
    <x v="9"/>
    <x v="0"/>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1"/>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1"/>
    <n v="28988880"/>
    <n v="2898888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9"/>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1"/>
    <n v="29858544"/>
    <n v="2985854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5"/>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46062344"/>
    <n v="4606234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1"/>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1"/>
    <n v="59191704"/>
    <n v="5919170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6"/>
    <m/>
    <x v="6"/>
  </r>
  <r>
    <x v="1"/>
    <m/>
    <x v="1"/>
    <x v="1"/>
    <x v="1"/>
    <x v="6"/>
    <x v="1"/>
    <x v="9"/>
    <x v="0"/>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88180736"/>
    <n v="8818073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7"/>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n v="29"/>
    <x v="1"/>
    <x v="1"/>
    <x v="1"/>
    <x v="1"/>
    <x v="0"/>
    <x v="1"/>
    <x v="1"/>
    <s v="Servicios de sistemas de información geográfica (sig)"/>
    <x v="0"/>
    <n v="81101512"/>
    <s v="Adelantar los procesos de actualización catastral de 4 municipios del departamento de Boyacá financiados con recursos del Banco Interamericano de Desarrollo"/>
    <x v="1"/>
    <x v="1"/>
    <n v="8"/>
    <x v="0"/>
    <x v="4"/>
    <x v="1"/>
    <n v="2901108715"/>
    <n v="2901108715"/>
    <x v="0"/>
    <x v="0"/>
    <x v="1"/>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0"/>
    <n v="2901108715"/>
    <n v="2901108715"/>
    <s v="TELESPAZIO ARGENTINA S.A"/>
    <n v="0"/>
    <x v="0"/>
    <n v="24360"/>
    <x v="1"/>
  </r>
  <r>
    <x v="1"/>
    <n v="31"/>
    <x v="1"/>
    <x v="1"/>
    <x v="1"/>
    <x v="1"/>
    <x v="0"/>
    <x v="1"/>
    <x v="1"/>
    <s v="Servicios de sistemas de información geográfica (sig)"/>
    <x v="0"/>
    <n v="81101512"/>
    <s v="Adelantar los procesos de actualización catastral de 4 municipios del departamento de Boyacá financiados con recursos del Banco Mundial -BM"/>
    <x v="1"/>
    <x v="1"/>
    <n v="8"/>
    <x v="0"/>
    <x v="4"/>
    <x v="1"/>
    <n v="4875235099"/>
    <n v="4875235099"/>
    <x v="0"/>
    <x v="0"/>
    <x v="1"/>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s v="TELESPAZIO ARGENTINA S.A"/>
    <n v="0"/>
    <x v="0"/>
    <n v="24363"/>
    <x v="1"/>
  </r>
  <r>
    <x v="1"/>
    <m/>
    <x v="1"/>
    <x v="1"/>
    <x v="1"/>
    <x v="6"/>
    <x v="1"/>
    <x v="9"/>
    <x v="0"/>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1"/>
    <n v="884523002"/>
    <n v="88452300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Cajibío, Piamonte, Sucre y Almaguer, en conjunto con la Agencia Nacional de Tierras - ANT."/>
    <x v="5"/>
    <x v="5"/>
    <n v="9"/>
    <x v="0"/>
    <x v="4"/>
    <x v="1"/>
    <n v="781026077"/>
    <n v="781026077"/>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1"/>
    <n v="14382386381"/>
    <n v="14382386381"/>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1"/>
    <n v="12442023704"/>
    <n v="1244202370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1"/>
    <n v="17901027671"/>
    <n v="17901027671"/>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1"/>
    <n v="13351728657"/>
    <n v="13351728657"/>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1"/>
    <n v="7000000000"/>
    <n v="7000000000"/>
    <x v="0"/>
    <x v="1"/>
    <x v="1"/>
    <x v="0"/>
    <x v="1"/>
    <s v="Subdirección de Catastro"/>
    <x v="5"/>
    <s v="Subdirectora de Catastro"/>
    <x v="1"/>
    <x v="2"/>
    <s v="Realizar el levantamiento catastral en los municipios priorizados para la conformación del catastro multipropósito"/>
    <s v="Sistema de Información Predial Actualizado_x000a_"/>
    <m/>
    <m/>
    <e v="#N/A"/>
    <e v="#N/A"/>
    <e v="#N/A"/>
    <m/>
    <n v="0"/>
    <x v="0"/>
    <m/>
    <x v="6"/>
  </r>
  <r>
    <x v="4"/>
    <m/>
    <x v="3"/>
    <x v="3"/>
    <x v="1"/>
    <x v="6"/>
    <x v="1"/>
    <x v="5"/>
    <x v="0"/>
    <s v="Servicios de sistemas de información geográfica (sig)"/>
    <x v="0"/>
    <n v="81101512"/>
    <s v="Prestación de servicios profesionales para el desarrollo de procesos de analítica de datos en el marco de los métodos indirectos del catastro multipropósito"/>
    <x v="8"/>
    <x v="8"/>
    <n v="5"/>
    <x v="0"/>
    <x v="0"/>
    <x v="1"/>
    <n v="18201180"/>
    <n v="1820118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1"/>
    <n v="50726076"/>
    <n v="5072607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diseño de gráficos o gráficas"/>
    <x v="0"/>
    <n v="82141504"/>
    <s v="Prestación de servicios profesionales para generar contenidos graficos y multimedia apoyo a la implementación de la estrategia de fortalecimiento territorio virtual"/>
    <x v="7"/>
    <x v="7"/>
    <n v="82"/>
    <x v="1"/>
    <x v="0"/>
    <x v="1"/>
    <n v="11637208"/>
    <n v="1163720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implementación de estándares sobre los datos fundamentales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identificar e integrar los modelos de objetos geográficos territoriales en el marco de la administración del territorio"/>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gestión de los datos abiertos en el marco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Servicios especializados para el suministro de datos de observación de la tierra y la generación de productos derivados para implementación de la política de catastro multipropósito "/>
    <x v="6"/>
    <x v="6"/>
    <n v="7"/>
    <x v="0"/>
    <x v="4"/>
    <x v="1"/>
    <n v="100000000"/>
    <n v="100000000"/>
    <x v="1"/>
    <x v="3"/>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n v="22"/>
    <x v="3"/>
    <x v="3"/>
    <x v="1"/>
    <x v="1"/>
    <x v="0"/>
    <x v="1"/>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1"/>
    <n v="120000000"/>
    <n v="120000000"/>
    <x v="0"/>
    <x v="0"/>
    <x v="1"/>
    <x v="0"/>
    <x v="3"/>
    <s v="Oficina CIAF"/>
    <x v="3"/>
    <s v="Jefe Oficina CIAF"/>
    <x v="1"/>
    <x v="2"/>
    <s v="Gestionar técnicamente la operación del proyecto de catastro multipropósito, en lo correspondiente al IGAC"/>
    <s v="Sistema de Información Predial Actualizado_x000a_"/>
    <n v="529"/>
    <d v="2021-04-15T00:00:00"/>
    <n v="11022592"/>
    <n v="93692032"/>
    <n v="93692032"/>
    <s v="ALEXANDER  MONTEALEGRE TRUJILLO"/>
    <n v="26307968"/>
    <x v="0"/>
    <n v="24673"/>
    <x v="1"/>
  </r>
  <r>
    <x v="4"/>
    <n v="25"/>
    <x v="3"/>
    <x v="3"/>
    <x v="1"/>
    <x v="1"/>
    <x v="0"/>
    <x v="2"/>
    <x v="1"/>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s v="ANDRES ENRIQUE ROSSO MATEUS"/>
    <n v="14803559"/>
    <x v="0"/>
    <n v="24717"/>
    <x v="1"/>
  </r>
  <r>
    <x v="4"/>
    <m/>
    <x v="3"/>
    <x v="3"/>
    <x v="1"/>
    <x v="1"/>
    <x v="0"/>
    <x v="1"/>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s v="ANGEL FORERO ( no continua con el proceso)"/>
    <n v="0"/>
    <x v="0"/>
    <m/>
    <x v="7"/>
  </r>
  <r>
    <x v="4"/>
    <n v="27"/>
    <x v="3"/>
    <x v="3"/>
    <x v="1"/>
    <x v="1"/>
    <x v="0"/>
    <x v="2"/>
    <x v="1"/>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CAMILO ANDRES HERNANDEZ BARAJAS"/>
    <n v="20318610.666666672"/>
    <x v="0"/>
    <n v="24734"/>
    <x v="1"/>
  </r>
  <r>
    <x v="4"/>
    <n v="15"/>
    <x v="3"/>
    <x v="3"/>
    <x v="1"/>
    <x v="1"/>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1"/>
    <x v="1"/>
    <n v="11"/>
    <x v="0"/>
    <x v="0"/>
    <x v="1"/>
    <n v="105357406"/>
    <n v="10535740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DANIEL RICARDO INFANTE"/>
    <n v="11637208"/>
    <x v="0"/>
    <n v="24571"/>
    <x v="1"/>
  </r>
  <r>
    <x v="4"/>
    <n v="30"/>
    <x v="3"/>
    <x v="3"/>
    <x v="1"/>
    <x v="1"/>
    <x v="0"/>
    <x v="5"/>
    <x v="1"/>
    <s v="Servicios de sistemas de información geográfica (sig)"/>
    <x v="0"/>
    <n v="81101512"/>
    <s v="Prestación de servicios profesionales para diseñar los servicios de información, de procesamiento y disposición de información para el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s v="EDUIN YEZID CARRILLO VEGA"/>
    <n v="0"/>
    <x v="0"/>
    <n v="24755"/>
    <x v="6"/>
  </r>
  <r>
    <x v="4"/>
    <n v="28"/>
    <x v="3"/>
    <x v="3"/>
    <x v="1"/>
    <x v="1"/>
    <x v="0"/>
    <x v="2"/>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1"/>
    <n v="71727632"/>
    <n v="7172763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FABIAN ROBERTO PEÑA CLAVIJO"/>
    <n v="7550277.5"/>
    <x v="0"/>
    <n v="24746"/>
    <x v="1"/>
  </r>
  <r>
    <x v="4"/>
    <n v="29"/>
    <x v="3"/>
    <x v="3"/>
    <x v="1"/>
    <x v="1"/>
    <x v="0"/>
    <x v="5"/>
    <x v="1"/>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s v="JULIAN DAVID MANCERA"/>
    <n v="0"/>
    <x v="0"/>
    <n v="24736"/>
    <x v="1"/>
  </r>
  <r>
    <x v="4"/>
    <n v="12"/>
    <x v="3"/>
    <x v="3"/>
    <x v="1"/>
    <x v="1"/>
    <x v="0"/>
    <x v="1"/>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LORENA FORTICH"/>
    <n v="4932646"/>
    <x v="0"/>
    <n v="24489"/>
    <x v="1"/>
  </r>
  <r>
    <x v="4"/>
    <n v="16"/>
    <x v="3"/>
    <x v="3"/>
    <x v="1"/>
    <x v="1"/>
    <x v="0"/>
    <x v="1"/>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1"/>
    <x v="1"/>
    <n v="11"/>
    <x v="0"/>
    <x v="0"/>
    <x v="1"/>
    <n v="95787740"/>
    <n v="9578774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s v="NATALIA DIAZ"/>
    <n v="8707980"/>
    <x v="0"/>
    <n v="24554"/>
    <x v="1"/>
  </r>
  <r>
    <x v="4"/>
    <n v="24"/>
    <x v="3"/>
    <x v="3"/>
    <x v="1"/>
    <x v="1"/>
    <x v="0"/>
    <x v="2"/>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s v="ROBERTO CAJAMARCA"/>
    <n v="14803559"/>
    <x v="0"/>
    <n v="24714"/>
    <x v="1"/>
  </r>
  <r>
    <x v="4"/>
    <m/>
    <x v="3"/>
    <x v="3"/>
    <x v="1"/>
    <x v="6"/>
    <x v="1"/>
    <x v="5"/>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1"/>
    <n v="43442451"/>
    <n v="43442451"/>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9"/>
    <m/>
    <x v="6"/>
  </r>
  <r>
    <x v="4"/>
    <m/>
    <x v="3"/>
    <x v="3"/>
    <x v="1"/>
    <x v="6"/>
    <x v="1"/>
    <x v="5"/>
    <x v="0"/>
    <s v="Servicios de sistemas de información geográfica (sig)"/>
    <x v="0"/>
    <n v="81101512"/>
    <s v="Prestación de servicios profesionales el desarrollo de procesos de inteligencia artificial en el marco de los métodos indirectos del catastro multipropósito"/>
    <x v="5"/>
    <x v="5"/>
    <n v="195"/>
    <x v="1"/>
    <x v="0"/>
    <x v="1"/>
    <n v="49076800"/>
    <n v="4907680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0"/>
    <m/>
    <x v="6"/>
  </r>
  <r>
    <x v="4"/>
    <m/>
    <x v="3"/>
    <x v="3"/>
    <x v="1"/>
    <x v="6"/>
    <x v="1"/>
    <x v="5"/>
    <x v="0"/>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1"/>
    <n v="52851939"/>
    <n v="52851939"/>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0"/>
    <x v="6"/>
    <x v="3"/>
    <x v="13"/>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1"/>
    <n v="113203688"/>
    <n v="113203688"/>
    <x v="0"/>
    <x v="0"/>
    <x v="0"/>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2"/>
    <m/>
    <x v="6"/>
  </r>
  <r>
    <x v="6"/>
    <m/>
    <x v="5"/>
    <x v="5"/>
    <x v="1"/>
    <x v="6"/>
    <x v="1"/>
    <x v="13"/>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1"/>
    <n v="355564593"/>
    <n v="355564593"/>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7"/>
    <x v="7"/>
    <n v="12"/>
    <x v="0"/>
    <x v="4"/>
    <x v="1"/>
    <n v="13671130281"/>
    <n v="13671130281"/>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7"/>
    <x v="7"/>
    <n v="6"/>
    <x v="0"/>
    <x v="0"/>
    <x v="1"/>
    <n v="59191704"/>
    <n v="5919170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9"/>
    <x v="6"/>
    <x v="5"/>
    <x v="10"/>
    <x v="0"/>
    <s v="Cartografía"/>
    <x v="2"/>
    <n v="81151600"/>
    <s v="Prestación de servicios para la generación de cartografía básica, de conformidad con las especificaciones técnicas establecidas."/>
    <x v="7"/>
    <x v="7"/>
    <n v="5"/>
    <x v="0"/>
    <x v="0"/>
    <x v="1"/>
    <n v="163810620"/>
    <n v="163810620"/>
    <x v="0"/>
    <x v="0"/>
    <x v="10"/>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10"/>
    <x v="0"/>
    <s v="Cartografía"/>
    <x v="2"/>
    <n v="81151600"/>
    <s v="Prestación de servicios para realizar el seguimiento y control de calidad de la producción cartográfica, de conformidad con las especificaciones técnicas y rendimientos establecidos."/>
    <x v="7"/>
    <x v="7"/>
    <n v="5"/>
    <x v="0"/>
    <x v="0"/>
    <x v="1"/>
    <n v="24882120"/>
    <n v="24882120"/>
    <x v="0"/>
    <x v="0"/>
    <x v="1"/>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n v="57"/>
    <x v="5"/>
    <x v="5"/>
    <x v="1"/>
    <x v="1"/>
    <x v="0"/>
    <x v="1"/>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15"/>
    <x v="1"/>
    <x v="0"/>
    <x v="1"/>
    <n v="103585482"/>
    <n v="103585482"/>
    <x v="0"/>
    <x v="0"/>
    <x v="1"/>
    <x v="0"/>
    <x v="6"/>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s v="JORGE MANUEL SANCHEZ OROZCO"/>
    <n v="9865284"/>
    <x v="0"/>
    <n v="24652"/>
    <x v="1"/>
  </r>
  <r>
    <x v="6"/>
    <n v="76"/>
    <x v="5"/>
    <x v="5"/>
    <x v="1"/>
    <x v="1"/>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1"/>
    <n v="12"/>
    <x v="0"/>
    <x v="4"/>
    <x v="1"/>
    <n v="9767257014"/>
    <n v="9767257014"/>
    <x v="1"/>
    <x v="4"/>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s v="CONSORCIO IGN FI- LEICA GEOSYSTEMS"/>
    <n v="0"/>
    <x v="0"/>
    <m/>
    <x v="1"/>
  </r>
  <r>
    <x v="7"/>
    <n v="3"/>
    <x v="5"/>
    <x v="5"/>
    <x v="1"/>
    <x v="1"/>
    <x v="0"/>
    <x v="1"/>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4"/>
    <x v="4"/>
    <n v="3"/>
    <x v="0"/>
    <x v="4"/>
    <x v="1"/>
    <n v="9485236200"/>
    <n v="9485236200"/>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s v="DATUM INGENIERIA S.A.S"/>
    <n v="7735936200"/>
    <x v="0"/>
    <n v="24752"/>
    <x v="1"/>
  </r>
  <r>
    <x v="5"/>
    <m/>
    <x v="4"/>
    <x v="6"/>
    <x v="1"/>
    <x v="6"/>
    <x v="1"/>
    <x v="9"/>
    <x v="0"/>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8"/>
    <x v="8"/>
    <n v="10"/>
    <x v="0"/>
    <x v="0"/>
    <x v="1"/>
    <n v="86657050"/>
    <n v="86657050"/>
    <x v="0"/>
    <x v="2"/>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60"/>
    <n v="751362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70"/>
    <n v="7513627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80"/>
    <n v="7513628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90"/>
    <n v="7513629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300"/>
    <n v="7513630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sistemas de información geográfica (sig)"/>
    <x v="2"/>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8"/>
    <x v="9"/>
    <n v="4"/>
    <x v="0"/>
    <x v="4"/>
    <x v="1"/>
    <n v="5000000000"/>
    <n v="5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Diseño del intercambio electrónico de datos (ied)"/>
    <x v="2"/>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8"/>
    <x v="9"/>
    <n v="3"/>
    <x v="0"/>
    <x v="4"/>
    <x v="1"/>
    <n v="4208000000"/>
    <n v="4208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Mantenimiento de sistemas de almacenamiento de discos"/>
    <x v="2"/>
    <n v="81112301"/>
    <s v="Suministrar e implementar (Instalación y configuración, prueba, puesta en funcionamiento, y transferencia de conocimiento), soporte y mantenimiento de equipos tecnológicos y periféricos para el Instituto Geográfico “Agustín Codazzi” – IGAC a nivel nacional."/>
    <x v="8"/>
    <x v="9"/>
    <n v="3"/>
    <x v="0"/>
    <x v="4"/>
    <x v="1"/>
    <n v="4000000000"/>
    <n v="4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1"/>
    <x v="0"/>
    <s v="Cartografía"/>
    <x v="0"/>
    <n v="81151600"/>
    <s v="Renovar los servicios de software update support y Oracle premie support for systems"/>
    <x v="7"/>
    <x v="8"/>
    <n v="12"/>
    <x v="0"/>
    <x v="4"/>
    <x v="1"/>
    <n v="2200000000"/>
    <n v="2200000000"/>
    <x v="1"/>
    <x v="4"/>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3"/>
    <x v="6"/>
    <x v="6"/>
    <x v="15"/>
    <x v="0"/>
    <s v="Servicios de implementación de aplicaciones"/>
    <x v="2"/>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7"/>
    <x v="8"/>
    <n v="5"/>
    <x v="0"/>
    <x v="0"/>
    <x v="1"/>
    <n v="130619640"/>
    <n v="130619640"/>
    <x v="0"/>
    <x v="0"/>
    <x v="3"/>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9"/>
    <x v="10"/>
    <n v="12"/>
    <x v="0"/>
    <x v="4"/>
    <x v="1"/>
    <n v="3100000000"/>
    <n v="3100000000"/>
    <x v="2"/>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9"/>
    <x v="10"/>
    <n v="12"/>
    <x v="0"/>
    <x v="4"/>
    <x v="1"/>
    <n v="3387012400"/>
    <n v="33870124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n v="81"/>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s v="DANIEL EDUARDO IREGUI MAYORGA"/>
    <n v="3408618"/>
    <x v="0"/>
    <n v="24615"/>
    <x v="1"/>
  </r>
  <r>
    <x v="5"/>
    <n v="24"/>
    <x v="4"/>
    <x v="6"/>
    <x v="1"/>
    <x v="1"/>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1"/>
    <n v="116150000"/>
    <n v="116150000"/>
    <x v="0"/>
    <x v="0"/>
    <x v="1"/>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s v="ELIECER VANEGAS MURCIA"/>
    <n v="12564518"/>
    <x v="0"/>
    <n v="24502"/>
    <x v="1"/>
  </r>
  <r>
    <x v="5"/>
    <n v="78"/>
    <x v="4"/>
    <x v="6"/>
    <x v="1"/>
    <x v="1"/>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1"/>
    <x v="1"/>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s v="KAREN NATALY GARZON"/>
    <n v="1817688"/>
    <x v="0"/>
    <n v="24627"/>
    <x v="1"/>
  </r>
  <r>
    <x v="5"/>
    <n v="79"/>
    <x v="4"/>
    <x v="6"/>
    <x v="1"/>
    <x v="1"/>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s v="MARIA CATALINA PEREZ COHELLO"/>
    <n v="3408618"/>
    <x v="0"/>
    <n v="24610"/>
    <x v="1"/>
  </r>
  <r>
    <x v="5"/>
    <n v="80"/>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s v="WALTER EDUARDO BECERRA LEANDRO"/>
    <n v="3408618"/>
    <x v="0"/>
    <n v="24628"/>
    <x v="1"/>
  </r>
  <r>
    <x v="5"/>
    <m/>
    <x v="4"/>
    <x v="8"/>
    <x v="1"/>
    <x v="6"/>
    <x v="1"/>
    <x v="10"/>
    <x v="0"/>
    <s v="Servicios de asesoramiento sobre tecnologías de la información"/>
    <x v="2"/>
    <n v="80101507"/>
    <s v="Análisis y asesoría en el modelamiento BPMN 2.0, optimización, instalación, parametrización, diseño y soporte de los procesos de la Entidad en la plataforma BPMS Bizagi."/>
    <x v="10"/>
    <x v="10"/>
    <n v="3"/>
    <x v="0"/>
    <x v="0"/>
    <x v="1"/>
    <n v="1001900000"/>
    <n v="1001900000"/>
    <x v="0"/>
    <x v="0"/>
    <x v="1"/>
    <x v="0"/>
    <x v="12"/>
    <s v="Oficina Asesora de Planeación "/>
    <x v="3"/>
    <s v="Jefe Oficina Asesora de Planeación"/>
    <x v="1"/>
    <x v="2"/>
    <s v="Fortalecer al IGAC para la implementación del sistema de administración de tierras"/>
    <s v="Sistema de Información Predial Actualizado_x000a_"/>
    <m/>
    <m/>
    <e v="#N/A"/>
    <e v="#N/A"/>
    <e v="#N/A"/>
    <m/>
    <n v="0"/>
    <x v="0"/>
    <m/>
    <x v="6"/>
  </r>
  <r>
    <x v="5"/>
    <n v="23"/>
    <x v="4"/>
    <x v="8"/>
    <x v="1"/>
    <x v="1"/>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1"/>
    <x v="1"/>
    <n v="11"/>
    <x v="0"/>
    <x v="0"/>
    <x v="1"/>
    <n v="146709293"/>
    <n v="146709293"/>
    <x v="0"/>
    <x v="0"/>
    <x v="1"/>
    <x v="0"/>
    <x v="12"/>
    <s v="Oficina Asesora de Planeación "/>
    <x v="3"/>
    <s v="Jefe Oficina Asesora de Planeación"/>
    <x v="1"/>
    <x v="2"/>
    <s v="Fortalecer al IGAC para la implementación del sistema de administración de tierras"/>
    <s v="Sistema de Información Predial Actualizado_x000a_"/>
    <n v="267"/>
    <d v="2021-01-27T00:00:00"/>
    <n v="13337208"/>
    <n v="140040684"/>
    <n v="140040684"/>
    <s v="MARIA JULIANA MARTINZ GONZALEZ"/>
    <n v="6668609"/>
    <x v="0"/>
    <n v="24432"/>
    <x v="1"/>
  </r>
  <r>
    <x v="2"/>
    <n v="35"/>
    <x v="2"/>
    <x v="2"/>
    <x v="1"/>
    <x v="1"/>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0"/>
    <x v="0"/>
    <n v="345"/>
    <x v="1"/>
    <x v="0"/>
    <x v="1"/>
    <n v="201400000"/>
    <n v="201400000"/>
    <x v="0"/>
    <x v="0"/>
    <x v="1"/>
    <x v="0"/>
    <x v="8"/>
    <s v="Secretaría General"/>
    <x v="3"/>
    <s v="Secretaria General"/>
    <x v="1"/>
    <x v="2"/>
    <s v="Gestionar técnicamente la operación del proyecto de catastro multipropósito, en lo correspondiente al IGAC"/>
    <s v="Sistema de Información Predial Actualizado_x000a_"/>
    <n v="37"/>
    <d v="2021-01-14T00:00:00"/>
    <n v="16480000"/>
    <n v="189520000"/>
    <n v="189520000"/>
    <s v="ALEXANDER  AYALA RODRIGUEZ"/>
    <n v="11880000"/>
    <x v="0"/>
    <n v="24198"/>
    <x v="1"/>
  </r>
  <r>
    <x v="2"/>
    <n v="34"/>
    <x v="2"/>
    <x v="2"/>
    <x v="1"/>
    <x v="1"/>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1"/>
    <n v="116150000"/>
    <n v="116150000"/>
    <x v="0"/>
    <x v="0"/>
    <x v="1"/>
    <x v="0"/>
    <x v="8"/>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s v="CONSTANZA  BARROS PULIDO"/>
    <n v="2699230"/>
    <x v="0"/>
    <n v="24201"/>
    <x v="1"/>
  </r>
  <r>
    <x v="2"/>
    <n v="71"/>
    <x v="2"/>
    <x v="2"/>
    <x v="1"/>
    <x v="1"/>
    <x v="0"/>
    <x v="3"/>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1"/>
    <n v="94300000"/>
    <n v="94300000"/>
    <x v="0"/>
    <x v="5"/>
    <x v="1"/>
    <x v="0"/>
    <x v="8"/>
    <s v="Secretaría General"/>
    <x v="3"/>
    <s v="Secretaria General"/>
    <x v="1"/>
    <x v="2"/>
    <s v="Gestionar técnicamente la operación del proyecto de catastro multipropósito, en lo correspondiente al IGAC"/>
    <s v="Sistema de Información Predial Actualizado_x000a_"/>
    <n v="547"/>
    <d v="2021-04-26T00:00:00"/>
    <n v="7550277"/>
    <n v="61157244"/>
    <n v="61157244"/>
    <s v="FABIAN ANDRE DACCARETT DELGADO"/>
    <n v="33142756"/>
    <x v="0"/>
    <n v="24690"/>
    <x v="1"/>
  </r>
  <r>
    <x v="2"/>
    <n v="33"/>
    <x v="2"/>
    <x v="2"/>
    <x v="1"/>
    <x v="1"/>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1"/>
    <n v="167000000"/>
    <n v="167000000"/>
    <x v="0"/>
    <x v="0"/>
    <x v="1"/>
    <x v="0"/>
    <x v="8"/>
    <s v="Secretaría General"/>
    <x v="3"/>
    <s v="Secretaria General"/>
    <x v="1"/>
    <x v="2"/>
    <s v="Gestionar técnicamente la operación del proyecto de catastro multipropósito, en lo correspondiente al IGAC"/>
    <s v="Sistema de Información Predial Actualizado_x000a_"/>
    <n v="39"/>
    <d v="2021-01-14T00:00:00"/>
    <n v="12700000"/>
    <n v="144780000"/>
    <n v="144780000"/>
    <s v="LUIS EDDY ACERO CAMACHO"/>
    <n v="22220000"/>
    <x v="0"/>
    <n v="24200"/>
    <x v="1"/>
  </r>
  <r>
    <x v="5"/>
    <n v="82"/>
    <x v="2"/>
    <x v="2"/>
    <x v="1"/>
    <x v="1"/>
    <x v="0"/>
    <x v="7"/>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1"/>
    <n v="315"/>
    <x v="1"/>
    <x v="0"/>
    <x v="1"/>
    <n v="103585482"/>
    <n v="103585482"/>
    <x v="0"/>
    <x v="0"/>
    <x v="1"/>
    <x v="0"/>
    <x v="8"/>
    <s v="Secretaria General"/>
    <x v="3"/>
    <s v="Secretaria General"/>
    <x v="13"/>
    <x v="2"/>
    <s v="Gestionar técnicamente la operación del proyecto de catastro multipropósito, en lo correspondiente al IGAC"/>
    <s v="Sistema de Información predial actualizado"/>
    <n v="488"/>
    <d v="2021-03-16T00:00:00"/>
    <n v="9865284"/>
    <n v="93720198"/>
    <n v="93720198"/>
    <s v="MARIA CONSUELO BERNAL"/>
    <n v="9865284"/>
    <x v="0"/>
    <n v="24622"/>
    <x v="1"/>
  </r>
  <r>
    <x v="2"/>
    <n v="77"/>
    <x v="2"/>
    <x v="2"/>
    <x v="1"/>
    <x v="1"/>
    <x v="0"/>
    <x v="5"/>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4"/>
    <x v="4"/>
    <n v="9"/>
    <x v="0"/>
    <x v="0"/>
    <x v="1"/>
    <n v="178250000"/>
    <n v="178250000"/>
    <x v="0"/>
    <x v="1"/>
    <x v="1"/>
    <x v="0"/>
    <x v="8"/>
    <s v="Secretaría General"/>
    <x v="3"/>
    <s v="Secretaria General"/>
    <x v="1"/>
    <x v="2"/>
    <s v="Gestionar técnicamente la operación del proyecto de catastro multipropósito, en lo correspondiente al IGAC"/>
    <s v="Sistema de Información Predial Actualizado_x000a_"/>
    <m/>
    <d v="2021-06-03T00:00:00"/>
    <n v="15450000"/>
    <n v="108150000"/>
    <n v="108150000"/>
    <s v="MARIO PEDRO MAURICIO DE MILLERI BONILLA"/>
    <n v="70100000"/>
    <x v="0"/>
    <m/>
    <x v="1"/>
  </r>
  <r>
    <x v="2"/>
    <n v="60"/>
    <x v="2"/>
    <x v="2"/>
    <x v="1"/>
    <x v="1"/>
    <x v="0"/>
    <x v="2"/>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1"/>
    <n v="144200000"/>
    <n v="144200000"/>
    <x v="0"/>
    <x v="0"/>
    <x v="1"/>
    <x v="0"/>
    <x v="8"/>
    <s v="Secretaria General"/>
    <x v="3"/>
    <s v="Maria del Pilar Gonzalez Moreno"/>
    <x v="1"/>
    <x v="2"/>
    <s v="Gestionar técnicamente la operación del proyecto de catastro multipropósito, en lo correspondiente al IGAC"/>
    <s v="Predios actualizados catastralmente "/>
    <n v="474"/>
    <d v="2021-03-16T00:00:00"/>
    <n v="14420000"/>
    <n v="136990000"/>
    <n v="136990000"/>
    <s v="YANETH EUGENIA BRAVO CASTRO"/>
    <n v="7210000"/>
    <x v="0"/>
    <n v="24609"/>
    <x v="1"/>
  </r>
  <r>
    <x v="0"/>
    <m/>
    <x v="0"/>
    <x v="0"/>
    <x v="1"/>
    <x v="6"/>
    <x v="1"/>
    <x v="5"/>
    <x v="0"/>
    <s v="Servicios de formación profesional en ingeniería"/>
    <x v="0"/>
    <n v="86101610"/>
    <s v="Prestación de servicios profesionales para realizar el control de calidad, en tema de geomatica aplicados al levantamiento de suelos, y aplicaciones agrologicas."/>
    <x v="8"/>
    <x v="8"/>
    <n v="5"/>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5"/>
    <x v="0"/>
    <s v="Servicios de formación profesional en ingeniería"/>
    <x v="0"/>
    <n v="86101610"/>
    <s v="Prestación de servicios profesionales la revisión y aval de las bases de datos alfanumérica y grafica de los proyectos que adelanta la subdirección de agrología."/>
    <x v="8"/>
    <x v="8"/>
    <n v="5"/>
    <x v="0"/>
    <x v="0"/>
    <x v="2"/>
    <n v="28975394"/>
    <n v="28975394"/>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5"/>
    <x v="6"/>
    <x v="7"/>
    <x v="5"/>
    <x v="0"/>
    <s v="Servicios de formación profesional en ingeniería"/>
    <x v="0"/>
    <n v="86101610"/>
    <s v="Prestación de servicios profesionales para realizar el levantamiento de suelos   en los proyectos que adelanta la Subdirección de Agrología"/>
    <x v="8"/>
    <x v="8"/>
    <n v="4"/>
    <x v="0"/>
    <x v="0"/>
    <x v="2"/>
    <n v="115901576"/>
    <n v="115901576"/>
    <x v="0"/>
    <x v="1"/>
    <x v="5"/>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ara adelantar y gestionar acciones e Innovación en aplicaciones agrológicas"/>
    <x v="8"/>
    <x v="8"/>
    <n v="4"/>
    <x v="0"/>
    <x v="0"/>
    <x v="2"/>
    <n v="33820360"/>
    <n v="338203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2"/>
    <n v="28975394"/>
    <n v="28975394"/>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aborar las bases de datos de información agrológica de los convenios que desarrolla la Subdirección de Agrología"/>
    <x v="8"/>
    <x v="8"/>
    <n v="5"/>
    <x v="0"/>
    <x v="0"/>
    <x v="2"/>
    <n v="15623660"/>
    <n v="156236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 desarrollo de las aplicaciones agrológicas requeridas en los proyectos que desarrolla la Subdirección de Agrología"/>
    <x v="8"/>
    <x v="8"/>
    <n v="5"/>
    <x v="0"/>
    <x v="0"/>
    <x v="2"/>
    <n v="21317610"/>
    <n v="2131761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2"/>
    <n v="10491075"/>
    <n v="10491075"/>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Prestación del servicio de mantenimiento preventivo y correctivo, con suministro de repuestos y consumibles para los equipos no exclusivos del Laboratorio Nacional de Suelos."/>
    <x v="8"/>
    <x v="8"/>
    <n v="2"/>
    <x v="0"/>
    <x v="3"/>
    <x v="2"/>
    <n v="260000000"/>
    <n v="26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 de ingeniería y diseño para sistemas de control de procesos"/>
    <x v="0"/>
    <n v="81102702"/>
    <s v="Adquisición para la inscripción de participación en ensayos de aptitud  (Interlaboratorios) con WEPAL"/>
    <x v="7"/>
    <x v="7"/>
    <n v="6"/>
    <x v="0"/>
    <x v="0"/>
    <x v="2"/>
    <n v="6000000"/>
    <n v="6000000"/>
    <x v="0"/>
    <x v="1"/>
    <x v="1"/>
    <x v="0"/>
    <x v="0"/>
    <s v="Subdirección de Agrología"/>
    <x v="0"/>
    <s v="Subdirector de Agrología "/>
    <x v="0"/>
    <x v="0"/>
    <s v="Análisis físicos, químicos, biológicos y mineralógicos de suelos"/>
    <s v="P+A4:Z5ruebas químicas, físicas, mineralógicas y biológicas de suelos realizadas"/>
    <m/>
    <m/>
    <e v="#N/A"/>
    <e v="#N/A"/>
    <e v="#N/A"/>
    <m/>
    <n v="0"/>
    <x v="0"/>
    <m/>
    <x v="6"/>
  </r>
  <r>
    <x v="0"/>
    <m/>
    <x v="0"/>
    <x v="0"/>
    <x v="0"/>
    <x v="6"/>
    <x v="3"/>
    <x v="13"/>
    <x v="0"/>
    <s v="Servicios de formación profesional en ingeniería"/>
    <x v="0"/>
    <n v="86101610"/>
    <s v="Prestación de servicios profesionales para la interpretación de imágenes para obtener la capa de cobertura y uso de la tierra en los proyectos de la Subdirección de Agrología."/>
    <x v="7"/>
    <x v="7"/>
    <n v="6"/>
    <x v="0"/>
    <x v="0"/>
    <x v="2"/>
    <n v="57950788"/>
    <n v="57950788"/>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0"/>
    <x v="6"/>
    <x v="3"/>
    <x v="8"/>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7"/>
    <x v="7"/>
    <n v="6"/>
    <x v="0"/>
    <x v="0"/>
    <x v="2"/>
    <n v="42635220"/>
    <n v="42635220"/>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8"/>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7"/>
    <x v="7"/>
    <n v="6"/>
    <x v="0"/>
    <x v="0"/>
    <x v="2"/>
    <n v="12589290"/>
    <n v="1258929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Gases naturales y gases mixtos"/>
    <x v="1"/>
    <n v="12142100"/>
    <s v="Suministro de Gases especiales para la ejecución de análisis para el Laboratorio Nacional de Suelos. "/>
    <x v="7"/>
    <x v="7"/>
    <n v="6"/>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s de formación profesional en ingeniería"/>
    <x v="0"/>
    <n v="86101610"/>
    <s v="Prestación de servicios profesionales en control de calidad  de productos de sensores remotos en temas relacionados con aplicaciones agrologicas."/>
    <x v="9"/>
    <x v="9"/>
    <n v="4"/>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13"/>
    <x v="0"/>
    <s v="Servicios de formación profesional en ingeniería"/>
    <x v="0"/>
    <n v="86101610"/>
    <s v="Prestación del servicio de calibración acreditada de equipos e instrumentos del Laboratorio Nacional de Suelos."/>
    <x v="9"/>
    <x v="9"/>
    <n v="4"/>
    <x v="0"/>
    <x v="3"/>
    <x v="2"/>
    <n v="90000000"/>
    <n v="9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Adquisición de reactivos y materiales para el GIT Laboratorio Nacional de Suelos."/>
    <x v="9"/>
    <x v="9"/>
    <n v="2"/>
    <x v="0"/>
    <x v="3"/>
    <x v="2"/>
    <n v="250000000"/>
    <n v="25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Mantenimiento de equipos de laboratorio"/>
    <x v="1"/>
    <n v="81101706"/>
    <s v="Prestación de servicios para sistema recolectora de desechos de laboratorio"/>
    <x v="9"/>
    <x v="9"/>
    <n v="4"/>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n v="40"/>
    <x v="0"/>
    <x v="0"/>
    <x v="1"/>
    <x v="1"/>
    <x v="0"/>
    <x v="1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2"/>
    <n v="14929272"/>
    <n v="14929272"/>
    <x v="0"/>
    <x v="0"/>
    <x v="1"/>
    <x v="0"/>
    <x v="0"/>
    <s v="Subdirección de Agrología"/>
    <x v="3"/>
    <s v="Subdirector de Agrología "/>
    <x v="0"/>
    <x v="1"/>
    <s v="Actualización, Homologación y Correlación de áreas homogéneas de tierras con fines múltiples."/>
    <s v="Sistema de Información Agrológica Actualizado"/>
    <n v="556"/>
    <d v="2021-04-28T00:00:00"/>
    <n v="4976424"/>
    <n v="14929272"/>
    <n v="14929272"/>
    <s v="JERSSON ANDRES MARTINEZ BERMUDEZ"/>
    <n v="0"/>
    <x v="0"/>
    <n v="24699"/>
    <x v="1"/>
  </r>
  <r>
    <x v="0"/>
    <n v="39"/>
    <x v="0"/>
    <x v="0"/>
    <x v="1"/>
    <x v="1"/>
    <x v="0"/>
    <x v="11"/>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2"/>
    <n v="12790566"/>
    <n v="12790566"/>
    <x v="0"/>
    <x v="0"/>
    <x v="1"/>
    <x v="0"/>
    <x v="0"/>
    <s v="Subdirección de Agrología"/>
    <x v="3"/>
    <s v="Subdirector de Agrología "/>
    <x v="0"/>
    <x v="1"/>
    <s v="Actualización, Homologación y Correlación de áreas homogéneas de tierras con fines múltiples."/>
    <s v="Sistema de Información Agrológica Actualizado"/>
    <n v="567"/>
    <d v="2021-04-28T00:00:00"/>
    <n v="4263522"/>
    <n v="12790566"/>
    <n v="12790566"/>
    <s v="MIGUEL OCTAVIO BERNAL BOTIVA"/>
    <n v="0"/>
    <x v="0"/>
    <n v="24702"/>
    <x v="1"/>
  </r>
  <r>
    <x v="0"/>
    <m/>
    <x v="0"/>
    <x v="0"/>
    <x v="1"/>
    <x v="6"/>
    <x v="1"/>
    <x v="4"/>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2"/>
    <n v="17054088"/>
    <n v="17054088"/>
    <x v="0"/>
    <x v="0"/>
    <x v="1"/>
    <x v="0"/>
    <x v="1"/>
    <s v="Subdirección de Catastro"/>
    <x v="3"/>
    <s v="Subdirectora de Catastro"/>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2"/>
    <n v="17054088"/>
    <n v="17054088"/>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2"/>
    <n v="19905696"/>
    <n v="19905696"/>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5"/>
    <m/>
    <x v="6"/>
  </r>
  <r>
    <x v="1"/>
    <n v="67"/>
    <x v="1"/>
    <x v="1"/>
    <x v="0"/>
    <x v="0"/>
    <x v="0"/>
    <x v="16"/>
    <x v="0"/>
    <s v="Servicios secretariales o de administración de oficinas  "/>
    <x v="0"/>
    <n v="80161501"/>
    <s v="Prestación de servicios personales para realizar actividades de apoyo operativo  del proceso de actualización catastral  multipropósito de Arauquita - Arauca"/>
    <x v="4"/>
    <x v="4"/>
    <n v="180"/>
    <x v="1"/>
    <x v="0"/>
    <x v="2"/>
    <n v="20414916"/>
    <n v="20414916"/>
    <x v="0"/>
    <x v="0"/>
    <x v="0"/>
    <x v="0"/>
    <x v="1"/>
    <s v="Subdirección de Catastro"/>
    <x v="5"/>
    <s v="Subdirectora de Catastro"/>
    <x v="1"/>
    <x v="2"/>
    <s v="Ejecutar procesos de actualización catastral a nivel nacional"/>
    <s v="Predios actualizados catastralmente"/>
    <n v="590"/>
    <d v="2021-05-18T00:00:00"/>
    <n v="1701243"/>
    <n v="10207458"/>
    <n v="20414916"/>
    <s v="DIANA CAROLINA HERNANDEZ_x000a_YARLY JOHANNA MARIN TINEO"/>
    <n v="0"/>
    <x v="0"/>
    <s v="24731_x000a_24743"/>
    <x v="1"/>
  </r>
  <r>
    <x v="1"/>
    <n v="58"/>
    <x v="1"/>
    <x v="1"/>
    <x v="1"/>
    <x v="1"/>
    <x v="0"/>
    <x v="14"/>
    <x v="0"/>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1"/>
    <x v="0"/>
    <x v="2"/>
    <n v="69663808"/>
    <n v="69663808"/>
    <x v="0"/>
    <x v="0"/>
    <x v="1"/>
    <x v="0"/>
    <x v="1"/>
    <s v="Subdirección de Catastro"/>
    <x v="5"/>
    <s v="Subdirectora de Catastro"/>
    <x v="1"/>
    <x v="2"/>
    <s v="Ejecutar procesos de actualización catastral a nivel nacional"/>
    <s v="Predios actualizados catastralmente"/>
    <n v="523"/>
    <d v="2021-04-12T00:00:00"/>
    <n v="8707976"/>
    <n v="66761149"/>
    <n v="66761149"/>
    <s v="ELMO ADOLFO SANCHEZ CALDERON"/>
    <n v="2902659"/>
    <x v="0"/>
    <n v="24665"/>
    <x v="1"/>
  </r>
  <r>
    <x v="1"/>
    <n v="66"/>
    <x v="1"/>
    <x v="1"/>
    <x v="6"/>
    <x v="4"/>
    <x v="1"/>
    <x v="16"/>
    <x v="0"/>
    <s v="Servicios secretariales o de administración de oficinas  "/>
    <x v="0"/>
    <n v="80161501"/>
    <s v="Prestación de servicios personales para realizar actividades de reconocimiento predial en el proceso de actualización catastral multipropósito de Arauquita - Arauca"/>
    <x v="4"/>
    <x v="4"/>
    <n v="180"/>
    <x v="1"/>
    <x v="0"/>
    <x v="2"/>
    <n v="112490352"/>
    <n v="112490352"/>
    <x v="0"/>
    <x v="0"/>
    <x v="7"/>
    <x v="0"/>
    <x v="1"/>
    <s v="Subdirección de Catastro"/>
    <x v="5"/>
    <s v="Subdirectora de Catastro"/>
    <x v="1"/>
    <x v="2"/>
    <s v="Ejecutar procesos de actualización catastral a nivel nacional"/>
    <s v="Predios actualizados catastralmente"/>
    <n v="581"/>
    <d v="2021-05-07T00:00:00"/>
    <n v="3124732"/>
    <n v="18748392"/>
    <n v="93741960"/>
    <s v="MARIA ERMINDA QUIRIFE PABON _x000a_DESIDERIO  RINCON CALDERON_x000a_LUIS ALBERTO MORENO_x000a_JULIO ROBERTO SANTIAGO MIÑOZ_x000a_FREY MARTIN MORENO"/>
    <n v="6249464"/>
    <x v="0"/>
    <s v="24721_x000a_24724_x000a_24749_x000a_24752_x000a_24756"/>
    <x v="4"/>
  </r>
  <r>
    <x v="1"/>
    <n v="68"/>
    <x v="1"/>
    <x v="1"/>
    <x v="1"/>
    <x v="1"/>
    <x v="0"/>
    <x v="5"/>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4"/>
    <x v="4"/>
    <n v="225"/>
    <x v="1"/>
    <x v="0"/>
    <x v="2"/>
    <n v="20036123"/>
    <n v="20036122.5"/>
    <x v="0"/>
    <x v="1"/>
    <x v="1"/>
    <x v="0"/>
    <x v="1"/>
    <s v="DT Casanare"/>
    <x v="4"/>
    <s v="HERMES SALCEDO RODRIGUEZ"/>
    <x v="1"/>
    <x v="2"/>
    <s v="Ejecutar procesos de conservación catastral a nivel nacional"/>
    <s v="Mutaciones realizadas"/>
    <n v="604"/>
    <d v="2021-05-27T00:00:00"/>
    <n v="2671483"/>
    <n v="18700381"/>
    <n v="18700381"/>
    <s v="OSCAR FABIAN VILLARRAGA MALLUNGO"/>
    <n v="1335742"/>
    <x v="0"/>
    <n v="24748"/>
    <x v="1"/>
  </r>
  <r>
    <x v="1"/>
    <n v="59"/>
    <x v="1"/>
    <x v="1"/>
    <x v="1"/>
    <x v="1"/>
    <x v="0"/>
    <x v="14"/>
    <x v="0"/>
    <s v="Servicios secretariales o de administración de oficinas  "/>
    <x v="0"/>
    <n v="80161501"/>
    <s v="Prestación de servicios profesionales para realizar las socializaciones requeridas en el proceso de actualización catastral multipropósito de Arauquita - Arauca"/>
    <x v="3"/>
    <x v="3"/>
    <n v="240"/>
    <x v="1"/>
    <x v="0"/>
    <x v="2"/>
    <n v="29121888"/>
    <n v="29121888"/>
    <x v="0"/>
    <x v="0"/>
    <x v="1"/>
    <x v="0"/>
    <x v="1"/>
    <s v="Subdirección de Catastro"/>
    <x v="5"/>
    <s v="Subdirectora de Catastro"/>
    <x v="1"/>
    <x v="2"/>
    <s v="Ejecutar procesos de actualización catastral a nivel nacional"/>
    <s v="Predios actualizados catastralmente"/>
    <n v="526"/>
    <d v="2021-04-14T00:00:00"/>
    <n v="3640236"/>
    <n v="27301770"/>
    <n v="27301770"/>
    <s v="YECNNY PATRICIA CASTELLANOS GONZALEZ"/>
    <n v="1820118"/>
    <x v="0"/>
    <n v="24668"/>
    <x v="1"/>
  </r>
  <r>
    <x v="1"/>
    <m/>
    <x v="1"/>
    <x v="1"/>
    <x v="1"/>
    <x v="6"/>
    <x v="1"/>
    <x v="9"/>
    <x v="0"/>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2"/>
    <n v="16028898"/>
    <n v="16028898"/>
    <x v="0"/>
    <x v="0"/>
    <x v="1"/>
    <x v="0"/>
    <x v="1"/>
    <s v="Subdirección de Catastro"/>
    <x v="5"/>
    <s v="Subdirectora de Catastro"/>
    <x v="1"/>
    <x v="2"/>
    <s v="Ejecutar procesos de actualización catastral a nivel nacional"/>
    <s v="Predios actualizados catastralmente"/>
    <m/>
    <m/>
    <e v="#N/A"/>
    <e v="#N/A"/>
    <e v="#N/A"/>
    <m/>
    <n v="0"/>
    <x v="1"/>
    <m/>
    <x v="6"/>
  </r>
  <r>
    <x v="1"/>
    <m/>
    <x v="1"/>
    <x v="1"/>
    <x v="1"/>
    <x v="6"/>
    <x v="1"/>
    <x v="9"/>
    <x v="0"/>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2"/>
    <n v="21630000"/>
    <n v="21630000"/>
    <x v="0"/>
    <x v="0"/>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2"/>
    <n v="29858544"/>
    <n v="29858544"/>
    <x v="0"/>
    <x v="0"/>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2"/>
    <n v="34546758"/>
    <n v="34546758"/>
    <x v="0"/>
    <x v="0"/>
    <x v="1"/>
    <x v="0"/>
    <x v="1"/>
    <s v="Subdirección de Catastro"/>
    <x v="5"/>
    <s v="Subdirectora de Catastro"/>
    <x v="1"/>
    <x v="2"/>
    <s v="Ejecutar procesos de actualización catastral a nivel nacional"/>
    <s v="Predios actualizados catastralmente"/>
    <m/>
    <m/>
    <e v="#N/A"/>
    <e v="#N/A"/>
    <e v="#N/A"/>
    <m/>
    <n v="0"/>
    <x v="11"/>
    <m/>
    <x v="6"/>
  </r>
  <r>
    <x v="2"/>
    <m/>
    <x v="2"/>
    <x v="2"/>
    <x v="1"/>
    <x v="6"/>
    <x v="1"/>
    <x v="13"/>
    <x v="0"/>
    <s v="Servicios de construcción de edificios comerciales y de oficina"/>
    <x v="0"/>
    <n v="72121100"/>
    <s v="Adecuación física e instalación del sistema de cableado estructurado, corriente regulada y normal y sistema de climatización para las oficinas del IGAC en la ciudad de Yopal"/>
    <x v="7"/>
    <x v="7"/>
    <n v="6"/>
    <x v="0"/>
    <x v="5"/>
    <x v="2"/>
    <n v="245135741"/>
    <n v="245135741"/>
    <x v="0"/>
    <x v="1"/>
    <x v="1"/>
    <x v="0"/>
    <x v="8"/>
    <s v="Secretaría General"/>
    <x v="3"/>
    <s v="Secretaria General"/>
    <x v="2"/>
    <x v="3"/>
    <s v="Realizar actividades preliminares"/>
    <s v="SEDES ADECUADAS"/>
    <m/>
    <m/>
    <e v="#N/A"/>
    <e v="#N/A"/>
    <e v="#N/A"/>
    <m/>
    <n v="0"/>
    <x v="0"/>
    <m/>
    <x v="6"/>
  </r>
  <r>
    <x v="1"/>
    <n v="72"/>
    <x v="1"/>
    <x v="1"/>
    <x v="5"/>
    <x v="1"/>
    <x v="6"/>
    <x v="9"/>
    <x v="0"/>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2"/>
    <n v="100020520"/>
    <n v="100020520"/>
    <x v="0"/>
    <x v="0"/>
    <x v="5"/>
    <x v="0"/>
    <x v="1"/>
    <s v="Subdirección de Catastro"/>
    <x v="5"/>
    <s v="Subdirectora de Catastro"/>
    <x v="1"/>
    <x v="4"/>
    <s v="Realizar avalúos comerciales, de acuerdo a las solicitudes recibidas."/>
    <s v="Avalúos realizados"/>
    <n v="618"/>
    <d v="2021-06-09T00:00:00"/>
    <n v="19611867"/>
    <n v="19611867"/>
    <n v="19611867"/>
    <s v=" LEIDY JOHANNA GARCIA SANABRIA"/>
    <n v="80408653"/>
    <x v="0"/>
    <n v="24765"/>
    <x v="1"/>
  </r>
  <r>
    <x v="1"/>
    <n v="20"/>
    <x v="1"/>
    <x v="1"/>
    <x v="1"/>
    <x v="1"/>
    <x v="0"/>
    <x v="6"/>
    <x v="0"/>
    <s v="Servicios de sistemas de información geográfica (sig)"/>
    <x v="0"/>
    <n v="81101512"/>
    <s v="Prestación de servicios profesionales para el desarrollo del componente tecnológico requerido de los procesos de gestión catastral desarrollados por el IGAC"/>
    <x v="0"/>
    <x v="0"/>
    <n v="11"/>
    <x v="0"/>
    <x v="0"/>
    <x v="2"/>
    <n v="108518124"/>
    <n v="108518124"/>
    <x v="3"/>
    <x v="1"/>
    <x v="1"/>
    <x v="0"/>
    <x v="1"/>
    <s v="Subdirección de Catastro"/>
    <x v="5"/>
    <s v="Subdirectora de Catastro"/>
    <x v="1"/>
    <x v="2"/>
    <s v="Ejecutar procesos de actualización catastral a nivel nacional"/>
    <s v="Predios actualizados catastralmente"/>
    <n v="104"/>
    <d v="2021-01-25T00:00:00"/>
    <n v="9865284"/>
    <n v="108518124"/>
    <n v="108518124"/>
    <s v="ALDEMAR  GUZMAN YARA"/>
    <n v="0"/>
    <x v="0"/>
    <n v="24252"/>
    <x v="1"/>
  </r>
  <r>
    <x v="1"/>
    <n v="50"/>
    <x v="1"/>
    <x v="1"/>
    <x v="3"/>
    <x v="3"/>
    <x v="0"/>
    <x v="3"/>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2"/>
    <n v="230579163"/>
    <n v="230579163"/>
    <x v="0"/>
    <x v="0"/>
    <x v="3"/>
    <x v="0"/>
    <x v="1"/>
    <s v="Subdirección de Catastro"/>
    <x v="5"/>
    <s v="Subdirectora de Catastro"/>
    <x v="1"/>
    <x v="2"/>
    <s v="Ejecutar procesos de actualización catastral a nivel nacional"/>
    <s v="Predios actualizados catastralmente"/>
    <n v="490"/>
    <d v="2021-03-23T00:00:00"/>
    <n v="6683454"/>
    <n v="61487777"/>
    <n v="184463331"/>
    <s v="ASTRITH TERESA GALLO ALFONSO_x000a_JONATHAN SMITH AGUILERA DIAZ_x000a_LILIANA MARCELA SOCHA RINCON_x000a_"/>
    <n v="46115832"/>
    <x v="0"/>
    <s v="24625_x000a_24674_x000a_24678"/>
    <x v="3"/>
  </r>
  <r>
    <x v="1"/>
    <n v="32"/>
    <x v="1"/>
    <x v="1"/>
    <x v="1"/>
    <x v="1"/>
    <x v="0"/>
    <x v="1"/>
    <x v="0"/>
    <s v="Servicios de sistemas de información geográfica (sig)"/>
    <x v="0"/>
    <n v="81101512"/>
    <s v="Prestación de servicios profesionales para el seguimiento y control de los proyectos de gestión catastral con enforque multipropósito."/>
    <x v="1"/>
    <x v="1"/>
    <n v="325"/>
    <x v="1"/>
    <x v="0"/>
    <x v="2"/>
    <n v="131948917"/>
    <n v="131948917"/>
    <x v="0"/>
    <x v="0"/>
    <x v="1"/>
    <x v="0"/>
    <x v="1"/>
    <s v="Subdirección de Catastro"/>
    <x v="5"/>
    <s v="Subdirectora de Catastro"/>
    <x v="1"/>
    <x v="2"/>
    <s v="Ejecutar procesos de actualización catastral a nivel nacional"/>
    <s v="Predios actualizados catastralmente"/>
    <n v="183"/>
    <d v="2021-02-05T00:00:00"/>
    <n v="12179900"/>
    <n v="129918933"/>
    <n v="129918933"/>
    <s v="AVIER ENRIQUE ZULUAGA GONZALEZ"/>
    <n v="2029984"/>
    <x v="0"/>
    <n v="24371"/>
    <x v="1"/>
  </r>
  <r>
    <x v="1"/>
    <n v="44"/>
    <x v="1"/>
    <x v="1"/>
    <x v="1"/>
    <x v="1"/>
    <x v="0"/>
    <x v="12"/>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2"/>
    <n v="113450766"/>
    <n v="113450766"/>
    <x v="0"/>
    <x v="0"/>
    <x v="1"/>
    <x v="0"/>
    <x v="1"/>
    <s v="Subdirección de Catastro"/>
    <x v="5"/>
    <s v="Subdirectora de Catastro"/>
    <x v="1"/>
    <x v="2"/>
    <s v="Ejecutar procesos de actualización catastral a nivel nacional"/>
    <s v="Predios actualizados catastralmente"/>
    <n v="445"/>
    <d v="2021-02-25T00:00:00"/>
    <n v="12179900"/>
    <n v="109619100"/>
    <n v="109619100"/>
    <s v="CLAUDIA CECILIA PUENTES RIAÑO"/>
    <n v="3831666"/>
    <x v="0"/>
    <m/>
    <x v="1"/>
  </r>
  <r>
    <x v="1"/>
    <n v="73"/>
    <x v="1"/>
    <x v="1"/>
    <x v="1"/>
    <x v="1"/>
    <x v="0"/>
    <x v="9"/>
    <x v="0"/>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2"/>
    <n v="11250000"/>
    <n v="11250000"/>
    <x v="0"/>
    <x v="1"/>
    <x v="1"/>
    <x v="0"/>
    <x v="1"/>
    <s v="DT Casanare"/>
    <x v="4"/>
    <s v="HERMES SALCEDO RODRIGUEZ"/>
    <x v="1"/>
    <x v="2"/>
    <s v="Ejecutar procesos de actualización catastral a nivel nacional"/>
    <s v="Predios actualizados catastralmente"/>
    <n v="619"/>
    <d v="2021-06-11T00:00:00"/>
    <n v="11250000"/>
    <n v="11250000"/>
    <n v="11250000"/>
    <s v="COMITE DE GANADEROS DE ARAUQUITA"/>
    <n v="0"/>
    <x v="0"/>
    <n v="24764"/>
    <x v="1"/>
  </r>
  <r>
    <x v="1"/>
    <n v="74"/>
    <x v="1"/>
    <x v="1"/>
    <x v="1"/>
    <x v="1"/>
    <x v="0"/>
    <x v="9"/>
    <x v="0"/>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2"/>
    <n v="46062344"/>
    <n v="46062344"/>
    <x v="0"/>
    <x v="1"/>
    <x v="1"/>
    <x v="0"/>
    <x v="1"/>
    <s v="Subdirección de Catastro"/>
    <x v="5"/>
    <s v="Subdirectora de Catastro"/>
    <x v="1"/>
    <x v="2"/>
    <s v="Ejecutar procesos de actualización catastral a nivel nacional"/>
    <s v="Predios actualizados catastralmente"/>
    <n v="625"/>
    <d v="2021-06-18T00:00:00"/>
    <n v="5757793"/>
    <n v="36466022.333333328"/>
    <n v="36466022.333333328"/>
    <s v="DIANA ERIKA RAMIREZ RAMIREZ"/>
    <n v="9596321.6666666716"/>
    <x v="0"/>
    <n v="24769"/>
    <x v="1"/>
  </r>
  <r>
    <x v="1"/>
    <n v="28"/>
    <x v="1"/>
    <x v="1"/>
    <x v="1"/>
    <x v="1"/>
    <x v="0"/>
    <x v="1"/>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1"/>
    <x v="1"/>
    <n v="325"/>
    <x v="1"/>
    <x v="0"/>
    <x v="2"/>
    <n v="106873910"/>
    <n v="106873910"/>
    <x v="0"/>
    <x v="0"/>
    <x v="1"/>
    <x v="0"/>
    <x v="1"/>
    <s v="Subdirección de Catastro"/>
    <x v="5"/>
    <s v="Subdirectora de Catastro"/>
    <x v="1"/>
    <x v="2"/>
    <s v="Ejecutar procesos de actualización catastral a nivel nacional"/>
    <s v="Predios actualizados catastralmente"/>
    <n v="177"/>
    <d v="2021-02-04T00:00:00"/>
    <n v="9865284"/>
    <n v="105229696"/>
    <n v="105229696"/>
    <s v="ELENA ROCÍO VERÁSTEGUI NIÑO"/>
    <n v="1644214"/>
    <x v="0"/>
    <n v="24361"/>
    <x v="1"/>
  </r>
  <r>
    <x v="1"/>
    <n v="7"/>
    <x v="1"/>
    <x v="1"/>
    <x v="1"/>
    <x v="1"/>
    <x v="0"/>
    <x v="0"/>
    <x v="0"/>
    <s v="Servicios de formación profesional en derecho"/>
    <x v="0"/>
    <n v="86101713"/>
    <s v="Prestación de servicios profesionales para el desarrollo del componente social requerido de los procesos de gestión catastral desarrollados por el IGAC"/>
    <x v="0"/>
    <x v="0"/>
    <n v="11"/>
    <x v="0"/>
    <x v="0"/>
    <x v="2"/>
    <n v="63335720"/>
    <n v="63335720"/>
    <x v="0"/>
    <x v="0"/>
    <x v="1"/>
    <x v="0"/>
    <x v="1"/>
    <s v="Subdirección de Catastro"/>
    <x v="5"/>
    <s v="Subdirectora de Catastro"/>
    <x v="1"/>
    <x v="2"/>
    <s v="Ejecutar procesos de actualización catastral a nivel nacional"/>
    <s v="Predios actualizados catastralmente"/>
    <n v="54"/>
    <d v="2021-01-19T00:00:00"/>
    <n v="5757793"/>
    <n v="63143797"/>
    <n v="63143797"/>
    <s v="GERMAN ANDRES HERRERA SIERRA"/>
    <n v="191923"/>
    <x v="0"/>
    <n v="24213"/>
    <x v="1"/>
  </r>
  <r>
    <x v="1"/>
    <n v="65"/>
    <x v="1"/>
    <x v="1"/>
    <x v="6"/>
    <x v="3"/>
    <x v="6"/>
    <x v="16"/>
    <x v="0"/>
    <s v="Servicios de sistemas de información geográfica (sig)"/>
    <x v="0"/>
    <n v="81101512"/>
    <s v="Prestación de servicios profesionales para elaborar los avalúos comerciales de bienes inmuebles tanto urbanos como rurales a nivel nacional, de acuerdo con los contratos suscritos por el IGAC"/>
    <x v="4"/>
    <x v="4"/>
    <n v="255"/>
    <x v="1"/>
    <x v="0"/>
    <x v="2"/>
    <n v="293647443"/>
    <n v="293647443"/>
    <x v="0"/>
    <x v="0"/>
    <x v="7"/>
    <x v="0"/>
    <x v="1"/>
    <s v="Subdirección de Catastro"/>
    <x v="5"/>
    <s v="Subdirectora de Catastro"/>
    <x v="1"/>
    <x v="4"/>
    <s v="Realizar avalúos comerciales, de acuerdo a las solicitudes recibidas."/>
    <s v="Avalúos realizados"/>
    <n v="565"/>
    <d v="2021-04-28T00:00:00"/>
    <n v="5757793"/>
    <n v="40304551"/>
    <n v="40304551"/>
    <s v="HUGO ENRIQUE JIMENEZ CASTELLANOS_x000a_JULI MARCELA GUTIERREZ PACHECO_x000a_LUZ MERY PULIDO PELAEZ"/>
    <n v="149702618"/>
    <x v="0"/>
    <s v="24700_x000a_24760_x000a_24762"/>
    <x v="1"/>
  </r>
  <r>
    <x v="1"/>
    <n v="71"/>
    <x v="1"/>
    <x v="1"/>
    <x v="0"/>
    <x v="0"/>
    <x v="0"/>
    <x v="9"/>
    <x v="0"/>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2"/>
    <n v="128354709"/>
    <n v="128354709"/>
    <x v="0"/>
    <x v="0"/>
    <x v="0"/>
    <x v="0"/>
    <x v="1"/>
    <s v="Subdirección de Catastro"/>
    <x v="5"/>
    <s v="Subdirectora de Catastro"/>
    <x v="1"/>
    <x v="4"/>
    <s v="Realizar avalúos comerciales, de acuerdo a las solicitudes recibidas."/>
    <s v="Avalúos realizados"/>
    <n v="620"/>
    <d v="2021-06-09T00:00:00"/>
    <n v="7550277"/>
    <n v="50335180"/>
    <n v="100670360"/>
    <s v="ISABEL QUINTERO PINILLA_x000a_JAIRO ALFONSO MORENO PADILLA"/>
    <n v="27684349"/>
    <x v="0"/>
    <s v="24766_x000a_24768"/>
    <x v="0"/>
  </r>
  <r>
    <x v="1"/>
    <n v="57"/>
    <x v="1"/>
    <x v="1"/>
    <x v="4"/>
    <x v="4"/>
    <x v="0"/>
    <x v="14"/>
    <x v="0"/>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1"/>
    <x v="0"/>
    <x v="2"/>
    <n v="227115000"/>
    <n v="227115000"/>
    <x v="0"/>
    <x v="0"/>
    <x v="4"/>
    <x v="0"/>
    <x v="1"/>
    <s v="Subdirección de Catastro"/>
    <x v="5"/>
    <s v="Subdirectora de Catastro"/>
    <x v="1"/>
    <x v="2"/>
    <s v="Ejecutar procesos de actualización catastral a nivel nacional"/>
    <s v="Predios actualizados catastralmente"/>
    <n v="522"/>
    <d v="2021-04-09T00:00:00"/>
    <n v="4976424"/>
    <n v="34834968"/>
    <n v="174174840"/>
    <s v="JOSE  ELIAS  ELIZALDE  MUÑOZ_x000a_JUAN PABLO  FERNANDEZ  RODRIGUEZ_x000a_YAMID  MANUEL  MORENO_x000a_LEIDY  JOHANNA  ESCOBAR  QUEMBA_x000a_WILLIAM HERNAN GONZALEZ MARTINEZ"/>
    <n v="52940160"/>
    <x v="0"/>
    <s v="24657_x000a_24658_x000a_24659_x000a_24660_x000a_24661"/>
    <x v="4"/>
  </r>
  <r>
    <x v="1"/>
    <n v="54"/>
    <x v="1"/>
    <x v="1"/>
    <x v="3"/>
    <x v="3"/>
    <x v="0"/>
    <x v="2"/>
    <x v="0"/>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2"/>
    <n v="226508310"/>
    <n v="226508310"/>
    <x v="0"/>
    <x v="0"/>
    <x v="3"/>
    <x v="0"/>
    <x v="1"/>
    <s v="Subdirección de Catastro"/>
    <x v="5"/>
    <s v="Subdirectora de Catastro"/>
    <x v="1"/>
    <x v="2"/>
    <s v="Ejecutar procesos de actualización catastral a nivel nacional"/>
    <s v="Predios actualizados catastralmente"/>
    <n v="510"/>
    <d v="2021-03-30T00:00:00"/>
    <n v="7550277"/>
    <n v="67952493"/>
    <n v="203857479"/>
    <s v="JULY MARCELA RODRIGUEZ MUSTAFA_x000a_JOHANNA ALEXANDRA RAMIREZ BELTRAN_x000a_SERGIO MAURICIO ARDILA QUINTERO"/>
    <n v="22650831"/>
    <x v="0"/>
    <s v="24643_x000a_24647_x000a_24649"/>
    <x v="3"/>
  </r>
  <r>
    <x v="1"/>
    <n v="47"/>
    <x v="1"/>
    <x v="1"/>
    <x v="1"/>
    <x v="1"/>
    <x v="0"/>
    <x v="3"/>
    <x v="0"/>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1"/>
    <x v="0"/>
    <x v="2"/>
    <n v="86828186"/>
    <n v="86828186"/>
    <x v="0"/>
    <x v="0"/>
    <x v="1"/>
    <x v="0"/>
    <x v="1"/>
    <s v="Subdirección de Catastro"/>
    <x v="5"/>
    <s v="Subdirectora de Catastro"/>
    <x v="1"/>
    <x v="2"/>
    <s v="Ejecutar procesos de actualización catastral a nivel nacional"/>
    <s v="Predios actualizados catastralmente"/>
    <n v="451"/>
    <d v="2021-03-15T00:00:00"/>
    <n v="7550277"/>
    <n v="64177355"/>
    <n v="64177355"/>
    <s v="KAREN ROSANA CÓRDOBA PÉROZO"/>
    <n v="22650831"/>
    <x v="0"/>
    <n v="24680"/>
    <x v="1"/>
  </r>
  <r>
    <x v="1"/>
    <n v="48"/>
    <x v="1"/>
    <x v="1"/>
    <x v="1"/>
    <x v="1"/>
    <x v="0"/>
    <x v="2"/>
    <x v="0"/>
    <s v="Servicios secretariales o de administración de oficinas  "/>
    <x v="0"/>
    <n v="80161501"/>
    <s v="Prestación de servicios profesionales para el procesamiento, análisis y generación de productos geográficos que apoyen el proceso de actualización catastral"/>
    <x v="2"/>
    <x v="2"/>
    <n v="285"/>
    <x v="1"/>
    <x v="0"/>
    <x v="2"/>
    <n v="25379089"/>
    <n v="25379089"/>
    <x v="0"/>
    <x v="0"/>
    <x v="1"/>
    <x v="0"/>
    <x v="1"/>
    <s v="Subdirección de Catastro"/>
    <x v="5"/>
    <s v="Subdirectora de Catastro"/>
    <x v="1"/>
    <x v="2"/>
    <s v="Ejecutar procesos de actualización catastral a nivel nacional"/>
    <s v="Predios actualizados catastralmente"/>
    <n v="470"/>
    <d v="2021-03-18T00:00:00"/>
    <n v="2671483"/>
    <n v="24577644"/>
    <n v="24577644"/>
    <s v="LAURA ALEJANDRA MARTINEZ CONDE"/>
    <n v="801445"/>
    <x v="0"/>
    <n v="24681"/>
    <x v="1"/>
  </r>
  <r>
    <x v="1"/>
    <n v="4"/>
    <x v="1"/>
    <x v="1"/>
    <x v="1"/>
    <x v="1"/>
    <x v="0"/>
    <x v="0"/>
    <x v="0"/>
    <s v="Servicios de formación profesional en derecho"/>
    <x v="0"/>
    <n v="86101713"/>
    <s v="Prestación de servicios profesionales para apoyar el componente jurídico en los proyectos de Gestión Catastral desarrollados por el IGAC"/>
    <x v="0"/>
    <x v="0"/>
    <n v="11"/>
    <x v="0"/>
    <x v="0"/>
    <x v="2"/>
    <n v="95787741"/>
    <n v="95787741"/>
    <x v="0"/>
    <x v="0"/>
    <x v="1"/>
    <x v="0"/>
    <x v="1"/>
    <s v="Subdirección de Catastro"/>
    <x v="5"/>
    <s v="Subdirectora de Catastro"/>
    <x v="1"/>
    <x v="2"/>
    <s v="Ejecutar procesos de actualización catastral a nivel nacional"/>
    <s v="Predios actualizados catastralmente"/>
    <n v="48"/>
    <d v="2021-01-18T00:00:00"/>
    <n v="8707976"/>
    <n v="95787736"/>
    <n v="95787736"/>
    <s v="LIZZY KAROLAY RINCON CAMELO"/>
    <n v="5"/>
    <x v="0"/>
    <n v="24206"/>
    <x v="1"/>
  </r>
  <r>
    <x v="1"/>
    <n v="63"/>
    <x v="1"/>
    <x v="1"/>
    <x v="0"/>
    <x v="0"/>
    <x v="0"/>
    <x v="5"/>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4"/>
    <x v="4"/>
    <n v="240"/>
    <x v="1"/>
    <x v="0"/>
    <x v="2"/>
    <n v="106935264"/>
    <n v="106935264"/>
    <x v="0"/>
    <x v="0"/>
    <x v="0"/>
    <x v="0"/>
    <x v="1"/>
    <s v="Subdirección de Catastro"/>
    <x v="5"/>
    <s v="Subdirectora de Catastro"/>
    <x v="1"/>
    <x v="2"/>
    <s v="Ejecutar procesos de actualización catastral a nivel nacional"/>
    <s v="Predios actualizados catastralmente"/>
    <n v="572"/>
    <d v="2021-04-27T00:00:00"/>
    <n v="6683454"/>
    <n v="46784178"/>
    <n v="93568356"/>
    <s v="LUZ MARY ROSERO DELGADO_x000a_FABIAN ESTEBAN SUAREZ BURBANO_x000a_"/>
    <n v="13366908"/>
    <x v="0"/>
    <s v="24706_x000a_24722"/>
    <x v="0"/>
  </r>
  <r>
    <x v="1"/>
    <n v="46"/>
    <x v="1"/>
    <x v="1"/>
    <x v="1"/>
    <x v="1"/>
    <x v="0"/>
    <x v="3"/>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2"/>
    <n v="28941066"/>
    <n v="28941066"/>
    <x v="0"/>
    <x v="0"/>
    <x v="1"/>
    <x v="0"/>
    <x v="1"/>
    <s v="Subdirección de Catastro"/>
    <x v="5"/>
    <s v="Subdirectora de Catastro"/>
    <x v="1"/>
    <x v="4"/>
    <s v="Realizar avalúos comerciales, de acuerdo a las solicitudes recibidas."/>
    <s v="Avalúos realizados"/>
    <n v="433"/>
    <d v="2021-03-08T00:00:00"/>
    <n v="2671483"/>
    <n v="26269583"/>
    <n v="26269583"/>
    <s v="MARIA NIRIAM URREA"/>
    <n v="2671483"/>
    <x v="0"/>
    <n v="24562"/>
    <x v="1"/>
  </r>
  <r>
    <x v="1"/>
    <n v="24"/>
    <x v="1"/>
    <x v="1"/>
    <x v="5"/>
    <x v="5"/>
    <x v="0"/>
    <x v="0"/>
    <x v="0"/>
    <s v="Servicios de sistemas de información geográfica (sig)"/>
    <x v="0"/>
    <n v="81101512"/>
    <s v="Prestación de servicios profesionales para adelantar los avalúos comerciales asignados, de acuerdo a la programación establecida. "/>
    <x v="0"/>
    <x v="0"/>
    <n v="11"/>
    <x v="0"/>
    <x v="0"/>
    <x v="2"/>
    <n v="253342879"/>
    <n v="253342879"/>
    <x v="0"/>
    <x v="0"/>
    <x v="5"/>
    <x v="0"/>
    <x v="1"/>
    <s v="Subdirección de Catastro"/>
    <x v="5"/>
    <s v="Subdirectora de Catastro"/>
    <x v="1"/>
    <x v="4"/>
    <s v="Realizar avalúos comerciales, de acuerdo a las solicitudes recibidas."/>
    <s v="Avalúos realizados"/>
    <n v="120"/>
    <d v="2021-01-28T00:00:00"/>
    <n v="5757793"/>
    <n v="63143797"/>
    <n v="252575188"/>
    <s v="MARITZA LIZBETH MAYORAL AZUERO_x000a_PEDRO ENRIQUE RAMIREZ OSPINA_x000a_ DIANA MARCELA GALINDO ALAVA _x000a_ JOSE ALFREDO RIAÑO_x000a_"/>
    <n v="767691"/>
    <x v="0"/>
    <s v="24258_x000a_24450_x000a_24453_x000a_24494"/>
    <x v="5"/>
  </r>
  <r>
    <x v="1"/>
    <n v="43"/>
    <x v="1"/>
    <x v="1"/>
    <x v="4"/>
    <x v="4"/>
    <x v="0"/>
    <x v="2"/>
    <x v="0"/>
    <s v="Servicios secretariales o de administración de oficinas  "/>
    <x v="0"/>
    <n v="80161501"/>
    <s v="Prestación de servicios profesionales para adelantar los avalúos comerciales que le sean asignados a nivel nacional."/>
    <x v="2"/>
    <x v="2"/>
    <n v="300"/>
    <x v="1"/>
    <x v="0"/>
    <x v="2"/>
    <n v="300000000"/>
    <n v="300000000"/>
    <x v="0"/>
    <x v="0"/>
    <x v="4"/>
    <x v="0"/>
    <x v="1"/>
    <s v="Subdirección de Catastro"/>
    <x v="5"/>
    <s v="Subdirectora de Catastro"/>
    <x v="1"/>
    <x v="4"/>
    <s v="Realizar avalúos comerciales, de acuerdo a las solicitudes recibidas."/>
    <s v="Avalúos realizados"/>
    <n v="398"/>
    <d v="2021-02-25T00:00:00"/>
    <n v="6000000"/>
    <n v="60000000"/>
    <n v="300000000"/>
    <s v="MARY CRISTINA GUEVARA CAMACHO _x000a_ROBINSON MIGUEL CACERES PARRA _x000a_ ANGEL ESTEYNER RODRIGUEZ VEGA_x000a_LISANDRO CASTAÑEDA SALAZAR_x000a_PEDRO GABRIEL CASTELBLANCO OYOLA"/>
    <n v="0"/>
    <x v="0"/>
    <s v="24535_x000a_24536_x000a_24537_x000a_24539_x000a_24589"/>
    <x v="4"/>
  </r>
  <r>
    <x v="1"/>
    <n v="6"/>
    <x v="1"/>
    <x v="1"/>
    <x v="1"/>
    <x v="1"/>
    <x v="0"/>
    <x v="0"/>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2"/>
    <n v="108518129"/>
    <n v="108518129"/>
    <x v="0"/>
    <x v="0"/>
    <x v="1"/>
    <x v="0"/>
    <x v="1"/>
    <s v="Subdirección de Catastro"/>
    <x v="5"/>
    <s v="Subdirectora de Catastro"/>
    <x v="1"/>
    <x v="2"/>
    <s v="Ejecutar procesos de actualización catastral a nivel nacional"/>
    <s v="Predios actualizados catastralmente"/>
    <n v="61"/>
    <d v="2021-01-19T00:00:00"/>
    <n v="9865284"/>
    <n v="108518124"/>
    <n v="108518124"/>
    <s v="MARYSOL  RUIZ CANO"/>
    <n v="5"/>
    <x v="0"/>
    <n v="24223"/>
    <x v="1"/>
  </r>
  <r>
    <x v="1"/>
    <n v="60"/>
    <x v="1"/>
    <x v="1"/>
    <x v="4"/>
    <x v="3"/>
    <x v="3"/>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1"/>
    <x v="0"/>
    <x v="2"/>
    <n v="331073098"/>
    <n v="331073098"/>
    <x v="0"/>
    <x v="0"/>
    <x v="4"/>
    <x v="0"/>
    <x v="1"/>
    <s v="Subdirección de Catastro"/>
    <x v="5"/>
    <s v="Subdirectora de Catastro"/>
    <x v="1"/>
    <x v="2"/>
    <s v="Ejecutar procesos de actualización catastral a nivel nacional"/>
    <s v="Predios actualizados catastralmente"/>
    <n v="536"/>
    <d v="2021-04-19T00:00:00"/>
    <n v="5757793"/>
    <n v="41264183"/>
    <n v="123792549"/>
    <s v="MEYBES DIANA SOSSA RODRIGUEZ_x000a_DAVID ERNESTO NEGRETE CABRA_x000a_OSCAR YESID QUINTERO DELGADO"/>
    <n v="138187033"/>
    <x v="0"/>
    <s v="24679_x000a_24680_x000a_24681"/>
    <x v="3"/>
  </r>
  <r>
    <x v="1"/>
    <n v="42"/>
    <x v="1"/>
    <x v="1"/>
    <x v="5"/>
    <x v="5"/>
    <x v="0"/>
    <x v="1"/>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1"/>
    <x v="1"/>
    <n v="325"/>
    <x v="1"/>
    <x v="0"/>
    <x v="2"/>
    <n v="127477133"/>
    <n v="127477133"/>
    <x v="0"/>
    <x v="0"/>
    <x v="5"/>
    <x v="0"/>
    <x v="1"/>
    <s v="Subdirección de Catastro"/>
    <x v="5"/>
    <s v="Subdirectora de Catastro"/>
    <x v="1"/>
    <x v="4"/>
    <s v="Realizar avalúos comerciales, de acuerdo a las solicitudes recibidas."/>
    <s v="Avalúos realizados"/>
    <n v="351"/>
    <d v="2021-02-19T00:00:00"/>
    <n v="2941780"/>
    <n v="30006156"/>
    <n v="120024624"/>
    <s v="NATALIA ROMAN LAFUENTE_x000a_LUIS EDUARDO GOMEZ DAZA _x000a_LAURA DANIELA RODRIGUEZ TORRES _x000a_JESSICA GONZALEZ ROMERO"/>
    <n v="7452509"/>
    <x v="0"/>
    <s v="24509_x000a_24510_x000a_24511_x000a_24512"/>
    <x v="5"/>
  </r>
  <r>
    <x v="1"/>
    <n v="56"/>
    <x v="1"/>
    <x v="1"/>
    <x v="3"/>
    <x v="3"/>
    <x v="0"/>
    <x v="11"/>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1"/>
    <x v="0"/>
    <x v="2"/>
    <n v="230579163"/>
    <n v="230579163"/>
    <x v="0"/>
    <x v="0"/>
    <x v="3"/>
    <x v="0"/>
    <x v="1"/>
    <s v="Subdirección de Catastro"/>
    <x v="5"/>
    <s v="Subdirectora de Catastro"/>
    <x v="1"/>
    <x v="2"/>
    <s v="Ejecutar procesos de actualización catastral a nivel nacional"/>
    <s v="Predios actualizados catastralmente"/>
    <n v="521"/>
    <d v="2021-04-09T00:00:00"/>
    <n v="6683454"/>
    <n v="53467632"/>
    <n v="160402896"/>
    <s v="OSCAR DANILO ANGULO_x000a_DIEGO FERNANADO MONTEZ LOPEZ_x000a_ANDRES RESTREPO JIMENEZ_x000a_"/>
    <n v="70176267"/>
    <x v="0"/>
    <s v="24654_x000a_24655_x000a_24687_x000a_"/>
    <x v="3"/>
  </r>
  <r>
    <x v="1"/>
    <n v="25"/>
    <x v="1"/>
    <x v="1"/>
    <x v="4"/>
    <x v="4"/>
    <x v="0"/>
    <x v="1"/>
    <x v="0"/>
    <s v="Servicios secretariales o de administración de oficinas  "/>
    <x v="0"/>
    <n v="80161501"/>
    <s v="Prestación de servicios profesionales para realizar el control de calidad y el apoyo técnico de los avalúos adelantados por el IGAC."/>
    <x v="1"/>
    <x v="1"/>
    <n v="325"/>
    <x v="1"/>
    <x v="0"/>
    <x v="2"/>
    <n v="408973338"/>
    <n v="408973338"/>
    <x v="0"/>
    <x v="0"/>
    <x v="4"/>
    <x v="0"/>
    <x v="1"/>
    <s v="Subdirección de Catastro"/>
    <x v="5"/>
    <s v="Subdirectora de Catastro"/>
    <x v="1"/>
    <x v="4"/>
    <s v="Realizar avalúos comerciales, de acuerdo a las solicitudes recibidas."/>
    <s v="Avalúos realizados"/>
    <n v="195"/>
    <d v="2021-02-03T00:00:00"/>
    <n v="7550277"/>
    <n v="80536288"/>
    <n v="402681440"/>
    <s v="OSCAR OMAR NAVARRO_x000a_HUGO PHERNEY SOLTELO YAGAMA_x000a_CARLOS JAVIER ALAPE COCOMA_x000a_LUIS FERNANDO COTE VEGA_x000a_OMAR AUGUSTO MUÑOZ IBARRA"/>
    <n v="6291898"/>
    <x v="0"/>
    <s v="24379_x000a_24393_x000a_24465_x000a_24470_x000a_24481"/>
    <x v="4"/>
  </r>
  <r>
    <x v="1"/>
    <n v="19"/>
    <x v="1"/>
    <x v="1"/>
    <x v="0"/>
    <x v="0"/>
    <x v="0"/>
    <x v="1"/>
    <x v="0"/>
    <s v="Servicios de sistemas de información geográfica (sig)"/>
    <x v="0"/>
    <n v="81101512"/>
    <s v="Prestación de servicios profesionales para orientar y controlar, la operación de los proyectos de Gestión Catastral adelantados por el IGAC"/>
    <x v="1"/>
    <x v="1"/>
    <n v="325"/>
    <x v="1"/>
    <x v="0"/>
    <x v="2"/>
    <n v="188672813"/>
    <n v="188672813"/>
    <x v="0"/>
    <x v="0"/>
    <x v="0"/>
    <x v="0"/>
    <x v="1"/>
    <s v="Subdirección de Catastro"/>
    <x v="5"/>
    <s v="Subdirectora de Catastro"/>
    <x v="1"/>
    <x v="2"/>
    <s v="Ejecutar procesos de actualización catastral a nivel nacional"/>
    <s v="Predios actualizados catastralmente"/>
    <n v="242"/>
    <d v="2021-01-25T00:00:00"/>
    <n v="8707976"/>
    <n v="91433748"/>
    <n v="182867496"/>
    <s v="PAOLA ANDREA MARTÍNEZ PÉREZ _x000a_ OSCAR ALEXANDER PEREZ PINEDA"/>
    <n v="5805317"/>
    <x v="0"/>
    <s v="24417_x000a_24482"/>
    <x v="0"/>
  </r>
  <r>
    <x v="1"/>
    <n v="45"/>
    <x v="1"/>
    <x v="1"/>
    <x v="1"/>
    <x v="1"/>
    <x v="0"/>
    <x v="3"/>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2"/>
    <n v="62376091"/>
    <n v="62376091"/>
    <x v="0"/>
    <x v="0"/>
    <x v="1"/>
    <x v="0"/>
    <x v="1"/>
    <s v="Subdirección de Catastro"/>
    <x v="5"/>
    <s v="Subdirectora de Catastro"/>
    <x v="1"/>
    <x v="2"/>
    <s v="Ejecutar procesos de actualización catastral a nivel nacional"/>
    <s v="Predios actualizados catastralmente"/>
    <n v="433"/>
    <d v="2021-03-04T00:00:00"/>
    <n v="5757793"/>
    <n v="54699033"/>
    <n v="54699033"/>
    <s v="SANDRA MILENA BELALCAZAR BENAVIDES"/>
    <n v="7677058"/>
    <x v="0"/>
    <n v="24580"/>
    <x v="1"/>
  </r>
  <r>
    <x v="1"/>
    <n v="34"/>
    <x v="1"/>
    <x v="1"/>
    <x v="0"/>
    <x v="0"/>
    <x v="0"/>
    <x v="1"/>
    <x v="0"/>
    <s v="Servicios secretariales o de administración de oficinas  "/>
    <x v="0"/>
    <n v="80161501"/>
    <s v="Prestación de servicios profesionales para adelantar la ejecución de los procesos de gestión catastral a cargo del IGAC, programados en la vigencia"/>
    <x v="1"/>
    <x v="1"/>
    <n v="325"/>
    <x v="1"/>
    <x v="0"/>
    <x v="2"/>
    <n v="213747820"/>
    <n v="213747820"/>
    <x v="0"/>
    <x v="0"/>
    <x v="0"/>
    <x v="0"/>
    <x v="1"/>
    <s v="Subdirección de Catastro"/>
    <x v="5"/>
    <s v="Subdirectora de Catastro"/>
    <x v="1"/>
    <x v="2"/>
    <s v="Ejecutar procesos de actualización catastral a nivel nacional"/>
    <s v="Predios actualizados catastralmente"/>
    <n v="221"/>
    <d v="2021-02-10T00:00:00"/>
    <n v="9865284"/>
    <n v="104572010"/>
    <n v="209144020"/>
    <s v="WILMER OSWALDO GUTIERREZ GUTIERREZ_x000a_CARLOS ARTURO FERNANDEZ HERNANDEZ_x000a_"/>
    <n v="4603800"/>
    <x v="0"/>
    <s v="24399_x000a_24469"/>
    <x v="0"/>
  </r>
  <r>
    <x v="1"/>
    <n v="64"/>
    <x v="1"/>
    <x v="1"/>
    <x v="0"/>
    <x v="0"/>
    <x v="0"/>
    <x v="4"/>
    <x v="0"/>
    <s v="Servicios secretariales o de administración de oficinas  "/>
    <x v="0"/>
    <n v="80161501"/>
    <s v="Prestación de servicios  para identificar, localizar, editar, integrar,estructurar en GDB y validar, la cartografía básica y temática de Ordenamiento Territorial."/>
    <x v="3"/>
    <x v="3"/>
    <n v="240"/>
    <x v="1"/>
    <x v="0"/>
    <x v="2"/>
    <n v="58243776"/>
    <n v="58243776"/>
    <x v="0"/>
    <x v="0"/>
    <x v="0"/>
    <x v="0"/>
    <x v="1"/>
    <s v="Subdirección de Catastro"/>
    <x v="5"/>
    <s v="Subdirectora de Catastro"/>
    <x v="1"/>
    <x v="2"/>
    <s v="Ejecutar procesos de actualización catastral a nivel nacional"/>
    <s v="Predios actualizados catastralmente"/>
    <n v="564"/>
    <d v="2021-05-10T00:00:00"/>
    <n v="3640236"/>
    <n v="25481652"/>
    <n v="50963304"/>
    <s v="YIMI TOBIAS MORA CHAMORRO_x000a_JULIAN DAVID MORENO GALVIS"/>
    <n v="7280472"/>
    <x v="0"/>
    <s v="24720_x000a_24707"/>
    <x v="0"/>
  </r>
  <r>
    <x v="1"/>
    <m/>
    <x v="1"/>
    <x v="1"/>
    <x v="1"/>
    <x v="6"/>
    <x v="1"/>
    <x v="9"/>
    <x v="0"/>
    <s v="Servicios secretariales o de administración de oficinas  "/>
    <x v="1"/>
    <n v="80161501"/>
    <s v="Prestación de servicios profesionales para apoyar la gestión de los procesos catastrales de formación, actualización y conservación catastral."/>
    <x v="5"/>
    <x v="5"/>
    <n v="240"/>
    <x v="1"/>
    <x v="0"/>
    <x v="2"/>
    <n v="29121888"/>
    <n v="29121888"/>
    <x v="0"/>
    <x v="0"/>
    <x v="1"/>
    <x v="0"/>
    <x v="1"/>
    <s v="Subdirección de Catastro"/>
    <x v="5"/>
    <s v="Subdirectora de Catastro"/>
    <x v="1"/>
    <x v="2"/>
    <s v="Ejecutar procesos de actualización catastral a nivel nacional"/>
    <s v="Predios actualizados catastralmente"/>
    <m/>
    <m/>
    <e v="#N/A"/>
    <e v="#N/A"/>
    <e v="#N/A"/>
    <m/>
    <n v="0"/>
    <x v="4"/>
    <m/>
    <x v="6"/>
  </r>
  <r>
    <x v="1"/>
    <m/>
    <x v="1"/>
    <x v="1"/>
    <x v="1"/>
    <x v="6"/>
    <x v="1"/>
    <x v="8"/>
    <x v="0"/>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2"/>
    <n v="40304551"/>
    <n v="40304551"/>
    <x v="0"/>
    <x v="0"/>
    <x v="1"/>
    <x v="0"/>
    <x v="1"/>
    <s v="Subdirección de Catastro"/>
    <x v="5"/>
    <s v="Subdirectora de Catastro"/>
    <x v="1"/>
    <x v="2"/>
    <s v="Ejecutar procesos de actualización catastral a nivel nacional"/>
    <s v="Predios actualizados catastralmente"/>
    <m/>
    <m/>
    <e v="#N/A"/>
    <e v="#N/A"/>
    <e v="#N/A"/>
    <m/>
    <n v="0"/>
    <x v="11"/>
    <m/>
    <x v="6"/>
  </r>
  <r>
    <x v="1"/>
    <m/>
    <x v="1"/>
    <x v="1"/>
    <x v="1"/>
    <x v="6"/>
    <x v="1"/>
    <x v="9"/>
    <x v="0"/>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2"/>
    <n v="69663808"/>
    <n v="69663808"/>
    <x v="0"/>
    <x v="0"/>
    <x v="1"/>
    <x v="0"/>
    <x v="1"/>
    <s v="Subdirección de Catastro"/>
    <x v="5"/>
    <s v="Subdirectora de Catastro"/>
    <x v="1"/>
    <x v="2"/>
    <s v="Ejecutar procesos de actualización catastral a nivel nacional"/>
    <s v="Predios actualizados catastralmente"/>
    <m/>
    <m/>
    <e v="#N/A"/>
    <e v="#N/A"/>
    <e v="#N/A"/>
    <m/>
    <n v="0"/>
    <x v="21"/>
    <m/>
    <x v="6"/>
  </r>
  <r>
    <x v="1"/>
    <m/>
    <x v="1"/>
    <x v="1"/>
    <x v="1"/>
    <x v="6"/>
    <x v="1"/>
    <x v="9"/>
    <x v="0"/>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2"/>
    <n v="97439200"/>
    <n v="97439200"/>
    <x v="0"/>
    <x v="0"/>
    <x v="1"/>
    <x v="0"/>
    <x v="1"/>
    <s v="Subdirección de Catastro"/>
    <x v="5"/>
    <s v="Subdirectora de Catastro"/>
    <x v="1"/>
    <x v="2"/>
    <s v="Ejecutar procesos de actualización catastral a nivel nacional"/>
    <s v="Predios actualizados catastralmente"/>
    <m/>
    <m/>
    <e v="#N/A"/>
    <e v="#N/A"/>
    <e v="#N/A"/>
    <m/>
    <n v="0"/>
    <x v="24"/>
    <m/>
    <x v="6"/>
  </r>
  <r>
    <x v="1"/>
    <m/>
    <x v="1"/>
    <x v="1"/>
    <x v="4"/>
    <x v="6"/>
    <x v="2"/>
    <x v="8"/>
    <x v="0"/>
    <s v="Servicios secretariales o de administración de oficinas  "/>
    <x v="0"/>
    <n v="80161501"/>
    <s v="Prestación de servicios profesionales para realizar avalúos comerciales, a nivel nacional de los bienes urbanos y rurales."/>
    <x v="5"/>
    <x v="5"/>
    <n v="210"/>
    <x v="1"/>
    <x v="0"/>
    <x v="2"/>
    <n v="200000000"/>
    <n v="200000000"/>
    <x v="0"/>
    <x v="0"/>
    <x v="4"/>
    <x v="0"/>
    <x v="1"/>
    <s v="Subdirección de Catastro"/>
    <x v="5"/>
    <s v="Subdirectora de Catastro"/>
    <x v="1"/>
    <x v="4"/>
    <s v="Realizar avalúos comerciales, de acuerdo a las solicitudes recibidas."/>
    <s v="Avalúos realizados"/>
    <m/>
    <m/>
    <e v="#N/A"/>
    <e v="#N/A"/>
    <e v="#N/A"/>
    <m/>
    <n v="0"/>
    <x v="25"/>
    <m/>
    <x v="6"/>
  </r>
  <r>
    <x v="4"/>
    <m/>
    <x v="3"/>
    <x v="3"/>
    <x v="1"/>
    <x v="6"/>
    <x v="1"/>
    <x v="4"/>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1"/>
    <x v="0"/>
    <x v="2"/>
    <n v="52678703"/>
    <n v="52678703"/>
    <x v="0"/>
    <x v="0"/>
    <x v="1"/>
    <x v="0"/>
    <x v="3"/>
    <s v="Oficina CIAF"/>
    <x v="3"/>
    <s v="Jefe Oficina CIAF"/>
    <x v="3"/>
    <x v="5"/>
    <s v="Planear la asistencia técnica, asesoría, análisis y/o consultoría a desarrollar"/>
    <s v="Entidades Asistidas"/>
    <m/>
    <m/>
    <e v="#N/A"/>
    <e v="#N/A"/>
    <e v="#N/A"/>
    <m/>
    <n v="0"/>
    <x v="0"/>
    <m/>
    <x v="6"/>
  </r>
  <r>
    <x v="4"/>
    <n v="19"/>
    <x v="3"/>
    <x v="3"/>
    <x v="1"/>
    <x v="1"/>
    <x v="0"/>
    <x v="2"/>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2"/>
    <n v="36651830"/>
    <n v="36651830"/>
    <x v="0"/>
    <x v="0"/>
    <x v="1"/>
    <x v="0"/>
    <x v="3"/>
    <s v="Oficina CIAF"/>
    <x v="3"/>
    <s v="Jefe Oficina CIAF"/>
    <x v="3"/>
    <x v="5"/>
    <s v="Desarrollar la asistencia técnica, asesoría y/o consultoría"/>
    <s v="Entidades Asistidas"/>
    <n v="496"/>
    <d v="2021-03-23T00:00:00"/>
    <n v="7330366"/>
    <n v="36651830"/>
    <n v="36651830"/>
    <s v=" LINA MARGARITA LORA MATIZ"/>
    <n v="0"/>
    <x v="0"/>
    <n v="24631"/>
    <x v="1"/>
  </r>
  <r>
    <x v="4"/>
    <n v="3"/>
    <x v="3"/>
    <x v="3"/>
    <x v="1"/>
    <x v="1"/>
    <x v="0"/>
    <x v="0"/>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0"/>
    <x v="0"/>
    <n v="165"/>
    <x v="1"/>
    <x v="0"/>
    <x v="2"/>
    <n v="105357406"/>
    <n v="105357406"/>
    <x v="0"/>
    <x v="0"/>
    <x v="1"/>
    <x v="0"/>
    <x v="3"/>
    <s v="Oficina CIAF"/>
    <x v="3"/>
    <s v="Jefe Oficina CIAF"/>
    <x v="3"/>
    <x v="5"/>
    <s v="Planear la asistencia técnica, asesoría, análisis y/o consultoría a desarrollar"/>
    <s v="Entidades Asistidas"/>
    <n v="25"/>
    <d v="2021-01-08T00:00:00"/>
    <n v="9577946"/>
    <n v="52678703"/>
    <n v="52678703"/>
    <s v="ANA JULIA SARRIA ALVAREZ"/>
    <n v="52678703"/>
    <x v="0"/>
    <n v="24196"/>
    <x v="1"/>
  </r>
  <r>
    <x v="4"/>
    <n v="23"/>
    <x v="3"/>
    <x v="3"/>
    <x v="1"/>
    <x v="1"/>
    <x v="0"/>
    <x v="2"/>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0"/>
    <x v="0"/>
    <x v="2"/>
    <n v="51820137"/>
    <n v="51820137"/>
    <x v="0"/>
    <x v="0"/>
    <x v="1"/>
    <x v="0"/>
    <x v="3"/>
    <s v="Oficina CIAF"/>
    <x v="3"/>
    <s v="Jefe Oficina CIAF"/>
    <x v="3"/>
    <x v="21"/>
    <s v="Desarrollar estudios e investigaciones aplicadas a través de ciencia de datos y prospectiva para fortalecer los procesos institucionales"/>
    <s v="Modelos de gestión Implementados"/>
    <n v="540"/>
    <d v="2021-04-19T00:00:00"/>
    <n v="5757793"/>
    <n v="46830050"/>
    <n v="46830050"/>
    <s v="ANIBAL MONTERO LEGUIZAMON"/>
    <n v="4990087"/>
    <x v="0"/>
    <n v="24685"/>
    <x v="1"/>
  </r>
  <r>
    <x v="4"/>
    <n v="5"/>
    <x v="3"/>
    <x v="3"/>
    <x v="1"/>
    <x v="1"/>
    <x v="0"/>
    <x v="0"/>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0"/>
    <x v="0"/>
    <n v="7"/>
    <x v="0"/>
    <x v="0"/>
    <x v="2"/>
    <n v="39130630"/>
    <n v="39130630"/>
    <x v="0"/>
    <x v="0"/>
    <x v="1"/>
    <x v="0"/>
    <x v="20"/>
    <s v="CENTRO DE INVESTIGACIÓN Y DESARROLLO EN INFORMACIÓN GEOGRÁFICA - CIAF"/>
    <x v="3"/>
    <s v="Diana Rocio Galindo - Jefe CIAF"/>
    <x v="3"/>
    <x v="5"/>
    <s v="Desarrollar la asistencia técnica, asesoría y/o consultoría"/>
    <s v="Entidades Asistidas"/>
    <n v="77"/>
    <d v="2021-01-21T00:00:00"/>
    <n v="4976424"/>
    <n v="34834968"/>
    <n v="34834968"/>
    <s v="CLAUDIA VIVIANA GOMEZ TENJO"/>
    <n v="4295662"/>
    <x v="0"/>
    <n v="24232"/>
    <x v="1"/>
  </r>
  <r>
    <x v="4"/>
    <n v="6"/>
    <x v="3"/>
    <x v="3"/>
    <x v="1"/>
    <x v="1"/>
    <x v="0"/>
    <x v="0"/>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1"/>
    <n v="10"/>
    <x v="0"/>
    <x v="0"/>
    <x v="2"/>
    <n v="73303660"/>
    <n v="73303660"/>
    <x v="0"/>
    <x v="0"/>
    <x v="1"/>
    <x v="0"/>
    <x v="20"/>
    <s v="CENTRO DE INVESTIGACIÓN Y DESARROLLO EN INFORMACIÓN GEOGRÁFICA - CIAF"/>
    <x v="3"/>
    <s v="Diana Rocio Galindo - Jefe CIAF"/>
    <x v="3"/>
    <x v="5"/>
    <s v="Desarrollar la asistencia técnica, asesoría y/o consultoría"/>
    <s v="Entidades Asistidas"/>
    <n v="156"/>
    <d v="2021-01-26T00:00:00"/>
    <n v="7330366"/>
    <n v="51312562"/>
    <n v="51312562"/>
    <s v="FERNANDO IVAN CAMARGO"/>
    <n v="21991098"/>
    <x v="0"/>
    <n v="24333"/>
    <x v="1"/>
  </r>
  <r>
    <x v="4"/>
    <n v="18"/>
    <x v="3"/>
    <x v="3"/>
    <x v="1"/>
    <x v="1"/>
    <x v="0"/>
    <x v="1"/>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2"/>
    <n v="44787816"/>
    <n v="44787816"/>
    <x v="0"/>
    <x v="0"/>
    <x v="1"/>
    <x v="0"/>
    <x v="20"/>
    <s v="CENTRO DE INVESTIGACIÓN Y DESARROLLO EN INFORMACIÓN GEOGRÁFICA - CIAF"/>
    <x v="3"/>
    <s v="Diana Rocio Galindo - Jefe CIAF"/>
    <x v="3"/>
    <x v="5"/>
    <s v="Desarrollar la asistencia técnica, asesoría y/o consultoría"/>
    <s v="Entidades Asistidas"/>
    <n v="495"/>
    <d v="2021-03-17T00:00:00"/>
    <n v="4263522"/>
    <n v="38371698"/>
    <n v="38371698"/>
    <s v="FERNEYALONSO MORENO PINEDA"/>
    <n v="6416118"/>
    <x v="0"/>
    <n v="24630"/>
    <x v="1"/>
  </r>
  <r>
    <x v="4"/>
    <n v="13"/>
    <x v="3"/>
    <x v="3"/>
    <x v="1"/>
    <x v="1"/>
    <x v="0"/>
    <x v="1"/>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1"/>
    <n v="4"/>
    <x v="0"/>
    <x v="0"/>
    <x v="2"/>
    <n v="29321464"/>
    <n v="29321464"/>
    <x v="0"/>
    <x v="0"/>
    <x v="1"/>
    <x v="0"/>
    <x v="20"/>
    <s v="CENTRO DE INVESTIGACIÓN Y DESARROLLO EN INFORMACIÓN GEOGRÁFICA - CIAF"/>
    <x v="3"/>
    <s v="Diana Rocio Galindo - Jefe CIAF"/>
    <x v="3"/>
    <x v="5"/>
    <s v="Planear la asistencia técnica, asesoría y/o consultoría a desarrollar"/>
    <s v="Entidades Asistidas"/>
    <n v="374"/>
    <d v="2021-02-24T00:00:00"/>
    <n v="7330366"/>
    <n v="29321464"/>
    <n v="29321464"/>
    <s v="GASTON ANTONIO MEJIA ARIAS"/>
    <n v="0"/>
    <x v="0"/>
    <n v="24528"/>
    <x v="1"/>
  </r>
  <r>
    <x v="4"/>
    <n v="21"/>
    <x v="3"/>
    <x v="3"/>
    <x v="1"/>
    <x v="1"/>
    <x v="0"/>
    <x v="2"/>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0"/>
    <x v="0"/>
    <x v="2"/>
    <n v="45421530"/>
    <n v="45421530"/>
    <x v="0"/>
    <x v="0"/>
    <x v="1"/>
    <x v="0"/>
    <x v="3"/>
    <s v="Oficina CIAF"/>
    <x v="3"/>
    <s v="Jefe Oficina CIAF"/>
    <x v="3"/>
    <x v="5"/>
    <s v="Desarrollar la asistencia técnica, asesoría y/o consultoría"/>
    <s v="Entidades Asistidas"/>
    <n v="524"/>
    <d v="2021-04-09T00:00:00"/>
    <n v="3124732"/>
    <n v="21873124"/>
    <n v="21873124"/>
    <s v="HUGO ARMANDO CENDALES PRIETO"/>
    <n v="23548406"/>
    <x v="0"/>
    <n v="24662"/>
    <x v="1"/>
  </r>
  <r>
    <x v="4"/>
    <n v="20"/>
    <x v="3"/>
    <x v="3"/>
    <x v="1"/>
    <x v="1"/>
    <x v="0"/>
    <x v="1"/>
    <x v="0"/>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2"/>
    <n v="45421530"/>
    <n v="45421530"/>
    <x v="0"/>
    <x v="0"/>
    <x v="1"/>
    <x v="0"/>
    <x v="20"/>
    <s v="CENTRO DE INVESTIGACIÓN Y DESARROLLO EN INFORMACIÓN GEOGRÁFICA - CIAF"/>
    <x v="3"/>
    <s v="Diana Rocio Galindo - Jefe CIAF"/>
    <x v="3"/>
    <x v="5"/>
    <s v="Desarrollar la asistencia técnica, asesoría y/o consultoría"/>
    <s v="Entidades Asistidas"/>
    <n v="515"/>
    <d v="2021-03-31T00:00:00"/>
    <n v="6488790"/>
    <n v="25955160"/>
    <n v="25955160"/>
    <s v="JAIME ALBERTO GUITIERREZ"/>
    <n v="19466370"/>
    <x v="0"/>
    <n v="24651"/>
    <x v="1"/>
  </r>
  <r>
    <x v="4"/>
    <n v="17"/>
    <x v="3"/>
    <x v="3"/>
    <x v="1"/>
    <x v="1"/>
    <x v="0"/>
    <x v="2"/>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2"/>
    <n v="53105855"/>
    <n v="53105855"/>
    <x v="0"/>
    <x v="0"/>
    <x v="1"/>
    <x v="0"/>
    <x v="3"/>
    <s v="Oficina CIAF"/>
    <x v="3"/>
    <s v="Jefe Oficina CIAF"/>
    <x v="3"/>
    <x v="21"/>
    <s v="Desarrollar estudios e investigaciones aplicadas a través de ciencia de datos y prospectiva para fortalecer los procesos institucionales"/>
    <s v="Modelos de gestión Implementados"/>
    <n v="458"/>
    <d v="2021-03-16T00:00:00"/>
    <n v="5590090"/>
    <n v="52733182"/>
    <n v="52733182"/>
    <s v="JOAN SEBANTIAN  GUTIERREZ"/>
    <n v="372673"/>
    <x v="0"/>
    <n v="24598"/>
    <x v="1"/>
  </r>
  <r>
    <x v="4"/>
    <n v="8"/>
    <x v="3"/>
    <x v="3"/>
    <x v="1"/>
    <x v="1"/>
    <x v="0"/>
    <x v="0"/>
    <x v="0"/>
    <s v="Servicios de sistemas de información geográfica (sig)"/>
    <x v="0"/>
    <n v="81101512"/>
    <s v="Prestación de servicios profesionales para realizar actividades de gestión y desarrollo de los proyectos de tecnologías geoespaciales que adelante la oficina CIAF."/>
    <x v="1"/>
    <x v="1"/>
    <n v="315"/>
    <x v="1"/>
    <x v="0"/>
    <x v="2"/>
    <n v="68132295"/>
    <n v="68132295"/>
    <x v="0"/>
    <x v="0"/>
    <x v="1"/>
    <x v="0"/>
    <x v="3"/>
    <s v="Oficina CIAF"/>
    <x v="3"/>
    <s v="Jefe Oficina CIAF"/>
    <x v="3"/>
    <x v="5"/>
    <s v="Desarrollar la asistencia técnica, asesoría y/o consultoría"/>
    <s v="Entidades Asistidas"/>
    <n v="205"/>
    <d v="2021-02-09T00:00:00"/>
    <n v="6488790"/>
    <n v="68132295"/>
    <n v="68132295"/>
    <s v="JUAN CARLOS MELO"/>
    <n v="0"/>
    <x v="0"/>
    <n v="24389"/>
    <x v="1"/>
  </r>
  <r>
    <x v="4"/>
    <n v="14"/>
    <x v="3"/>
    <x v="3"/>
    <x v="1"/>
    <x v="1"/>
    <x v="0"/>
    <x v="7"/>
    <x v="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2"/>
    <n v="58642928"/>
    <n v="58642928"/>
    <x v="0"/>
    <x v="0"/>
    <x v="1"/>
    <x v="0"/>
    <x v="20"/>
    <s v="CENTRO DE INVESTIGACIÓN Y DESARROLLO EN INFORMACIÓN GEOGRÁFICA - CIAF"/>
    <x v="3"/>
    <s v="Diana Rocio Galindo - Jefe CIAF"/>
    <x v="3"/>
    <x v="5"/>
    <s v="Desarrollar la asistencia técnica, asesoría, análisis y/o consultoría"/>
    <s v="Entidades Asistidas"/>
    <n v="404"/>
    <d v="2021-03-01T00:00:00"/>
    <n v="7330366"/>
    <n v="58642928"/>
    <n v="58642928"/>
    <s v="JULIO CESAR MENDOZA JIMENEZ"/>
    <n v="0"/>
    <x v="0"/>
    <n v="24547"/>
    <x v="1"/>
  </r>
  <r>
    <x v="4"/>
    <n v="7"/>
    <x v="3"/>
    <x v="3"/>
    <x v="1"/>
    <x v="1"/>
    <x v="0"/>
    <x v="0"/>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1"/>
    <x v="1"/>
    <n v="11"/>
    <x v="0"/>
    <x v="0"/>
    <x v="2"/>
    <n v="61490990"/>
    <n v="61490990"/>
    <x v="0"/>
    <x v="0"/>
    <x v="1"/>
    <x v="0"/>
    <x v="3"/>
    <s v="Oficina CIAF"/>
    <x v="3"/>
    <s v="Jefe Oficina CIAF"/>
    <x v="3"/>
    <x v="5"/>
    <s v="Desarrollar la asistencia técnica, asesoría y/o consultoría"/>
    <s v="Entidades Asistidas"/>
    <n v="145"/>
    <d v="2021-01-29T00:00:00"/>
    <n v="5590090"/>
    <n v="61490990"/>
    <n v="61490990"/>
    <s v="MANUEL CAMILO REYES GONZALEZ"/>
    <n v="0"/>
    <x v="0"/>
    <n v="24284"/>
    <x v="1"/>
  </r>
  <r>
    <x v="4"/>
    <n v="9"/>
    <x v="3"/>
    <x v="3"/>
    <x v="0"/>
    <x v="0"/>
    <x v="0"/>
    <x v="0"/>
    <x v="0"/>
    <s v="Servicios de sistemas de información geográfica (sig)"/>
    <x v="0"/>
    <n v="81101512"/>
    <s v="Prestación de servicios profesionales para el desarrollo, ajuste y documentación de las aplicaciones en tecnologías de información geográfica a cargo de la oficina CIAF."/>
    <x v="1"/>
    <x v="1"/>
    <n v="9"/>
    <x v="0"/>
    <x v="0"/>
    <x v="2"/>
    <n v="116798220"/>
    <n v="116798220"/>
    <x v="0"/>
    <x v="0"/>
    <x v="0"/>
    <x v="0"/>
    <x v="20"/>
    <s v="CENTRO DE INVESTIGACIÓN Y DESARROLLO EN INFORMACIÓN GEOGRÁFICA - CIAF"/>
    <x v="3"/>
    <s v="Diana Rocio Galindo - Jefe CIAF"/>
    <x v="3"/>
    <x v="5"/>
    <s v="Desarrollar la asistencia técnica, asesoría y/o consultoría"/>
    <s v="Entidades Asistidas"/>
    <n v="231"/>
    <d v="2021-02-10T00:00:00"/>
    <n v="6488790"/>
    <n v="38932740"/>
    <n v="77865480"/>
    <s v="MONICA ANDREA NIÑO_x000a_JUAN FELIPE MOLINA"/>
    <n v="38932740"/>
    <x v="0"/>
    <s v="24426_x000a_24427"/>
    <x v="0"/>
  </r>
  <r>
    <x v="4"/>
    <n v="10"/>
    <x v="3"/>
    <x v="3"/>
    <x v="1"/>
    <x v="1"/>
    <x v="0"/>
    <x v="0"/>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1"/>
    <x v="1"/>
    <n v="11"/>
    <x v="0"/>
    <x v="0"/>
    <x v="2"/>
    <n v="80634026"/>
    <n v="80634026"/>
    <x v="0"/>
    <x v="0"/>
    <x v="1"/>
    <x v="0"/>
    <x v="20"/>
    <s v="CENTRO DE INVESTIGACIÓN Y DESARROLLO EN INFORMACIÓN GEOGRÁFICA - CIAF"/>
    <x v="3"/>
    <s v="Diana Rocio Galindo - Jefe CIAF"/>
    <x v="3"/>
    <x v="5"/>
    <s v="Desarrollar la asistencia técnica, asesoría y/o consultoría"/>
    <s v="Entidades Asistidas"/>
    <n v="271"/>
    <d v="2021-02-15T00:00:00"/>
    <n v="7330366"/>
    <n v="58642928"/>
    <n v="58642928"/>
    <s v="MONICA CORTES"/>
    <n v="21991098"/>
    <x v="0"/>
    <n v="24454"/>
    <x v="1"/>
  </r>
  <r>
    <x v="4"/>
    <n v="26"/>
    <x v="3"/>
    <x v="3"/>
    <x v="1"/>
    <x v="1"/>
    <x v="0"/>
    <x v="5"/>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4"/>
    <x v="4"/>
    <n v="3"/>
    <x v="0"/>
    <x v="0"/>
    <x v="2"/>
    <n v="19466370"/>
    <n v="19466370"/>
    <x v="0"/>
    <x v="0"/>
    <x v="1"/>
    <x v="0"/>
    <x v="3"/>
    <s v="Oficina CIAF"/>
    <x v="3"/>
    <s v="Jefe Oficina CIAF"/>
    <x v="3"/>
    <x v="5"/>
    <s v="Desarrollar la asistencia técnica, asesoría, análisis y/o consultoría"/>
    <s v="Entidades Asistidas"/>
    <n v="588"/>
    <d v="2021-05-13T00:00:00"/>
    <n v="6488790"/>
    <n v="19466370"/>
    <n v="19466370"/>
    <s v="YESSICA NATALIA RAMIREZ YARA"/>
    <n v="0"/>
    <x v="0"/>
    <n v="24729"/>
    <x v="6"/>
  </r>
  <r>
    <x v="4"/>
    <m/>
    <x v="3"/>
    <x v="3"/>
    <x v="1"/>
    <x v="6"/>
    <x v="1"/>
    <x v="13"/>
    <x v="0"/>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2"/>
    <n v="33820360"/>
    <n v="3382036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9"/>
    <m/>
    <x v="6"/>
  </r>
  <r>
    <x v="4"/>
    <m/>
    <x v="3"/>
    <x v="3"/>
    <x v="1"/>
    <x v="6"/>
    <x v="1"/>
    <x v="4"/>
    <x v="0"/>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2"/>
    <n v="38932740"/>
    <n v="3893274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12"/>
    <m/>
    <x v="6"/>
  </r>
  <r>
    <x v="2"/>
    <n v="74"/>
    <x v="2"/>
    <x v="2"/>
    <x v="1"/>
    <x v="1"/>
    <x v="0"/>
    <x v="3"/>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0"/>
    <x v="0"/>
    <x v="2"/>
    <n v="46784176"/>
    <n v="46784176"/>
    <x v="0"/>
    <x v="5"/>
    <x v="1"/>
    <x v="1"/>
    <x v="4"/>
    <s v="Secretaría General - GIT Control Disciplinario"/>
    <x v="3"/>
    <s v="Coordinador GIT Control Disciplinario"/>
    <x v="4"/>
    <x v="6"/>
    <s v="N/A"/>
    <s v="N/A"/>
    <n v="561"/>
    <d v="2021-04-29T00:00:00"/>
    <n v="5757793"/>
    <n v="40304551"/>
    <n v="40304551"/>
    <s v="ANA MARIA VILLA ROJAS"/>
    <n v="6479625"/>
    <x v="0"/>
    <n v="24696"/>
    <x v="1"/>
  </r>
  <r>
    <x v="2"/>
    <n v="13"/>
    <x v="2"/>
    <x v="2"/>
    <x v="1"/>
    <x v="1"/>
    <x v="0"/>
    <x v="0"/>
    <x v="0"/>
    <s v="Servicios secretariales o de administración de oficinas  "/>
    <x v="0"/>
    <n v="80161501"/>
    <s v="Prestación de servicios profesionales para tramitar, impulsar y sustanciar cada una de las actuaciones de los procesos disciplinarios a nivel nacional."/>
    <x v="0"/>
    <x v="0"/>
    <n v="11"/>
    <x v="0"/>
    <x v="0"/>
    <x v="2"/>
    <n v="147035981"/>
    <n v="147035981"/>
    <x v="0"/>
    <x v="1"/>
    <x v="1"/>
    <x v="1"/>
    <x v="4"/>
    <s v="Secretaría General - GIT Control Disciplinario"/>
    <x v="3"/>
    <s v="Coordinador GIT Control Disciplinario"/>
    <x v="4"/>
    <x v="6"/>
    <s v="N/A"/>
    <s v="N/A"/>
    <n v="13"/>
    <d v="2021-01-08T00:00:00"/>
    <n v="6683453"/>
    <n v="73517983"/>
    <n v="73517983"/>
    <s v="DORIS  ROJAS URRUEGO"/>
    <n v="73517998"/>
    <x v="0"/>
    <n v="24182"/>
    <x v="1"/>
  </r>
  <r>
    <x v="2"/>
    <n v="17"/>
    <x v="2"/>
    <x v="2"/>
    <x v="1"/>
    <x v="1"/>
    <x v="0"/>
    <x v="0"/>
    <x v="0"/>
    <s v="Servicios secretariales o de administración de oficinas  "/>
    <x v="0"/>
    <n v="80161501"/>
    <s v="Prestación de servicios para apoyar las actividades relacionadas con la organización de expedientes disciplinarios"/>
    <x v="0"/>
    <x v="0"/>
    <n v="11"/>
    <x v="0"/>
    <x v="0"/>
    <x v="2"/>
    <n v="29367360"/>
    <n v="29367360"/>
    <x v="0"/>
    <x v="1"/>
    <x v="1"/>
    <x v="1"/>
    <x v="4"/>
    <s v="Secretaría General - GIT Control Disciplinario"/>
    <x v="3"/>
    <s v="Coordinador GIT Control Disciplinario"/>
    <x v="4"/>
    <x v="6"/>
    <s v="N/A"/>
    <s v="N/A"/>
    <n v="18"/>
    <d v="2021-01-08T00:00:00"/>
    <n v="2669760"/>
    <n v="29367360"/>
    <n v="29367360"/>
    <s v="LISSETH TATIANA BOBADILLA BOJACA"/>
    <n v="0"/>
    <x v="0"/>
    <n v="24176"/>
    <x v="1"/>
  </r>
  <r>
    <x v="2"/>
    <n v="15"/>
    <x v="2"/>
    <x v="2"/>
    <x v="1"/>
    <x v="1"/>
    <x v="0"/>
    <x v="0"/>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2"/>
    <n v="83053047"/>
    <n v="83053047"/>
    <x v="0"/>
    <x v="1"/>
    <x v="1"/>
    <x v="1"/>
    <x v="4"/>
    <s v="Secretaría General - GIT Control Disciplinario"/>
    <x v="3"/>
    <s v="Coordinador GIT Control Disciplinario"/>
    <x v="4"/>
    <x v="6"/>
    <s v="N/A"/>
    <s v="N/A"/>
    <n v="15"/>
    <d v="2021-01-07T00:00:00"/>
    <n v="7550276"/>
    <n v="83053036"/>
    <n v="83053036"/>
    <s v="LUIS ALFREDO AGUDELO FLOREZ"/>
    <n v="11"/>
    <x v="0"/>
    <n v="24174"/>
    <x v="1"/>
  </r>
  <r>
    <x v="2"/>
    <n v="16"/>
    <x v="2"/>
    <x v="2"/>
    <x v="1"/>
    <x v="1"/>
    <x v="0"/>
    <x v="0"/>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2"/>
    <n v="73517991"/>
    <n v="73517991"/>
    <x v="0"/>
    <x v="1"/>
    <x v="1"/>
    <x v="1"/>
    <x v="4"/>
    <s v="Secretaría General - GIT Control Disciplinario"/>
    <x v="3"/>
    <s v="Coordinador GIT Control Disciplinario"/>
    <x v="4"/>
    <x v="6"/>
    <s v="N/A"/>
    <s v="N/A"/>
    <n v="16"/>
    <d v="2021-01-25T00:00:00"/>
    <n v="6683453"/>
    <n v="73517983"/>
    <n v="73517983"/>
    <s v="NINI YOHANA MARROQUIN COLLAZOS"/>
    <n v="8"/>
    <x v="0"/>
    <n v="24240"/>
    <x v="1"/>
  </r>
  <r>
    <x v="2"/>
    <n v="18"/>
    <x v="2"/>
    <x v="2"/>
    <x v="1"/>
    <x v="1"/>
    <x v="0"/>
    <x v="0"/>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0"/>
    <x v="0"/>
    <n v="11"/>
    <x v="0"/>
    <x v="0"/>
    <x v="2"/>
    <n v="34372048"/>
    <n v="34372048"/>
    <x v="0"/>
    <x v="1"/>
    <x v="1"/>
    <x v="1"/>
    <x v="4"/>
    <s v="Secretaría General - GIT Control Disciplinario"/>
    <x v="3"/>
    <s v="Coordinador GIT Control Disciplinario"/>
    <x v="4"/>
    <x v="6"/>
    <s v="N/A"/>
    <s v="N/A"/>
    <n v="17"/>
    <d v="2021-01-07T00:00:00"/>
    <n v="3124731"/>
    <n v="34372041"/>
    <n v="34372041"/>
    <s v="SERGIO  CALDERON HERNANDEZ"/>
    <n v="7"/>
    <x v="0"/>
    <n v="24175"/>
    <x v="1"/>
  </r>
  <r>
    <x v="5"/>
    <n v="25"/>
    <x v="4"/>
    <x v="9"/>
    <x v="5"/>
    <x v="5"/>
    <x v="0"/>
    <x v="0"/>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1"/>
    <x v="1"/>
    <n v="11"/>
    <x v="0"/>
    <x v="0"/>
    <x v="2"/>
    <n v="253342879"/>
    <n v="253342879"/>
    <x v="0"/>
    <x v="0"/>
    <x v="5"/>
    <x v="0"/>
    <x v="5"/>
    <s v="Control interno"/>
    <x v="3"/>
    <s v="Jefe Oficina de Control Interno"/>
    <x v="9"/>
    <x v="22"/>
    <s v="Ejecutar el programa de auditoria"/>
    <s v="Sistema de Gestión implementado_x000a_"/>
    <n v="144"/>
    <d v="2021-01-22T00:00:00"/>
    <n v="5757793"/>
    <n v="63143797"/>
    <n v="252575188"/>
    <s v="IVAN LEONARDO RAMOS TOCARRUNCHO 24289_x000a_RUBBY LILIANA ALCAZAR CABALLERO _x000a_CARLOS ARTURO SERRANO AVILA _x000a_AURA CAROLINA ARIAS ZAMORA"/>
    <n v="767691"/>
    <x v="0"/>
    <s v="24289_x000a_24290_x000a_24291_x000a_24293"/>
    <x v="5"/>
  </r>
  <r>
    <x v="5"/>
    <n v="10"/>
    <x v="4"/>
    <x v="9"/>
    <x v="1"/>
    <x v="1"/>
    <x v="0"/>
    <x v="0"/>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0"/>
    <x v="0"/>
    <n v="11"/>
    <x v="0"/>
    <x v="0"/>
    <x v="2"/>
    <n v="56650000"/>
    <n v="56650000"/>
    <x v="0"/>
    <x v="0"/>
    <x v="1"/>
    <x v="1"/>
    <x v="8"/>
    <s v="Despacho"/>
    <x v="3"/>
    <s v="Secretaria General"/>
    <x v="4"/>
    <x v="6"/>
    <s v="N/A"/>
    <s v="N/A"/>
    <n v="55"/>
    <d v="2021-01-14T00:00:00"/>
    <n v="5000000"/>
    <n v="55000000"/>
    <n v="55000000"/>
    <s v="ANDRES MURCIA VARGAS ABOGADOS ASOCIADOS SAS"/>
    <n v="1650000"/>
    <x v="0"/>
    <n v="24215"/>
    <x v="1"/>
  </r>
  <r>
    <x v="5"/>
    <n v="95"/>
    <x v="4"/>
    <x v="9"/>
    <x v="1"/>
    <x v="1"/>
    <x v="0"/>
    <x v="5"/>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4"/>
    <x v="4"/>
    <n v="8"/>
    <x v="0"/>
    <x v="0"/>
    <x v="2"/>
    <n v="121248517"/>
    <n v="121248517"/>
    <x v="0"/>
    <x v="0"/>
    <x v="1"/>
    <x v="0"/>
    <x v="5"/>
    <s v="Dirección General"/>
    <x v="3"/>
    <s v="Directora General "/>
    <x v="9"/>
    <x v="17"/>
    <s v="Actualizar planes institucionales"/>
    <s v="Documentos de planeación realizados_x000a__x000a_Documentos de planeación con seguimientos realizados_x000a_"/>
    <n v="586"/>
    <d v="2021-05-12T00:00:00"/>
    <n v="10701546"/>
    <n v="82401904.200000003"/>
    <n v="82401904.200000003"/>
    <s v="RAFAEL MAURICIO CLAVO"/>
    <n v="38846612.799999997"/>
    <x v="0"/>
    <n v="24726"/>
    <x v="1"/>
  </r>
  <r>
    <x v="5"/>
    <n v="7"/>
    <x v="4"/>
    <x v="4"/>
    <x v="1"/>
    <x v="1"/>
    <x v="0"/>
    <x v="0"/>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1"/>
    <x v="1"/>
    <n v="315"/>
    <x v="1"/>
    <x v="0"/>
    <x v="2"/>
    <n v="43463091"/>
    <n v="4346309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2"/>
    <d v="2021-01-08T00:00:00"/>
    <n v="4139342"/>
    <n v="43463091"/>
    <n v="43463091"/>
    <s v="ALBA ESPERANZA GIRALDO VASQUEZ"/>
    <n v="0"/>
    <x v="0"/>
    <n v="24266"/>
    <x v="1"/>
  </r>
  <r>
    <x v="5"/>
    <n v="85"/>
    <x v="4"/>
    <x v="4"/>
    <x v="1"/>
    <x v="1"/>
    <x v="0"/>
    <x v="0"/>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57"/>
    <d v="2021-03-16T00:00:00"/>
    <n v="3524210"/>
    <n v="28193680"/>
    <n v="28193680"/>
    <s v="ANGIE TATIANA BERNAL SUAREZ"/>
    <n v="0"/>
    <x v="0"/>
    <n v="24599"/>
    <x v="1"/>
  </r>
  <r>
    <x v="5"/>
    <n v="3"/>
    <x v="4"/>
    <x v="4"/>
    <x v="1"/>
    <x v="1"/>
    <x v="0"/>
    <x v="0"/>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1"/>
    <x v="1"/>
    <n v="9"/>
    <x v="0"/>
    <x v="0"/>
    <x v="2"/>
    <n v="23343057"/>
    <n v="23343057"/>
    <x v="0"/>
    <x v="0"/>
    <x v="1"/>
    <x v="0"/>
    <x v="21"/>
    <s v="Oficina de Difusión y Mercadeo"/>
    <x v="3"/>
    <s v="Yira Paola Perez-Jefe de Oficina"/>
    <x v="5"/>
    <x v="7"/>
    <s v="Realizar campañas en medios digitales y/o presenciales sobre los productos y servicios que genera la entidad."/>
    <s v="Servicios de información implementados"/>
    <n v="60"/>
    <d v="2021-01-31T00:00:00"/>
    <n v="2593673"/>
    <n v="23343057"/>
    <n v="23343057"/>
    <s v="ASCENED  TRUJILLO RODRIGUEZ"/>
    <n v="0"/>
    <x v="0"/>
    <n v="24269"/>
    <x v="1"/>
  </r>
  <r>
    <x v="5"/>
    <n v="86"/>
    <x v="4"/>
    <x v="4"/>
    <x v="1"/>
    <x v="1"/>
    <x v="0"/>
    <x v="0"/>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72"/>
    <d v="2021-03-16T00:00:00"/>
    <n v="3524210"/>
    <n v="28193680"/>
    <n v="28193680"/>
    <s v="CATHERINE  GALEANO RIVERA"/>
    <n v="0"/>
    <x v="0"/>
    <n v="24608"/>
    <x v="1"/>
  </r>
  <r>
    <x v="5"/>
    <n v="89"/>
    <x v="4"/>
    <x v="4"/>
    <x v="1"/>
    <x v="1"/>
    <x v="0"/>
    <x v="2"/>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2"/>
    <n v="36239937"/>
    <n v="36239937"/>
    <x v="0"/>
    <x v="0"/>
    <x v="1"/>
    <x v="0"/>
    <x v="5"/>
    <s v="Oficina de Difusión y Mercadeo de Información "/>
    <x v="3"/>
    <s v="Jefe Oficina de Difusión y Mercadeo de Información "/>
    <x v="5"/>
    <x v="7"/>
    <s v="Generar alianzas estratégicas con diferentes entidades del sector público y privado a nivel nacional que requieran la información de la Entidad."/>
    <s v="Sistemas de información implementados"/>
    <n v="492"/>
    <d v="2021-03-17T00:00:00"/>
    <n v="4263522"/>
    <n v="36239937"/>
    <n v="36239937"/>
    <s v="CRISTIAM RAUL CALDERON MALDONADO"/>
    <n v="0"/>
    <x v="0"/>
    <n v="24629"/>
    <x v="1"/>
  </r>
  <r>
    <x v="5"/>
    <n v="1"/>
    <x v="4"/>
    <x v="4"/>
    <x v="1"/>
    <x v="1"/>
    <x v="0"/>
    <x v="0"/>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1"/>
    <n v="11"/>
    <x v="0"/>
    <x v="0"/>
    <x v="2"/>
    <n v="80634026"/>
    <n v="80634026"/>
    <x v="0"/>
    <x v="0"/>
    <x v="1"/>
    <x v="0"/>
    <x v="5"/>
    <s v="Oficina de Difusión y Mercadeo"/>
    <x v="3"/>
    <s v="Jefe Oficina de Difusión y Mercadeo de Información "/>
    <x v="5"/>
    <x v="23"/>
    <s v="Realizar seguimiento al plan de mercadeo y/o estudios priorizados por la entidad"/>
    <s v="Documentos de lineamientos técnicos"/>
    <n v="122"/>
    <d v="2021-01-08T00:00:00"/>
    <n v="7330366"/>
    <n v="80634026"/>
    <n v="80634026"/>
    <s v="DANIEL OSWALDO BUITRAGO CARRILLO"/>
    <n v="0"/>
    <x v="0"/>
    <n v="24265"/>
    <x v="1"/>
  </r>
  <r>
    <x v="5"/>
    <n v="90"/>
    <x v="4"/>
    <x v="4"/>
    <x v="1"/>
    <x v="1"/>
    <x v="0"/>
    <x v="2"/>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2"/>
    <n v="48941241"/>
    <n v="48941241"/>
    <x v="0"/>
    <x v="0"/>
    <x v="1"/>
    <x v="0"/>
    <x v="5"/>
    <s v="Oficina de Difusión y Mercadeo"/>
    <x v="3"/>
    <s v="Jefe Oficina de Difusión y Mercadeo de Información "/>
    <x v="5"/>
    <x v="7"/>
    <s v="Generar alianzas estratégicas con diferentes entidades del sector público y privado a nivel nacional que requieran la información de la Entidad."/>
    <s v="Sistemas de información implementados"/>
    <n v="486"/>
    <d v="2021-03-18T00:00:00"/>
    <n v="5757793"/>
    <n v="48941241"/>
    <n v="48941241"/>
    <s v="DIANA CAROLINA DIOSA VELASQUEZ"/>
    <n v="0"/>
    <x v="0"/>
    <n v="24623"/>
    <x v="1"/>
  </r>
  <r>
    <x v="5"/>
    <n v="91"/>
    <x v="4"/>
    <x v="4"/>
    <x v="1"/>
    <x v="1"/>
    <x v="0"/>
    <x v="2"/>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2"/>
    <n v="36402360"/>
    <n v="3640236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500"/>
    <d v="2021-03-18T00:00:00"/>
    <n v="3640236"/>
    <n v="33368830"/>
    <n v="33368830"/>
    <s v="DIANA MABEL LEON CHAMORRO"/>
    <n v="3033530"/>
    <x v="0"/>
    <n v="24634"/>
    <x v="1"/>
  </r>
  <r>
    <x v="5"/>
    <n v="12"/>
    <x v="4"/>
    <x v="4"/>
    <x v="1"/>
    <x v="1"/>
    <x v="0"/>
    <x v="0"/>
    <x v="0"/>
    <s v="Servicios de consultoría de negocios y administración corporativa"/>
    <x v="0"/>
    <n v="80101500"/>
    <s v="Prestación de servicios profesionales para diagramar y producir las piezas de comunicación interna contempladas en el plan de comunicaciones de la entidad"/>
    <x v="1"/>
    <x v="1"/>
    <n v="10"/>
    <x v="0"/>
    <x v="0"/>
    <x v="2"/>
    <n v="48314800"/>
    <n v="48314800"/>
    <x v="0"/>
    <x v="0"/>
    <x v="1"/>
    <x v="0"/>
    <x v="21"/>
    <s v="Oficina de Difusión y Mercadeo"/>
    <x v="3"/>
    <s v="Yira Paola Perez-Jefe de Oficina"/>
    <x v="5"/>
    <x v="7"/>
    <s v="Realizar campañas en medios digitales y/o presenciales sobre los productos y servicios que genera la entidad."/>
    <s v="Servicios de información implementados"/>
    <n v="65"/>
    <d v="2021-02-03T00:00:00"/>
    <n v="4831480"/>
    <n v="48314800"/>
    <n v="48314800"/>
    <s v="DIEGO HENAN LINARES AROCA"/>
    <n v="0"/>
    <x v="0"/>
    <n v="24280"/>
    <x v="1"/>
  </r>
  <r>
    <x v="5"/>
    <n v="84"/>
    <x v="4"/>
    <x v="4"/>
    <x v="1"/>
    <x v="1"/>
    <x v="0"/>
    <x v="2"/>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2"/>
    <n v="36402360"/>
    <n v="36402360"/>
    <x v="0"/>
    <x v="0"/>
    <x v="1"/>
    <x v="0"/>
    <x v="5"/>
    <s v="Oficina de Difusión y Mercadeo"/>
    <x v="3"/>
    <s v="Jefe Oficina de Difusión y Mercadeo de Información "/>
    <x v="5"/>
    <x v="23"/>
    <s v="Realizar el plan de mercadeo y/o estudios priorizados por la entidad"/>
    <s v="Documentos de lineamientos técnicos"/>
    <n v="462"/>
    <d v="2021-03-16T00:00:00"/>
    <n v="3640236"/>
    <n v="36402360"/>
    <n v="36402360"/>
    <s v="ELVER ALEXANDER PINEDA"/>
    <n v="0"/>
    <x v="0"/>
    <n v="24603"/>
    <x v="1"/>
  </r>
  <r>
    <x v="5"/>
    <n v="2"/>
    <x v="4"/>
    <x v="4"/>
    <x v="1"/>
    <x v="1"/>
    <x v="0"/>
    <x v="0"/>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1"/>
    <x v="1"/>
    <n v="315"/>
    <x v="1"/>
    <x v="0"/>
    <x v="2"/>
    <n v="58695945"/>
    <n v="58695945"/>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66"/>
    <d v="2021-01-08T00:00:00"/>
    <n v="5590090"/>
    <n v="58695945"/>
    <n v="58695945"/>
    <s v="HELBERT MAURICIO SANCHEZ CIFUENTES"/>
    <n v="0"/>
    <x v="0"/>
    <n v="24281"/>
    <x v="1"/>
  </r>
  <r>
    <x v="5"/>
    <n v="96"/>
    <x v="4"/>
    <x v="4"/>
    <x v="1"/>
    <x v="1"/>
    <x v="0"/>
    <x v="5"/>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4"/>
    <x v="4"/>
    <n v="212"/>
    <x v="1"/>
    <x v="0"/>
    <x v="2"/>
    <n v="91574258"/>
    <n v="91574258"/>
    <x v="0"/>
    <x v="0"/>
    <x v="1"/>
    <x v="0"/>
    <x v="5"/>
    <s v="Oficina de Difusión y Mercadeo"/>
    <x v="3"/>
    <s v="Jefe Oficina de Difusión y Mercadeo de Información "/>
    <x v="5"/>
    <x v="7"/>
    <s v="Ampliar y/o actualizar la oferta de los productos de la entidad atráves de: biblioteca virtual, tienda virtual y del ecosistema digital. "/>
    <s v="Sistemas de información implementados"/>
    <n v="587"/>
    <d v="2021-05-13T00:00:00"/>
    <n v="12958621"/>
    <n v="91574255.066666663"/>
    <n v="91574255.066666663"/>
    <s v="JOHN FERNEY ORTIZ BONILLA"/>
    <n v="2.9333333373069763"/>
    <x v="0"/>
    <n v="24728"/>
    <x v="6"/>
  </r>
  <r>
    <x v="5"/>
    <n v="58"/>
    <x v="4"/>
    <x v="4"/>
    <x v="1"/>
    <x v="1"/>
    <x v="0"/>
    <x v="7"/>
    <x v="0"/>
    <s v="Servicios de consultoría de negocios y administración corporativa"/>
    <x v="0"/>
    <n v="80101500"/>
    <s v="Prestación de servicios profesionales para difundir, promocionar y comercializar los productos y servicios del IGAC a nivel Nacional. "/>
    <x v="1"/>
    <x v="1"/>
    <n v="11"/>
    <x v="0"/>
    <x v="0"/>
    <x v="2"/>
    <n v="54740664"/>
    <n v="54740664"/>
    <x v="0"/>
    <x v="0"/>
    <x v="1"/>
    <x v="0"/>
    <x v="5"/>
    <s v="Oficina de Difusión y Mercadeo de Información "/>
    <x v="3"/>
    <s v="Yira Paola Perez-Jefe de Oficina"/>
    <x v="5"/>
    <x v="7"/>
    <s v="Generar alianzas estratégicas con diferentes entidades del sector público y privado a nivel nacional que requieran la información de la Entidad. "/>
    <s v="Sistemas de información implementados"/>
    <n v="291"/>
    <d v="2021-02-16T00:00:00"/>
    <n v="4976424"/>
    <n v="54740664"/>
    <n v="54740664"/>
    <s v="LEYDI LOZANO"/>
    <n v="0"/>
    <x v="0"/>
    <n v="24455"/>
    <x v="1"/>
  </r>
  <r>
    <x v="5"/>
    <n v="4"/>
    <x v="4"/>
    <x v="4"/>
    <x v="1"/>
    <x v="1"/>
    <x v="0"/>
    <x v="0"/>
    <x v="0"/>
    <s v="Servicios de consultoría de negocios y administración corporativa"/>
    <x v="0"/>
    <n v="80101500"/>
    <s v="Prestación de servicios profesionales para ejecutar la estrategia de comunicaciones externas de la entidad y la redacción, desarrollo y revisión de contenidos editoriales."/>
    <x v="1"/>
    <x v="1"/>
    <n v="11"/>
    <x v="0"/>
    <x v="0"/>
    <x v="2"/>
    <n v="92997806"/>
    <n v="92997806"/>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4"/>
    <d v="2021-01-08T00:00:00"/>
    <n v="8454346"/>
    <n v="92997806"/>
    <n v="92997806"/>
    <s v="MARIA ALEJANDRA SANCHEZ"/>
    <n v="0"/>
    <x v="0"/>
    <n v="24282"/>
    <x v="1"/>
  </r>
  <r>
    <x v="5"/>
    <n v="83"/>
    <x v="4"/>
    <x v="4"/>
    <x v="1"/>
    <x v="1"/>
    <x v="0"/>
    <x v="2"/>
    <x v="0"/>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2"/>
    <n v="29417800"/>
    <n v="29417800"/>
    <x v="0"/>
    <x v="0"/>
    <x v="1"/>
    <x v="0"/>
    <x v="5"/>
    <s v="Oficina de Difusión y Mercadeo"/>
    <x v="3"/>
    <s v="Jefe Oficina de Difusión y Mercadeo de Información "/>
    <x v="5"/>
    <x v="23"/>
    <s v="Realizar el plan de mercadeo y/o estudios priorizados por la entidad"/>
    <s v="Documentos de lineamientos técnicos"/>
    <n v="461"/>
    <d v="2021-03-16T00:00:00"/>
    <n v="2941780"/>
    <n v="29417800"/>
    <n v="29417800"/>
    <s v="MARIA CAMILA PALOMARES"/>
    <n v="0"/>
    <x v="0"/>
    <n v="24601"/>
    <x v="1"/>
  </r>
  <r>
    <x v="5"/>
    <n v="8"/>
    <x v="4"/>
    <x v="4"/>
    <x v="1"/>
    <x v="1"/>
    <x v="0"/>
    <x v="0"/>
    <x v="0"/>
    <s v="Servicios de consultoría de negocios y administración corporativa"/>
    <x v="0"/>
    <n v="80101500"/>
    <s v="Prestación de servicios profesionales para la realización y registro de productos audiovisuales en las actividades y eventos del IGAC."/>
    <x v="1"/>
    <x v="1"/>
    <n v="315"/>
    <x v="1"/>
    <x v="0"/>
    <x v="2"/>
    <n v="58695945"/>
    <n v="58695945"/>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30"/>
    <d v="2021-01-08T00:00:00"/>
    <n v="5590090"/>
    <n v="58695945"/>
    <n v="58695945"/>
    <s v="MARIA CAMILA RODRIGUEZ GARZON"/>
    <n v="0"/>
    <x v="0"/>
    <n v="24310"/>
    <x v="1"/>
  </r>
  <r>
    <x v="5"/>
    <n v="39"/>
    <x v="4"/>
    <x v="4"/>
    <x v="1"/>
    <x v="1"/>
    <x v="0"/>
    <x v="1"/>
    <x v="0"/>
    <s v="Servicios de consultoría de negocios y administración corporativa"/>
    <x v="0"/>
    <n v="80101500"/>
    <s v="Prestación de servicios profesionales para generar informes de ventas y  garantizar la calidad y entrega oportuna de los productos y servicios ofertados por el Instituto."/>
    <x v="1"/>
    <x v="1"/>
    <n v="11"/>
    <x v="0"/>
    <x v="0"/>
    <x v="2"/>
    <n v="63335723"/>
    <n v="63335723"/>
    <x v="0"/>
    <x v="0"/>
    <x v="1"/>
    <x v="0"/>
    <x v="21"/>
    <s v="Oficina de Difusión y Mercadeo"/>
    <x v="3"/>
    <s v="Yira Paola Perez-Jefe de Oficina"/>
    <x v="5"/>
    <x v="7"/>
    <s v="Diseñar y divulgar diferentes contenidos digitales, análogos  y de apoyo a los servicios requeridos por los usuarios. "/>
    <s v="Servicios de información implementados"/>
    <n v="202"/>
    <d v="2021-02-08T00:00:00"/>
    <n v="5757793"/>
    <n v="61416459"/>
    <n v="61416459"/>
    <s v="MARIA CONSTANZA MESIAS"/>
    <n v="1919264"/>
    <x v="0"/>
    <n v="24391"/>
    <x v="1"/>
  </r>
  <r>
    <x v="5"/>
    <n v="5"/>
    <x v="4"/>
    <x v="4"/>
    <x v="1"/>
    <x v="1"/>
    <x v="0"/>
    <x v="0"/>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1"/>
    <n v="11"/>
    <x v="0"/>
    <x v="0"/>
    <x v="2"/>
    <n v="53146280"/>
    <n v="53146280"/>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3"/>
    <d v="2021-01-08T00:00:00"/>
    <n v="4831480"/>
    <n v="53146280"/>
    <n v="53146280"/>
    <s v="MELANIE PAOLA PEREZ NARVAEZ"/>
    <n v="0"/>
    <x v="0"/>
    <n v="24283"/>
    <x v="1"/>
  </r>
  <r>
    <x v="5"/>
    <m/>
    <x v="4"/>
    <x v="4"/>
    <x v="1"/>
    <x v="6"/>
    <x v="1"/>
    <x v="5"/>
    <x v="0"/>
    <s v="Software de servidor de autenticación"/>
    <x v="0"/>
    <n v="43233201"/>
    <s v="Adquisición Firma Digital"/>
    <x v="5"/>
    <x v="5"/>
    <n v="2"/>
    <x v="0"/>
    <x v="1"/>
    <x v="2"/>
    <n v="5000000"/>
    <n v="5000000"/>
    <x v="0"/>
    <x v="1"/>
    <x v="1"/>
    <x v="0"/>
    <x v="5"/>
    <s v="Oficina de Difusión y Mercadeo"/>
    <x v="3"/>
    <s v="Jefe Oficina de Difusión y Mercadeo de Información"/>
    <x v="5"/>
    <x v="7"/>
    <s v="Diseñar y divulgar diferentes contenidos digitales, análogos  y de apoyo a los servicios requeridos por los usuarios internos y externos. "/>
    <s v="Sistemas de información implementados"/>
    <m/>
    <m/>
    <e v="#N/A"/>
    <e v="#N/A"/>
    <e v="#N/A"/>
    <m/>
    <n v="0"/>
    <x v="0"/>
    <m/>
    <x v="6"/>
  </r>
  <r>
    <x v="6"/>
    <m/>
    <x v="5"/>
    <x v="5"/>
    <x v="1"/>
    <x v="6"/>
    <x v="1"/>
    <x v="11"/>
    <x v="0"/>
    <s v="Cartografía"/>
    <x v="0"/>
    <n v="81151600"/>
    <s v="Realizar el  mantenimiento, patronamiento y verificación de equipos geodésicos para el fortalecimiento de la red activa, red magna eco y red de nivelación nacional."/>
    <x v="8"/>
    <x v="8"/>
    <n v="5"/>
    <x v="0"/>
    <x v="5"/>
    <x v="2"/>
    <n v="57121940"/>
    <n v="57121940"/>
    <x v="0"/>
    <x v="0"/>
    <x v="1"/>
    <x v="0"/>
    <x v="6"/>
    <s v="Subdirección de Geografía y Cartografía "/>
    <x v="5"/>
    <s v="Subdirector de Geografía y Cartografía "/>
    <x v="6"/>
    <x v="11"/>
    <s v="Densificar el marco de referencia terrestre"/>
    <s v="Puntos Geodésicos Materializados"/>
    <m/>
    <m/>
    <e v="#N/A"/>
    <e v="#N/A"/>
    <e v="#N/A"/>
    <m/>
    <n v="0"/>
    <x v="0"/>
    <m/>
    <x v="6"/>
  </r>
  <r>
    <x v="6"/>
    <m/>
    <x v="5"/>
    <x v="5"/>
    <x v="1"/>
    <x v="6"/>
    <x v="1"/>
    <x v="13"/>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0"/>
    <x v="0"/>
    <x v="2"/>
    <n v="550000000"/>
    <n v="550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9"/>
    <x v="0"/>
    <s v="Placa de acero inoxidable"/>
    <x v="1"/>
    <n v="30102205"/>
    <s v="Adquisición de placas metálicas para materialización de puntos geodésicos."/>
    <x v="7"/>
    <x v="7"/>
    <n v="3"/>
    <x v="0"/>
    <x v="1"/>
    <x v="2"/>
    <n v="10000000"/>
    <n v="10000000"/>
    <x v="0"/>
    <x v="0"/>
    <x v="1"/>
    <x v="0"/>
    <x v="6"/>
    <s v="Subdirección de Geografía y Cartografía "/>
    <x v="5"/>
    <s v="Subdirector de Geografía y Cartografía "/>
    <x v="6"/>
    <x v="11"/>
    <s v="Densificar el marco de referencia terrestre"/>
    <s v="Puntos Geodésicos Materializados"/>
    <m/>
    <m/>
    <e v="#N/A"/>
    <e v="#N/A"/>
    <e v="#N/A"/>
    <m/>
    <n v="0"/>
    <x v="0"/>
    <m/>
    <x v="6"/>
  </r>
  <r>
    <x v="6"/>
    <n v="58"/>
    <x v="5"/>
    <x v="5"/>
    <x v="7"/>
    <x v="9"/>
    <x v="0"/>
    <x v="1"/>
    <x v="0"/>
    <s v="Cartografía"/>
    <x v="0"/>
    <n v="81151600"/>
    <s v="Prestación de servicios para elaborar mapas y demás insumos a diferentes escalas, de conformidad con las especificaciones técnicas y rendimientos establecidos"/>
    <x v="2"/>
    <x v="2"/>
    <n v="10"/>
    <x v="0"/>
    <x v="0"/>
    <x v="2"/>
    <n v="388763100"/>
    <n v="388763100"/>
    <x v="0"/>
    <x v="0"/>
    <x v="8"/>
    <x v="0"/>
    <x v="6"/>
    <s v="Subdirección de Geografía y Cartografía "/>
    <x v="5"/>
    <s v="Subdirector de Geografía y Cartografía "/>
    <x v="6"/>
    <x v="10"/>
    <s v="Generar insumos y/o productos cartográficos"/>
    <s v="Cartografía escalas Medianas generada (1:10,000, 1:25,000)"/>
    <n v="437"/>
    <d v="2021-03-05T00:00:00"/>
    <n v="3640236"/>
    <n v="34582242"/>
    <n v="311240178"/>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0"/>
  </r>
  <r>
    <x v="6"/>
    <n v="62"/>
    <x v="5"/>
    <x v="5"/>
    <x v="3"/>
    <x v="3"/>
    <x v="0"/>
    <x v="7"/>
    <x v="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2"/>
    <n v="116798220"/>
    <n v="116798220"/>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35"/>
    <d v="2021-03-09T00:00:00"/>
    <n v="6683454"/>
    <n v="38764033"/>
    <n v="116292099"/>
    <s v=" UBEIMAR JOSE MARTINEZ SIERRA _x000a_NADEZHDY GINOVA HORTUA CORTÉS_x000a_MAURICIO MESA"/>
    <n v="506121"/>
    <x v="0"/>
    <s v="24569_x000a_24570_x000a_24637"/>
    <x v="3"/>
  </r>
  <r>
    <x v="6"/>
    <n v="33"/>
    <x v="5"/>
    <x v="5"/>
    <x v="1"/>
    <x v="1"/>
    <x v="0"/>
    <x v="12"/>
    <x v="0"/>
    <s v="Fotogrametría"/>
    <x v="0"/>
    <n v="81151603"/>
    <s v="Prestación de servicios para el copiado, control  y organización de información resultante de los procesos de la subdirección"/>
    <x v="1"/>
    <x v="1"/>
    <n v="11"/>
    <x v="0"/>
    <x v="0"/>
    <x v="2"/>
    <n v="31417067"/>
    <n v="31417067"/>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43"/>
    <s v="_x000a_4/03/2021"/>
    <n v="2941780"/>
    <n v="28927503"/>
    <n v="28927503"/>
    <s v="_x000a_MONICA SOFIA RONCANCIO BLANCO"/>
    <n v="2489564"/>
    <x v="0"/>
    <n v="24563"/>
    <x v="1"/>
  </r>
  <r>
    <x v="6"/>
    <n v="19"/>
    <x v="5"/>
    <x v="5"/>
    <x v="1"/>
    <x v="1"/>
    <x v="0"/>
    <x v="1"/>
    <x v="0"/>
    <s v="Cartografía"/>
    <x v="0"/>
    <n v="81151600"/>
    <s v="Prestación de servicios para gestionar y orientar el cumplimiento de los proyectos liderados por la Subdirección de Geografía y Cartografía"/>
    <x v="1"/>
    <x v="1"/>
    <n v="11"/>
    <x v="0"/>
    <x v="0"/>
    <x v="2"/>
    <n v="117717006"/>
    <n v="117717006"/>
    <x v="0"/>
    <x v="0"/>
    <x v="1"/>
    <x v="0"/>
    <x v="6"/>
    <s v="Subdirección de Geografía y Cartografía "/>
    <x v="5"/>
    <s v="Subdirector de Geografía y Cartografía "/>
    <x v="6"/>
    <x v="11"/>
    <s v="Densificar el marco de referencia terrestre"/>
    <s v="Puntos Geodésicos Materializados"/>
    <n v="131"/>
    <d v="2021-02-04T00:00:00"/>
    <n v="11022592"/>
    <n v="117574315"/>
    <n v="117574315"/>
    <s v="ADRIANA PACHON LOZANO"/>
    <n v="142691"/>
    <x v="0"/>
    <n v="24359"/>
    <x v="1"/>
  </r>
  <r>
    <x v="6"/>
    <n v="35"/>
    <x v="5"/>
    <x v="5"/>
    <x v="3"/>
    <x v="3"/>
    <x v="0"/>
    <x v="7"/>
    <x v="0"/>
    <s v="Cartografía"/>
    <x v="0"/>
    <n v="81151600"/>
    <s v="Prestación de servicios para apoyar la generación de ortoimágenes a diferentes escalas, de conformidad con las especificaciones técnicas y rendimientos establecidos."/>
    <x v="1"/>
    <x v="1"/>
    <n v="10"/>
    <x v="0"/>
    <x v="0"/>
    <x v="2"/>
    <n v="80144490"/>
    <n v="80144490"/>
    <x v="0"/>
    <x v="0"/>
    <x v="3"/>
    <x v="0"/>
    <x v="6"/>
    <s v="Subdirección de Geografía y Cartografía "/>
    <x v="5"/>
    <s v="Subdirector de Geografía y Cartografía "/>
    <x v="6"/>
    <x v="10"/>
    <s v="Generar insumos y/o productos cartográficos"/>
    <s v="Cartografía escalas Medianas generada (1:10,000, 1:25,000)"/>
    <n v="300"/>
    <d v="2021-02-12T00:00:00"/>
    <n v="2671483"/>
    <n v="26714830"/>
    <n v="80144490"/>
    <s v="ÁNGELA MELISA CALLEJAS GARCÉS_x000a_MIKE ALEJANDRO LAVADO BARÓN _x000a_JOHN ALEJANDRO SEGURA TRIANA"/>
    <n v="0"/>
    <x v="0"/>
    <s v="24471_x000a_24474_x000a_24475_x000a_"/>
    <x v="3"/>
  </r>
  <r>
    <x v="6"/>
    <n v="38"/>
    <x v="5"/>
    <x v="5"/>
    <x v="5"/>
    <x v="5"/>
    <x v="0"/>
    <x v="1"/>
    <x v="0"/>
    <s v="Cartografía"/>
    <x v="0"/>
    <n v="81151600"/>
    <s v="Prestación de servicios para la generación e integración de modelos digitales de elevación, de conformidad con las especificaciones técnicas y rendimientos establecidos."/>
    <x v="1"/>
    <x v="1"/>
    <n v="11"/>
    <x v="0"/>
    <x v="0"/>
    <x v="2"/>
    <n v="194381550"/>
    <n v="194381550"/>
    <x v="0"/>
    <x v="0"/>
    <x v="5"/>
    <x v="0"/>
    <x v="6"/>
    <s v="Subdirección de Geografía y Cartografía "/>
    <x v="5"/>
    <s v="Subdirector de Geografía y Cartografía "/>
    <x v="6"/>
    <x v="10"/>
    <s v="Generar insumos y/o productos cartográficos"/>
    <s v="Cartografía escalas Medianas generada (1:10,000, 1:25,000)"/>
    <n v="272"/>
    <d v="2021-02-15T00:00:00"/>
    <n v="3640236"/>
    <n v="37615772"/>
    <n v="150463088"/>
    <s v="CAROLINA SILVA TORRES_x000a_ JUAN PABLO RODRIGUEZ RODRÍGUEZ_x000a_NATALI RODRIGUEZ ROJAS _x000a_ PABLO ARTURO MONTENEGRO CANO"/>
    <n v="43918462"/>
    <x v="0"/>
    <s v="24441_x000a_24444_x000a_24446_x000a_24447_x000a_"/>
    <x v="5"/>
  </r>
  <r>
    <x v="6"/>
    <n v="66"/>
    <x v="5"/>
    <x v="5"/>
    <x v="1"/>
    <x v="1"/>
    <x v="0"/>
    <x v="3"/>
    <x v="0"/>
    <s v="Cartografía"/>
    <x v="0"/>
    <n v="81151600"/>
    <s v="Prestación de servicios para gestionar desde el componente administrativo, procesos y proyectos misionales de la Subdirección de Geografía y Cartografía."/>
    <x v="2"/>
    <x v="2"/>
    <n v="10"/>
    <x v="0"/>
    <x v="0"/>
    <x v="2"/>
    <n v="31247320"/>
    <n v="31247320"/>
    <x v="0"/>
    <x v="0"/>
    <x v="1"/>
    <x v="0"/>
    <x v="6"/>
    <s v="Subdirección de Geografía y Cartografía "/>
    <x v="5"/>
    <s v="Subdirector de Geografía y Cartografía "/>
    <x v="6"/>
    <x v="10"/>
    <s v="Generar insumos y/o productos cartográficos"/>
    <s v="Cartografía escalas Medianas generada (1:10,000, 1:25,000)"/>
    <n v="456"/>
    <d v="2021-03-15T00:00:00"/>
    <n v="3124732"/>
    <n v="29164165"/>
    <n v="29164165"/>
    <s v="CINDY JINETH FLOREZ MOLINA"/>
    <n v="2083155"/>
    <x v="0"/>
    <n v="24596"/>
    <x v="1"/>
  </r>
  <r>
    <x v="6"/>
    <n v="28"/>
    <x v="5"/>
    <x v="5"/>
    <x v="1"/>
    <x v="1"/>
    <x v="0"/>
    <x v="1"/>
    <x v="0"/>
    <s v="Cartografía"/>
    <x v="0"/>
    <n v="81151600"/>
    <s v="Prestación de servicios profesionales para la gestión, análisis y respuesta oportuna asociada con los procesos y proyectos de la Subdirección"/>
    <x v="1"/>
    <x v="1"/>
    <n v="10"/>
    <x v="0"/>
    <x v="0"/>
    <x v="2"/>
    <n v="84543460"/>
    <n v="84543460"/>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DANIEL OJEDA  CRUZ"/>
    <n v="76093"/>
    <x v="0"/>
    <n v="24409"/>
    <x v="1"/>
  </r>
  <r>
    <x v="6"/>
    <n v="60"/>
    <x v="5"/>
    <x v="5"/>
    <x v="5"/>
    <x v="5"/>
    <x v="0"/>
    <x v="3"/>
    <x v="0"/>
    <s v="Cartografía"/>
    <x v="0"/>
    <n v="81151600"/>
    <s v="Prestacion de servicios para estructurar, integrar y validar la cartografía para los estudios y/o investigaciones geográficas asignadas"/>
    <x v="2"/>
    <x v="2"/>
    <n v="285"/>
    <x v="1"/>
    <x v="0"/>
    <x v="2"/>
    <n v="138328968"/>
    <n v="138328968"/>
    <x v="0"/>
    <x v="0"/>
    <x v="5"/>
    <x v="0"/>
    <x v="6"/>
    <s v="Subdirección de Geografía y Cartografía "/>
    <x v="3"/>
    <s v="Subdirector de Geografía y Cartografía "/>
    <x v="6"/>
    <x v="10"/>
    <s v="Generar insumos y/o productos cartográficos"/>
    <s v="Cartografía escalas Medianas generada (1:10,000, 1:25,000)"/>
    <n v="419"/>
    <d v="2021-03-08T00:00:00"/>
    <n v="3640236"/>
    <n v="34582242"/>
    <n v="138328968"/>
    <s v="DANIEL STEVEN MOLINA MONTAÑEZ_x000a_DAVID ALEJANDRO ORTEGA GONZÁLEZ_x000a_KAREN TATIANA DUARTE JIMENEZ _x000a_LADY CATTERINE MORENO RAMÍREZ "/>
    <n v="0"/>
    <x v="0"/>
    <s v="24564_x000a_24565_x000a_24566_x000a_24567"/>
    <x v="5"/>
  </r>
  <r>
    <x v="6"/>
    <n v="2"/>
    <x v="5"/>
    <x v="5"/>
    <x v="1"/>
    <x v="1"/>
    <x v="0"/>
    <x v="0"/>
    <x v="0"/>
    <s v="Cartografía"/>
    <x v="0"/>
    <n v="81151600"/>
    <s v="Prestación de servicios para la  gestión e integración de productos y aplicaciones de la subdirección de geografía y cartografía "/>
    <x v="0"/>
    <x v="0"/>
    <n v="10"/>
    <x v="0"/>
    <x v="0"/>
    <x v="2"/>
    <n v="169086920"/>
    <n v="169086920"/>
    <x v="0"/>
    <x v="0"/>
    <x v="1"/>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41"/>
    <d v="2021-01-15T00:00:00"/>
    <n v="8707976"/>
    <n v="84467367"/>
    <n v="84467367"/>
    <s v="DAVID HERNANDO BELLO LADINO"/>
    <n v="84619553"/>
    <x v="0"/>
    <n v="24202"/>
    <x v="1"/>
  </r>
  <r>
    <x v="6"/>
    <n v="32"/>
    <x v="5"/>
    <x v="5"/>
    <x v="1"/>
    <x v="1"/>
    <x v="0"/>
    <x v="1"/>
    <x v="0"/>
    <s v="Servicios de formación profesional en ingeniería"/>
    <x v="0"/>
    <n v="86101610"/>
    <s v="Prestación de servicios para  la preparación y trámite de información requerida para el desarrollo de los proyectos."/>
    <x v="1"/>
    <x v="1"/>
    <n v="11"/>
    <x v="0"/>
    <x v="0"/>
    <x v="2"/>
    <n v="38876310"/>
    <n v="38876310"/>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38"/>
    <d v="2021-02-11T00:00:00"/>
    <n v="3640236"/>
    <n v="37615772"/>
    <n v="37615772"/>
    <s v="DELY  JOAN  DELGADO SALINAS"/>
    <n v="1260538"/>
    <x v="0"/>
    <n v="24414"/>
    <x v="1"/>
  </r>
  <r>
    <x v="6"/>
    <n v="64"/>
    <x v="5"/>
    <x v="5"/>
    <x v="0"/>
    <x v="0"/>
    <x v="0"/>
    <x v="3"/>
    <x v="0"/>
    <s v="Cartografía"/>
    <x v="0"/>
    <n v="81151600"/>
    <s v="Prestación de servicios para la captura de coordenadas, compilación toponímica y demás procesos en campo, de acuerdo con las especificaciones de conformidad con los lineamientos establecidos."/>
    <x v="2"/>
    <x v="2"/>
    <n v="10"/>
    <x v="0"/>
    <x v="0"/>
    <x v="2"/>
    <n v="53429660"/>
    <n v="53429660"/>
    <x v="0"/>
    <x v="0"/>
    <x v="0"/>
    <x v="0"/>
    <x v="6"/>
    <s v="Subdirección de Geografía y Cartografía "/>
    <x v="5"/>
    <s v="Subdirector de Geografía y Cartografía "/>
    <x v="6"/>
    <x v="11"/>
    <s v="Densificar el marco de referencia terrestre"/>
    <s v="Puntos Geodésicos Materializados"/>
    <n v="454"/>
    <d v="2021-03-10T00:00:00"/>
    <n v="2671483"/>
    <n v="25379089"/>
    <n v="50758178"/>
    <s v="DUVÁN DARIO TAVERA BERMÚDEZ  _x000a_ARELIS MONTENEGRO MENDIETA "/>
    <n v="2671482"/>
    <x v="0"/>
    <s v="24591_x000a_24592"/>
    <x v="0"/>
  </r>
  <r>
    <x v="6"/>
    <n v="29"/>
    <x v="5"/>
    <x v="5"/>
    <x v="1"/>
    <x v="1"/>
    <x v="0"/>
    <x v="1"/>
    <x v="0"/>
    <s v="Cartografía"/>
    <x v="0"/>
    <n v="81151600"/>
    <s v="Prestación de servicios para gestionar los requerimientos y procesos jurídicos que lidere la subdirección de geografía y cartografía"/>
    <x v="1"/>
    <x v="1"/>
    <n v="11"/>
    <x v="0"/>
    <x v="0"/>
    <x v="2"/>
    <n v="80634026"/>
    <n v="80634026"/>
    <x v="0"/>
    <x v="0"/>
    <x v="1"/>
    <x v="0"/>
    <x v="6"/>
    <s v="Subdirección de Geografía y Cartografía "/>
    <x v="5"/>
    <s v="Subdirector de Geografía y Cartografía "/>
    <x v="6"/>
    <x v="10"/>
    <s v="Generar insumos y/o productos cartográficos"/>
    <s v="Cartografía escalas Medianas generada (1:10,000, 1:25,000)"/>
    <n v="218"/>
    <d v="2021-02-09T00:00:00"/>
    <n v="7550277"/>
    <n v="79277909"/>
    <n v="79277909"/>
    <s v="EDGAR CAMILO GUTIÉRREZ RODRÍGUEZ"/>
    <n v="1356117"/>
    <x v="0"/>
    <n v="24408"/>
    <x v="1"/>
  </r>
  <r>
    <x v="6"/>
    <n v="53"/>
    <x v="5"/>
    <x v="5"/>
    <x v="1"/>
    <x v="1"/>
    <x v="0"/>
    <x v="0"/>
    <x v="0"/>
    <s v="Servicios de implementación de aplicaciones"/>
    <x v="0"/>
    <n v="81111508"/>
    <s v="Prestación de servicios para procesar y analizar información geográfica requerida para los estudios e investigaciones asignadas."/>
    <x v="1"/>
    <x v="1"/>
    <n v="255"/>
    <x v="1"/>
    <x v="0"/>
    <x v="2"/>
    <n v="24276825"/>
    <n v="24276825"/>
    <x v="0"/>
    <x v="0"/>
    <x v="1"/>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5"/>
    <d v="2021-02-23T00:00:00"/>
    <n v="2941780"/>
    <n v="24220655"/>
    <n v="24220655"/>
    <s v="FERNANDO ANDRES DIAZ"/>
    <n v="56170"/>
    <x v="0"/>
    <n v="24548"/>
    <x v="1"/>
  </r>
  <r>
    <x v="6"/>
    <n v="71"/>
    <x v="5"/>
    <x v="5"/>
    <x v="1"/>
    <x v="1"/>
    <x v="0"/>
    <x v="3"/>
    <x v="0"/>
    <s v="Servicios de mantenimiento y reparación de instalación de máquinas"/>
    <x v="0"/>
    <n v="72151800"/>
    <s v="Realizar el mantenimiento de los escáneres fotogramétricos del IGAC."/>
    <x v="2"/>
    <x v="2"/>
    <n v="10"/>
    <x v="0"/>
    <x v="0"/>
    <x v="2"/>
    <n v="218640604"/>
    <n v="218640604"/>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GTBIBERICA"/>
    <n v="0"/>
    <x v="0"/>
    <n v="24642"/>
    <x v="1"/>
  </r>
  <r>
    <x v="6"/>
    <n v="51"/>
    <x v="5"/>
    <x v="5"/>
    <x v="3"/>
    <x v="3"/>
    <x v="0"/>
    <x v="0"/>
    <x v="0"/>
    <s v="Cartografía"/>
    <x v="0"/>
    <n v="81151600"/>
    <s v="Prestación de servicios para elaborar los mapas temáticos y salidas gráficas requeridas para los estudios y/o investigaciones geográficas asignadas, de conformidad con los lineamientos técnicos."/>
    <x v="1"/>
    <x v="1"/>
    <n v="255"/>
    <x v="1"/>
    <x v="0"/>
    <x v="2"/>
    <n v="66138662"/>
    <n v="66138662"/>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3"/>
    <d v="2021-02-23T00:00:00"/>
    <n v="2671483"/>
    <n v="21995210"/>
    <n v="65985630"/>
    <s v="HUGO ALBEIRO GARAY SOTO_x000a_NATALIA LORENA MONTOYA PAEZ _x000a_NATHALIA RODRIGUEZ BERMUDEZ"/>
    <n v="153032"/>
    <x v="0"/>
    <s v="24541_x000a_24542_x000a_24546"/>
    <x v="3"/>
  </r>
  <r>
    <x v="6"/>
    <n v="44"/>
    <x v="5"/>
    <x v="5"/>
    <x v="6"/>
    <x v="8"/>
    <x v="0"/>
    <x v="1"/>
    <x v="0"/>
    <s v="Cartografía"/>
    <x v="0"/>
    <n v="81151600"/>
    <s v="Prestación de servicios para implementar y optimizar los procesos de aseguramiento de la calidad de productos cartográficos, de conformidad con las especificaciones técnicas y rendimientos establecidos."/>
    <x v="1"/>
    <x v="1"/>
    <n v="10"/>
    <x v="0"/>
    <x v="0"/>
    <x v="2"/>
    <n v="212052600"/>
    <n v="212052600"/>
    <x v="0"/>
    <x v="0"/>
    <x v="7"/>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71"/>
    <d v="2021-02-19T00:00:00"/>
    <n v="3640236"/>
    <n v="35310289"/>
    <n v="211861734"/>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r>
  <r>
    <x v="6"/>
    <n v="70"/>
    <x v="5"/>
    <x v="5"/>
    <x v="1"/>
    <x v="1"/>
    <x v="0"/>
    <x v="3"/>
    <x v="0"/>
    <s v="Cartografía"/>
    <x v="0"/>
    <n v="81151600"/>
    <s v="Prestación de servicios para apoyar la gestión logística de la Subdirección de Geografía y Cartografía"/>
    <x v="2"/>
    <x v="2"/>
    <n v="10"/>
    <x v="0"/>
    <x v="0"/>
    <x v="2"/>
    <n v="26714830"/>
    <n v="26714830"/>
    <x v="0"/>
    <x v="0"/>
    <x v="1"/>
    <x v="0"/>
    <x v="6"/>
    <s v="Subdirección de Geografía y Cartografía "/>
    <x v="5"/>
    <s v="Subdirector de Geografía y Cartografía "/>
    <x v="6"/>
    <x v="10"/>
    <s v="Generar insumos y/o productos cartográficos"/>
    <s v="Cartografía escalas Medianas generada (1:10,000, 1:25,000)"/>
    <n v="506"/>
    <d v="2021-03-24T00:00:00"/>
    <n v="2671483"/>
    <n v="24132396"/>
    <n v="24132396"/>
    <s v="JULIE ALEXANDRA PARRA SANTA"/>
    <n v="2582434"/>
    <x v="0"/>
    <n v="24639"/>
    <x v="1"/>
  </r>
  <r>
    <x v="6"/>
    <n v="67"/>
    <x v="5"/>
    <x v="5"/>
    <x v="0"/>
    <x v="0"/>
    <x v="0"/>
    <x v="1"/>
    <x v="0"/>
    <s v="Fotogrametría"/>
    <x v="0"/>
    <n v="81151603"/>
    <s v="Prestación de servicios para apoyar el proceso de escaneo fotogramétrico  de rollos de aerofotografías análogas y compresión de imágenes."/>
    <x v="2"/>
    <x v="2"/>
    <n v="10"/>
    <x v="0"/>
    <x v="0"/>
    <x v="2"/>
    <n v="57060806"/>
    <n v="57060806"/>
    <x v="0"/>
    <x v="0"/>
    <x v="0"/>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478"/>
    <d v="2021-03-16T00:00:00"/>
    <n v="2671483"/>
    <n v="24933841"/>
    <n v="24933841"/>
    <s v="KAREN DANIELA SABOGAL CRUZ_x000a_EDISON SEBASTIAN MAYORGA CIFUENTES_x000a_"/>
    <n v="32126965"/>
    <x v="0"/>
    <s v="24614_x000a_24733"/>
    <x v="1"/>
  </r>
  <r>
    <x v="6"/>
    <n v="27"/>
    <x v="5"/>
    <x v="5"/>
    <x v="1"/>
    <x v="1"/>
    <x v="0"/>
    <x v="1"/>
    <x v="0"/>
    <s v="Cartografía"/>
    <x v="0"/>
    <n v="81151600"/>
    <s v="Prestación de servicios para realizar la preparación, revisión y consolidación de datos de campo para el cálculo y ajuste de la línea de nivelación"/>
    <x v="1"/>
    <x v="1"/>
    <n v="315"/>
    <x v="1"/>
    <x v="0"/>
    <x v="2"/>
    <n v="106292560"/>
    <n v="106292560"/>
    <x v="0"/>
    <x v="0"/>
    <x v="1"/>
    <x v="0"/>
    <x v="6"/>
    <s v="Subdirección de Geografía y Cartografía "/>
    <x v="5"/>
    <s v="Subdirector de Geografía y Cartografía "/>
    <x v="6"/>
    <x v="11"/>
    <s v="Densificar el marco de referencia gravimétricos"/>
    <s v="Valores gravimétricos generados"/>
    <n v="252"/>
    <d v="2021-02-08T00:00:00"/>
    <n v="4976424"/>
    <n v="52252452"/>
    <n v="52252452"/>
    <s v="LEYDI JOHANNA MOISÉS SEPÚLVEDA"/>
    <n v="54040108"/>
    <x v="0"/>
    <n v="24428"/>
    <x v="1"/>
  </r>
  <r>
    <x v="6"/>
    <n v="54"/>
    <x v="5"/>
    <x v="5"/>
    <x v="1"/>
    <x v="1"/>
    <x v="0"/>
    <x v="0"/>
    <x v="0"/>
    <s v="Cartografía"/>
    <x v="0"/>
    <n v="81151600"/>
    <s v="Prestación de servicios profesionales para la gestión y estructuración de la información de límites y fronteras."/>
    <x v="1"/>
    <x v="1"/>
    <n v="10"/>
    <x v="0"/>
    <x v="0"/>
    <x v="2"/>
    <n v="48314800"/>
    <n v="48314800"/>
    <x v="0"/>
    <x v="0"/>
    <x v="1"/>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LUIS MIGUEL CHOCONTA MORALES "/>
    <n v="43487"/>
    <x v="0"/>
    <n v="24521"/>
    <x v="1"/>
  </r>
  <r>
    <x v="6"/>
    <n v="56"/>
    <x v="5"/>
    <x v="5"/>
    <x v="1"/>
    <x v="1"/>
    <x v="0"/>
    <x v="12"/>
    <x v="0"/>
    <s v="Cartografía"/>
    <x v="0"/>
    <n v="81151600"/>
    <s v="Prestación de servicios para realizar procesos de generalización de información cartográfica para los diferentes fines."/>
    <x v="1"/>
    <x v="1"/>
    <n v="8"/>
    <x v="0"/>
    <x v="0"/>
    <x v="2"/>
    <n v="21371864"/>
    <n v="21371864"/>
    <x v="0"/>
    <x v="0"/>
    <x v="1"/>
    <x v="0"/>
    <x v="6"/>
    <s v="Subdirección de Geografía y Cartografía "/>
    <x v="5"/>
    <s v="Subdirector de Geografía y Cartografía "/>
    <x v="6"/>
    <x v="10"/>
    <s v="Generar insumos y/o productos cartográficos"/>
    <s v="Cartografía escalas Medianas generada (1:10,000, 1:25,000)"/>
    <n v="399"/>
    <d v="2021-02-25T00:00:00"/>
    <n v="2671483"/>
    <n v="21371864"/>
    <n v="21371864"/>
    <s v="LUZ KELLY GARCÍA CONDE"/>
    <n v="0"/>
    <x v="0"/>
    <n v="24538"/>
    <x v="1"/>
  </r>
  <r>
    <x v="6"/>
    <n v="8"/>
    <x v="5"/>
    <x v="5"/>
    <x v="0"/>
    <x v="0"/>
    <x v="0"/>
    <x v="0"/>
    <x v="0"/>
    <s v="Cartografía"/>
    <x v="0"/>
    <n v="81151600"/>
    <s v="Prestación de servicios para el fortalecimiento de los productos y servicios de información geográfica, cartográfica y geodésica, promoviendo su descubrimiento y uso."/>
    <x v="0"/>
    <x v="0"/>
    <n v="10"/>
    <x v="0"/>
    <x v="0"/>
    <x v="2"/>
    <n v="146607320"/>
    <n v="146607320"/>
    <x v="0"/>
    <x v="0"/>
    <x v="0"/>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76"/>
    <d v="2021-01-21T00:00:00"/>
    <n v="7550277"/>
    <n v="73237687"/>
    <n v="146475374"/>
    <s v="MARIA ANDREA GONZALEZ MURGUEITIO  _x000a_JULIÁN FRANKY TOBÓN"/>
    <n v="131946"/>
    <x v="0"/>
    <s v="24230_x000a_24233"/>
    <x v="0"/>
  </r>
  <r>
    <x v="6"/>
    <n v="3"/>
    <x v="5"/>
    <x v="5"/>
    <x v="1"/>
    <x v="1"/>
    <x v="0"/>
    <x v="0"/>
    <x v="0"/>
    <s v="Cartografía"/>
    <x v="0"/>
    <n v="81151600"/>
    <s v="Prestación de servicios para apoyar la implementación de métodos estadísticos en la subdirección y generación de nuevos productos."/>
    <x v="1"/>
    <x v="1"/>
    <n v="9"/>
    <x v="0"/>
    <x v="0"/>
    <x v="2"/>
    <n v="65973294"/>
    <n v="65973294"/>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MARIA PAULA DUEÑAS HERRERA"/>
    <n v="34208"/>
    <x v="0"/>
    <n v="24207"/>
    <x v="1"/>
  </r>
  <r>
    <x v="6"/>
    <n v="40"/>
    <x v="5"/>
    <x v="5"/>
    <x v="1"/>
    <x v="1"/>
    <x v="0"/>
    <x v="1"/>
    <x v="0"/>
    <s v="Cartografía"/>
    <x v="0"/>
    <n v="81151600"/>
    <s v="Prestación de servicios para realizar el seguimiento y control de calidad de los proyectos de producción cartográfica, de acuerdo con las priorizaciones"/>
    <x v="1"/>
    <x v="1"/>
    <n v="11"/>
    <x v="0"/>
    <x v="0"/>
    <x v="2"/>
    <n v="53146280"/>
    <n v="53146280"/>
    <x v="0"/>
    <x v="0"/>
    <x v="1"/>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05"/>
    <d v="2021-02-16T00:00:00"/>
    <n v="4976424"/>
    <n v="51423048"/>
    <n v="51423048"/>
    <s v="MILTON FERNEY NUÑEZ RODRIGUEZ "/>
    <n v="1723232"/>
    <x v="0"/>
    <n v="24473"/>
    <x v="1"/>
  </r>
  <r>
    <x v="6"/>
    <n v="12"/>
    <x v="5"/>
    <x v="5"/>
    <x v="8"/>
    <x v="10"/>
    <x v="0"/>
    <x v="0"/>
    <x v="0"/>
    <s v="Cartografía"/>
    <x v="0"/>
    <n v="81151600"/>
    <s v="Prestación de servicios para la captura de información vectorial, de conformidad con las especificaciones técnicas y rendimientos establecidos."/>
    <x v="0"/>
    <x v="0"/>
    <n v="11"/>
    <x v="0"/>
    <x v="0"/>
    <x v="2"/>
    <n v="352739640"/>
    <n v="352739640"/>
    <x v="0"/>
    <x v="0"/>
    <x v="9"/>
    <x v="0"/>
    <x v="6"/>
    <s v="Subdirección de Geografía y Cartografía "/>
    <x v="5"/>
    <s v="Subdirector de Geografía y Cartografía "/>
    <x v="6"/>
    <x v="10"/>
    <s v="Generar insumos y/o productos cartográficos"/>
    <s v="Cartografía escalas Medianas generada (1:10,000, 1:25,000)"/>
    <n v="96"/>
    <d v="2021-01-26T00:00:00"/>
    <n v="0"/>
    <n v="44092455"/>
    <n v="35273964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11"/>
  </r>
  <r>
    <x v="6"/>
    <n v="5"/>
    <x v="5"/>
    <x v="5"/>
    <x v="1"/>
    <x v="1"/>
    <x v="0"/>
    <x v="0"/>
    <x v="0"/>
    <s v="Cartografía"/>
    <x v="0"/>
    <n v="81151600"/>
    <s v="Prestación de servicios para la generación de contenidos asociados a los procesos geográficos, cartográficos y geodésicos"/>
    <x v="1"/>
    <x v="1"/>
    <n v="9"/>
    <x v="0"/>
    <x v="0"/>
    <x v="2"/>
    <n v="50310810"/>
    <n v="50310810"/>
    <x v="0"/>
    <x v="0"/>
    <x v="1"/>
    <x v="0"/>
    <x v="6"/>
    <s v="Subdirección de Geografía y Cartografía "/>
    <x v="5"/>
    <s v="Subdirector de Geografía y Cartografía "/>
    <x v="7"/>
    <x v="13"/>
    <s v="Robustecer el sistema de información única de información geográfica, cartográfica y geodésica &quot;Colombia en Mapas&quot;"/>
    <s v="Datos publicados de información geográfica, geodésica y cartográfica"/>
    <n v="58"/>
    <d v="2021-01-20T00:00:00"/>
    <n v="5757793"/>
    <n v="50284725"/>
    <n v="50284725"/>
    <s v="PABLO ALEJANDRO MENDEZ HERNANDEZ"/>
    <n v="26085"/>
    <x v="0"/>
    <n v="24339"/>
    <x v="1"/>
  </r>
  <r>
    <x v="7"/>
    <n v="1"/>
    <x v="5"/>
    <x v="5"/>
    <x v="1"/>
    <x v="1"/>
    <x v="0"/>
    <x v="11"/>
    <x v="0"/>
    <s v="Cartografía"/>
    <x v="0"/>
    <n v="81151600"/>
    <s v="Capturar y/o adquirir imágenes para la producción cartográfica de proyectos específicos del IGAC"/>
    <x v="3"/>
    <x v="3"/>
    <n v="8"/>
    <x v="0"/>
    <x v="0"/>
    <x v="2"/>
    <n v="536446618"/>
    <n v="536446618"/>
    <x v="0"/>
    <x v="0"/>
    <x v="1"/>
    <x v="0"/>
    <x v="6"/>
    <s v="Subdirección de Geografía y Cartografía "/>
    <x v="3"/>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PROCALCULO PROSIS S.A.S"/>
    <n v="40768847.279999971"/>
    <x v="0"/>
    <n v="24682"/>
    <x v="1"/>
  </r>
  <r>
    <x v="6"/>
    <n v="74"/>
    <x v="5"/>
    <x v="5"/>
    <x v="1"/>
    <x v="1"/>
    <x v="0"/>
    <x v="4"/>
    <x v="0"/>
    <s v="Cartografía"/>
    <x v="0"/>
    <n v="81151600"/>
    <s v="Contratar el servicio anual de rastreo y seguimiento satelital para los equipos de localización satelital SPOT GEN3"/>
    <x v="3"/>
    <x v="3"/>
    <n v="45"/>
    <x v="1"/>
    <x v="1"/>
    <x v="2"/>
    <n v="18000000"/>
    <n v="18000000"/>
    <x v="0"/>
    <x v="0"/>
    <x v="1"/>
    <x v="0"/>
    <x v="22"/>
    <s v="Subdirección de Geografia y Cartografia "/>
    <x v="3"/>
    <s v="Subdirector de Geografia y Cartografia "/>
    <x v="6"/>
    <x v="10"/>
    <s v="Generar insumos y/o productos cartográficos"/>
    <s v="Cartografía escalas Medianas generada (1:10,000, 1:25,000)"/>
    <n v="559"/>
    <d v="2021-04-22T00:00:00"/>
    <n v="11774115"/>
    <n v="11774115"/>
    <n v="11774115"/>
    <s v="GLOBALSAT COLOMBIA TELECOMUNICACIONES LTDA"/>
    <n v="6225885"/>
    <x v="0"/>
    <n v="24730"/>
    <x v="1"/>
  </r>
  <r>
    <x v="7"/>
    <n v="1"/>
    <x v="5"/>
    <x v="5"/>
    <x v="1"/>
    <x v="1"/>
    <x v="0"/>
    <x v="1"/>
    <x v="0"/>
    <s v="Placa de acero inoxidable"/>
    <x v="0"/>
    <n v="30102205"/>
    <s v="Adquisición de placas metálicas para materialización de puntos geodésicos."/>
    <x v="3"/>
    <x v="3"/>
    <n v="3"/>
    <x v="0"/>
    <x v="1"/>
    <x v="2"/>
    <n v="10000000"/>
    <n v="10000000"/>
    <x v="0"/>
    <x v="0"/>
    <x v="1"/>
    <x v="0"/>
    <x v="6"/>
    <s v="Subdirección de Geografía y Cartografía "/>
    <x v="5"/>
    <s v="Subdirector de Geografía y Cartografía "/>
    <x v="6"/>
    <x v="11"/>
    <s v="Densificar el marco de referencia terrestre"/>
    <s v="Puntos Geodésicos Materializados"/>
    <n v="544"/>
    <d v="2021-04-21T00:00:00"/>
    <n v="3659250"/>
    <n v="3659250"/>
    <n v="3659250"/>
    <s v="PROCESO DECLARADO DESIERTO"/>
    <n v="6340750"/>
    <x v="0"/>
    <m/>
    <x v="1"/>
  </r>
  <r>
    <x v="7"/>
    <n v="2"/>
    <x v="5"/>
    <x v="5"/>
    <x v="1"/>
    <x v="1"/>
    <x v="0"/>
    <x v="5"/>
    <x v="0"/>
    <s v="Placa de acero inoxidable"/>
    <x v="0"/>
    <n v="30102205"/>
    <s v="Adquisición de placas metálicas para materialización de puntos geodésicos."/>
    <x v="4"/>
    <x v="4"/>
    <n v="3"/>
    <x v="0"/>
    <x v="1"/>
    <x v="2"/>
    <n v="10000000"/>
    <n v="10000000"/>
    <x v="0"/>
    <x v="0"/>
    <x v="1"/>
    <x v="0"/>
    <x v="6"/>
    <s v="Subdirección de Geografía y Cartografía "/>
    <x v="5"/>
    <s v="Subdirector de Geografía y Cartografía "/>
    <x v="6"/>
    <x v="11"/>
    <s v="Densificar el marco de referencia terrestre"/>
    <s v="Puntos Geodésicos Materializados"/>
    <m/>
    <d v="2021-05-19T00:00:00"/>
    <n v="3659250"/>
    <n v="3659250"/>
    <n v="3659250"/>
    <s v="PROCESO DECLARADO DESIERTO"/>
    <n v="6340750"/>
    <x v="0"/>
    <m/>
    <x v="1"/>
  </r>
  <r>
    <x v="6"/>
    <m/>
    <x v="5"/>
    <x v="5"/>
    <x v="1"/>
    <x v="6"/>
    <x v="1"/>
    <x v="13"/>
    <x v="0"/>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5"/>
    <x v="2"/>
    <n v="76844250"/>
    <n v="76844250"/>
    <x v="0"/>
    <x v="0"/>
    <x v="1"/>
    <x v="0"/>
    <x v="6"/>
    <s v="Subdirección de Geografía y Cartografía "/>
    <x v="5"/>
    <s v="Subdirector de Geografía y Cartografía "/>
    <x v="6"/>
    <x v="11"/>
    <s v="Densificar el marco de referencia terrestre"/>
    <s v="Puntos Geodésicos Materializados"/>
    <m/>
    <m/>
    <e v="#N/A"/>
    <e v="#N/A"/>
    <e v="#N/A"/>
    <m/>
    <n v="0"/>
    <x v="0"/>
    <m/>
    <x v="6"/>
  </r>
  <r>
    <x v="7"/>
    <n v="2"/>
    <x v="5"/>
    <x v="5"/>
    <x v="1"/>
    <x v="1"/>
    <x v="0"/>
    <x v="5"/>
    <x v="0"/>
    <s v="Cartografía"/>
    <x v="0"/>
    <n v="81151600"/>
    <s v="Adquisición de estaciones de funcionamiento continua, con sus respectivos accesorios, sistemas de comunicación y de alimentación, para el fortalecimiento de la Red Geodésica Nacional. "/>
    <x v="4"/>
    <x v="4"/>
    <n v="60"/>
    <x v="1"/>
    <x v="3"/>
    <x v="2"/>
    <n v="400000000"/>
    <n v="400000000"/>
    <x v="0"/>
    <x v="1"/>
    <x v="1"/>
    <x v="0"/>
    <x v="6"/>
    <s v="Subdirección de Geografía y Cartografía "/>
    <x v="3"/>
    <s v="Subdirector de Geografía y Cartografía "/>
    <x v="6"/>
    <x v="11"/>
    <s v="Densificar el marco de referencia terrestre"/>
    <s v="Datos Rinex de las estaciones permanentes generados"/>
    <m/>
    <d v="2021-05-21T00:00:00"/>
    <n v="366698967"/>
    <n v="366698967"/>
    <n v="366698967"/>
    <s v="INICIO PROCESO"/>
    <n v="33301033"/>
    <x v="0"/>
    <m/>
    <x v="1"/>
  </r>
  <r>
    <x v="6"/>
    <m/>
    <x v="5"/>
    <x v="5"/>
    <x v="1"/>
    <x v="6"/>
    <x v="1"/>
    <x v="5"/>
    <x v="0"/>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7"/>
    <x v="7"/>
    <n v="6"/>
    <x v="0"/>
    <x v="0"/>
    <x v="2"/>
    <n v="49200000"/>
    <n v="492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5"/>
    <x v="0"/>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7"/>
    <x v="7"/>
    <n v="6"/>
    <x v="0"/>
    <x v="0"/>
    <x v="2"/>
    <n v="78000000"/>
    <n v="780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1"/>
    <n v="55"/>
    <x v="1"/>
    <x v="1"/>
    <x v="4"/>
    <x v="4"/>
    <x v="0"/>
    <x v="14"/>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1"/>
    <x v="0"/>
    <x v="2"/>
    <n v="339762465"/>
    <n v="339762465"/>
    <x v="0"/>
    <x v="0"/>
    <x v="4"/>
    <x v="0"/>
    <x v="1"/>
    <s v="Subdirección de Catastro"/>
    <x v="5"/>
    <s v="Subdirectora de Catastro"/>
    <x v="1"/>
    <x v="2"/>
    <s v="Ejecutar procesos de actualización catastral a nivel nacional"/>
    <s v="Predios actualizados catastralmente"/>
    <n v="519"/>
    <d v="2021-04-09T00:00:00"/>
    <n v="7550277"/>
    <n v="64932382"/>
    <n v="324661910"/>
    <s v="JUAN SEBASTIAN VELASCO SUAREZ_x000a_DARIO FERNANDO NARVAEZ DORADO_x000a_MARCELA DEL CARMEN MATERA VEGA_x000a_SONIA MARCELA TRONCOSO GUATAQUI_x000a_ADRIANA KATHERINE PEÑA PEREIRA_x000a_"/>
    <n v="15100555"/>
    <x v="0"/>
    <s v="24656_x000a_24663_x000a_24664_x000a_24666_x000a_24667"/>
    <x v="4"/>
  </r>
  <r>
    <x v="2"/>
    <m/>
    <x v="2"/>
    <x v="2"/>
    <x v="1"/>
    <x v="6"/>
    <x v="1"/>
    <x v="13"/>
    <x v="0"/>
    <s v="Tóner para impresoras o fax"/>
    <x v="0"/>
    <n v="44103103"/>
    <s v="Adquisición de consumibles de impresión a nivel nacional "/>
    <x v="7"/>
    <x v="7"/>
    <n v="1"/>
    <x v="0"/>
    <x v="2"/>
    <x v="2"/>
    <n v="265600000"/>
    <n v="265600000"/>
    <x v="0"/>
    <x v="1"/>
    <x v="1"/>
    <x v="1"/>
    <x v="7"/>
    <s v="Secretaría General - GIT Gestión Contractual"/>
    <x v="3"/>
    <s v="Coordinador GIT Gestión Contractual"/>
    <x v="4"/>
    <x v="6"/>
    <s v="N/A"/>
    <s v="N/A"/>
    <m/>
    <m/>
    <e v="#N/A"/>
    <e v="#N/A"/>
    <e v="#N/A"/>
    <m/>
    <n v="0"/>
    <x v="0"/>
    <m/>
    <x v="6"/>
  </r>
  <r>
    <x v="2"/>
    <n v="2"/>
    <x v="2"/>
    <x v="2"/>
    <x v="0"/>
    <x v="0"/>
    <x v="0"/>
    <x v="0"/>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0"/>
    <x v="0"/>
    <n v="11"/>
    <x v="0"/>
    <x v="0"/>
    <x v="2"/>
    <n v="161268052"/>
    <n v="161268052"/>
    <x v="0"/>
    <x v="1"/>
    <x v="0"/>
    <x v="1"/>
    <x v="7"/>
    <s v="Secretaría General - GIT Gestión Contractual"/>
    <x v="3"/>
    <s v="Coordinador GIT Gestión Contractual"/>
    <x v="4"/>
    <x v="6"/>
    <s v="N/A"/>
    <s v="N/A"/>
    <n v="4"/>
    <d v="2021-01-07T00:00:00"/>
    <n v="7330366"/>
    <n v="80634026"/>
    <n v="161268052"/>
    <s v="ADRIANA PAOLA ALVAREZ MORENO_x000a_ORLANDO  RAMIREZ OLAYA"/>
    <n v="0"/>
    <x v="0"/>
    <s v="24163_x000a_24170"/>
    <x v="0"/>
  </r>
  <r>
    <x v="2"/>
    <n v="10"/>
    <x v="2"/>
    <x v="2"/>
    <x v="1"/>
    <x v="1"/>
    <x v="0"/>
    <x v="0"/>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2"/>
    <n v="41110377"/>
    <n v="41110377"/>
    <x v="0"/>
    <x v="1"/>
    <x v="1"/>
    <x v="1"/>
    <x v="7"/>
    <s v="Secretaría General - GIT Gestión Contractual"/>
    <x v="3"/>
    <s v="Coordinador GIT Gestión Contractual"/>
    <x v="4"/>
    <x v="6"/>
    <s v="N/A"/>
    <s v="N/A"/>
    <n v="10"/>
    <d v="2021-01-07T00:00:00"/>
    <n v="3737307"/>
    <n v="41110377"/>
    <n v="41110377"/>
    <s v="CRISTIAN CAMILO ROJAS MORALES"/>
    <n v="0"/>
    <x v="0"/>
    <n v="24154"/>
    <x v="1"/>
  </r>
  <r>
    <x v="2"/>
    <n v="9"/>
    <x v="2"/>
    <x v="2"/>
    <x v="3"/>
    <x v="3"/>
    <x v="0"/>
    <x v="0"/>
    <x v="0"/>
    <s v="Servicios secretariales o de administración de oficinas  "/>
    <x v="0"/>
    <n v="80161501"/>
    <s v="Prestación de servicios personales para adelantar actividades relacionadas con el ingreso, egreso y baja de bienes del IGAV. "/>
    <x v="0"/>
    <x v="0"/>
    <n v="11"/>
    <x v="0"/>
    <x v="0"/>
    <x v="2"/>
    <n v="85591209"/>
    <n v="85591209"/>
    <x v="0"/>
    <x v="1"/>
    <x v="3"/>
    <x v="1"/>
    <x v="7"/>
    <s v="Secretaría General - GIT Gestión Contractual"/>
    <x v="3"/>
    <s v="Coordinador GIT Gestión Contractual"/>
    <x v="4"/>
    <x v="6"/>
    <s v="N/A"/>
    <s v="N/A"/>
    <n v="9"/>
    <d v="2021-01-07T00:00:00"/>
    <n v="2593673"/>
    <n v="28530403"/>
    <n v="85591209"/>
    <s v="DANNY ADALBERTO GUARNIZO MOLINA_x000a_DANIELA FERNANDA CASAS SIERRA_x000a_WILLIAM  SANCHEZ SANDOVAL_x000a_"/>
    <n v="0"/>
    <x v="0"/>
    <s v="24152_x000a_24156_x000a_24158_x000a_"/>
    <x v="3"/>
  </r>
  <r>
    <x v="2"/>
    <n v="7"/>
    <x v="2"/>
    <x v="2"/>
    <x v="1"/>
    <x v="1"/>
    <x v="0"/>
    <x v="0"/>
    <x v="0"/>
    <s v="Servicios secretariales o de administración de oficinas  "/>
    <x v="0"/>
    <n v="80161501"/>
    <s v="Prestación de servicios profesionales para realizar contratación directa"/>
    <x v="0"/>
    <x v="0"/>
    <n v="5"/>
    <x v="0"/>
    <x v="0"/>
    <x v="2"/>
    <n v="24157400"/>
    <n v="24157400"/>
    <x v="0"/>
    <x v="1"/>
    <x v="1"/>
    <x v="1"/>
    <x v="7"/>
    <s v="Secretaría General - GIT Gestión Contractual"/>
    <x v="3"/>
    <s v="Coordinador GIT Gestión Contractual"/>
    <x v="4"/>
    <x v="6"/>
    <s v="N/A"/>
    <s v="N/A"/>
    <n v="7"/>
    <d v="2021-01-08T00:00:00"/>
    <n v="4831480"/>
    <n v="24157400"/>
    <n v="24157400"/>
    <s v="ERIKA PAOLA SERRANO RICAURTE"/>
    <n v="0"/>
    <x v="0"/>
    <n v="24177"/>
    <x v="1"/>
  </r>
  <r>
    <x v="2"/>
    <n v="78"/>
    <x v="2"/>
    <x v="2"/>
    <x v="1"/>
    <x v="1"/>
    <x v="0"/>
    <x v="8"/>
    <x v="0"/>
    <s v="Servicios secretariales o de administración de oficinas  "/>
    <x v="0"/>
    <n v="80161501"/>
    <s v="Prestación de servicios profesionales para realizar contratación directa"/>
    <x v="5"/>
    <x v="5"/>
    <n v="204"/>
    <x v="1"/>
    <x v="0"/>
    <x v="2"/>
    <n v="33839683"/>
    <n v="33839683"/>
    <x v="0"/>
    <x v="1"/>
    <x v="1"/>
    <x v="1"/>
    <x v="7"/>
    <s v="Secretaría General - GIT Gestión Contractual"/>
    <x v="3"/>
    <s v="Coordinador GIT Gestión Contractual"/>
    <x v="4"/>
    <x v="6"/>
    <s v="N/A"/>
    <s v="N/A"/>
    <m/>
    <d v="2021-06-04T00:00:00"/>
    <n v="4976424"/>
    <n v="33839683"/>
    <n v="33839683"/>
    <s v="ERIKA PAOLA SERRANO RICAURTE"/>
    <n v="0"/>
    <x v="0"/>
    <n v="24757"/>
    <x v="6"/>
  </r>
  <r>
    <x v="2"/>
    <n v="11"/>
    <x v="2"/>
    <x v="2"/>
    <x v="1"/>
    <x v="1"/>
    <x v="0"/>
    <x v="0"/>
    <x v="0"/>
    <s v="Servicios secretariales o de administración de oficinas  "/>
    <x v="0"/>
    <n v="80161501"/>
    <s v="Prestación de servicios profesionales para adelantar la revisión de los procesos de contratación que ingresan al área para asignación posterior."/>
    <x v="0"/>
    <x v="0"/>
    <n v="11"/>
    <x v="0"/>
    <x v="0"/>
    <x v="2"/>
    <n v="31417067"/>
    <n v="31417067"/>
    <x v="0"/>
    <x v="1"/>
    <x v="1"/>
    <x v="1"/>
    <x v="7"/>
    <s v="Secretaría General - GIT Gestión Contractual"/>
    <x v="3"/>
    <s v="Coordinador GIT Gestión Contractual"/>
    <x v="4"/>
    <x v="6"/>
    <s v="N/A"/>
    <s v="N/A"/>
    <n v="3"/>
    <d v="2021-01-07T00:00:00"/>
    <n v="2856097"/>
    <n v="31417067"/>
    <n v="31417067"/>
    <s v="KARIME ESPERANZA ARENAS DOMINGUEZ"/>
    <n v="0"/>
    <x v="0"/>
    <n v="24162"/>
    <x v="1"/>
  </r>
  <r>
    <x v="2"/>
    <n v="5"/>
    <x v="2"/>
    <x v="2"/>
    <x v="1"/>
    <x v="1"/>
    <x v="0"/>
    <x v="0"/>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0"/>
    <x v="0"/>
    <n v="11"/>
    <x v="0"/>
    <x v="0"/>
    <x v="2"/>
    <n v="80634026"/>
    <n v="80634026"/>
    <x v="0"/>
    <x v="1"/>
    <x v="1"/>
    <x v="1"/>
    <x v="7"/>
    <s v="Secretaría General - GIT Gestión Contractual"/>
    <x v="3"/>
    <s v="Coordinador GIT Gestión Contractual"/>
    <x v="4"/>
    <x v="6"/>
    <s v="N/A"/>
    <s v="N/A"/>
    <n v="6"/>
    <d v="2021-01-07T00:00:00"/>
    <n v="7330366"/>
    <n v="80634026"/>
    <n v="80634026"/>
    <s v="MARIA VICTORIA MOLINA MELO"/>
    <n v="0"/>
    <x v="0"/>
    <n v="24160"/>
    <x v="1"/>
  </r>
  <r>
    <x v="2"/>
    <n v="8"/>
    <x v="2"/>
    <x v="2"/>
    <x v="0"/>
    <x v="0"/>
    <x v="0"/>
    <x v="0"/>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0"/>
    <x v="0"/>
    <n v="11"/>
    <x v="0"/>
    <x v="0"/>
    <x v="2"/>
    <n v="58772630"/>
    <n v="58772630"/>
    <x v="0"/>
    <x v="1"/>
    <x v="0"/>
    <x v="1"/>
    <x v="7"/>
    <s v="Secretaría General - GIT Gestión Contractual"/>
    <x v="3"/>
    <s v="Coordinador GIT Gestión Contractual"/>
    <x v="4"/>
    <x v="6"/>
    <s v="N/A"/>
    <s v="N/A"/>
    <n v="8"/>
    <d v="2021-01-07T00:00:00"/>
    <n v="2671483"/>
    <n v="29386313"/>
    <n v="58772626"/>
    <s v="SANDRA YANETH CELEMIN_x000a_BIBIANA ANDREA CASAS SIERRA_x000a_"/>
    <n v="4"/>
    <x v="0"/>
    <s v="24164_x000a_24167_x000a_"/>
    <x v="0"/>
  </r>
  <r>
    <x v="2"/>
    <n v="3"/>
    <x v="2"/>
    <x v="2"/>
    <x v="1"/>
    <x v="1"/>
    <x v="0"/>
    <x v="0"/>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2"/>
    <n v="70936690"/>
    <n v="70936690"/>
    <x v="0"/>
    <x v="1"/>
    <x v="1"/>
    <x v="1"/>
    <x v="7"/>
    <s v="Secretaría General - GIT Gestión Contractual"/>
    <x v="3"/>
    <s v="Coordinador GIT Gestión Contractual"/>
    <x v="4"/>
    <x v="6"/>
    <s v="N/A"/>
    <s v="N/A"/>
    <n v="11"/>
    <d v="2021-01-07T00:00:00"/>
    <n v="6448790"/>
    <n v="70936690"/>
    <n v="70936690"/>
    <s v="WILDER ANDRES GONZALEZ ROJAS"/>
    <n v="0"/>
    <x v="0"/>
    <n v="24172"/>
    <x v="1"/>
  </r>
  <r>
    <x v="8"/>
    <s v="6-7-8-9-10-11-12-13-14-15-16-17-18"/>
    <x v="2"/>
    <x v="2"/>
    <x v="1"/>
    <x v="1"/>
    <x v="0"/>
    <x v="17"/>
    <x v="0"/>
    <s v="Suministros de escritorio"/>
    <x v="0"/>
    <n v="44121600"/>
    <s v="Adquisición de elementos de papelería e insumos"/>
    <x v="3"/>
    <x v="3"/>
    <n v="1"/>
    <x v="0"/>
    <x v="2"/>
    <x v="2"/>
    <n v="8531146"/>
    <n v="8531146"/>
    <x v="0"/>
    <x v="0"/>
    <x v="1"/>
    <x v="1"/>
    <x v="7"/>
    <s v="Secretaría General - GIT Gestión Contractual"/>
    <x v="3"/>
    <s v="Coordinador GIT Gestión Contractual"/>
    <x v="4"/>
    <x v="6"/>
    <s v="N/A"/>
    <s v="N/A"/>
    <n v="552"/>
    <d v="2021-04-27T00:00:00"/>
    <n v="8531146"/>
    <n v="8531146"/>
    <n v="8531146"/>
    <s v="PANAMERICANA LIBRERIA Y PAPELERIA SA"/>
    <n v="0"/>
    <x v="0"/>
    <n v="24694"/>
    <x v="1"/>
  </r>
  <r>
    <x v="8"/>
    <n v="5"/>
    <x v="2"/>
    <x v="2"/>
    <x v="1"/>
    <x v="1"/>
    <x v="0"/>
    <x v="17"/>
    <x v="0"/>
    <s v="Papel de imprenta y papel de escribir"/>
    <x v="0"/>
    <n v="14111500"/>
    <s v="Adquisición de productos derivados del papel, cartón y corrugados en Colombia"/>
    <x v="3"/>
    <x v="3"/>
    <n v="1"/>
    <x v="0"/>
    <x v="2"/>
    <x v="2"/>
    <n v="230000000"/>
    <n v="230000000"/>
    <x v="0"/>
    <x v="0"/>
    <x v="1"/>
    <x v="1"/>
    <x v="7"/>
    <s v="Secretaría General - GIT Gestión Contractual"/>
    <x v="3"/>
    <s v="Coordinador GIT Gestión Contractual"/>
    <x v="4"/>
    <x v="6"/>
    <s v="N/A"/>
    <s v="N/A"/>
    <n v="583"/>
    <d v="2021-04-27T00:00:00"/>
    <n v="16879994.82"/>
    <n v="16879994.82"/>
    <n v="16879994.82"/>
    <s v="SUMIMAS SAS"/>
    <n v="213120005.18000001"/>
    <x v="0"/>
    <n v="24723"/>
    <x v="1"/>
  </r>
  <r>
    <x v="2"/>
    <n v="47"/>
    <x v="2"/>
    <x v="2"/>
    <x v="1"/>
    <x v="1"/>
    <x v="0"/>
    <x v="6"/>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5"/>
    <x v="2"/>
    <n v="0"/>
    <n v="0"/>
    <x v="0"/>
    <x v="1"/>
    <x v="1"/>
    <x v="1"/>
    <x v="7"/>
    <s v="Secretaría General - GIT Gestión Contractual"/>
    <x v="3"/>
    <s v="Coordinador GIT Gestión Contractual"/>
    <x v="4"/>
    <x v="6"/>
    <s v="N/A"/>
    <s v="N/A"/>
    <n v="82"/>
    <d v="2021-01-22T00:00:00"/>
    <e v="#N/A"/>
    <e v="#N/A"/>
    <e v="#N/A"/>
    <s v="INICIO PROCESO"/>
    <n v="0"/>
    <x v="0"/>
    <m/>
    <x v="1"/>
  </r>
  <r>
    <x v="2"/>
    <m/>
    <x v="2"/>
    <x v="2"/>
    <x v="1"/>
    <x v="7"/>
    <x v="1"/>
    <x v="3"/>
    <x v="0"/>
    <s v="Servicios de envío, recogida o entrega de correo"/>
    <x v="0"/>
    <n v="78102203"/>
    <s v="Prestación de Servicios de administración, curso y entrega de toda clase de  correspondencia y demás envíos postales. "/>
    <x v="7"/>
    <x v="7"/>
    <n v="9"/>
    <x v="0"/>
    <x v="0"/>
    <x v="2"/>
    <n v="898185726"/>
    <n v="898185726"/>
    <x v="0"/>
    <x v="5"/>
    <x v="1"/>
    <x v="1"/>
    <x v="23"/>
    <s v="Secretaría General - GIT Gestión Documental"/>
    <x v="3"/>
    <s v="Coordinador GIT Gestión Documental"/>
    <x v="4"/>
    <x v="6"/>
    <s v="N/A"/>
    <s v="N/A"/>
    <m/>
    <m/>
    <e v="#N/A"/>
    <e v="#N/A"/>
    <e v="#N/A"/>
    <m/>
    <n v="0"/>
    <x v="0"/>
    <m/>
    <x v="7"/>
  </r>
  <r>
    <x v="2"/>
    <n v="48"/>
    <x v="2"/>
    <x v="2"/>
    <x v="1"/>
    <x v="1"/>
    <x v="0"/>
    <x v="1"/>
    <x v="0"/>
    <s v="Servicios secretariales o de administración de oficinas  "/>
    <x v="0"/>
    <n v="80161501"/>
    <s v="Prestación de servicios personales para apoyar la implementación del sistema de gestión documental de la entidad de acuerdo a las normas vigentes."/>
    <x v="1"/>
    <x v="1"/>
    <n v="11"/>
    <x v="0"/>
    <x v="0"/>
    <x v="2"/>
    <n v="29566233.890000001"/>
    <n v="29566233.890000001"/>
    <x v="0"/>
    <x v="0"/>
    <x v="1"/>
    <x v="1"/>
    <x v="23"/>
    <s v="Secretaría General - GIT Gestión Documental"/>
    <x v="3"/>
    <s v="Coordinador GIT Gestión Documental"/>
    <x v="4"/>
    <x v="6"/>
    <s v="N/A"/>
    <s v="N/A"/>
    <n v="235"/>
    <d v="2021-02-03T00:00:00"/>
    <n v="2593673"/>
    <n v="27406478"/>
    <n v="27406478"/>
    <s v="EDWIN DIDIER CASAS ARDILA"/>
    <n v="2159755.8900000006"/>
    <x v="0"/>
    <n v="24418"/>
    <x v="1"/>
  </r>
  <r>
    <x v="2"/>
    <n v="49"/>
    <x v="2"/>
    <x v="2"/>
    <x v="0"/>
    <x v="0"/>
    <x v="0"/>
    <x v="1"/>
    <x v="0"/>
    <s v="Servicios secretariales o de administración de oficinas  "/>
    <x v="0"/>
    <n v="80161501"/>
    <s v="Prestación de servicios personales para la aplicación de los procesos archvísticos  de acuerdo a las directrices de la entidad y las normas del archivo general de la nación. "/>
    <x v="1"/>
    <x v="1"/>
    <n v="11"/>
    <x v="0"/>
    <x v="0"/>
    <x v="2"/>
    <n v="43614654"/>
    <n v="43614653.780000001"/>
    <x v="0"/>
    <x v="0"/>
    <x v="0"/>
    <x v="1"/>
    <x v="23"/>
    <s v="Secretaría General - GIT Gestión Documental"/>
    <x v="3"/>
    <s v="Coordinador GIT Gestión Documental"/>
    <x v="4"/>
    <x v="6"/>
    <s v="N/A"/>
    <s v="N/A"/>
    <n v="196"/>
    <d v="2021-02-03T00:00:00"/>
    <n v="1924742"/>
    <n v="20402265"/>
    <n v="40804530"/>
    <s v="JENNY ALEXANDRA PEREZ GONZALEZ_x000a_RAFAEL ALIRIO GONZALEZ "/>
    <n v="2810124"/>
    <x v="0"/>
    <s v="24380_x000a_24382"/>
    <x v="0"/>
  </r>
  <r>
    <x v="2"/>
    <m/>
    <x v="2"/>
    <x v="2"/>
    <x v="1"/>
    <x v="7"/>
    <x v="1"/>
    <x v="0"/>
    <x v="0"/>
    <s v="Software de servidor de autenticación"/>
    <x v="0"/>
    <n v="43233201"/>
    <s v="Adquisición certificados digitales acceso a SIIF"/>
    <x v="9"/>
    <x v="9"/>
    <n v="1"/>
    <x v="0"/>
    <x v="1"/>
    <x v="2"/>
    <n v="10000000"/>
    <n v="10000000"/>
    <x v="0"/>
    <x v="1"/>
    <x v="1"/>
    <x v="1"/>
    <x v="9"/>
    <s v="Secretaria General - GIT Gestión Financiera"/>
    <x v="3"/>
    <s v="Coordinador GIT Gestión Financiera"/>
    <x v="4"/>
    <x v="6"/>
    <s v="N/A"/>
    <s v="N/A"/>
    <m/>
    <m/>
    <e v="#N/A"/>
    <e v="#N/A"/>
    <e v="#N/A"/>
    <m/>
    <n v="0"/>
    <x v="0"/>
    <m/>
    <x v="7"/>
  </r>
  <r>
    <x v="2"/>
    <n v="27"/>
    <x v="2"/>
    <x v="2"/>
    <x v="0"/>
    <x v="0"/>
    <x v="0"/>
    <x v="0"/>
    <x v="0"/>
    <s v="Servicios secretariales o de administración de oficinas  "/>
    <x v="0"/>
    <n v="80161501"/>
    <s v="Prestación de servicios profesionales para realizar la gestión de la tesorería del Instituto Geográfico Agustín Codazzi."/>
    <x v="0"/>
    <x v="0"/>
    <n v="11"/>
    <x v="0"/>
    <x v="0"/>
    <x v="2"/>
    <n v="147035981"/>
    <n v="147035981"/>
    <x v="0"/>
    <x v="1"/>
    <x v="0"/>
    <x v="1"/>
    <x v="9"/>
    <s v="Secretaría General - GIT Gestión Financiera"/>
    <x v="3"/>
    <s v="Coordinador GIT Gestión Financiera"/>
    <x v="4"/>
    <x v="6"/>
    <s v="N/A"/>
    <s v="N/A"/>
    <n v="31"/>
    <d v="2021-01-13T00:00:00"/>
    <n v="6683453"/>
    <n v="73517983"/>
    <n v="147035966"/>
    <s v="ALICIA PAOLA GARCIA MUÑOZ_x000a_ANGELA  MORALES RONCANCIO_x000a_"/>
    <n v="15"/>
    <x v="0"/>
    <s v="24191_x000a_24194"/>
    <x v="0"/>
  </r>
  <r>
    <x v="2"/>
    <n v="28"/>
    <x v="2"/>
    <x v="2"/>
    <x v="1"/>
    <x v="1"/>
    <x v="0"/>
    <x v="0"/>
    <x v="0"/>
    <s v="Servicios secretariales o de administración de oficinas  "/>
    <x v="0"/>
    <n v="80161501"/>
    <s v="Prestación de servicios profesionales para realizar las actividades relacionadas con el manejo del presupuesto del Instituto Geográfico Agustín Codazzi."/>
    <x v="0"/>
    <x v="0"/>
    <n v="11"/>
    <x v="0"/>
    <x v="0"/>
    <x v="2"/>
    <n v="73517991"/>
    <n v="73517991"/>
    <x v="0"/>
    <x v="1"/>
    <x v="1"/>
    <x v="1"/>
    <x v="9"/>
    <s v="Secretaría General - GIT Gestión Financiera"/>
    <x v="3"/>
    <s v="Coordinador GIT Gestión Financiera"/>
    <x v="4"/>
    <x v="6"/>
    <s v="N/A"/>
    <s v="N/A"/>
    <n v="28"/>
    <d v="2021-01-13T00:00:00"/>
    <n v="6683453"/>
    <n v="73517983"/>
    <n v="73517983"/>
    <s v="BRENDA LUCIA FONSECA ROJAS"/>
    <n v="8"/>
    <x v="0"/>
    <n v="24187"/>
    <x v="1"/>
  </r>
  <r>
    <x v="2"/>
    <n v="29"/>
    <x v="2"/>
    <x v="2"/>
    <x v="1"/>
    <x v="1"/>
    <x v="0"/>
    <x v="0"/>
    <x v="0"/>
    <s v="Servicios secretariales o de administración de oficinas  "/>
    <x v="0"/>
    <n v="80161501"/>
    <s v="Prestación de servicios profesionales especializados para apoyar los temas tributarios, contables y financieros del Instituto Geográfico Agustín Codazzi a nivel nacional"/>
    <x v="0"/>
    <x v="0"/>
    <n v="4"/>
    <x v="0"/>
    <x v="0"/>
    <x v="2"/>
    <n v="34831906"/>
    <n v="34831906"/>
    <x v="0"/>
    <x v="1"/>
    <x v="1"/>
    <x v="1"/>
    <x v="9"/>
    <s v="Secretaría General - GIT Gestión Financiera"/>
    <x v="3"/>
    <s v="Coordinador GIT Gestión Financiera"/>
    <x v="4"/>
    <x v="6"/>
    <s v="N/A"/>
    <s v="N/A"/>
    <n v="27"/>
    <d v="2021-01-12T00:00:00"/>
    <n v="8707976"/>
    <n v="34831904"/>
    <n v="34831904"/>
    <s v="CARLOS JULIO AGUILAR RUIZ"/>
    <n v="2"/>
    <x v="0"/>
    <n v="24186"/>
    <x v="1"/>
  </r>
  <r>
    <x v="2"/>
    <n v="75"/>
    <x v="2"/>
    <x v="2"/>
    <x v="1"/>
    <x v="1"/>
    <x v="0"/>
    <x v="4"/>
    <x v="0"/>
    <s v="Servicios secretariales o de administración de oficinas  "/>
    <x v="0"/>
    <n v="80161501"/>
    <s v="Prestación de servicios para apoyar en la gestión de procesos financieros, contables y de Tesoreria a cargo de la Secretaria General "/>
    <x v="3"/>
    <x v="3"/>
    <n v="8"/>
    <x v="0"/>
    <x v="0"/>
    <x v="2"/>
    <n v="42743728"/>
    <n v="42743728"/>
    <x v="0"/>
    <x v="5"/>
    <x v="1"/>
    <x v="1"/>
    <x v="15"/>
    <m/>
    <x v="3"/>
    <m/>
    <x v="4"/>
    <x v="6"/>
    <s v="N/A"/>
    <s v="N/A"/>
    <n v="576"/>
    <d v="2021-05-04T00:00:00"/>
    <n v="4263522"/>
    <n v="29844654"/>
    <n v="29844654"/>
    <s v="DAVID AUGUSTO ZABARAIN COGOLLO"/>
    <n v="12899074"/>
    <x v="0"/>
    <n v="24708"/>
    <x v="1"/>
  </r>
  <r>
    <x v="2"/>
    <n v="23"/>
    <x v="2"/>
    <x v="2"/>
    <x v="1"/>
    <x v="1"/>
    <x v="0"/>
    <x v="0"/>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0"/>
    <x v="0"/>
    <n v="11"/>
    <x v="0"/>
    <x v="0"/>
    <x v="2"/>
    <n v="63335720"/>
    <n v="63335720"/>
    <x v="0"/>
    <x v="1"/>
    <x v="1"/>
    <x v="1"/>
    <x v="9"/>
    <s v="Secretaría General - GIT Gestión Financiera"/>
    <x v="3"/>
    <s v="Coordinador GIT Gestión Financiera"/>
    <x v="4"/>
    <x v="6"/>
    <s v="N/A"/>
    <s v="N/A"/>
    <n v="26"/>
    <d v="2021-01-12T00:00:00"/>
    <n v="5757792"/>
    <n v="63335712"/>
    <n v="63335712"/>
    <s v="DIANA MARCELA SANDOVAL HERRERA"/>
    <n v="8"/>
    <x v="0"/>
    <n v="24185"/>
    <x v="1"/>
  </r>
  <r>
    <x v="2"/>
    <n v="30"/>
    <x v="2"/>
    <x v="2"/>
    <x v="1"/>
    <x v="1"/>
    <x v="0"/>
    <x v="0"/>
    <x v="0"/>
    <s v="Servicios secretariales o de administración de oficinas  "/>
    <x v="0"/>
    <n v="80161501"/>
    <s v="Prestación de servicios personales para apoyar la gestión de la tesorería del Instituto Geográfico Agustín Codazzi."/>
    <x v="0"/>
    <x v="0"/>
    <n v="11"/>
    <x v="0"/>
    <x v="0"/>
    <x v="2"/>
    <n v="29386316"/>
    <n v="29386316"/>
    <x v="0"/>
    <x v="1"/>
    <x v="1"/>
    <x v="1"/>
    <x v="9"/>
    <s v="Secretaría General - GIT Gestión Financiera"/>
    <x v="3"/>
    <s v="Coordinador GIT Gestión Financiera"/>
    <x v="4"/>
    <x v="6"/>
    <s v="N/A"/>
    <s v="N/A"/>
    <n v="34"/>
    <d v="2021-01-13T00:00:00"/>
    <n v="2671483"/>
    <n v="29386313"/>
    <n v="29386313"/>
    <s v="LEONARDO  SEGURA CAMELO"/>
    <n v="3"/>
    <x v="0"/>
    <n v="24188"/>
    <x v="1"/>
  </r>
  <r>
    <x v="2"/>
    <n v="26"/>
    <x v="2"/>
    <x v="2"/>
    <x v="1"/>
    <x v="1"/>
    <x v="0"/>
    <x v="0"/>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0"/>
    <x v="0"/>
    <n v="11"/>
    <x v="0"/>
    <x v="0"/>
    <x v="2"/>
    <n v="40042599"/>
    <n v="40042599"/>
    <x v="0"/>
    <x v="1"/>
    <x v="1"/>
    <x v="1"/>
    <x v="9"/>
    <s v="Secretaría General - GIT Gestión Financiera"/>
    <x v="3"/>
    <s v="Coordinador GIT Gestión Financiera"/>
    <x v="4"/>
    <x v="6"/>
    <s v="N/A"/>
    <s v="N/A"/>
    <n v="32"/>
    <d v="2021-01-13T00:00:00"/>
    <n v="3640236"/>
    <n v="40042596"/>
    <n v="40042596"/>
    <s v="YOLI ANDREA MARTINEZ MOLINA"/>
    <n v="3"/>
    <x v="0"/>
    <n v="24189"/>
    <x v="1"/>
  </r>
  <r>
    <x v="5"/>
    <n v="65"/>
    <x v="4"/>
    <x v="6"/>
    <x v="1"/>
    <x v="1"/>
    <x v="0"/>
    <x v="0"/>
    <x v="0"/>
    <s v="Servicios de implementación de aplicaciones"/>
    <x v="0"/>
    <n v="81111508"/>
    <s v="Prestación de servicios profesionales para orientar y ejecutar  las tareas de análisis y diseño en la construcción de los sistemas de información para la operación del Sistema Nacional de Catastro."/>
    <x v="1"/>
    <x v="1"/>
    <n v="11"/>
    <x v="0"/>
    <x v="0"/>
    <x v="2"/>
    <n v="73517991"/>
    <n v="7351799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s v="ANGEL VIVIANA GUZMAN CHACON"/>
    <n v="5569542"/>
    <x v="0"/>
    <n v="24503"/>
    <x v="1"/>
  </r>
  <r>
    <x v="5"/>
    <n v="55"/>
    <x v="4"/>
    <x v="6"/>
    <x v="1"/>
    <x v="1"/>
    <x v="0"/>
    <x v="0"/>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1"/>
    <x v="1"/>
    <n v="11"/>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s v="CLARA INES PEREZ CACERES"/>
    <n v="6676120"/>
    <x v="0"/>
    <n v="24496"/>
    <x v="1"/>
  </r>
  <r>
    <x v="5"/>
    <n v="68"/>
    <x v="4"/>
    <x v="6"/>
    <x v="1"/>
    <x v="1"/>
    <x v="0"/>
    <x v="1"/>
    <x v="0"/>
    <s v="Servicios de implementación de aplicaciones"/>
    <x v="0"/>
    <n v="81111508"/>
    <s v="Prestación de servicios profesionales para el soporte, mantenimiento, análisis, diseño y desarrollo de los componentes de software en plataforma Oracle de los sistemas de la Institución."/>
    <x v="1"/>
    <x v="1"/>
    <n v="9"/>
    <x v="0"/>
    <x v="0"/>
    <x v="2"/>
    <n v="60151086"/>
    <n v="60151086"/>
    <x v="0"/>
    <x v="0"/>
    <x v="1"/>
    <x v="0"/>
    <x v="10"/>
    <s v="Oficina de Informática y Telecomunicaciones"/>
    <x v="3"/>
    <s v="José Luis Ariza Vargas (Jefe OIT)"/>
    <x v="9"/>
    <x v="16"/>
    <s v="Implementar y mantener sistemas de información, portales y aplicaciones"/>
    <s v="Índice de capacidad en la prestación de servicios de tecnología."/>
    <n v="336"/>
    <d v="2021-02-22T00:00:00"/>
    <n v="6683454"/>
    <n v="60151086"/>
    <n v="60151086"/>
    <s v="CLAUDIA MILENA TOVAR"/>
    <n v="0"/>
    <x v="0"/>
    <n v="24505"/>
    <x v="1"/>
  </r>
  <r>
    <x v="5"/>
    <n v="49"/>
    <x v="4"/>
    <x v="6"/>
    <x v="1"/>
    <x v="1"/>
    <x v="0"/>
    <x v="0"/>
    <x v="0"/>
    <s v="Servicios de soporte técnico o de mesa de ayuda"/>
    <x v="0"/>
    <n v="81111811"/>
    <s v="Prestación de servicios para realizar actividades de operación, soporte de solicitudes, incidentes,  requerimientos  y pruebas técnicas según los niveles de servicio establecidos."/>
    <x v="1"/>
    <x v="1"/>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4"/>
    <d v="2021-02-11T00:00:00"/>
    <n v="2941780"/>
    <n v="26476020"/>
    <n v="26476020"/>
    <s v="DARWIN JAVID GONZAÑEZ ORTEGA"/>
    <n v="0"/>
    <x v="0"/>
    <n v="24440"/>
    <x v="1"/>
  </r>
  <r>
    <x v="5"/>
    <n v="97"/>
    <x v="4"/>
    <x v="6"/>
    <x v="1"/>
    <x v="1"/>
    <x v="0"/>
    <x v="5"/>
    <x v="0"/>
    <s v="Servicios de implementación de aplicaciones"/>
    <x v="0"/>
    <n v="81111508"/>
    <s v="Prestación de servicios profesionales para soportar, mantener, desarrollar y documentar los componentes de software de los sistemas de información requeridos por el Instituto."/>
    <x v="4"/>
    <x v="4"/>
    <n v="8"/>
    <x v="0"/>
    <x v="0"/>
    <x v="2"/>
    <n v="69663808"/>
    <n v="69663808"/>
    <x v="0"/>
    <x v="0"/>
    <x v="1"/>
    <x v="0"/>
    <x v="10"/>
    <s v="Oficina de Informática y Telecomunicaciones"/>
    <x v="3"/>
    <s v="José Luis Ariza Vargas (Jefe OIT)"/>
    <x v="10"/>
    <x v="16"/>
    <s v="Implementar y mantener sistemas de información, portales y aplicaciones"/>
    <s v="Índice de capacidad en la prestación de servicios de tecnología."/>
    <n v="592"/>
    <d v="2021-05-18T00:00:00"/>
    <n v="8707976"/>
    <n v="65309819.999999993"/>
    <n v="65309819.999999993"/>
    <s v="DARZEE YULI TORRES MORALES"/>
    <n v="4353988.0000000075"/>
    <x v="0"/>
    <n v="24751"/>
    <x v="1"/>
  </r>
  <r>
    <x v="5"/>
    <n v="44"/>
    <x v="4"/>
    <x v="6"/>
    <x v="1"/>
    <x v="1"/>
    <x v="0"/>
    <x v="0"/>
    <x v="0"/>
    <s v="Servicios de implementación de aplicaciones"/>
    <x v="0"/>
    <n v="81111508"/>
    <s v="Prestación de servicios profesionales para diseñar, construir y mantener  nuevas funcionalidades   en PL/SQL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s v="DAVID ANDRES MURCIA CASTRO"/>
    <n v="3775139"/>
    <x v="0"/>
    <n v="24463"/>
    <x v="1"/>
  </r>
  <r>
    <x v="5"/>
    <n v="64"/>
    <x v="4"/>
    <x v="6"/>
    <x v="1"/>
    <x v="1"/>
    <x v="0"/>
    <x v="0"/>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1"/>
    <x v="1"/>
    <n v="9"/>
    <x v="0"/>
    <x v="0"/>
    <x v="2"/>
    <n v="44787820"/>
    <n v="44787820"/>
    <x v="0"/>
    <x v="0"/>
    <x v="1"/>
    <x v="0"/>
    <x v="5"/>
    <s v="Informática y Telecomunicaciones"/>
    <x v="3"/>
    <s v="Jefe Oficina de Informática y Telecomunicaciones"/>
    <x v="9"/>
    <x v="16"/>
    <s v="Implementar y soportar plataforma de TI"/>
    <s v="Índice de capacidad en la prestación de servicios de tecnología."/>
    <n v="339"/>
    <d v="2021-02-19T00:00:00"/>
    <n v="4976424"/>
    <n v="44787816"/>
    <n v="44787816"/>
    <s v="DIEGO FERNANDO CAICEDO"/>
    <n v="4"/>
    <x v="0"/>
    <n v="24497"/>
    <x v="1"/>
  </r>
  <r>
    <x v="5"/>
    <n v="47"/>
    <x v="4"/>
    <x v="6"/>
    <x v="1"/>
    <x v="1"/>
    <x v="0"/>
    <x v="0"/>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1"/>
    <x v="1"/>
    <n v="11"/>
    <x v="0"/>
    <x v="0"/>
    <x v="2"/>
    <n v="63335720"/>
    <n v="63335720"/>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s v="EDISON ANDRES MONDRAGON"/>
    <n v="3262746"/>
    <x v="0"/>
    <n v="24445"/>
    <x v="1"/>
  </r>
  <r>
    <x v="5"/>
    <n v="98"/>
    <x v="4"/>
    <x v="6"/>
    <x v="1"/>
    <x v="1"/>
    <x v="0"/>
    <x v="5"/>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4"/>
    <x v="4"/>
    <n v="225"/>
    <x v="1"/>
    <x v="0"/>
    <x v="2"/>
    <n v="98376633.599999994"/>
    <n v="98376633.599999994"/>
    <x v="0"/>
    <x v="1"/>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s v="ELIAS REINALDO GAMEZ PINILLA"/>
    <n v="3.5999999940395355"/>
    <x v="0"/>
    <n v="24744"/>
    <x v="1"/>
  </r>
  <r>
    <x v="5"/>
    <n v="56"/>
    <x v="4"/>
    <x v="6"/>
    <x v="1"/>
    <x v="1"/>
    <x v="0"/>
    <x v="0"/>
    <x v="0"/>
    <s v="Servicios de implementación de aplicaciones"/>
    <x v="0"/>
    <n v="81111508"/>
    <s v="Prestación de servicios profesionales para  el soporte, mantenimiento, análisis, diseño  y desarrollo de los componentes web  para la operación del sistema catastral."/>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43"/>
    <d v="2021-02-15T00:00:00"/>
    <n v="7550277"/>
    <n v="67952493"/>
    <n v="67952493"/>
    <s v="FELIPE ANDRES CADENA MOLANO"/>
    <n v="0"/>
    <x v="0"/>
    <n v="24498"/>
    <x v="1"/>
  </r>
  <r>
    <x v="5"/>
    <n v="70"/>
    <x v="4"/>
    <x v="6"/>
    <x v="1"/>
    <x v="1"/>
    <x v="0"/>
    <x v="0"/>
    <x v="0"/>
    <s v="Servicios de implementación de aplicaciones"/>
    <x v="0"/>
    <n v="81111508"/>
    <s v="Prestación de servicios profesionales para llevar a cabo la administración y monitoreo de servicios de ti y plataformas basadas en software libre adoptadas por la entidad."/>
    <x v="1"/>
    <x v="1"/>
    <n v="9"/>
    <x v="0"/>
    <x v="0"/>
    <x v="2"/>
    <n v="26476020"/>
    <n v="26476020"/>
    <x v="0"/>
    <x v="0"/>
    <x v="1"/>
    <x v="0"/>
    <x v="5"/>
    <s v="Informática y Telecomunicaciones"/>
    <x v="3"/>
    <s v="Jefe Oficina de Informática y Telecomunicaciones"/>
    <x v="9"/>
    <x v="16"/>
    <s v="Implementar y soportar plataforma de TI"/>
    <s v="Índice de capacidad en la prestación de servicios de tecnología."/>
    <n v="408"/>
    <d v="2021-02-25T00:00:00"/>
    <n v="2941780"/>
    <n v="26476020"/>
    <n v="26476020"/>
    <s v="FERNANDO DAVID VILLANUEVA"/>
    <n v="0"/>
    <x v="0"/>
    <n v="24549"/>
    <x v="1"/>
  </r>
  <r>
    <x v="5"/>
    <n v="38"/>
    <x v="4"/>
    <x v="6"/>
    <x v="0"/>
    <x v="0"/>
    <x v="0"/>
    <x v="0"/>
    <x v="0"/>
    <s v="Servicios de implementación de aplicaciones"/>
    <x v="0"/>
    <n v="81111508"/>
    <s v="Prestación de servicios profesionales para  soportar, mantener  y desarrollar componentes de software de los sistemas de información de la entidad."/>
    <x v="1"/>
    <x v="1"/>
    <n v="9"/>
    <x v="0"/>
    <x v="0"/>
    <x v="2"/>
    <n v="156743575"/>
    <n v="156743575"/>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38"/>
    <d v="2021-01-28T00:00:00"/>
    <n v="8707976"/>
    <n v="78371784"/>
    <n v="156743568"/>
    <s v="GERMAN CAMACHO _x000a_SANDRA VILLARUEL"/>
    <n v="7"/>
    <x v="0"/>
    <s v="24334_x000a_24335"/>
    <x v="0"/>
  </r>
  <r>
    <x v="5"/>
    <n v="34"/>
    <x v="4"/>
    <x v="6"/>
    <x v="1"/>
    <x v="1"/>
    <x v="0"/>
    <x v="0"/>
    <x v="0"/>
    <s v="Servicios de implementación de aplicaciones"/>
    <x v="0"/>
    <n v="81111508"/>
    <s v="Prestación de servicios profesionales para desarrollar actividades referentes a la gestión y aseguramiento del cumplimiento de la estrategia de gobierno digital."/>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65"/>
    <d v="2021-01-26T00:00:00"/>
    <n v="7550277"/>
    <n v="67952493"/>
    <n v="67952493"/>
    <s v="GUILLERMO ANTONIO GOMEZ BOLAÑOZ"/>
    <n v="0"/>
    <x v="0"/>
    <n v="24352"/>
    <x v="1"/>
  </r>
  <r>
    <x v="5"/>
    <n v="35"/>
    <x v="4"/>
    <x v="6"/>
    <x v="1"/>
    <x v="1"/>
    <x v="0"/>
    <x v="0"/>
    <x v="0"/>
    <s v="Servicios de implementación de aplicaciones"/>
    <x v="0"/>
    <n v="81111508"/>
    <s v="Prestación de servicios profesionales para orientar y realizar las actividades de soporte técnico de las plataformas de la oficina de informática y telecomunicaciones"/>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162"/>
    <d v="2021-01-26T00:00:00"/>
    <n v="6683453"/>
    <n v="60151077"/>
    <n v="60151077"/>
    <s v="HENRY MAURICIO ROJAS PINEDA"/>
    <n v="7"/>
    <x v="0"/>
    <n v="24348"/>
    <x v="1"/>
  </r>
  <r>
    <x v="5"/>
    <n v="43"/>
    <x v="4"/>
    <x v="6"/>
    <x v="1"/>
    <x v="1"/>
    <x v="0"/>
    <x v="0"/>
    <x v="0"/>
    <s v="Servicios de implementación de aplicaciones"/>
    <x v="0"/>
    <n v="81111508"/>
    <s v="Prestación de servicios profesionales para llevar a cabo la operación, monitoreo y soporte técnico a las infraestructuras tecnológicas asignadas por la oficina de informática y telecomunicaciones."/>
    <x v="1"/>
    <x v="1"/>
    <n v="9"/>
    <x v="0"/>
    <x v="0"/>
    <x v="2"/>
    <n v="51820134"/>
    <n v="51820134"/>
    <x v="0"/>
    <x v="0"/>
    <x v="1"/>
    <x v="0"/>
    <x v="5"/>
    <s v="Informática y Telecomunicaciones"/>
    <x v="3"/>
    <s v="Jefe Oficina de Informática y Telecomunicaciones"/>
    <x v="9"/>
    <x v="16"/>
    <s v="Implementar y soportar plataforma de TI"/>
    <s v="Índice de capacidad en la prestación de servicios de tecnología."/>
    <n v="295"/>
    <d v="2021-02-11T00:00:00"/>
    <n v="5757792"/>
    <n v="51820134"/>
    <n v="51820134"/>
    <s v="HERMES  RAMIREZ AROCA"/>
    <n v="0"/>
    <x v="0"/>
    <n v="24464"/>
    <x v="1"/>
  </r>
  <r>
    <x v="5"/>
    <n v="41"/>
    <x v="4"/>
    <x v="6"/>
    <x v="1"/>
    <x v="1"/>
    <x v="0"/>
    <x v="0"/>
    <x v="0"/>
    <s v="Servicios de implementación de aplicaciones"/>
    <x v="0"/>
    <n v="81111508"/>
    <s v="Prestación de servicios profesionales para implementar, mantener, proponer y aplicar mejoras al sistema de gestión de seguridad de la información del igac"/>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262"/>
    <d v="2021-02-11T00:00:00"/>
    <n v="7550277"/>
    <n v="67952493"/>
    <n v="67952493"/>
    <s v="ISIS JOHANNA GOMEZ PERALTA"/>
    <n v="0"/>
    <x v="0"/>
    <n v="24483"/>
    <x v="1"/>
  </r>
  <r>
    <x v="5"/>
    <n v="36"/>
    <x v="4"/>
    <x v="6"/>
    <x v="1"/>
    <x v="1"/>
    <x v="0"/>
    <x v="0"/>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57"/>
    <d v="2021-01-26T00:00:00"/>
    <n v="7550277"/>
    <n v="67952493"/>
    <n v="67952493"/>
    <s v="JAIME ENRIQUE CARDENAS"/>
    <n v="0"/>
    <x v="0"/>
    <n v="24346"/>
    <x v="1"/>
  </r>
  <r>
    <x v="5"/>
    <n v="54"/>
    <x v="4"/>
    <x v="6"/>
    <x v="0"/>
    <x v="0"/>
    <x v="0"/>
    <x v="0"/>
    <x v="0"/>
    <s v="Servicios de implementación de aplicaciones"/>
    <x v="0"/>
    <n v="81111508"/>
    <s v="Prestación de servicios profesionales para analizar y desarrollar componentes de software en plataforma ORACLE."/>
    <x v="1"/>
    <x v="1"/>
    <n v="9"/>
    <x v="0"/>
    <x v="0"/>
    <x v="2"/>
    <n v="120302167"/>
    <n v="120302167"/>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292"/>
    <d v="2021-02-12T00:00:00"/>
    <n v="6683454"/>
    <n v="59928304"/>
    <n v="119856608"/>
    <s v="JAIME VERA_x000a_WILSON NIÑO"/>
    <n v="445559"/>
    <x v="0"/>
    <s v="24459_x000a_24460"/>
    <x v="0"/>
  </r>
  <r>
    <x v="5"/>
    <n v="69"/>
    <x v="4"/>
    <x v="6"/>
    <x v="1"/>
    <x v="1"/>
    <x v="0"/>
    <x v="0"/>
    <x v="0"/>
    <s v="Servicios de implementación de aplicaciones"/>
    <x v="0"/>
    <n v="81111508"/>
    <s v="Prestación de servicios profesionales para gestionar, administrar y operar la infraestructura tecnológica de las plataformas Windows, virtualización y almacenamiento de la entidad."/>
    <x v="1"/>
    <x v="1"/>
    <n v="9"/>
    <x v="0"/>
    <x v="0"/>
    <x v="2"/>
    <n v="67952493"/>
    <n v="67952493"/>
    <x v="0"/>
    <x v="0"/>
    <x v="1"/>
    <x v="0"/>
    <x v="5"/>
    <s v="Informática y Telecomunicaciones"/>
    <x v="3"/>
    <s v="Jefe Oficina de Informática y Telecomunicaciones"/>
    <x v="9"/>
    <x v="16"/>
    <s v="Implementar y soportar plataforma de TI"/>
    <s v="Índice de capacidad en la prestación de servicios de tecnología."/>
    <n v="369"/>
    <d v="2021-03-30T00:00:00"/>
    <n v="7550277"/>
    <n v="67952493"/>
    <n v="67952493"/>
    <s v="JAMES YESID JARAMILLO"/>
    <n v="0"/>
    <x v="0"/>
    <n v="24640"/>
    <x v="1"/>
  </r>
  <r>
    <x v="5"/>
    <n v="42"/>
    <x v="4"/>
    <x v="6"/>
    <x v="1"/>
    <x v="1"/>
    <x v="0"/>
    <x v="0"/>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s v="JENIFER PAOLA ESPINDOLA"/>
    <n v="3775139"/>
    <x v="0"/>
    <n v="24466"/>
    <x v="1"/>
  </r>
  <r>
    <x v="5"/>
    <n v="76"/>
    <x v="4"/>
    <x v="6"/>
    <x v="1"/>
    <x v="1"/>
    <x v="0"/>
    <x v="3"/>
    <x v="0"/>
    <s v="Servicios de implementación de aplicaciones"/>
    <x v="0"/>
    <n v="81111508"/>
    <s v="Prestación de servicios profesionales para elaborar las historias de usuarios y prototipado de las funcionalidades requeridas por el instituto."/>
    <x v="2"/>
    <x v="2"/>
    <n v="9"/>
    <x v="0"/>
    <x v="0"/>
    <x v="2"/>
    <n v="51820137"/>
    <n v="51820137"/>
    <x v="0"/>
    <x v="0"/>
    <x v="1"/>
    <x v="0"/>
    <x v="10"/>
    <s v="Oficina de Informática y Telecomunicaciones"/>
    <x v="3"/>
    <s v="José Luis Ariza Vargas (Jefe OIT)"/>
    <x v="9"/>
    <x v="16"/>
    <s v="Implementar y mantener sistemas de información, portales y aplicaciones"/>
    <s v="Índice de capacidad en la prestación de servicios de tecnología."/>
    <n v="467"/>
    <d v="2021-03-15T00:00:00"/>
    <n v="5757793"/>
    <n v="51820137"/>
    <n v="51820137"/>
    <s v="JENNIFER PAOLA RODRIGUEZ RINCON"/>
    <n v="0"/>
    <x v="0"/>
    <n v="24605"/>
    <x v="1"/>
  </r>
  <r>
    <x v="5"/>
    <n v="50"/>
    <x v="4"/>
    <x v="6"/>
    <x v="0"/>
    <x v="0"/>
    <x v="0"/>
    <x v="0"/>
    <x v="0"/>
    <s v="Servicios de implementación de aplicaciones"/>
    <x v="0"/>
    <n v="81111508"/>
    <s v="Prestación de servicios de apoyo para ejecutar actividades de soporte técnico en la mesa de servicio del Sistema Nacional Catastro."/>
    <x v="1"/>
    <x v="1"/>
    <n v="11"/>
    <x v="0"/>
    <x v="0"/>
    <x v="2"/>
    <n v="58772631"/>
    <n v="5877263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s v="JHON SEBASTIAN CARRILLO MESA_x000a_JUAN CARLOS MESA SIMBAQUEBA"/>
    <n v="5"/>
    <x v="0"/>
    <s v="24435_x000a_24437"/>
    <x v="0"/>
  </r>
  <r>
    <x v="5"/>
    <n v="52"/>
    <x v="4"/>
    <x v="6"/>
    <x v="1"/>
    <x v="1"/>
    <x v="0"/>
    <x v="0"/>
    <x v="0"/>
    <s v="Servicios de implementación de aplicaciones"/>
    <x v="0"/>
    <n v="81111508"/>
    <s v="Prestación de servicios profesionales  para realizar actividades de  operación, soporte  y desarrollo relacionados con la  gestión del Sistema Nacional de Catastro."/>
    <x v="1"/>
    <x v="1"/>
    <n v="11"/>
    <x v="0"/>
    <x v="0"/>
    <x v="2"/>
    <n v="46898746"/>
    <n v="46898746"/>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s v="JONATHAN HORTS RODRIGUEZ QUIROGA"/>
    <n v="4"/>
    <x v="0"/>
    <n v="24439"/>
    <x v="1"/>
  </r>
  <r>
    <x v="5"/>
    <n v="63"/>
    <x v="4"/>
    <x v="6"/>
    <x v="1"/>
    <x v="1"/>
    <x v="0"/>
    <x v="0"/>
    <x v="0"/>
    <s v="Servicios de implementación de aplicaciones"/>
    <x v="0"/>
    <n v="81111508"/>
    <s v="Prestación de servicios profesionales para realizar la gestión de la seguridad informática y Perimetral de los sistemas de la entidad."/>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327"/>
    <d v="2021-02-19T00:00:00"/>
    <n v="7550277"/>
    <n v="67952493"/>
    <n v="67952493"/>
    <s v="JORGE SANDOVAL GONZALEZ"/>
    <n v="0"/>
    <x v="0"/>
    <n v="24488"/>
    <x v="1"/>
  </r>
  <r>
    <x v="5"/>
    <n v="51"/>
    <x v="4"/>
    <x v="6"/>
    <x v="1"/>
    <x v="1"/>
    <x v="0"/>
    <x v="0"/>
    <x v="0"/>
    <s v="Servicios de implementación de aplicaciones"/>
    <x v="0"/>
    <n v="81111508"/>
    <s v="Prestación de servicios profesionales para desarrollar, administrar y dar soporte a los componentes de los portales web y micro sitios de la entidad."/>
    <x v="1"/>
    <x v="1"/>
    <n v="9"/>
    <x v="0"/>
    <x v="0"/>
    <x v="2"/>
    <n v="51820134"/>
    <n v="51820134"/>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5"/>
    <d v="2021-02-11T00:00:00"/>
    <n v="5757793"/>
    <n v="51628211"/>
    <n v="51628211"/>
    <s v="JOSE  LUIS SANABRIA CASIANO"/>
    <n v="191923"/>
    <x v="0"/>
    <n v="24443"/>
    <x v="1"/>
  </r>
  <r>
    <x v="5"/>
    <n v="88"/>
    <x v="4"/>
    <x v="6"/>
    <x v="1"/>
    <x v="1"/>
    <x v="0"/>
    <x v="2"/>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484"/>
    <d v="2021-03-17T00:00:00"/>
    <n v="2671483"/>
    <n v="24043347"/>
    <n v="24043347"/>
    <s v="JOSE GREGORIO MATEUS MALAGON"/>
    <n v="2"/>
    <x v="0"/>
    <n v="24618"/>
    <x v="1"/>
  </r>
  <r>
    <x v="5"/>
    <n v="53"/>
    <x v="4"/>
    <x v="6"/>
    <x v="1"/>
    <x v="1"/>
    <x v="0"/>
    <x v="0"/>
    <x v="0"/>
    <s v="Servicios de implementación de aplicaciones"/>
    <x v="0"/>
    <n v="81111508"/>
    <s v="Prestación de Servicios Profesionales para realizar actividades de operación, soporte, mantenimiento y monitoreo a las plataformas tecnológicas."/>
    <x v="1"/>
    <x v="1"/>
    <n v="9"/>
    <x v="0"/>
    <x v="0"/>
    <x v="2"/>
    <n v="38371701"/>
    <n v="38371701"/>
    <x v="0"/>
    <x v="0"/>
    <x v="1"/>
    <x v="0"/>
    <x v="5"/>
    <s v="Informática y Telecomunicaciones"/>
    <x v="3"/>
    <s v="Jefe Oficina de Informática y Telecomunicaciones"/>
    <x v="9"/>
    <x v="16"/>
    <s v="Implementar y soportar plataforma de TI"/>
    <s v="Índice de capacidad en la prestación de servicios de tecnología."/>
    <n v="277"/>
    <d v="2021-02-11T00:00:00"/>
    <n v="4263522"/>
    <n v="38371698"/>
    <n v="38371698"/>
    <s v="JUAN CARLOS BEJARANO BAYONA"/>
    <n v="3"/>
    <x v="0"/>
    <n v="24442"/>
    <x v="1"/>
  </r>
  <r>
    <x v="5"/>
    <n v="71"/>
    <x v="4"/>
    <x v="6"/>
    <x v="1"/>
    <x v="1"/>
    <x v="0"/>
    <x v="3"/>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s v="JUAN CARLOS MENDEZ MELO"/>
    <n v="11610640"/>
    <x v="0"/>
    <n v="24555"/>
    <x v="1"/>
  </r>
  <r>
    <x v="5"/>
    <n v="59"/>
    <x v="4"/>
    <x v="6"/>
    <x v="1"/>
    <x v="1"/>
    <x v="0"/>
    <x v="0"/>
    <x v="0"/>
    <s v="Servicios de implementación de aplicaciones"/>
    <x v="0"/>
    <n v="81111508"/>
    <s v="Prestación de servicios  para realizar actividades de administración, soporte y monitoreo de las plataformas basadas en software libre adoptadas por la entidad."/>
    <x v="1"/>
    <x v="1"/>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330"/>
    <d v="2021-02-17T00:00:00"/>
    <n v="2671483"/>
    <n v="24043347"/>
    <n v="24043347"/>
    <s v="JULIAN DAVID TETE MILES"/>
    <n v="2"/>
    <x v="0"/>
    <n v="24490"/>
    <x v="1"/>
  </r>
  <r>
    <x v="5"/>
    <n v="73"/>
    <x v="4"/>
    <x v="6"/>
    <x v="1"/>
    <x v="1"/>
    <x v="0"/>
    <x v="3"/>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31"/>
    <d v="2021-03-08T00:00:00"/>
    <n v="2941780"/>
    <n v="26476020"/>
    <n v="26476020"/>
    <s v="KATHERINE ANDREA CEPEDA ZUÑIGA"/>
    <n v="0"/>
    <x v="0"/>
    <n v="24561"/>
    <x v="1"/>
  </r>
  <r>
    <x v="5"/>
    <n v="72"/>
    <x v="4"/>
    <x v="6"/>
    <x v="1"/>
    <x v="1"/>
    <x v="0"/>
    <x v="3"/>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s v="LEIDY NATHALY GONZALEZ DIAZ"/>
    <n v="10159310"/>
    <x v="0"/>
    <n v="24553"/>
    <x v="1"/>
  </r>
  <r>
    <x v="5"/>
    <n v="74"/>
    <x v="4"/>
    <x v="6"/>
    <x v="1"/>
    <x v="1"/>
    <x v="0"/>
    <x v="3"/>
    <x v="0"/>
    <s v="Servicios de implementación de aplicaciones"/>
    <x v="0"/>
    <n v="81111508"/>
    <s v="Prestación de servicios de apoyo para ejecutar actividades de soporte técnico de primer nivel en la mesa de servicio del Sistema Nacional de Catastro."/>
    <x v="2"/>
    <x v="2"/>
    <n v="5"/>
    <x v="0"/>
    <x v="0"/>
    <x v="2"/>
    <n v="13357415"/>
    <n v="13357415"/>
    <x v="0"/>
    <x v="0"/>
    <x v="1"/>
    <x v="0"/>
    <x v="1"/>
    <s v="Oficina de Informática y Telecomunicaciones"/>
    <x v="3"/>
    <s v="José Luis Ariza Vargas (Jefe OIT)"/>
    <x v="1"/>
    <x v="2"/>
    <s v="Ejecutar procesos de actualización catastral a nivel nacional"/>
    <s v="Predios actualizados catastralmente"/>
    <n v="429"/>
    <d v="2021-03-08T00:00:00"/>
    <n v="2671483"/>
    <n v="13357415"/>
    <n v="13357415"/>
    <s v="LEIDY PAOLA ABRIL CANTOR"/>
    <n v="0"/>
    <x v="0"/>
    <n v="24559"/>
    <x v="1"/>
  </r>
  <r>
    <x v="5"/>
    <n v="40"/>
    <x v="4"/>
    <x v="6"/>
    <x v="1"/>
    <x v="1"/>
    <x v="0"/>
    <x v="0"/>
    <x v="0"/>
    <s v="Servicios de implementación de aplicaciones"/>
    <x v="0"/>
    <n v="81111508"/>
    <s v="Prestación de servicios profesionales para gestionar, administrar y monitorear la red regulada y el cableado estructurado de la entidad a nivel nacional."/>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269"/>
    <d v="2021-02-11T00:00:00"/>
    <n v="6683454"/>
    <n v="59928304"/>
    <n v="59928304"/>
    <s v="LEONARDO LIZARAZO SIERRA"/>
    <n v="222780"/>
    <x v="0"/>
    <n v="24452"/>
    <x v="1"/>
  </r>
  <r>
    <x v="5"/>
    <n v="61"/>
    <x v="4"/>
    <x v="6"/>
    <x v="1"/>
    <x v="1"/>
    <x v="0"/>
    <x v="0"/>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1"/>
    <x v="1"/>
    <n v="11"/>
    <x v="0"/>
    <x v="0"/>
    <x v="2"/>
    <n v="108518129"/>
    <n v="108518129"/>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s v="LUIS ALBERTO MORENO VEGA"/>
    <n v="8221075"/>
    <x v="0"/>
    <n v="24495"/>
    <x v="1"/>
  </r>
  <r>
    <x v="5"/>
    <n v="92"/>
    <x v="4"/>
    <x v="6"/>
    <x v="1"/>
    <x v="1"/>
    <x v="0"/>
    <x v="4"/>
    <x v="0"/>
    <s v="Servicios de implementación de aplicaciones"/>
    <x v="0"/>
    <n v="81111508"/>
    <s v="Prestación de servicios profesionales para configurar, administrar, gestionar, monitorear y soportar las bases de datos de la entidad."/>
    <x v="3"/>
    <x v="3"/>
    <n v="255"/>
    <x v="1"/>
    <x v="0"/>
    <x v="2"/>
    <n v="74017796"/>
    <n v="74017796"/>
    <x v="0"/>
    <x v="0"/>
    <x v="1"/>
    <x v="0"/>
    <x v="10"/>
    <s v="Oficina de Informática y Telecomunicaciones"/>
    <x v="3"/>
    <s v="José Luis Ariza Vargas (Jefe OIT)"/>
    <x v="9"/>
    <x v="16"/>
    <s v="Establecer la estratégia y gobierno de TI"/>
    <s v="Índice de capacidad en la prestación de servicios de tecnología."/>
    <n v="531"/>
    <d v="2021-04-15T00:00:00"/>
    <n v="8707976"/>
    <n v="73146998"/>
    <n v="73146998"/>
    <s v="LUIS ALEXANDER DUARTE PAREJA"/>
    <n v="870798"/>
    <x v="0"/>
    <n v="24675"/>
    <x v="1"/>
  </r>
  <r>
    <x v="5"/>
    <n v="67"/>
    <x v="4"/>
    <x v="6"/>
    <x v="1"/>
    <x v="1"/>
    <x v="0"/>
    <x v="0"/>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1"/>
    <n v="9"/>
    <x v="0"/>
    <x v="0"/>
    <x v="2"/>
    <n v="51820134"/>
    <n v="51820134"/>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s v="LUIS FERNANADO ALEXANDER BARROS"/>
    <n v="0"/>
    <x v="0"/>
    <n v="24525"/>
    <x v="1"/>
  </r>
  <r>
    <x v="5"/>
    <n v="77"/>
    <x v="4"/>
    <x v="6"/>
    <x v="1"/>
    <x v="1"/>
    <x v="0"/>
    <x v="3"/>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2"/>
    <n v="78371788"/>
    <n v="78371788"/>
    <x v="0"/>
    <x v="0"/>
    <x v="1"/>
    <x v="0"/>
    <x v="5"/>
    <s v="Informática y Telecomunicaciones"/>
    <x v="3"/>
    <s v="Jefe Oficina de Informática y Telecomunicaciones"/>
    <x v="9"/>
    <x v="16"/>
    <s v="Implementar y soportar plataforma de TI"/>
    <s v="Índice de capacidad en la prestación de servicios de tecnología."/>
    <n v="452"/>
    <d v="2021-03-15T00:00:00"/>
    <n v="8707976"/>
    <n v="78371784"/>
    <n v="78371784"/>
    <s v="LUISA FERNANDA CAMACHO"/>
    <n v="4"/>
    <x v="0"/>
    <n v="24586"/>
    <x v="1"/>
  </r>
  <r>
    <x v="5"/>
    <n v="75"/>
    <x v="4"/>
    <x v="6"/>
    <x v="1"/>
    <x v="1"/>
    <x v="0"/>
    <x v="3"/>
    <x v="0"/>
    <s v="Servicios de implementación de aplicaciones"/>
    <x v="0"/>
    <n v="81111508"/>
    <s v="Prestación de servicios profesionales para realizar actividades de soporte técnico de segundo nivel en la mesa de servicio del Sistema Nacional de Catastro."/>
    <x v="2"/>
    <x v="2"/>
    <n v="5"/>
    <x v="0"/>
    <x v="0"/>
    <x v="2"/>
    <n v="24882120"/>
    <n v="24882120"/>
    <x v="0"/>
    <x v="0"/>
    <x v="1"/>
    <x v="0"/>
    <x v="1"/>
    <s v="Oficina de Informática y Telecomunicaciones"/>
    <x v="3"/>
    <s v="José Luis Ariza Vargas (Jefe OIT)"/>
    <x v="1"/>
    <x v="2"/>
    <s v="Ejecutar procesos de actualización catastral a nivel nacional"/>
    <s v="Predios actualizados catastralmente"/>
    <n v="431"/>
    <d v="2021-03-08T00:00:00"/>
    <n v="4976424"/>
    <n v="24882120"/>
    <n v="24882120"/>
    <s v="MARCELA PATRICIA HERRAN ALVAREZ"/>
    <n v="0"/>
    <x v="0"/>
    <n v="24561"/>
    <x v="1"/>
  </r>
  <r>
    <x v="5"/>
    <n v="46"/>
    <x v="4"/>
    <x v="6"/>
    <x v="1"/>
    <x v="1"/>
    <x v="0"/>
    <x v="0"/>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1"/>
    <x v="1"/>
    <n v="9"/>
    <x v="0"/>
    <x v="0"/>
    <x v="2"/>
    <n v="24043349"/>
    <n v="24043349"/>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6"/>
    <d v="2021-02-11T00:00:00"/>
    <n v="2671483"/>
    <n v="24043347"/>
    <n v="24043347"/>
    <s v="MIGUEL ANGEL TORRES ROMERO"/>
    <n v="2"/>
    <x v="0"/>
    <n v="24448"/>
    <x v="1"/>
  </r>
  <r>
    <x v="5"/>
    <n v="57"/>
    <x v="4"/>
    <x v="6"/>
    <x v="1"/>
    <x v="1"/>
    <x v="0"/>
    <x v="0"/>
    <x v="0"/>
    <s v="Servicios de implementación de aplicaciones"/>
    <x v="0"/>
    <n v="81111508"/>
    <s v="Prestación de servicios profesionales para gestionar la infraestructura tecnológica, plataforma de inteligencia de negocios y bases de datos de la entidad."/>
    <x v="1"/>
    <x v="1"/>
    <n v="9"/>
    <x v="0"/>
    <x v="0"/>
    <x v="2"/>
    <n v="88787560"/>
    <n v="88787560"/>
    <x v="0"/>
    <x v="0"/>
    <x v="1"/>
    <x v="0"/>
    <x v="5"/>
    <s v="Informática y Telecomunicaciones"/>
    <x v="3"/>
    <s v="Jefe Oficina de Informática y Telecomunicaciones"/>
    <x v="9"/>
    <x v="16"/>
    <s v="Implementar y soportar plataforma de TI"/>
    <s v="Índice de capacidad en la prestación de servicios de tecnología."/>
    <n v="293"/>
    <d v="2021-02-16T00:00:00"/>
    <n v="9865284"/>
    <n v="88787556"/>
    <n v="88787556"/>
    <s v="NESTOR ALONSO ESPITIA DIAZ"/>
    <n v="4"/>
    <x v="0"/>
    <n v="24461"/>
    <x v="1"/>
  </r>
  <r>
    <x v="5"/>
    <n v="60"/>
    <x v="4"/>
    <x v="6"/>
    <x v="1"/>
    <x v="1"/>
    <x v="0"/>
    <x v="0"/>
    <x v="0"/>
    <s v="Servicios de implementación de aplicaciones"/>
    <x v="0"/>
    <n v="81111508"/>
    <s v="Prestación de servicios profesionales para realizar el mantenimiento de la red regulada y el cableado estructurado de la entidad a nivel nacional."/>
    <x v="1"/>
    <x v="1"/>
    <n v="9"/>
    <x v="0"/>
    <x v="0"/>
    <x v="2"/>
    <n v="32762127"/>
    <n v="32762127"/>
    <x v="0"/>
    <x v="0"/>
    <x v="1"/>
    <x v="0"/>
    <x v="5"/>
    <s v="Informática y Telecomunicaciones"/>
    <x v="3"/>
    <s v="Jefe Oficina de Informática y Telecomunicaciones"/>
    <x v="9"/>
    <x v="16"/>
    <s v="Implementar y soportar plataforma de TI"/>
    <s v="Índice de capacidad en la prestación de servicios de tecnología."/>
    <n v="334"/>
    <d v="2021-02-17T00:00:00"/>
    <n v="3640236"/>
    <n v="32762124"/>
    <n v="32762124"/>
    <s v="RUBEN DARIO MARTINEZ MELLIZO"/>
    <n v="3"/>
    <x v="0"/>
    <n v="24493"/>
    <x v="1"/>
  </r>
  <r>
    <x v="5"/>
    <n v="45"/>
    <x v="4"/>
    <x v="6"/>
    <x v="0"/>
    <x v="0"/>
    <x v="0"/>
    <x v="0"/>
    <x v="0"/>
    <s v="Servicios de implementación de aplicaciones"/>
    <x v="0"/>
    <n v="81111508"/>
    <s v="Prestación de servicios profesionales para realizar actividades de soporte técnico y temático de los sistemas de información para la operación del Sistema Nacional de Catastro."/>
    <x v="1"/>
    <x v="1"/>
    <n v="11"/>
    <x v="0"/>
    <x v="0"/>
    <x v="2"/>
    <n v="109481337"/>
    <n v="10948133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s v="SANDRA PATRICIA MORENO_x000a_DANIEL RICO BONILLA"/>
    <n v="4976433"/>
    <x v="0"/>
    <s v="24433_x000a_24436"/>
    <x v="0"/>
  </r>
  <r>
    <x v="5"/>
    <n v="48"/>
    <x v="4"/>
    <x v="6"/>
    <x v="4"/>
    <x v="4"/>
    <x v="0"/>
    <x v="0"/>
    <x v="0"/>
    <s v="Servicios de soporte técnico o de mesa de ayuda"/>
    <x v="0"/>
    <n v="81111811"/>
    <s v="Prestación de servicios para realizar actividades de  operación, soporte  de solicitudes, incidentes y requerimientos  según los niveles de servicio establecidos."/>
    <x v="1"/>
    <x v="1"/>
    <n v="9"/>
    <x v="0"/>
    <x v="0"/>
    <x v="2"/>
    <n v="120216744"/>
    <n v="120216744"/>
    <x v="0"/>
    <x v="0"/>
    <x v="4"/>
    <x v="0"/>
    <x v="5"/>
    <s v="Informática y Telecomunicaciones"/>
    <x v="3"/>
    <s v="Jefe Oficina de Informática y Telecomunicaciones"/>
    <x v="9"/>
    <x v="16"/>
    <s v="Implementar y mantener sistemas de información, portales y aplicaciones"/>
    <s v="Índice de capacidad en la prestación de servicios de tecnología."/>
    <n v="241"/>
    <d v="2021-02-11T00:00:00"/>
    <n v="2671483"/>
    <n v="24043347"/>
    <n v="120216735"/>
    <s v="URIEL ANTONIO SIERRA OSPINA_x000a_URIEL HERRERA RODRIGUEZ _x000a_CESAR ESTIVEN HERNANDEZ_x000a_CESAR JAIR RODRIGUEZ_x000a_RICARDO ANDRES GONZALEZ"/>
    <n v="9"/>
    <x v="0"/>
    <s v="24419_x000a_24422_x000a_24423_x000a_24424_x000a_24425"/>
    <x v="4"/>
  </r>
  <r>
    <x v="5"/>
    <n v="66"/>
    <x v="4"/>
    <x v="6"/>
    <x v="1"/>
    <x v="1"/>
    <x v="0"/>
    <x v="0"/>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37"/>
    <d v="2021-02-22T00:00:00"/>
    <n v="7550277"/>
    <n v="67952493"/>
    <n v="67952493"/>
    <s v="VIRGILIO SANTANDER SOCARRAS"/>
    <n v="0"/>
    <x v="0"/>
    <m/>
    <x v="1"/>
  </r>
  <r>
    <x v="5"/>
    <n v="37"/>
    <x v="4"/>
    <x v="6"/>
    <x v="1"/>
    <x v="1"/>
    <x v="0"/>
    <x v="0"/>
    <x v="0"/>
    <s v="Servicios de implementación de aplicaciones"/>
    <x v="0"/>
    <n v="81111508"/>
    <s v="Prestación de servicios profesionales para orientar y realizar la gestión de la infraestructura tecnológica y seguridad informática que soportan los sistemas de la entidad."/>
    <x v="1"/>
    <x v="1"/>
    <n v="9"/>
    <x v="0"/>
    <x v="0"/>
    <x v="2"/>
    <n v="99203332"/>
    <n v="99203332"/>
    <x v="0"/>
    <x v="0"/>
    <x v="1"/>
    <x v="0"/>
    <x v="5"/>
    <s v="Informática y Telecomunicaciones"/>
    <x v="3"/>
    <s v="Jefe Oficina de Informática y Telecomunicaciones"/>
    <x v="9"/>
    <x v="16"/>
    <s v="Implementar y soportar plataforma de TI"/>
    <s v="Índice de capacidad en la prestación de servicios de tecnología."/>
    <n v="154"/>
    <d v="2021-01-28T00:00:00"/>
    <n v="11022592"/>
    <n v="99203328"/>
    <n v="99203328"/>
    <s v="WILMER ESPITIA MUÑOZ"/>
    <n v="4"/>
    <x v="0"/>
    <n v="24332"/>
    <x v="1"/>
  </r>
  <r>
    <x v="5"/>
    <m/>
    <x v="4"/>
    <x v="6"/>
    <x v="1"/>
    <x v="6"/>
    <x v="1"/>
    <x v="13"/>
    <x v="0"/>
    <s v="Servicios de implementación de aplicaciones"/>
    <x v="0"/>
    <n v="81111508"/>
    <s v="Prestación de servicios profesionales para soportar, mantener, analizar, diseñar, desarrollar e integrar componentes de software para el instituto."/>
    <x v="5"/>
    <x v="5"/>
    <n v="195"/>
    <x v="1"/>
    <x v="0"/>
    <x v="2"/>
    <n v="39811392"/>
    <n v="39811392"/>
    <x v="0"/>
    <x v="0"/>
    <x v="1"/>
    <x v="0"/>
    <x v="10"/>
    <s v="Oficina de Informática y Telecomunicaciones"/>
    <x v="3"/>
    <s v="Guillermo Gómez Gómez (Jefe OIT)"/>
    <x v="9"/>
    <x v="16"/>
    <s v="Implementar y soportar plataformas de TI"/>
    <s v="Índice de capacidad en la prestación de servicios de tecnología."/>
    <m/>
    <m/>
    <e v="#N/A"/>
    <e v="#N/A"/>
    <e v="#N/A"/>
    <m/>
    <n v="0"/>
    <x v="26"/>
    <m/>
    <x v="6"/>
  </r>
  <r>
    <x v="5"/>
    <m/>
    <x v="4"/>
    <x v="6"/>
    <x v="1"/>
    <x v="6"/>
    <x v="1"/>
    <x v="10"/>
    <x v="0"/>
    <s v="Servicios de implementación de aplicaciones"/>
    <x v="2"/>
    <n v="81111508"/>
    <s v="Prestación de servicios profesionales para identificar, revisar, proponer, implementar y optimizar mejoras al sistema de gestión de seguridad de la información del Instituto"/>
    <x v="5"/>
    <x v="5"/>
    <n v="195"/>
    <x v="1"/>
    <x v="0"/>
    <x v="2"/>
    <n v="71646848"/>
    <n v="71646848"/>
    <x v="0"/>
    <x v="0"/>
    <x v="1"/>
    <x v="0"/>
    <x v="10"/>
    <s v="Oficina de Informática y Telecomunicaciones"/>
    <x v="3"/>
    <s v="Guillermo Gómez Gómez (Jefe OIT)"/>
    <x v="9"/>
    <x v="16"/>
    <s v="Implementar el sistema de gestión de seguridad de la información "/>
    <s v="Índice de capacidad en la prestación de servicios de tecnología."/>
    <m/>
    <m/>
    <e v="#N/A"/>
    <e v="#N/A"/>
    <e v="#N/A"/>
    <m/>
    <n v="0"/>
    <x v="17"/>
    <m/>
    <x v="6"/>
  </r>
  <r>
    <x v="5"/>
    <n v="29"/>
    <x v="4"/>
    <x v="7"/>
    <x v="1"/>
    <x v="1"/>
    <x v="0"/>
    <x v="0"/>
    <x v="0"/>
    <s v="Servicios secretariales o de administración de oficinas  "/>
    <x v="0"/>
    <n v="80161501"/>
    <s v="Prestación de servicios profesionales en el área penal, actuando en representación y defensa del IGAC a nivel Nacional."/>
    <x v="0"/>
    <x v="0"/>
    <n v="11"/>
    <x v="0"/>
    <x v="0"/>
    <x v="2"/>
    <n v="83053047"/>
    <n v="83053047"/>
    <x v="0"/>
    <x v="0"/>
    <x v="1"/>
    <x v="1"/>
    <x v="11"/>
    <s v="Oficina Asesora Jurídica"/>
    <x v="3"/>
    <s v="Jefe Oficina Asesora Jurídica"/>
    <x v="4"/>
    <x v="6"/>
    <s v="N/A"/>
    <s v="N/A"/>
    <n v="117"/>
    <d v="2021-01-26T00:00:00"/>
    <n v="7550277"/>
    <n v="83053047"/>
    <n v="83053047"/>
    <s v="ALDEMAR GUARNIZO GARCÍA"/>
    <n v="0"/>
    <x v="0"/>
    <n v="24262"/>
    <x v="1"/>
  </r>
  <r>
    <x v="5"/>
    <n v="11"/>
    <x v="4"/>
    <x v="7"/>
    <x v="1"/>
    <x v="1"/>
    <x v="0"/>
    <x v="0"/>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2"/>
    <n v="269654000"/>
    <n v="269654000"/>
    <x v="0"/>
    <x v="0"/>
    <x v="1"/>
    <x v="1"/>
    <x v="11"/>
    <s v="Oficina Asesora Jurídica"/>
    <x v="3"/>
    <s v="Jefe Oficina Asesora Jurídica"/>
    <x v="4"/>
    <x v="6"/>
    <s v="N/A"/>
    <s v="N/A"/>
    <n v="36"/>
    <d v="2021-01-14T00:00:00"/>
    <n v="24514000"/>
    <n v="269654000"/>
    <n v="269654000"/>
    <s v="CARLOS EDUARDO MEDELLIN BECERRA"/>
    <n v="0"/>
    <x v="0"/>
    <n v="24197"/>
    <x v="1"/>
  </r>
  <r>
    <x v="5"/>
    <n v="26"/>
    <x v="4"/>
    <x v="7"/>
    <x v="1"/>
    <x v="1"/>
    <x v="0"/>
    <x v="0"/>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0"/>
    <x v="0"/>
    <n v="11"/>
    <x v="0"/>
    <x v="0"/>
    <x v="2"/>
    <n v="95787741"/>
    <n v="95787741"/>
    <x v="0"/>
    <x v="0"/>
    <x v="1"/>
    <x v="1"/>
    <x v="11"/>
    <s v="Oficina Asesora Jurídica"/>
    <x v="3"/>
    <s v="Jefe Oficina Asesora Jurídica"/>
    <x v="4"/>
    <x v="6"/>
    <s v="N/A"/>
    <s v="N/A"/>
    <n v="148"/>
    <d v="2021-01-26T00:00:00"/>
    <n v="8707975"/>
    <n v="95787736"/>
    <n v="95787736"/>
    <s v="DIANA KARIME VELEZ GONAZALE"/>
    <n v="5"/>
    <x v="0"/>
    <n v="24287"/>
    <x v="1"/>
  </r>
  <r>
    <x v="5"/>
    <n v="33"/>
    <x v="4"/>
    <x v="7"/>
    <x v="0"/>
    <x v="0"/>
    <x v="0"/>
    <x v="0"/>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2"/>
    <n v="121357412"/>
    <n v="121357412"/>
    <x v="0"/>
    <x v="0"/>
    <x v="0"/>
    <x v="1"/>
    <x v="11"/>
    <s v="Oficina Asesora Jurídica"/>
    <x v="3"/>
    <s v="Jefe Oficina Asesora Jurídica"/>
    <x v="4"/>
    <x v="6"/>
    <s v="N/A"/>
    <s v="N/A"/>
    <n v="128"/>
    <d v="2021-01-26T00:00:00"/>
    <n v="7550277"/>
    <n v="60402216"/>
    <n v="120804432"/>
    <s v="ENIRQUE LESMES RODRIGUEZ_x000a_CAROLINA CARDONA BUENO"/>
    <n v="552980"/>
    <x v="0"/>
    <s v="24267_x000a_24268"/>
    <x v="0"/>
  </r>
  <r>
    <x v="5"/>
    <n v="27"/>
    <x v="4"/>
    <x v="7"/>
    <x v="1"/>
    <x v="1"/>
    <x v="0"/>
    <x v="0"/>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2"/>
    <n v="73517994"/>
    <n v="73517994"/>
    <x v="0"/>
    <x v="0"/>
    <x v="1"/>
    <x v="0"/>
    <x v="5"/>
    <s v="Oficina Asesora Jurídica"/>
    <x v="3"/>
    <s v="Jefe Oficina Asesora de Planeación"/>
    <x v="9"/>
    <x v="17"/>
    <s v="Realizar el seguimiento de los planes de acción anual"/>
    <s v="Documentos de planeación realizados_x000a__x000a_Documentos de planeación con seguimientos realizados_x000a_"/>
    <n v="127"/>
    <d v="2021-01-26T00:00:00"/>
    <n v="6683454"/>
    <n v="73517994"/>
    <n v="73517994"/>
    <s v="ESTEFANÍA DUQUE RINCÓN"/>
    <n v="0"/>
    <x v="0"/>
    <n v="24270"/>
    <x v="1"/>
  </r>
  <r>
    <x v="5"/>
    <n v="31"/>
    <x v="4"/>
    <x v="7"/>
    <x v="1"/>
    <x v="1"/>
    <x v="0"/>
    <x v="0"/>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2"/>
    <n v="95787741"/>
    <n v="95787741"/>
    <x v="0"/>
    <x v="0"/>
    <x v="1"/>
    <x v="1"/>
    <x v="11"/>
    <s v="Oficina Asesora Jurídica"/>
    <x v="3"/>
    <s v="Jefe Oficina Asesora Jurídica"/>
    <x v="4"/>
    <x v="6"/>
    <s v="N/A"/>
    <s v="N/A"/>
    <n v="147"/>
    <d v="2021-01-26T00:00:00"/>
    <n v="8707976"/>
    <n v="95787736"/>
    <n v="95787736"/>
    <s v="JULIO CESAR AMAYA MENDEZ"/>
    <n v="5"/>
    <x v="0"/>
    <n v="24286"/>
    <x v="1"/>
  </r>
  <r>
    <x v="5"/>
    <n v="32"/>
    <x v="4"/>
    <x v="7"/>
    <x v="1"/>
    <x v="1"/>
    <x v="0"/>
    <x v="0"/>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0"/>
    <x v="0"/>
    <n v="11"/>
    <x v="0"/>
    <x v="0"/>
    <x v="2"/>
    <n v="95787741"/>
    <n v="95787741"/>
    <x v="0"/>
    <x v="0"/>
    <x v="1"/>
    <x v="1"/>
    <x v="11"/>
    <s v="Oficina Asesora Jurídica"/>
    <x v="3"/>
    <s v="Jefe Oficina Asesora Jurídica"/>
    <x v="4"/>
    <x v="6"/>
    <s v="N/A"/>
    <s v="N/A"/>
    <n v="138"/>
    <d v="2021-01-26T00:00:00"/>
    <n v="8707976"/>
    <n v="95787736"/>
    <n v="95787736"/>
    <s v="LAURA VILLARRAGA ALBINO,"/>
    <n v="5"/>
    <x v="0"/>
    <n v="24271"/>
    <x v="1"/>
  </r>
  <r>
    <x v="5"/>
    <n v="30"/>
    <x v="4"/>
    <x v="7"/>
    <x v="1"/>
    <x v="1"/>
    <x v="0"/>
    <x v="0"/>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2"/>
    <n v="60678706"/>
    <n v="60678706"/>
    <x v="0"/>
    <x v="0"/>
    <x v="1"/>
    <x v="1"/>
    <x v="11"/>
    <s v="Oficina Asesora Jurídica"/>
    <x v="3"/>
    <s v="Jefe Oficina Asesora Jurídica"/>
    <x v="4"/>
    <x v="6"/>
    <s v="N/A"/>
    <s v="N/A"/>
    <n v="146"/>
    <d v="2021-01-26T00:00:00"/>
    <n v="7550277"/>
    <n v="60402216"/>
    <n v="60402216"/>
    <s v="SANDRA MAGALLY SALGADO LEYV"/>
    <n v="276490"/>
    <x v="0"/>
    <n v="24285"/>
    <x v="1"/>
  </r>
  <r>
    <x v="2"/>
    <m/>
    <x v="4"/>
    <x v="8"/>
    <x v="1"/>
    <x v="7"/>
    <x v="1"/>
    <x v="0"/>
    <x v="0"/>
    <s v="Servicios de auditoría"/>
    <x v="0"/>
    <n v="84111600"/>
    <s v="Contratación de auditoria externa de seguimiento y auditoria con fines de certificación de calidad bajo la norma ISO 9001:2015, gestión ambiental bajo la norma ISO 14001:2015"/>
    <x v="6"/>
    <x v="6"/>
    <n v="11"/>
    <x v="0"/>
    <x v="0"/>
    <x v="2"/>
    <n v="20000000"/>
    <n v="20000000"/>
    <x v="0"/>
    <x v="0"/>
    <x v="1"/>
    <x v="0"/>
    <x v="5"/>
    <s v="Oficina Asesora de Planeación"/>
    <x v="3"/>
    <s v="Jefe Oficina Asesora de Planeación"/>
    <x v="9"/>
    <x v="22"/>
    <s v="Ejecutar el programa de auditoria"/>
    <s v="Sistema de Gestión implementado_x000a_"/>
    <m/>
    <m/>
    <e v="#N/A"/>
    <e v="#N/A"/>
    <e v="#N/A"/>
    <m/>
    <n v="0"/>
    <x v="0"/>
    <m/>
    <x v="7"/>
  </r>
  <r>
    <x v="5"/>
    <n v="16"/>
    <x v="4"/>
    <x v="8"/>
    <x v="1"/>
    <x v="1"/>
    <x v="0"/>
    <x v="0"/>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1"/>
    <n v="11"/>
    <x v="0"/>
    <x v="0"/>
    <x v="2"/>
    <n v="108518128"/>
    <n v="108518128"/>
    <x v="0"/>
    <x v="0"/>
    <x v="1"/>
    <x v="0"/>
    <x v="5"/>
    <s v="Oficina Asesora de Planeación"/>
    <x v="3"/>
    <s v="Jefe Oficina Asesora de Planeación"/>
    <x v="9"/>
    <x v="22"/>
    <s v="Actualizar e implementar los planes de trabajo y/o mejoramiento anual"/>
    <s v="Sistema de Gestión implementado_x000a_"/>
    <n v="92"/>
    <d v="2021-01-19T00:00:00"/>
    <n v="9865284"/>
    <n v="108518124"/>
    <n v="108518124"/>
    <s v="CARLOS RAFAEL GONZÁLEZ CONTRERAS"/>
    <n v="4"/>
    <x v="0"/>
    <n v="24288"/>
    <x v="1"/>
  </r>
  <r>
    <x v="5"/>
    <n v="22"/>
    <x v="4"/>
    <x v="8"/>
    <x v="1"/>
    <x v="1"/>
    <x v="0"/>
    <x v="0"/>
    <x v="0"/>
    <s v="Servicios de auditoría"/>
    <x v="0"/>
    <n v="84111600"/>
    <s v="Prestación de servicios profesionales para realizar las actividades del sistema de gestión ambiental del instituto en el marco del modelo de planeación y gestión vigente para la nación "/>
    <x v="0"/>
    <x v="0"/>
    <n v="11"/>
    <x v="0"/>
    <x v="0"/>
    <x v="2"/>
    <n v="73517991"/>
    <n v="73517991"/>
    <x v="0"/>
    <x v="0"/>
    <x v="1"/>
    <x v="0"/>
    <x v="5"/>
    <s v="Oficina Asesora de Planeación"/>
    <x v="3"/>
    <s v="Jefe Oficina Asesora de Planeación"/>
    <x v="9"/>
    <x v="22"/>
    <s v="Actualizar e implementar los planes de trabajo y/o mejoramiento anual"/>
    <s v="Sistema de Gestión implementado_x000a_"/>
    <n v="94"/>
    <d v="2021-01-19T00:00:00"/>
    <n v="6683453"/>
    <n v="73517983"/>
    <n v="73517983"/>
    <s v="DANIEL ALEJANDRO VELASQUEZ PIRA"/>
    <n v="8"/>
    <x v="0"/>
    <n v="24260"/>
    <x v="1"/>
  </r>
  <r>
    <x v="5"/>
    <n v="17"/>
    <x v="4"/>
    <x v="8"/>
    <x v="1"/>
    <x v="1"/>
    <x v="0"/>
    <x v="0"/>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1"/>
    <x v="1"/>
    <n v="11"/>
    <x v="0"/>
    <x v="0"/>
    <x v="2"/>
    <n v="54740668"/>
    <n v="54740668"/>
    <x v="0"/>
    <x v="0"/>
    <x v="1"/>
    <x v="0"/>
    <x v="5"/>
    <s v="Oficina Asesora de Planeación"/>
    <x v="3"/>
    <s v="Jefe Oficina Asesora de Planeación"/>
    <x v="9"/>
    <x v="17"/>
    <s v="Realizar el seguimiento de los planes de acción anual"/>
    <s v="Documentos de planeación con seguimientos realizados"/>
    <n v="93"/>
    <d v="2021-01-19T00:00:00"/>
    <n v="4976424"/>
    <n v="54740664"/>
    <n v="54740664"/>
    <s v="DANIEL FERNANDO GALLEGO MORENO"/>
    <n v="4"/>
    <x v="0"/>
    <n v="24294"/>
    <x v="1"/>
  </r>
  <r>
    <x v="5"/>
    <n v="18"/>
    <x v="4"/>
    <x v="8"/>
    <x v="1"/>
    <x v="1"/>
    <x v="0"/>
    <x v="0"/>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1"/>
    <n v="11"/>
    <x v="0"/>
    <x v="0"/>
    <x v="2"/>
    <n v="83053047"/>
    <n v="83053047"/>
    <x v="0"/>
    <x v="0"/>
    <x v="1"/>
    <x v="0"/>
    <x v="5"/>
    <s v="Oficina Asesora de Planeación"/>
    <x v="3"/>
    <s v="Jefe Oficina Asesora de Planeación"/>
    <x v="9"/>
    <x v="22"/>
    <s v="Actualizar e implementar los planes de trabajo y/o mejoramiento anual"/>
    <s v="Sistema de Gestión implementado_x000a_"/>
    <n v="95"/>
    <d v="2021-01-19T00:00:00"/>
    <n v="7550277"/>
    <n v="83053047"/>
    <n v="83053047"/>
    <s v="DAVID LEONARDO CARO PEDREROS"/>
    <n v="0"/>
    <x v="0"/>
    <n v="24295"/>
    <x v="1"/>
  </r>
  <r>
    <x v="5"/>
    <n v="15"/>
    <x v="4"/>
    <x v="8"/>
    <x v="1"/>
    <x v="1"/>
    <x v="0"/>
    <x v="1"/>
    <x v="0"/>
    <s v="Servicios secretariales o de administración de oficinas  "/>
    <x v="0"/>
    <n v="80161501"/>
    <s v="Prestación de servicios profesionales para apoyar la implementación del Modelo Integrado de Planeación y Gestión en el Instituto, con énfasis en la actualización documental."/>
    <x v="1"/>
    <x v="1"/>
    <n v="11"/>
    <x v="0"/>
    <x v="0"/>
    <x v="2"/>
    <n v="46898742"/>
    <n v="46898742"/>
    <x v="0"/>
    <x v="0"/>
    <x v="1"/>
    <x v="0"/>
    <x v="5"/>
    <s v="Oficina Asesora de Planeación"/>
    <x v="3"/>
    <s v="Jefe Oficina Asesora de Planeación"/>
    <x v="9"/>
    <x v="22"/>
    <s v="Actualizar e implementar los planes de trabajo y/o mejoramiento anual"/>
    <s v="Sistema de Gestión implementado_x000a_"/>
    <n v="100"/>
    <d v="2021-01-19T00:00:00"/>
    <n v="4263522"/>
    <n v="46472390"/>
    <n v="46472390"/>
    <s v="LAURA ISABEL GONZALEZ"/>
    <n v="426352"/>
    <x v="0"/>
    <n v="24340"/>
    <x v="1"/>
  </r>
  <r>
    <x v="5"/>
    <n v="21"/>
    <x v="4"/>
    <x v="8"/>
    <x v="3"/>
    <x v="3"/>
    <x v="0"/>
    <x v="0"/>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1"/>
    <x v="1"/>
    <n v="11"/>
    <x v="0"/>
    <x v="0"/>
    <x v="2"/>
    <n v="249159141"/>
    <n v="249159141"/>
    <x v="0"/>
    <x v="0"/>
    <x v="3"/>
    <x v="0"/>
    <x v="5"/>
    <s v="Oficina Asesora de Planeación"/>
    <x v="3"/>
    <s v="Jefe Oficina Asesora de Planeación"/>
    <x v="9"/>
    <x v="17"/>
    <s v="Realizar el seguimiento de los planes de acción anual"/>
    <s v="Documentos de planeación realizados_x000a__x000a_Documentos de planeación con seguimientos realizados_x000a_"/>
    <n v="99"/>
    <d v="2021-01-19T00:00:00"/>
    <n v="7550277"/>
    <n v="83053047"/>
    <n v="249159141"/>
    <s v="NASLY ESPERANZA MAYORGA_x000a_DIEGO CASTIBLANCO_x000a_ORLANDO AMAYA"/>
    <n v="0"/>
    <x v="0"/>
    <s v="24304_x000a_24305_x000a_24306"/>
    <x v="3"/>
  </r>
  <r>
    <x v="2"/>
    <n v="45"/>
    <x v="2"/>
    <x v="2"/>
    <x v="1"/>
    <x v="1"/>
    <x v="0"/>
    <x v="6"/>
    <x v="0"/>
    <s v="Servicios secretariales o de administración de oficinas  "/>
    <x v="0"/>
    <n v="80161501"/>
    <s v="Prestación de servicios profesionales para apoyar la gestión de atención al ciudadano en Sede Central y a nivel nacional."/>
    <x v="0"/>
    <x v="0"/>
    <n v="11"/>
    <x v="0"/>
    <x v="0"/>
    <x v="2"/>
    <n v="40042596"/>
    <n v="40042596"/>
    <x v="0"/>
    <x v="0"/>
    <x v="1"/>
    <x v="1"/>
    <x v="13"/>
    <s v="Secretaría General - Grupo Interno de Trabajo Servicio al Ciudadano"/>
    <x v="3"/>
    <s v="Coordinador Grupo Interno de Trabajo Servicio al Ciudadano"/>
    <x v="4"/>
    <x v="6"/>
    <s v="N/A"/>
    <s v="N/A"/>
    <n v="81"/>
    <d v="2021-01-22T00:00:00"/>
    <n v="3640236"/>
    <n v="40042596"/>
    <n v="40042596"/>
    <s v="ANYI MARCELA LEON RUBIANO"/>
    <n v="0"/>
    <x v="0"/>
    <n v="24239"/>
    <x v="1"/>
  </r>
  <r>
    <x v="2"/>
    <n v="46"/>
    <x v="2"/>
    <x v="2"/>
    <x v="1"/>
    <x v="1"/>
    <x v="0"/>
    <x v="6"/>
    <x v="0"/>
    <s v="Servicios secretariales o de administración de oficinas  "/>
    <x v="0"/>
    <n v="80161501"/>
    <s v="Prestación de servicios profesionales para apoyar la gestión administrativa del servicio al ciudadano en Sede Central y a nivel nacional."/>
    <x v="0"/>
    <x v="0"/>
    <n v="11"/>
    <x v="0"/>
    <x v="0"/>
    <x v="2"/>
    <n v="29386313"/>
    <n v="29386313"/>
    <x v="0"/>
    <x v="0"/>
    <x v="1"/>
    <x v="1"/>
    <x v="13"/>
    <s v="Secretaría General - Grupo Interno de Trabajo Servicio al Ciudadano"/>
    <x v="3"/>
    <s v="Coordinador Grupo Interno de Trabajo Servicio al Ciudadano"/>
    <x v="4"/>
    <x v="6"/>
    <s v="N/A"/>
    <s v="N/A"/>
    <n v="86"/>
    <d v="2021-01-22T00:00:00"/>
    <n v="2671483"/>
    <n v="29386313"/>
    <n v="29386313"/>
    <s v="JUAN DAVID DIAZ BUENDIA"/>
    <n v="0"/>
    <x v="0"/>
    <n v="24241"/>
    <x v="1"/>
  </r>
  <r>
    <x v="2"/>
    <n v="44"/>
    <x v="2"/>
    <x v="2"/>
    <x v="1"/>
    <x v="1"/>
    <x v="0"/>
    <x v="0"/>
    <x v="0"/>
    <s v="Servicios secretariales o de administración de oficinas  "/>
    <x v="0"/>
    <n v="80161501"/>
    <s v="Prestación de servicios profesionales para apoyar la gestión del servicio al ciudadano en Sede Central y a nivel nacional."/>
    <x v="0"/>
    <x v="0"/>
    <n v="11"/>
    <x v="0"/>
    <x v="0"/>
    <x v="2"/>
    <n v="46898742"/>
    <n v="46898742"/>
    <x v="0"/>
    <x v="0"/>
    <x v="1"/>
    <x v="1"/>
    <x v="13"/>
    <s v="Secretaría General - Grupo Interno de Trabajo Servicio al Ciudadano"/>
    <x v="3"/>
    <s v="Coordinador Grupo Interno de Trabajo Servicio al Ciudadano"/>
    <x v="4"/>
    <x v="6"/>
    <s v="N/A"/>
    <s v="N/A"/>
    <n v="75"/>
    <d v="2021-01-20T00:00:00"/>
    <n v="4263522"/>
    <n v="46898742"/>
    <n v="46898742"/>
    <s v="KAROL VIVIANA MORALES ALZATE"/>
    <n v="0"/>
    <x v="0"/>
    <n v="24229"/>
    <x v="1"/>
  </r>
  <r>
    <x v="2"/>
    <n v="36"/>
    <x v="2"/>
    <x v="2"/>
    <x v="1"/>
    <x v="1"/>
    <x v="0"/>
    <x v="0"/>
    <x v="0"/>
    <s v="Servicios secretariales o de administración de oficinas  "/>
    <x v="0"/>
    <n v="80161501"/>
    <s v="Prestación de servicios profesionales para apoyar las estrategias, procesos, procedimientos y actividades del servicio al ciudadano en Sede Central y a nivel nacional."/>
    <x v="0"/>
    <x v="0"/>
    <n v="11"/>
    <x v="0"/>
    <x v="0"/>
    <x v="2"/>
    <n v="63335720"/>
    <n v="63335720"/>
    <x v="0"/>
    <x v="0"/>
    <x v="1"/>
    <x v="1"/>
    <x v="24"/>
    <s v="Secretaria General - GIT Servicio al Ciudadano"/>
    <x v="3"/>
    <s v="Coordinador GIT Servicio al Ciudadano"/>
    <x v="4"/>
    <x v="6"/>
    <s v="N/A"/>
    <s v="N/A"/>
    <n v="36"/>
    <d v="2021-01-15T00:00:00"/>
    <n v="5757792"/>
    <n v="63335712"/>
    <n v="63335712"/>
    <s v="SHADIA  GENE BELTRAN"/>
    <n v="8"/>
    <x v="0"/>
    <n v="24228"/>
    <x v="1"/>
  </r>
  <r>
    <x v="2"/>
    <m/>
    <x v="2"/>
    <x v="2"/>
    <x v="1"/>
    <x v="6"/>
    <x v="1"/>
    <x v="8"/>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2"/>
    <n v="14000000"/>
    <n v="14000000"/>
    <x v="0"/>
    <x v="0"/>
    <x v="1"/>
    <x v="1"/>
    <x v="25"/>
    <s v="Secretaria General - GIT Talento Humano"/>
    <x v="3"/>
    <s v="Coordinador GIT Talento Humano"/>
    <x v="9"/>
    <x v="18"/>
    <s v="Desarrollar actividades de educación informal en competencias laborales y socioemocionales virtuales y presenciales"/>
    <s v="Personas Capacitadas"/>
    <m/>
    <m/>
    <e v="#N/A"/>
    <e v="#N/A"/>
    <e v="#N/A"/>
    <m/>
    <n v="0"/>
    <x v="27"/>
    <m/>
    <x v="6"/>
  </r>
  <r>
    <x v="2"/>
    <m/>
    <x v="2"/>
    <x v="2"/>
    <x v="1"/>
    <x v="6"/>
    <x v="1"/>
    <x v="18"/>
    <x v="0"/>
    <s v="Máquinas clasificadoras"/>
    <x v="0"/>
    <n v="44102500"/>
    <s v="Realizar el mantenimiento y/o adecuación de los digiturnos que tiene el IGAC a nivel nacional"/>
    <x v="5"/>
    <x v="5"/>
    <n v="7"/>
    <x v="0"/>
    <x v="0"/>
    <x v="2"/>
    <n v="120000000"/>
    <n v="120000000"/>
    <x v="0"/>
    <x v="1"/>
    <x v="1"/>
    <x v="1"/>
    <x v="24"/>
    <s v="Secretaria General - GIT Servicio al Ciudadano"/>
    <x v="3"/>
    <s v="Coordinador GIT Servicio al Ciudadano"/>
    <x v="4"/>
    <x v="6"/>
    <s v="N/A"/>
    <s v="N/A"/>
    <m/>
    <m/>
    <e v="#N/A"/>
    <e v="#N/A"/>
    <e v="#N/A"/>
    <m/>
    <n v="0"/>
    <x v="0"/>
    <m/>
    <x v="6"/>
  </r>
  <r>
    <x v="2"/>
    <n v="51"/>
    <x v="2"/>
    <x v="2"/>
    <x v="1"/>
    <x v="1"/>
    <x v="0"/>
    <x v="0"/>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1"/>
    <x v="1"/>
    <n v="11"/>
    <x v="0"/>
    <x v="0"/>
    <x v="2"/>
    <n v="83053047"/>
    <n v="83053047"/>
    <x v="0"/>
    <x v="0"/>
    <x v="1"/>
    <x v="0"/>
    <x v="8"/>
    <s v="Secretaría General"/>
    <x v="3"/>
    <s v="Secretaria General"/>
    <x v="9"/>
    <x v="17"/>
    <s v="Realizar el seguimiento de los planes de acción anual"/>
    <s v="Documentos de planeación con seguimientos realizados"/>
    <n v="287"/>
    <d v="2021-02-15T00:00:00"/>
    <n v="7550277"/>
    <n v="79026233"/>
    <n v="79026233"/>
    <s v="HELVIN IVAN CIFUENTES GONZALEZ"/>
    <n v="4026814"/>
    <x v="0"/>
    <n v="24449"/>
    <x v="1"/>
  </r>
  <r>
    <x v="2"/>
    <n v="52"/>
    <x v="2"/>
    <x v="2"/>
    <x v="1"/>
    <x v="1"/>
    <x v="0"/>
    <x v="0"/>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1"/>
    <x v="1"/>
    <n v="11"/>
    <x v="0"/>
    <x v="0"/>
    <x v="2"/>
    <n v="73517991"/>
    <n v="73517991"/>
    <x v="0"/>
    <x v="0"/>
    <x v="1"/>
    <x v="0"/>
    <x v="8"/>
    <s v="Secretaría General"/>
    <x v="3"/>
    <s v="Secretaria General"/>
    <x v="9"/>
    <x v="17"/>
    <s v="Realizar el seguimiento de los planes de acción anual"/>
    <s v="Documentos de planeación con seguimientos realizados"/>
    <n v="194"/>
    <d v="2021-02-08T00:00:00"/>
    <n v="6683454"/>
    <n v="71290173"/>
    <n v="71290173"/>
    <s v="JENNFER  ABRIL"/>
    <n v="2227818"/>
    <x v="0"/>
    <n v="24378"/>
    <x v="1"/>
  </r>
  <r>
    <x v="2"/>
    <n v="56"/>
    <x v="2"/>
    <x v="2"/>
    <x v="1"/>
    <x v="1"/>
    <x v="0"/>
    <x v="7"/>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1"/>
    <x v="1"/>
    <n v="11"/>
    <x v="0"/>
    <x v="0"/>
    <x v="2"/>
    <n v="83053047"/>
    <n v="83053047"/>
    <x v="0"/>
    <x v="0"/>
    <x v="1"/>
    <x v="1"/>
    <x v="8"/>
    <s v="Secretaría General"/>
    <x v="3"/>
    <s v="Secretaria General"/>
    <x v="4"/>
    <x v="6"/>
    <s v="N/A"/>
    <s v="N/A"/>
    <n v="265"/>
    <d v="2021-02-15T00:00:00"/>
    <n v="7550277"/>
    <n v="79277909"/>
    <n v="79277909"/>
    <s v="JULIAN ALEJANDRO CRUZ ALARCON"/>
    <n v="3775138"/>
    <x v="0"/>
    <n v="24430"/>
    <x v="1"/>
  </r>
  <r>
    <x v="2"/>
    <m/>
    <x v="2"/>
    <x v="2"/>
    <x v="1"/>
    <x v="6"/>
    <x v="1"/>
    <x v="13"/>
    <x v="0"/>
    <s v="Centros o servicios móviles de atención de salud"/>
    <x v="0"/>
    <n v="85101508"/>
    <s v="Capacitar a los funcionarios en el manejo y operación técnica de las aeronaves no tripuladas tipo UAS, propiedad del IGAC"/>
    <x v="5"/>
    <x v="5"/>
    <n v="8"/>
    <x v="0"/>
    <x v="1"/>
    <x v="2"/>
    <n v="10000000"/>
    <n v="10000000"/>
    <x v="0"/>
    <x v="1"/>
    <x v="1"/>
    <x v="1"/>
    <x v="8"/>
    <s v="Secretaría General - GIT de Talento Humano"/>
    <x v="3"/>
    <s v="Coordinador GIT Talento Humano"/>
    <x v="9"/>
    <x v="18"/>
    <s v="Desarrollar actividades de educación informal en competencias laborales y socioemocionales virtuales y presenciales"/>
    <s v="Personas Capacitadas"/>
    <m/>
    <m/>
    <e v="#N/A"/>
    <e v="#N/A"/>
    <e v="#N/A"/>
    <m/>
    <n v="0"/>
    <x v="0"/>
    <m/>
    <x v="6"/>
  </r>
  <r>
    <x v="2"/>
    <n v="70"/>
    <x v="2"/>
    <x v="2"/>
    <x v="1"/>
    <x v="1"/>
    <x v="0"/>
    <x v="3"/>
    <x v="0"/>
    <s v="Servicios secretariales o de administración de oficinas  "/>
    <x v="0"/>
    <n v="80161501"/>
    <s v="Adquisición del seguro de casco avión y seguro vehículo aéreo no tripulado que ampare los bienes e intereses patrimoniales del IGAC"/>
    <x v="3"/>
    <x v="5"/>
    <n v="12"/>
    <x v="0"/>
    <x v="5"/>
    <x v="2"/>
    <n v="800000000"/>
    <n v="800000000"/>
    <x v="0"/>
    <x v="5"/>
    <x v="1"/>
    <x v="0"/>
    <x v="6"/>
    <s v="Secretaría General"/>
    <x v="5"/>
    <s v="Secretaría General"/>
    <x v="6"/>
    <x v="10"/>
    <s v="Capturar y/o gestionar imágenes del territorio colombiano e incorporarlas en el Banco Nacional de Imágenes, a escalas y temporalidad requerida para fines catastrales"/>
    <s v="Imágenes incorporadas al Banco Nacional de imágenes"/>
    <n v="557"/>
    <d v="2021-04-20T00:00:00"/>
    <e v="#N/A"/>
    <e v="#N/A"/>
    <e v="#N/A"/>
    <s v="CENTRO INTEGRAL DE MANTENIMIENTO ATOCARS SAS"/>
    <n v="0"/>
    <x v="0"/>
    <m/>
    <x v="1"/>
  </r>
  <r>
    <x v="2"/>
    <n v="63"/>
    <x v="2"/>
    <x v="2"/>
    <x v="1"/>
    <x v="1"/>
    <x v="0"/>
    <x v="2"/>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2"/>
    <n v="40500000"/>
    <n v="40500000"/>
    <x v="0"/>
    <x v="5"/>
    <x v="1"/>
    <x v="1"/>
    <x v="26"/>
    <s v="Secretaria General - GIT servicios administrativos"/>
    <x v="3"/>
    <s v="Coordinador GIT GIT servicios administrativos"/>
    <x v="11"/>
    <x v="19"/>
    <m/>
    <m/>
    <n v="504"/>
    <d v="2021-03-25T00:00:00"/>
    <n v="4382339"/>
    <n v="39441051"/>
    <n v="39441051"/>
    <s v="ASTRID ANGELICA VELA MARTINEZ"/>
    <n v="1058949"/>
    <x v="0"/>
    <n v="24638"/>
    <x v="1"/>
  </r>
  <r>
    <x v="2"/>
    <n v="42"/>
    <x v="2"/>
    <x v="2"/>
    <x v="0"/>
    <x v="0"/>
    <x v="0"/>
    <x v="6"/>
    <x v="0"/>
    <s v="Servicios secretariales o de administración de oficinas  "/>
    <x v="0"/>
    <n v="80161501"/>
    <s v=" Prestación de servicios profesionales para recibir, programar y controlar solicitudes que deba tramitar el git de servicios administrativos."/>
    <x v="0"/>
    <x v="0"/>
    <n v="11"/>
    <x v="0"/>
    <x v="0"/>
    <x v="2"/>
    <n v="68744104"/>
    <n v="68744104"/>
    <x v="0"/>
    <x v="0"/>
    <x v="0"/>
    <x v="1"/>
    <x v="16"/>
    <s v="Secretaría General - Servicios Administrativos"/>
    <x v="3"/>
    <s v="N/A"/>
    <x v="4"/>
    <x v="6"/>
    <s v="N/A"/>
    <s v="N/A"/>
    <n v="87"/>
    <d v="2021-01-20T00:00:00"/>
    <n v="3124732"/>
    <n v="34372052"/>
    <n v="68744104"/>
    <s v="LIESEL STEFHANIE CASTIBLANCO ROMERO_x000a_ANDRES LEONARDO RACHE MOYANO"/>
    <n v="0"/>
    <x v="0"/>
    <s v="24242_x000a_24245"/>
    <x v="0"/>
  </r>
  <r>
    <x v="2"/>
    <n v="73"/>
    <x v="2"/>
    <x v="2"/>
    <x v="1"/>
    <x v="1"/>
    <x v="0"/>
    <x v="19"/>
    <x v="0"/>
    <s v="Servicios de mantenimiento de ascensores"/>
    <x v="0"/>
    <n v="72101506"/>
    <s v="Prestación de servicios para el mantenimiento correctivo y preventivo ascensores sede central "/>
    <x v="3"/>
    <x v="3"/>
    <n v="8"/>
    <x v="0"/>
    <x v="0"/>
    <x v="2"/>
    <n v="60000000"/>
    <n v="60000000"/>
    <x v="0"/>
    <x v="5"/>
    <x v="1"/>
    <x v="0"/>
    <x v="25"/>
    <s v="Secretaria General - GIT Talento Humano"/>
    <x v="3"/>
    <s v="Coordinador GIT Talento Humano"/>
    <x v="2"/>
    <x v="20"/>
    <s v="Dotar de equipamientos las sedes"/>
    <s v="Sedes Mantenidas"/>
    <n v="555"/>
    <d v="2021-04-26T00:00:00"/>
    <n v="0"/>
    <n v="18329600"/>
    <n v="18329600"/>
    <s v="OTIS ELEVATOR COMPANY COLOMBIA SAS"/>
    <n v="41670400"/>
    <x v="0"/>
    <n v="24698"/>
    <x v="1"/>
  </r>
  <r>
    <x v="2"/>
    <n v="50"/>
    <x v="2"/>
    <x v="2"/>
    <x v="1"/>
    <x v="1"/>
    <x v="0"/>
    <x v="1"/>
    <x v="0"/>
    <s v="Servicios secretariales o de administración de oficinas  "/>
    <x v="0"/>
    <n v="80161501"/>
    <s v="Prestación de servicios personales  para apoyar los asuntos  y las supervisiones que sean designadas en cabeza de los funcionarios del GIT de Servicios Administrativos"/>
    <x v="1"/>
    <x v="1"/>
    <n v="11"/>
    <x v="0"/>
    <x v="0"/>
    <x v="2"/>
    <n v="34372052"/>
    <n v="34372052"/>
    <x v="0"/>
    <x v="0"/>
    <x v="1"/>
    <x v="1"/>
    <x v="16"/>
    <s v="Secretaría General - Servicios Administrativos"/>
    <x v="3"/>
    <s v="N/A"/>
    <x v="4"/>
    <x v="6"/>
    <s v="N/A"/>
    <s v="N/A"/>
    <n v="176"/>
    <d v="2021-02-03T00:00:00"/>
    <n v="2671483"/>
    <n v="29386313"/>
    <n v="29386313"/>
    <s v="SONIA BAUTISTA CIFUENTE"/>
    <n v="4985739"/>
    <x v="0"/>
    <n v="24377"/>
    <x v="1"/>
  </r>
  <r>
    <x v="2"/>
    <n v="55"/>
    <x v="2"/>
    <x v="2"/>
    <x v="1"/>
    <x v="1"/>
    <x v="0"/>
    <x v="1"/>
    <x v="0"/>
    <s v="Servicios de mantenimiento y reparación de vehículos"/>
    <x v="0"/>
    <n v="78181500"/>
    <s v="Prestación de servicios para la revision tecnico mecanica de los vehiculos de propiedad del IGAC C "/>
    <x v="1"/>
    <x v="1"/>
    <n v="12"/>
    <x v="0"/>
    <x v="1"/>
    <x v="2"/>
    <n v="16000000"/>
    <n v="16000000"/>
    <x v="0"/>
    <x v="0"/>
    <x v="1"/>
    <x v="1"/>
    <x v="17"/>
    <s v="Secretaria General - GIT Servicios Administrativos"/>
    <x v="3"/>
    <s v="Coordinador GIT Servicios Administrativos"/>
    <x v="4"/>
    <x v="6"/>
    <s v="N/A"/>
    <s v="N/A"/>
    <n v="312"/>
    <d v="2021-02-15T00:00:00"/>
    <n v="0"/>
    <n v="13492673"/>
    <n v="13492673"/>
    <s v="INSPECCION TECNICA AUTOMOTRIZ INTECO SAS"/>
    <n v="2507327"/>
    <x v="0"/>
    <n v="24534"/>
    <x v="1"/>
  </r>
  <r>
    <x v="2"/>
    <m/>
    <x v="2"/>
    <x v="2"/>
    <x v="1"/>
    <x v="6"/>
    <x v="1"/>
    <x v="13"/>
    <x v="0"/>
    <s v="Desinfección"/>
    <x v="0"/>
    <n v="76101500"/>
    <s v="Prestación de servicios para saneamiento básico de la sede central IGAC"/>
    <x v="5"/>
    <x v="5"/>
    <n v="7"/>
    <x v="0"/>
    <x v="1"/>
    <x v="2"/>
    <n v="15000000"/>
    <n v="15000000"/>
    <x v="0"/>
    <x v="1"/>
    <x v="1"/>
    <x v="1"/>
    <x v="25"/>
    <s v="sertvcios admnistrativos "/>
    <x v="3"/>
    <s v="Coordinador GIT Talento Humano"/>
    <x v="4"/>
    <x v="6"/>
    <s v="N/A"/>
    <s v="N/A"/>
    <m/>
    <m/>
    <e v="#N/A"/>
    <e v="#N/A"/>
    <e v="#N/A"/>
    <m/>
    <n v="0"/>
    <x v="0"/>
    <m/>
    <x v="6"/>
  </r>
  <r>
    <x v="8"/>
    <n v="2"/>
    <x v="2"/>
    <x v="2"/>
    <x v="1"/>
    <x v="1"/>
    <x v="0"/>
    <x v="1"/>
    <x v="0"/>
    <s v="Servicio de abastecimiento de combustible para vehículos"/>
    <x v="0"/>
    <n v="78181701"/>
    <s v="Suministro de combustible para el funcionamiento de los vehículos del Instituto Geográfico Agustín Codazzi a nivel nacional"/>
    <x v="1"/>
    <x v="1"/>
    <n v="11"/>
    <x v="0"/>
    <x v="2"/>
    <x v="2"/>
    <n v="175709558"/>
    <n v="175709558"/>
    <x v="0"/>
    <x v="0"/>
    <x v="1"/>
    <x v="1"/>
    <x v="17"/>
    <s v="Secretaria General - GIT Servicios Administrativos"/>
    <x v="3"/>
    <s v="Coordinador GIT Servicios Administrativos"/>
    <x v="4"/>
    <x v="6"/>
    <s v="N/A"/>
    <s v="N/A"/>
    <n v="158"/>
    <d v="2021-02-03T00:00:00"/>
    <m/>
    <n v="175709558"/>
    <n v="175709558"/>
    <s v="ORGANIZACION TERPEL S.A."/>
    <n v="0"/>
    <x v="0"/>
    <n v="24342"/>
    <x v="1"/>
  </r>
  <r>
    <x v="2"/>
    <n v="37"/>
    <x v="2"/>
    <x v="2"/>
    <x v="1"/>
    <x v="1"/>
    <x v="0"/>
    <x v="0"/>
    <x v="0"/>
    <s v="Viajes en aviones comerciales"/>
    <x v="0"/>
    <n v="78111502"/>
    <s v="Suministro de tiquetes aéreos nacionales e internacionales para el Instituto Geográfico Agustín Codazzi."/>
    <x v="0"/>
    <x v="0"/>
    <n v="12"/>
    <x v="0"/>
    <x v="2"/>
    <x v="2"/>
    <n v="739850240"/>
    <n v="739850240"/>
    <x v="0"/>
    <x v="0"/>
    <x v="1"/>
    <x v="1"/>
    <x v="17"/>
    <s v="Secretaria General - GIT Servicios Administrativos"/>
    <x v="3"/>
    <s v="Coordinador GIT Servicios Administrativos"/>
    <x v="4"/>
    <x v="6"/>
    <s v="N/A"/>
    <s v="N/A"/>
    <n v="72"/>
    <d v="2021-01-15T00:00:00"/>
    <n v="0"/>
    <n v="739850240"/>
    <n v="739850240"/>
    <s v="SUBATOURS LTDA"/>
    <n v="0"/>
    <x v="0"/>
    <n v="24331"/>
    <x v="1"/>
  </r>
  <r>
    <x v="2"/>
    <n v="54"/>
    <x v="2"/>
    <x v="2"/>
    <x v="1"/>
    <x v="1"/>
    <x v="0"/>
    <x v="1"/>
    <x v="0"/>
    <s v="Transporte de personal"/>
    <x v="0"/>
    <n v="20102301"/>
    <s v="Servicio de Transporte Especial de Pasajeros y de carga a Nivel Nacional del Instituto Geográfico Agustín Codazzi. "/>
    <x v="1"/>
    <x v="1"/>
    <n v="11"/>
    <x v="0"/>
    <x v="2"/>
    <x v="2"/>
    <n v="1421305246"/>
    <n v="1421305246"/>
    <x v="0"/>
    <x v="0"/>
    <x v="1"/>
    <x v="1"/>
    <x v="17"/>
    <s v="Secretaria General - GIT Servicios Administrativos"/>
    <x v="3"/>
    <s v="Coordinador GIT Servicios Administrativos"/>
    <x v="4"/>
    <x v="6"/>
    <s v="N/A"/>
    <s v="N/A"/>
    <n v="210"/>
    <d v="2021-02-08T00:00:00"/>
    <n v="1421305246"/>
    <n v="1421305246"/>
    <n v="1421305246"/>
    <s v="UNION TEMPORAL UT G3 IGAC 2021"/>
    <n v="0"/>
    <x v="0"/>
    <n v="24738"/>
    <x v="1"/>
  </r>
  <r>
    <x v="2"/>
    <n v="67"/>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3"/>
    <x v="2"/>
    <n v="117600000"/>
    <n v="117600000"/>
    <x v="0"/>
    <x v="0"/>
    <x v="1"/>
    <x v="1"/>
    <x v="17"/>
    <s v="Secretaria General - GIT Servicios Administrativos"/>
    <x v="3"/>
    <s v="Coordinador GIT Servicios Administrativos"/>
    <x v="4"/>
    <x v="6"/>
    <s v="N/A"/>
    <s v="N/A"/>
    <n v="542"/>
    <d v="2021-04-14T00:00:00"/>
    <n v="109168733"/>
    <n v="109168733"/>
    <n v="109168733"/>
    <s v="COMPAÑIA OPERADORA DE CONTRATOS SAS"/>
    <n v="8431267"/>
    <x v="0"/>
    <n v="24763"/>
    <x v="1"/>
  </r>
  <r>
    <x v="2"/>
    <n v="62"/>
    <x v="2"/>
    <x v="2"/>
    <x v="1"/>
    <x v="1"/>
    <x v="0"/>
    <x v="3"/>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2"/>
    <n v="250000000"/>
    <n v="250000000"/>
    <x v="0"/>
    <x v="5"/>
    <x v="1"/>
    <x v="1"/>
    <x v="25"/>
    <s v="Secretaria General - GIT Talento Humano"/>
    <x v="3"/>
    <s v="Coordinador GIT Talento Humano"/>
    <x v="4"/>
    <x v="6"/>
    <s v="N/A"/>
    <s v="N/A"/>
    <n v="499"/>
    <d v="2021-03-25T00:00:00"/>
    <n v="0"/>
    <n v="142694916"/>
    <n v="142694916"/>
    <s v="CAFAM"/>
    <n v="107305084"/>
    <x v="0"/>
    <n v="24632"/>
    <x v="1"/>
  </r>
  <r>
    <x v="2"/>
    <n v="64"/>
    <x v="2"/>
    <x v="2"/>
    <x v="1"/>
    <x v="6"/>
    <x v="1"/>
    <x v="3"/>
    <x v="0"/>
    <s v="Servicios secretariales o de administración de oficinas  "/>
    <x v="0"/>
    <n v="80161501"/>
    <s v="prestación de servicios personales para realizar actividades relacionadas con la elaboración de novedades administrativas de los funcionarios  de la entidad"/>
    <x v="2"/>
    <x v="2"/>
    <n v="4"/>
    <x v="0"/>
    <x v="0"/>
    <x v="2"/>
    <n v="10685932"/>
    <n v="10685932"/>
    <x v="0"/>
    <x v="5"/>
    <x v="1"/>
    <x v="1"/>
    <x v="25"/>
    <s v="Secretaria General - GIT Talento Humano"/>
    <x v="3"/>
    <s v="Coordinador GIT Talento Humano"/>
    <x v="11"/>
    <x v="19"/>
    <m/>
    <m/>
    <n v="558"/>
    <d v="2021-04-28T00:00:00"/>
    <n v="2671483"/>
    <n v="10685932"/>
    <n v="10685932"/>
    <s v="DAIRO JAVIER MARINEZ ACHURY (contrato anulado a solicitud del abogado9"/>
    <n v="0"/>
    <x v="0"/>
    <n v="24703"/>
    <x v="1"/>
  </r>
  <r>
    <x v="2"/>
    <n v="66"/>
    <x v="2"/>
    <x v="2"/>
    <x v="0"/>
    <x v="0"/>
    <x v="0"/>
    <x v="3"/>
    <x v="0"/>
    <s v="Servicios secretariales o de administración de oficinas  "/>
    <x v="0"/>
    <n v="80161501"/>
    <s v="prestación de servicios personales para la actualización y el mantenimiento de la información generada desde el proc eso  de talento humano"/>
    <x v="2"/>
    <x v="2"/>
    <n v="4"/>
    <x v="0"/>
    <x v="0"/>
    <x v="2"/>
    <n v="16785720"/>
    <n v="16785720"/>
    <x v="0"/>
    <x v="5"/>
    <x v="0"/>
    <x v="1"/>
    <x v="15"/>
    <m/>
    <x v="6"/>
    <m/>
    <x v="11"/>
    <x v="19"/>
    <m/>
    <m/>
    <n v="562"/>
    <d v="2021-04-28T00:00:00"/>
    <e v="#N/A"/>
    <e v="#N/A"/>
    <e v="#N/A"/>
    <s v="GINA VANESSA CRUZ GARCIA_x000a_YEISON FABIÁN MORALES BOTACHE"/>
    <n v="0"/>
    <x v="0"/>
    <m/>
    <x v="0"/>
  </r>
  <r>
    <x v="2"/>
    <n v="21"/>
    <x v="2"/>
    <x v="2"/>
    <x v="5"/>
    <x v="5"/>
    <x v="0"/>
    <x v="0"/>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2"/>
    <n v="267858460"/>
    <n v="267858460"/>
    <x v="0"/>
    <x v="1"/>
    <x v="5"/>
    <x v="1"/>
    <x v="18"/>
    <s v="Secretaría General - GIT de Talento Humano"/>
    <x v="3"/>
    <s v="Coordinador GIT de Talento Humano"/>
    <x v="4"/>
    <x v="6"/>
    <s v="N/A"/>
    <s v="N/A"/>
    <n v="19"/>
    <d v="2021-01-08T00:00:00"/>
    <n v="5823010"/>
    <n v="66964615"/>
    <n v="267858460"/>
    <s v="NELSON ENRIQUE ARAQUE RODRIGUEZ_x000a_DIANA CRISTINA HENRIQUEZ RUIZ_x000a_DIANA MARLEN GÁMEZ BELLO_x000a_NATALIA MARIA CHAVEZ NAVARRETE_x000a_"/>
    <n v="0"/>
    <x v="0"/>
    <s v="24178_x000a_24179_x000a_24180_x000a_24181_x000a_"/>
    <x v="5"/>
  </r>
  <r>
    <x v="2"/>
    <n v="19"/>
    <x v="2"/>
    <x v="2"/>
    <x v="1"/>
    <x v="1"/>
    <x v="0"/>
    <x v="0"/>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2"/>
    <n v="92327704"/>
    <n v="92327704"/>
    <x v="0"/>
    <x v="1"/>
    <x v="1"/>
    <x v="1"/>
    <x v="18"/>
    <s v="Secretaría General - GIT de Talento Humano"/>
    <x v="3"/>
    <s v="Coordinador GIT de Talento Humano"/>
    <x v="4"/>
    <x v="6"/>
    <s v="N/A"/>
    <s v="N/A"/>
    <n v="20"/>
    <d v="2021-01-12T00:00:00"/>
    <n v="8028496"/>
    <n v="92327704"/>
    <n v="92327704"/>
    <s v="NYDIA MARCELA RIVERA RODRIGUEZ"/>
    <n v="0"/>
    <x v="0"/>
    <n v="24184"/>
    <x v="1"/>
  </r>
  <r>
    <x v="2"/>
    <n v="72"/>
    <x v="2"/>
    <x v="2"/>
    <x v="0"/>
    <x v="0"/>
    <x v="0"/>
    <x v="4"/>
    <x v="0"/>
    <s v="Servicios de capacitación vocacional científica"/>
    <x v="0"/>
    <n v="86101600"/>
    <s v="Prestación de servicios de apoyo a la Gestión para llevar a cabo los programas y proyectos del Plan Institucional de Capacitación de la entidad."/>
    <x v="3"/>
    <x v="3"/>
    <n v="8"/>
    <x v="0"/>
    <x v="0"/>
    <x v="2"/>
    <n v="374494211"/>
    <n v="374494211"/>
    <x v="0"/>
    <x v="0"/>
    <x v="0"/>
    <x v="0"/>
    <x v="8"/>
    <s v="Secretaría General - GIT de Talento Humano"/>
    <x v="3"/>
    <s v="Coordinador GIT Talento Humano"/>
    <x v="9"/>
    <x v="18"/>
    <s v="Desarrollar actividades de educación informal en competencias laborales y socioemocionales virtuales y presenciales"/>
    <s v="Personas Capacitadas"/>
    <n v="576"/>
    <d v="2021-04-26T00:00:00"/>
    <n v="0"/>
    <n v="320700000"/>
    <n v="320700000"/>
    <s v="UNIVERSIDAD NACIONAL _x000a_UNIVERSIDAD DISTRITAL"/>
    <n v="53794211"/>
    <x v="0"/>
    <s v="24709_x000a_24715"/>
    <x v="0"/>
  </r>
  <r>
    <x v="2"/>
    <n v="65"/>
    <x v="2"/>
    <x v="2"/>
    <x v="0"/>
    <x v="0"/>
    <x v="0"/>
    <x v="2"/>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2"/>
    <n v="34108176"/>
    <n v="34108176"/>
    <x v="0"/>
    <x v="5"/>
    <x v="0"/>
    <x v="1"/>
    <x v="25"/>
    <s v="Secretaria General - GIT Talento Humano"/>
    <x v="3"/>
    <s v="Coordinador GIT Talento Humano"/>
    <x v="11"/>
    <x v="19"/>
    <m/>
    <m/>
    <n v="511"/>
    <d v="2021-03-29T00:00:00"/>
    <n v="4263522"/>
    <n v="17054088"/>
    <n v="34108176"/>
    <s v="YESED ALEJANDRA RODRIGUEZ ROJAS_x000a_DIANAMARCELA RAMIREZ CASTILLO"/>
    <n v="0"/>
    <x v="0"/>
    <s v="24646_x000a_24648"/>
    <x v="0"/>
  </r>
  <r>
    <x v="2"/>
    <n v="69"/>
    <x v="2"/>
    <x v="2"/>
    <x v="1"/>
    <x v="1"/>
    <x v="0"/>
    <x v="11"/>
    <x v="0"/>
    <s v="Publicidad en periódicos"/>
    <x v="0"/>
    <n v="82101504"/>
    <s v="Prestación de servicios para realizar la publicación de avisos en un diario de circulación nacional"/>
    <x v="3"/>
    <x v="3"/>
    <n v="9"/>
    <x v="0"/>
    <x v="1"/>
    <x v="2"/>
    <n v="7000000"/>
    <n v="7000000"/>
    <x v="0"/>
    <x v="5"/>
    <x v="1"/>
    <x v="1"/>
    <x v="25"/>
    <s v="Secretaria General - GIT Talento Humano"/>
    <x v="3"/>
    <s v="Coordinador GIT Talento Humano"/>
    <x v="4"/>
    <x v="6"/>
    <s v="N/A"/>
    <s v="N/A"/>
    <n v="538"/>
    <d v="2021-04-20T00:00:00"/>
    <e v="#N/A"/>
    <n v="7000000"/>
    <n v="7000000"/>
    <s v="BIG MEDIA PUBLICIDAD S.A.S"/>
    <n v="0"/>
    <x v="0"/>
    <n v="24719"/>
    <x v="1"/>
  </r>
  <r>
    <x v="8"/>
    <n v="1"/>
    <x v="2"/>
    <x v="2"/>
    <x v="1"/>
    <x v="1"/>
    <x v="0"/>
    <x v="5"/>
    <x v="0"/>
    <s v="Desfibrilador cardiovertidor implantable icd o desfibrilador para terapia de re sincronización cardíaca crt-d"/>
    <x v="0"/>
    <n v="42203505"/>
    <s v="Adquisición de desfibrilador para las direcciones territoriales"/>
    <x v="4"/>
    <x v="4"/>
    <n v="1"/>
    <x v="0"/>
    <x v="1"/>
    <x v="2"/>
    <n v="20000000"/>
    <n v="20000000"/>
    <x v="0"/>
    <x v="1"/>
    <x v="1"/>
    <x v="1"/>
    <x v="25"/>
    <s v="Secretaria General - GIT Talento Humano"/>
    <x v="3"/>
    <s v="Coordinador GIT Talento Humano"/>
    <x v="4"/>
    <x v="6"/>
    <s v="N/A"/>
    <s v="N/A"/>
    <n v="591"/>
    <d v="2021-05-19T00:00:00"/>
    <n v="12530700"/>
    <n v="12530700"/>
    <n v="12530700"/>
    <s v="HEALTHCORP SAS"/>
    <n v="7469300"/>
    <x v="0"/>
    <n v="24745"/>
    <x v="1"/>
  </r>
  <r>
    <x v="8"/>
    <s v="3--4"/>
    <x v="2"/>
    <x v="2"/>
    <x v="1"/>
    <x v="1"/>
    <x v="0"/>
    <x v="3"/>
    <x v="0"/>
    <s v="Ropa de seguridad"/>
    <x v="0"/>
    <n v="46181500"/>
    <s v="Adquisición de elementos de Protección Personal (EPP) para la protección de los colaboradores del IGAC a nivel nacional en el marco de la emergencia declarada&quot; COVD-19&quot;"/>
    <x v="2"/>
    <x v="2"/>
    <n v="1"/>
    <x v="0"/>
    <x v="2"/>
    <x v="2"/>
    <n v="100000000"/>
    <n v="100000000"/>
    <x v="0"/>
    <x v="5"/>
    <x v="1"/>
    <x v="1"/>
    <x v="25"/>
    <s v="Secretaria General - GIT Talento Humano"/>
    <x v="3"/>
    <s v="Coordinador GIT Talento Humano"/>
    <x v="4"/>
    <x v="6"/>
    <s v="N/A"/>
    <s v="N/A"/>
    <n v="487"/>
    <d v="2021-03-18T00:00:00"/>
    <e v="#N/A"/>
    <n v="84103190"/>
    <n v="84103190"/>
    <s v="BON SANTE SAS_x000a_LOGISTICA Y GESTION DE NEGOCIOS SAS"/>
    <n v="15896810"/>
    <x v="0"/>
    <s v="24621_x000a_24635"/>
    <x v="1"/>
  </r>
  <r>
    <x v="8"/>
    <s v="19-20-21-22-23-24-25-26-27-28-29-30-31-32-33-34-35-36-37-38"/>
    <x v="2"/>
    <x v="2"/>
    <x v="1"/>
    <x v="1"/>
    <x v="0"/>
    <x v="5"/>
    <x v="0"/>
    <s v="Batas protectoras"/>
    <x v="0"/>
    <n v="46181533"/>
    <s v="Adquisición de elementos de seguridad industrial "/>
    <x v="4"/>
    <x v="4"/>
    <n v="11"/>
    <x v="0"/>
    <x v="2"/>
    <x v="2"/>
    <n v="400000000"/>
    <n v="400000000"/>
    <x v="0"/>
    <x v="1"/>
    <x v="1"/>
    <x v="1"/>
    <x v="25"/>
    <s v="Secretaria General - GIT Talento Humano"/>
    <x v="3"/>
    <s v="Coordinador GIT Talento Humano"/>
    <x v="4"/>
    <x v="6"/>
    <s v="N/A"/>
    <s v="N/A"/>
    <n v="603"/>
    <d v="2021-05-21T00:00:00"/>
    <n v="39174441"/>
    <n v="39174441"/>
    <n v="39174441"/>
    <s v="CENCOSUD_x000a_PANAMERICANA LIBRERIA Y PAPELERIA SA_x000a_PROVEER INSTITUCIONAL SAS_x000a_ALMACENES EXITO S A"/>
    <n v="360825559"/>
    <x v="0"/>
    <s v="24739_x000a_24740_x000a_24741_x000a_24742"/>
    <x v="1"/>
  </r>
  <r>
    <x v="2"/>
    <m/>
    <x v="2"/>
    <x v="2"/>
    <x v="1"/>
    <x v="6"/>
    <x v="1"/>
    <x v="13"/>
    <x v="0"/>
    <s v="Servicios de compra de vestuario"/>
    <x v="0"/>
    <n v="91111703"/>
    <s v="Adquisición de dotación de vestuario de calle para los funcionarios a nivel nacional "/>
    <x v="5"/>
    <x v="5"/>
    <n v="5"/>
    <x v="0"/>
    <x v="2"/>
    <x v="2"/>
    <n v="400000000"/>
    <n v="400000000"/>
    <x v="0"/>
    <x v="1"/>
    <x v="1"/>
    <x v="1"/>
    <x v="25"/>
    <s v="Secretaria General - GIT Talento Humano"/>
    <x v="3"/>
    <s v="Coordinador GIT Talento Humano"/>
    <x v="4"/>
    <x v="6"/>
    <s v="N/A"/>
    <s v="N/A"/>
    <m/>
    <m/>
    <e v="#N/A"/>
    <e v="#N/A"/>
    <e v="#N/A"/>
    <m/>
    <n v="0"/>
    <x v="0"/>
    <m/>
    <x v="6"/>
  </r>
  <r>
    <x v="2"/>
    <m/>
    <x v="2"/>
    <x v="2"/>
    <x v="1"/>
    <x v="6"/>
    <x v="1"/>
    <x v="8"/>
    <x v="0"/>
    <s v="Batas protectoras"/>
    <x v="0"/>
    <n v="46181533"/>
    <s v="Adquisición de elementos de protección personal para el personal que desarrolla actividades a nivel territorial en el desarrollo de la misionalidad del IGAC. "/>
    <x v="5"/>
    <x v="5"/>
    <n v="16"/>
    <x v="0"/>
    <x v="2"/>
    <x v="2"/>
    <n v="40000000"/>
    <n v="40000000"/>
    <x v="0"/>
    <x v="1"/>
    <x v="1"/>
    <x v="1"/>
    <x v="25"/>
    <s v="Secretaria General - GIT Talento Humano"/>
    <x v="3"/>
    <s v="Coordinador GIT Talento Humano"/>
    <x v="4"/>
    <x v="6"/>
    <s v="N/A"/>
    <s v="N/A"/>
    <m/>
    <m/>
    <e v="#N/A"/>
    <e v="#N/A"/>
    <e v="#N/A"/>
    <m/>
    <n v="0"/>
    <x v="0"/>
    <m/>
    <x v="6"/>
  </r>
  <r>
    <x v="2"/>
    <m/>
    <x v="2"/>
    <x v="2"/>
    <x v="1"/>
    <x v="6"/>
    <x v="1"/>
    <x v="8"/>
    <x v="0"/>
    <s v="Servicios de compra de vestuario"/>
    <x v="0"/>
    <n v="91111703"/>
    <s v="Adquición de zapatos y elementos de vestuario de protección "/>
    <x v="5"/>
    <x v="5"/>
    <n v="16"/>
    <x v="0"/>
    <x v="2"/>
    <x v="2"/>
    <n v="20000000"/>
    <n v="20000000"/>
    <x v="0"/>
    <x v="1"/>
    <x v="1"/>
    <x v="1"/>
    <x v="25"/>
    <s v="Secretaria General - GIT Talento Humano"/>
    <x v="3"/>
    <s v="Coordinador GIT Talento Humano"/>
    <x v="4"/>
    <x v="6"/>
    <s v="N/A"/>
    <s v="N/A"/>
    <m/>
    <m/>
    <e v="#N/A"/>
    <e v="#N/A"/>
    <e v="#N/A"/>
    <m/>
    <n v="0"/>
    <x v="0"/>
    <m/>
    <x v="6"/>
  </r>
  <r>
    <x v="2"/>
    <m/>
    <x v="2"/>
    <x v="2"/>
    <x v="1"/>
    <x v="6"/>
    <x v="1"/>
    <x v="5"/>
    <x v="0"/>
    <s v="Centros o servicios móviles de atención de salud"/>
    <x v="0"/>
    <n v="85101508"/>
    <s v="Prestación de servicios para la realización de los exámenes ocupacionales para los funcionarios de la entidad a nivel nacional"/>
    <x v="5"/>
    <x v="5"/>
    <n v="7"/>
    <x v="0"/>
    <x v="3"/>
    <x v="2"/>
    <n v="80000000"/>
    <n v="80000000"/>
    <x v="0"/>
    <x v="1"/>
    <x v="1"/>
    <x v="1"/>
    <x v="25"/>
    <s v="Secretaria General - GIT Talento Humano"/>
    <x v="3"/>
    <s v="Coordinador GIT Talento Humano"/>
    <x v="4"/>
    <x v="6"/>
    <s v="N/A"/>
    <s v="N/A"/>
    <m/>
    <m/>
    <e v="#N/A"/>
    <e v="#N/A"/>
    <e v="#N/A"/>
    <m/>
    <n v="0"/>
    <x v="0"/>
    <m/>
    <x v="6"/>
  </r>
  <r>
    <x v="0"/>
    <m/>
    <x v="0"/>
    <x v="0"/>
    <x v="1"/>
    <x v="6"/>
    <x v="1"/>
    <x v="10"/>
    <x v="0"/>
    <s v="Servicios de formación profesional en ingeniería"/>
    <x v="2"/>
    <n v="86101610"/>
    <s v="Prestación de servicios profesionales para realizar seguimiento y control a la gestión de los procesos de la Subdirección de Agrología"/>
    <x v="7"/>
    <x v="7"/>
    <n v="6"/>
    <x v="0"/>
    <x v="0"/>
    <x v="2"/>
    <n v="29858544"/>
    <n v="29858544"/>
    <x v="0"/>
    <x v="1"/>
    <x v="1"/>
    <x v="0"/>
    <x v="0"/>
    <s v="Subdirección de Agrología"/>
    <x v="7"/>
    <s v="Subdirección de Agrología"/>
    <x v="14"/>
    <x v="25"/>
    <s v="Generación de estudios de suelos, tierras y aplicaciones agrológicas como insumo para el ordenamiento integral y el manejo sostenible del territorio a nivel Nacional"/>
    <s v="Sistema de información agrologica actualizado"/>
    <m/>
    <m/>
    <e v="#N/A"/>
    <e v="#N/A"/>
    <e v="#N/A"/>
    <m/>
    <n v="0"/>
    <x v="0"/>
    <m/>
    <x v="6"/>
  </r>
  <r>
    <x v="5"/>
    <m/>
    <x v="4"/>
    <x v="4"/>
    <x v="1"/>
    <x v="6"/>
    <x v="1"/>
    <x v="10"/>
    <x v="0"/>
    <s v="Servicios de consultoría de negocios y administración corporativa"/>
    <x v="2"/>
    <n v="80101500"/>
    <s v="Prestación de servicios profesionales para realizar seguimiento y ejecución a los trámites y servicios solicitados por los usuarios internos y externos del IGAC. "/>
    <x v="5"/>
    <x v="5"/>
    <n v="7"/>
    <x v="0"/>
    <x v="0"/>
    <x v="2"/>
    <n v="18155711"/>
    <n v="18155711"/>
    <x v="0"/>
    <x v="0"/>
    <x v="1"/>
    <x v="0"/>
    <x v="5"/>
    <s v="Oficina de Difusión y Mercadeo"/>
    <x v="3"/>
    <s v="Jefe Oficina de Difusión y Mercadeo de Información "/>
    <x v="5"/>
    <x v="23"/>
    <s v="Realizar seguimiento al plan de mercadeo y/o estudios priorizados por la entidad"/>
    <s v="Documentos de lineamientos técnicos"/>
    <m/>
    <m/>
    <e v="#N/A"/>
    <e v="#N/A"/>
    <e v="#N/A"/>
    <m/>
    <n v="0"/>
    <x v="7"/>
    <m/>
    <x v="6"/>
  </r>
  <r>
    <x v="2"/>
    <m/>
    <x v="2"/>
    <x v="2"/>
    <x v="1"/>
    <x v="6"/>
    <x v="1"/>
    <x v="10"/>
    <x v="0"/>
    <s v="Servicios secretariales o de administración de oficinas  "/>
    <x v="2"/>
    <n v="80161501"/>
    <s v="Prestación de servicios profesionales  para apoyar los temas tributarios, contables y financieros que se desarollen al interior de la entidad"/>
    <x v="5"/>
    <x v="5"/>
    <n v="195"/>
    <x v="1"/>
    <x v="0"/>
    <x v="2"/>
    <n v="57000000"/>
    <n v="57000000"/>
    <x v="0"/>
    <x v="1"/>
    <x v="1"/>
    <x v="1"/>
    <x v="27"/>
    <s v="Secretaría General - GIT Gestión Financiera"/>
    <x v="3"/>
    <s v="Coordinador GIT Gestión Financiera"/>
    <x v="4"/>
    <x v="6"/>
    <s v="N/A"/>
    <s v="N/A"/>
    <m/>
    <m/>
    <e v="#N/A"/>
    <e v="#N/A"/>
    <e v="#N/A"/>
    <m/>
    <n v="0"/>
    <x v="28"/>
    <m/>
    <x v="6"/>
  </r>
  <r>
    <x v="2"/>
    <m/>
    <x v="2"/>
    <x v="2"/>
    <x v="1"/>
    <x v="6"/>
    <x v="1"/>
    <x v="10"/>
    <x v="0"/>
    <s v="Investigación de mercados"/>
    <x v="2"/>
    <n v="80141500"/>
    <s v="Contrato de prestación de servicios para realizar el avalúo de las aeronaves del IGAC"/>
    <x v="5"/>
    <x v="5"/>
    <n v="1"/>
    <x v="0"/>
    <x v="0"/>
    <x v="2"/>
    <n v="9000000"/>
    <n v="9000000"/>
    <x v="0"/>
    <x v="1"/>
    <x v="1"/>
    <x v="1"/>
    <x v="28"/>
    <s v="Secretaría General - GIT servicios admnistrativos "/>
    <x v="3"/>
    <s v="Coordinador GIT servicios admnistrativos "/>
    <x v="4"/>
    <x v="6"/>
    <s v="N/A"/>
    <s v="N/A"/>
    <m/>
    <m/>
    <e v="#N/A"/>
    <e v="#N/A"/>
    <e v="#N/A"/>
    <m/>
    <n v="0"/>
    <x v="0"/>
    <m/>
    <x v="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0"/>
    <s v="Día(s)"/>
    <n v="6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0"/>
    <m/>
    <n v="0"/>
    <n v="1"/>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05000"/>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976424"/>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
    <m/>
    <n v="0"/>
    <n v="1"/>
    <m/>
    <m/>
    <s v="OK"/>
  </r>
  <r>
    <n v="1"/>
    <n v="41"/>
    <s v="SECRETARIA GENERAL"/>
    <x v="2"/>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m/>
    <s v="SECRETARIA GENERAL"/>
    <x v="2"/>
    <n v="1"/>
    <n v="0"/>
    <n v="1"/>
    <d v="2021-05-25T00:00:00"/>
    <m/>
    <s v="Servicios de construcción de edificios comerciales y de oficina"/>
    <m/>
    <n v="72121100"/>
    <s v="Adecuación física e instalación del sistema de cableado estructurado, corriente regulada y normal y sistema de climatización para las oficinas del IGAC en la ciudad de Yopal"/>
    <s v="Julio"/>
    <s v="Julio"/>
    <n v="6"/>
    <s v="Mes (s)"/>
    <s v="Selección abreviada menor cuantía"/>
    <x v="1"/>
    <n v="245135741"/>
    <n v="245135741"/>
    <s v="No"/>
    <s v="N/A"/>
    <n v="1"/>
    <x v="0"/>
    <s v="Secretaria General"/>
    <s v="Secretaría General"/>
    <s v="Sede Central  "/>
    <s v="Secretaria General"/>
    <s v="Fortalecimiento de la infraestructura física del IGAC a nivel Nacional"/>
    <s v="Sedes adecuadas"/>
    <s v="Realizar actividades preliminares"/>
    <s v="Sedes adecuadas"/>
    <m/>
    <m/>
    <e v="#N/A"/>
    <e v="#N/A"/>
    <e v="#N/A"/>
    <e v="#N/A"/>
    <m/>
    <n v="0"/>
    <n v="0"/>
    <m/>
    <n v="0"/>
    <n v="1"/>
    <m/>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8405085.8571428582"/>
    <n v="0"/>
    <n v="24765"/>
    <n v="1"/>
    <n v="3"/>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34546758"/>
    <n v="0"/>
    <s v="24700_x000a_24760_x000a_24762"/>
    <n v="1"/>
    <n v="5"/>
    <s v="Día(s)"/>
    <m/>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34546758"/>
    <n v="0"/>
    <s v="24679_x000a_24680_x000a_24681"/>
    <n v="3"/>
    <n v="2"/>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0"/>
    <s v="Día(s)"/>
    <n v="180"/>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m/>
    <s v="CATASTRO"/>
    <x v="1"/>
    <n v="1"/>
    <n v="0"/>
    <n v="1"/>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91"/>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61"/>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40236"/>
    <m/>
    <n v="0"/>
    <n v="1"/>
    <m/>
    <m/>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076923077"/>
    <m/>
    <n v="0"/>
    <n v="1"/>
    <m/>
    <m/>
    <s v="OK"/>
  </r>
  <r>
    <n v="5"/>
    <m/>
    <s v="CATASTRO"/>
    <x v="1"/>
    <n v="1"/>
    <n v="0"/>
    <n v="1"/>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07976"/>
    <m/>
    <n v="0"/>
    <n v="1"/>
    <m/>
    <m/>
    <s v="OK"/>
  </r>
  <r>
    <n v="5"/>
    <m/>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2179900"/>
    <m/>
    <n v="0"/>
    <n v="1"/>
    <m/>
    <m/>
    <s v="OK"/>
  </r>
  <r>
    <n v="5"/>
    <m/>
    <s v="CATASTRO"/>
    <x v="1"/>
    <n v="5"/>
    <n v="0"/>
    <n v="5"/>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m/>
    <e v="#N/A"/>
    <e v="#N/A"/>
    <e v="#N/A"/>
    <e v="#N/A"/>
    <m/>
    <n v="0"/>
    <n v="28571428.571428575"/>
    <m/>
    <n v="0"/>
    <n v="5"/>
    <m/>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757793"/>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022592"/>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3467632"/>
    <m/>
    <n v="0"/>
    <n v="8"/>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3"/>
    <n v="19"/>
    <s v="CIAF"/>
    <x v="3"/>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1"/>
    <s v="CIAF"/>
    <x v="3"/>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3"/>
    <s v="CIAF"/>
    <x v="3"/>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n v="33"/>
    <s v="CIAF"/>
    <x v="3"/>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3"/>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23"/>
    <s v="CIAF"/>
    <x v="3"/>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5"/>
    <s v="CIAF"/>
    <x v="3"/>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6"/>
    <s v="CIAF"/>
    <x v="3"/>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8"/>
    <s v="CIAF"/>
    <x v="3"/>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13"/>
    <s v="CIAF"/>
    <x v="3"/>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21"/>
    <s v="CIAF"/>
    <x v="3"/>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20"/>
    <s v="CIAF"/>
    <x v="3"/>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7"/>
    <s v="CIAF"/>
    <x v="3"/>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8"/>
    <s v="CIAF"/>
    <x v="3"/>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3"/>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3"/>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9"/>
    <s v="CIAF"/>
    <x v="3"/>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10"/>
    <s v="CIAF"/>
    <x v="3"/>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
    <s v="CIAF"/>
    <x v="3"/>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26"/>
    <s v="CIAF"/>
    <x v="3"/>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0"/>
    <s v="Día(s)"/>
    <m/>
    <s v="OK"/>
  </r>
  <r>
    <n v="3"/>
    <m/>
    <s v="CIAF"/>
    <x v="3"/>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3"/>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0"/>
    <m/>
    <n v="0"/>
    <n v="1"/>
    <m/>
    <m/>
    <s v="OK"/>
  </r>
  <r>
    <n v="3"/>
    <m/>
    <s v="CIAF"/>
    <x v="3"/>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m/>
    <s v="CIAF"/>
    <x v="3"/>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2"/>
    <m/>
    <m/>
    <s v="OK"/>
  </r>
  <r>
    <n v="3"/>
    <m/>
    <s v="CIAF"/>
    <x v="3"/>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22"/>
    <s v="CIAF"/>
    <x v="3"/>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n v="25"/>
    <s v="CIAF"/>
    <x v="3"/>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m/>
    <s v="CIAF"/>
    <x v="3"/>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0"/>
    <m/>
    <n v="210"/>
    <s v="OK"/>
  </r>
  <r>
    <n v="3"/>
    <n v="27"/>
    <s v="CIAF"/>
    <x v="3"/>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15"/>
    <s v="CIAF"/>
    <x v="3"/>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32"/>
    <s v="CIAF"/>
    <x v="3"/>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30"/>
    <s v="CIAF"/>
    <x v="3"/>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0"/>
    <s v="Día(s)"/>
    <n v="210"/>
    <s v="OK"/>
  </r>
  <r>
    <n v="3"/>
    <n v="28"/>
    <s v="CIAF"/>
    <x v="3"/>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29"/>
    <s v="CIAF"/>
    <x v="3"/>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n v="12"/>
    <s v="CIAF"/>
    <x v="3"/>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16"/>
    <s v="CIAF"/>
    <x v="3"/>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31"/>
    <s v="CIAF"/>
    <x v="3"/>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24"/>
    <s v="CIAF"/>
    <x v="3"/>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m/>
    <s v="CIAF"/>
    <x v="3"/>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3"/>
    <m/>
    <s v="CIAF"/>
    <x v="3"/>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2"/>
    <m/>
    <m/>
    <s v="OK"/>
  </r>
  <r>
    <n v="3"/>
    <m/>
    <s v="CIAF"/>
    <x v="3"/>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1"/>
    <n v="74"/>
    <s v="SECRETARIA GENERAL"/>
    <x v="2"/>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2"/>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12"/>
    <s v="SECRETARIA GENERAL"/>
    <x v="2"/>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17"/>
    <s v="SECRETARIA GENERAL"/>
    <x v="2"/>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5"/>
    <s v="SECRETARIA GENERAL"/>
    <x v="2"/>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6"/>
    <s v="SECRETARIA GENERAL"/>
    <x v="2"/>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8"/>
    <s v="SECRETARIA GENERAL"/>
    <x v="2"/>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2"/>
    <n v="25"/>
    <s v="DIRECCION "/>
    <x v="4"/>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4"/>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4"/>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5"/>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5"/>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5"/>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5"/>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5"/>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5"/>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5"/>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91"/>
    <s v="DIRECCION "/>
    <x v="5"/>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12"/>
    <s v="DIRECCION "/>
    <x v="5"/>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5"/>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5"/>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96"/>
    <s v="DIRECCION "/>
    <x v="5"/>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0"/>
    <s v="Día(s)"/>
    <n v="315"/>
    <s v="OK"/>
  </r>
  <r>
    <n v="2"/>
    <n v="58"/>
    <s v="DIRECCION "/>
    <x v="5"/>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5"/>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5"/>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5"/>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5"/>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39"/>
    <s v="DIRECCION "/>
    <x v="5"/>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5"/>
    <s v="DIRECCION "/>
    <x v="5"/>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m/>
    <s v="DIRECCION "/>
    <x v="5"/>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0"/>
    <m/>
    <n v="0"/>
    <n v="1"/>
    <m/>
    <m/>
    <s v="OK"/>
  </r>
  <r>
    <n v="2"/>
    <m/>
    <s v="DIRECCION "/>
    <x v="5"/>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0"/>
    <m/>
    <n v="0"/>
    <n v="1"/>
    <m/>
    <m/>
    <s v="OK"/>
  </r>
  <r>
    <n v="2"/>
    <m/>
    <s v="DIRECCION "/>
    <x v="5"/>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5"/>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6"/>
    <n v="58"/>
    <s v="GEOGRAFIA Y CARTOGRAFIA"/>
    <x v="6"/>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0"/>
    <n v="0"/>
    <s v="24572_x000a_24573_x000a_24574_x000a_24575_x000a_24669_x000a__x000a_24671_x000a_24672_x000a_24754"/>
    <n v="9"/>
    <n v="1"/>
    <s v="Día(s)"/>
    <m/>
    <s v="OK"/>
  </r>
  <r>
    <n v="6"/>
    <n v="20"/>
    <s v="GEOGRAFIA Y CARTOGRAFIA"/>
    <x v="6"/>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62"/>
    <s v="GEOGRAFIA Y CARTOGRAFIA"/>
    <x v="6"/>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33"/>
    <s v="GEOGRAFIA Y CARTOGRAFIA"/>
    <x v="6"/>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15"/>
    <s v="GEOGRAFIA Y CARTOGRAFIA"/>
    <x v="6"/>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3"/>
    <s v="GEOGRAFIA Y CARTOGRAFIA"/>
    <x v="6"/>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19"/>
    <s v="GEOGRAFIA Y CARTOGRAFIA"/>
    <x v="6"/>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24"/>
    <s v="GEOGRAFIA Y CARTOGRAFIA"/>
    <x v="6"/>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2"/>
    <s v="GEOGRAFIA Y CARTOGRAFIA"/>
    <x v="6"/>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35"/>
    <s v="GEOGRAFIA Y CARTOGRAFIA"/>
    <x v="6"/>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46"/>
    <s v="GEOGRAFIA Y CARTOGRAFIA"/>
    <x v="6"/>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30"/>
    <s v="GEOGRAFIA Y CARTOGRAFIA"/>
    <x v="6"/>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8"/>
    <s v="GEOGRAFIA Y CARTOGRAFIA"/>
    <x v="6"/>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47"/>
    <s v="GEOGRAFIA Y CARTOGRAFIA"/>
    <x v="6"/>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66"/>
    <s v="GEOGRAFIA Y CARTOGRAFIA"/>
    <x v="6"/>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31"/>
    <s v="GEOGRAFIA Y CARTOGRAFIA"/>
    <x v="6"/>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5"/>
    <s v="GEOGRAFIA Y CARTOGRAFIA"/>
    <x v="6"/>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55"/>
    <s v="GEOGRAFIA Y CARTOGRAFIA"/>
    <x v="6"/>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28"/>
    <s v="GEOGRAFIA Y CARTOGRAFIA"/>
    <x v="6"/>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60"/>
    <s v="GEOGRAFIA Y CARTOGRAFIA"/>
    <x v="6"/>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9"/>
    <s v="GEOGRAFIA Y CARTOGRAFIA"/>
    <x v="6"/>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10"/>
    <s v="GEOGRAFIA Y CARTOGRAFIA"/>
    <x v="6"/>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2"/>
    <s v="GEOGRAFIA Y CARTOGRAFIA"/>
    <x v="6"/>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32"/>
    <s v="GEOGRAFIA Y CARTOGRAFIA"/>
    <x v="6"/>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7"/>
    <s v="GEOGRAFIA Y CARTOGRAFIA"/>
    <x v="6"/>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37"/>
    <s v="GEOGRAFIA Y CARTOGRAFIA"/>
    <x v="6"/>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64"/>
    <s v="GEOGRAFIA Y CARTOGRAFIA"/>
    <x v="6"/>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9"/>
    <s v="GEOGRAFIA Y CARTOGRAFIA"/>
    <x v="6"/>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n v="6"/>
    <n v="29"/>
    <s v="GEOGRAFIA Y CARTOGRAFIA"/>
    <x v="6"/>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53"/>
    <s v="GEOGRAFIA Y CARTOGRAFIA"/>
    <x v="6"/>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2"/>
    <s v="GEOGRAFIA Y CARTOGRAFIA"/>
    <x v="6"/>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61"/>
    <s v="GEOGRAFIA Y CARTOGRAFIA"/>
    <x v="6"/>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11"/>
    <s v="GEOGRAFIA Y CARTOGRAFIA"/>
    <x v="6"/>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74"/>
    <s v="GEOGRAFIA Y CARTOGRAFIA"/>
    <x v="6"/>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n v="6"/>
    <n v="71"/>
    <s v="GEOGRAFIA Y CARTOGRAFIA"/>
    <x v="6"/>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51"/>
    <s v="GEOGRAFIA Y CARTOGRAFIA"/>
    <x v="6"/>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s v="6//4"/>
    <n v="2"/>
    <s v="GEOGRAFIA Y CARTOGRAFIA"/>
    <x v="6"/>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77"/>
    <s v="GEOGRAFIA Y CARTOGRAFIA"/>
    <x v="6"/>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59"/>
    <s v="GEOGRAFIA Y CARTOGRAFIA"/>
    <x v="6"/>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n v="6"/>
    <n v="68"/>
    <s v="GEOGRAFIA Y CARTOGRAFIA"/>
    <x v="6"/>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21"/>
    <s v="GEOGRAFIA Y CARTOGRAFIA"/>
    <x v="6"/>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44"/>
    <s v="GEOGRAFIA Y CARTOGRAFIA"/>
    <x v="6"/>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72"/>
    <s v="GEOGRAFIA Y CARTOGRAFIA"/>
    <x v="6"/>
    <n v="5"/>
    <n v="4"/>
    <n v="1"/>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
    <n v="9374196"/>
    <n v="0"/>
    <s v="24684_x000a_24727_x000a_24732_x000a_24774"/>
    <n v="4"/>
    <n v="1"/>
    <s v="Día(s)"/>
    <m/>
    <s v="OK"/>
  </r>
  <r>
    <n v="6"/>
    <n v="17"/>
    <s v="GEOGRAFIA Y CARTOGRAFIA"/>
    <x v="6"/>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43"/>
    <s v="GEOGRAFIA Y CARTOGRAFIA"/>
    <x v="6"/>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63"/>
    <s v="GEOGRAFIA Y CARTOGRAFIA"/>
    <x v="6"/>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70"/>
    <s v="GEOGRAFIA Y CARTOGRAFIA"/>
    <x v="6"/>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34"/>
    <s v="GEOGRAFIA Y CARTOGRAFIA"/>
    <x v="6"/>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67"/>
    <s v="GEOGRAFIA Y CARTOGRAFIA"/>
    <x v="6"/>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10685932"/>
    <n v="0"/>
    <s v="24614_x000a_24733"/>
    <n v="1"/>
    <n v="1"/>
    <s v="Día(s)"/>
    <m/>
    <s v="OK"/>
  </r>
  <r>
    <n v="6"/>
    <n v="41"/>
    <s v="GEOGRAFIA Y CARTOGRAFIA"/>
    <x v="6"/>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18"/>
    <s v="GEOGRAFIA Y CARTOGRAFIA"/>
    <x v="6"/>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52"/>
    <s v="GEOGRAFIA Y CARTOGRAFIA"/>
    <x v="6"/>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48"/>
    <s v="GEOGRAFIA Y CARTOGRAFIA"/>
    <x v="6"/>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78"/>
    <s v="GEOGRAFIA Y CARTOGRAFIA"/>
    <x v="6"/>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50"/>
    <s v="GEOGRAFIA Y CARTOGRAFIA"/>
    <x v="6"/>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27"/>
    <s v="GEOGRAFIA Y CARTOGRAFIA"/>
    <x v="6"/>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54"/>
    <s v="GEOGRAFIA Y CARTOGRAFIA"/>
    <x v="6"/>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56"/>
    <s v="GEOGRAFIA Y CARTOGRAFIA"/>
    <x v="6"/>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8"/>
    <s v="GEOGRAFIA Y CARTOGRAFIA"/>
    <x v="6"/>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45"/>
    <s v="GEOGRAFIA Y CARTOGRAFIA"/>
    <x v="6"/>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3"/>
    <s v="GEOGRAFIA Y CARTOGRAFIA"/>
    <x v="6"/>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
    <s v="GEOGRAFIA Y CARTOGRAFIA"/>
    <x v="6"/>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25"/>
    <s v="GEOGRAFIA Y CARTOGRAFIA"/>
    <x v="6"/>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40"/>
    <s v="GEOGRAFIA Y CARTOGRAFIA"/>
    <x v="6"/>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12"/>
    <s v="GEOGRAFIA Y CARTOGRAFIA"/>
    <x v="6"/>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5"/>
    <s v="GEOGRAFIA Y CARTOGRAFIA"/>
    <x v="6"/>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16"/>
    <s v="GEOGRAFIA Y CARTOGRAFIA"/>
    <x v="6"/>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s v="6//4"/>
    <n v="1"/>
    <s v="GEOGRAFIA Y CARTOGRAFIA"/>
    <x v="6"/>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s v="6//4"/>
    <n v="1"/>
    <s v="GEOGRAFIA Y CARTOGRAFIA"/>
    <x v="6"/>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6"/>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6"/>
    <s v="GEOGRAFIA Y CARTOGRAFIA"/>
    <x v="6"/>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49"/>
    <s v="GEOGRAFIA Y CARTOGRAFIA"/>
    <x v="6"/>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75"/>
    <s v="GEOGRAFIA Y CARTOGRAFIA"/>
    <x v="6"/>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6"/>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6"/>
    <s v="GEOGRAFIA Y CARTOGRAFIA"/>
    <x v="6"/>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26"/>
    <s v="GEOGRAFIA Y CARTOGRAFIA"/>
    <x v="6"/>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23"/>
    <s v="GEOGRAFIA Y CARTOGRAFIA"/>
    <x v="6"/>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14"/>
    <s v="GEOGRAFIA Y CARTOGRAFIA"/>
    <x v="6"/>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m/>
    <s v="GEOGRAFIA Y CARTOGRAFIA"/>
    <x v="6"/>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6"/>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76"/>
    <s v="GEOGRAFIA Y CARTOGRAFIA"/>
    <x v="6"/>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s v="6//4"/>
    <n v="3"/>
    <s v="GEOGRAFIA Y CARTOGRAFIA"/>
    <x v="6"/>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57"/>
    <s v="GEOGRAFIA Y CARTOGRAFIA"/>
    <x v="6"/>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6"/>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1"/>
    <n v="2"/>
    <s v="SECRETARIA GENERAL"/>
    <x v="2"/>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61"/>
    <s v="SECRETARIA GENERAL"/>
    <x v="2"/>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n v="1"/>
    <n v="10"/>
    <s v="SECRETARIA GENERAL"/>
    <x v="2"/>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2"/>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2"/>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2"/>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0"/>
    <s v="Día(s)"/>
    <n v="204"/>
    <s v="OK"/>
  </r>
  <r>
    <n v="1"/>
    <n v="1"/>
    <s v="SECRETARIA GENERAL"/>
    <x v="2"/>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2"/>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47"/>
    <s v="SECRETARIA GENERAL"/>
    <x v="2"/>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6"/>
    <s v="SECRETARIA GENERAL"/>
    <x v="2"/>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2"/>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2"/>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2"/>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8"/>
    <s v="SECRETARIA GENERAL"/>
    <x v="2"/>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s v="1//1"/>
    <n v="5"/>
    <s v="SECRETARIA GENERAL"/>
    <x v="2"/>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n v="3"/>
    <s v="SECRETARIA GENERAL"/>
    <x v="2"/>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m/>
    <s v="SECRETARIA GENERAL"/>
    <x v="2"/>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48"/>
    <s v="SECRETARIA GENERAL"/>
    <x v="2"/>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2"/>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n v="80"/>
    <s v="SECRETARIA GENERAL"/>
    <x v="2"/>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m/>
    <s v="SECRETARIA GENERAL"/>
    <x v="2"/>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57"/>
    <s v="SECRETARIA GENERAL"/>
    <x v="2"/>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39"/>
    <s v="SECRETARIA GENERAL"/>
    <x v="2"/>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79"/>
    <s v="SECRETARIA GENERAL"/>
    <x v="2"/>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0"/>
    <s v="Mes (s)"/>
    <n v="4"/>
    <s v="OK"/>
  </r>
  <r>
    <n v="1"/>
    <n v="40"/>
    <s v="SECRETARIA GENERAL"/>
    <x v="2"/>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59"/>
    <s v="SECRETARIA GENERAL"/>
    <x v="2"/>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27"/>
    <s v="SECRETARIA GENERAL"/>
    <x v="2"/>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8"/>
    <s v="SECRETARIA GENERAL"/>
    <x v="2"/>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9"/>
    <s v="SECRETARIA GENERAL"/>
    <x v="2"/>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75"/>
    <s v="SECRETARIA GENERAL"/>
    <x v="2"/>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n v="23"/>
    <s v="SECRETARIA GENERAL"/>
    <x v="2"/>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5"/>
    <s v="SECRETARIA GENERAL"/>
    <x v="2"/>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30"/>
    <s v="SECRETARIA GENERAL"/>
    <x v="2"/>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2"/>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2"/>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m/>
    <s v="SECRETARIA GENERAL"/>
    <x v="2"/>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8769230.7692307699"/>
    <m/>
    <n v="0"/>
    <n v="1"/>
    <m/>
    <m/>
    <s v="OK"/>
  </r>
  <r>
    <n v="1"/>
    <m/>
    <s v="SECRETARIA GENERAL"/>
    <x v="2"/>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2"/>
    <n v="65"/>
    <s v="DIRECCION "/>
    <x v="7"/>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7"/>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8"/>
    <s v="DIRECCION "/>
    <x v="7"/>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7"/>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97"/>
    <s v="DIRECCION "/>
    <x v="7"/>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4"/>
    <s v="DIRECCION "/>
    <x v="7"/>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64"/>
    <s v="DIRECCION "/>
    <x v="7"/>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47"/>
    <s v="DIRECCION "/>
    <x v="7"/>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98"/>
    <s v="DIRECCION "/>
    <x v="7"/>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56"/>
    <s v="DIRECCION "/>
    <x v="7"/>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7"/>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8"/>
    <s v="DIRECCION "/>
    <x v="7"/>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4"/>
    <s v="DIRECCION "/>
    <x v="7"/>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35"/>
    <s v="DIRECCION "/>
    <x v="7"/>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3"/>
    <s v="DIRECCION "/>
    <x v="7"/>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7"/>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7"/>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54"/>
    <s v="DIRECCION "/>
    <x v="7"/>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69"/>
    <s v="DIRECCION "/>
    <x v="7"/>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42"/>
    <s v="DIRECCION "/>
    <x v="7"/>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76"/>
    <s v="DIRECCION "/>
    <x v="7"/>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50"/>
    <s v="DIRECCION "/>
    <x v="7"/>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52"/>
    <s v="DIRECCION "/>
    <x v="7"/>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63"/>
    <s v="DIRECCION "/>
    <x v="7"/>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51"/>
    <s v="DIRECCION "/>
    <x v="7"/>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88"/>
    <s v="DIRECCION "/>
    <x v="7"/>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3"/>
    <s v="DIRECCION "/>
    <x v="7"/>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71"/>
    <s v="DIRECCION "/>
    <x v="7"/>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n v="59"/>
    <s v="DIRECCION "/>
    <x v="7"/>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73"/>
    <s v="DIRECCION "/>
    <x v="7"/>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2"/>
    <s v="DIRECCION "/>
    <x v="7"/>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4"/>
    <s v="DIRECCION "/>
    <x v="7"/>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40"/>
    <s v="DIRECCION "/>
    <x v="7"/>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61"/>
    <s v="DIRECCION "/>
    <x v="7"/>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92"/>
    <s v="DIRECCION "/>
    <x v="7"/>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67"/>
    <s v="DIRECCION "/>
    <x v="7"/>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7"/>
    <s v="DIRECCION "/>
    <x v="7"/>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75"/>
    <s v="DIRECCION "/>
    <x v="7"/>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46"/>
    <s v="DIRECCION "/>
    <x v="7"/>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7"/>
    <s v="DIRECCION "/>
    <x v="7"/>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60"/>
    <s v="DIRECCION "/>
    <x v="7"/>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45"/>
    <s v="DIRECCION "/>
    <x v="7"/>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48"/>
    <s v="DIRECCION "/>
    <x v="7"/>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66"/>
    <s v="DIRECCION "/>
    <x v="7"/>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37"/>
    <s v="DIRECCION "/>
    <x v="7"/>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m/>
    <s v="DIRECCION "/>
    <x v="7"/>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6124829.538461538"/>
    <m/>
    <n v="0"/>
    <n v="1"/>
    <m/>
    <m/>
    <s v="OK"/>
  </r>
  <r>
    <n v="2"/>
    <m/>
    <s v="DIRECCION "/>
    <x v="7"/>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7"/>
    <n v="1"/>
    <n v="0"/>
    <n v="1"/>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m/>
    <e v="#N/A"/>
    <e v="#N/A"/>
    <e v="#N/A"/>
    <e v="#N/A"/>
    <m/>
    <n v="0"/>
    <n v="0"/>
    <m/>
    <n v="0"/>
    <n v="1"/>
    <m/>
    <m/>
    <s v="OK"/>
  </r>
  <r>
    <n v="2"/>
    <m/>
    <s v="DIRECCION "/>
    <x v="7"/>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81"/>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24"/>
    <s v="DIRECCION "/>
    <x v="7"/>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n v="78"/>
    <s v="DIRECCION "/>
    <x v="7"/>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79"/>
    <s v="DIRECCION "/>
    <x v="7"/>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m/>
    <s v="DIRECCION "/>
    <x v="7"/>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3"/>
    <m/>
    <m/>
    <s v="OK"/>
  </r>
  <r>
    <n v="2"/>
    <m/>
    <s v="DIRECCION "/>
    <x v="7"/>
    <n v="1"/>
    <n v="0"/>
    <n v="1"/>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m/>
    <e v="#N/A"/>
    <e v="#N/A"/>
    <e v="#N/A"/>
    <e v="#N/A"/>
    <m/>
    <n v="0"/>
    <n v="0"/>
    <m/>
    <n v="0"/>
    <n v="1"/>
    <m/>
    <m/>
    <s v="OK"/>
  </r>
  <r>
    <n v="2"/>
    <m/>
    <s v="DIRECCION "/>
    <x v="7"/>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7"/>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7"/>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8"/>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8"/>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6"/>
    <s v="DIRECCION "/>
    <x v="8"/>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3"/>
    <s v="DIRECCION "/>
    <x v="8"/>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31"/>
    <s v="DIRECCION "/>
    <x v="8"/>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8"/>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8"/>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8"/>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27"/>
    <s v="DIRECCION "/>
    <x v="8"/>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16"/>
    <s v="DIRECCION "/>
    <x v="9"/>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22"/>
    <s v="DIRECCION "/>
    <x v="9"/>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7"/>
    <s v="DIRECCION "/>
    <x v="9"/>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18"/>
    <s v="DIRECCION "/>
    <x v="9"/>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19"/>
    <s v="DIRECCION "/>
    <x v="9"/>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15"/>
    <s v="DIRECCION "/>
    <x v="9"/>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93"/>
    <s v="DIRECCION "/>
    <x v="9"/>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2"/>
    <n v="21"/>
    <s v="DIRECCION "/>
    <x v="9"/>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9"/>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9"/>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1"/>
    <m/>
    <s v="DIRECCION "/>
    <x v="9"/>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9"/>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9"/>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1"/>
    <n v="45"/>
    <s v="SECRETARIA GENERAL"/>
    <x v="2"/>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2"/>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2"/>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2"/>
    <s v="SECRETARIA GENERAL"/>
    <x v="2"/>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n v="36"/>
    <s v="SECRETARIA GENERAL"/>
    <x v="2"/>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m/>
    <s v="SECRETARIA GENERAL"/>
    <x v="2"/>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2"/>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81"/>
    <s v="SECRETARIA GENERAL"/>
    <x v="2"/>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56"/>
    <s v="SECRETARIA GENERAL"/>
    <x v="2"/>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70"/>
    <s v="SECRETARIA GENERAL"/>
    <x v="2"/>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76"/>
    <s v="SECRETARIA GENERAL"/>
    <x v="2"/>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51"/>
    <s v="SECRETARIA GENERAL"/>
    <x v="2"/>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52"/>
    <s v="SECRETARIA GENERAL"/>
    <x v="2"/>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38"/>
    <s v="SECRETARIA GENERAL"/>
    <x v="2"/>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35"/>
    <s v="SECRETARIA GENERAL"/>
    <x v="2"/>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4"/>
    <s v="SECRETARIA GENERAL"/>
    <x v="2"/>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71"/>
    <s v="SECRETARIA GENERAL"/>
    <x v="2"/>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33"/>
    <s v="SECRETARIA GENERAL"/>
    <x v="2"/>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2"/>
    <n v="82"/>
    <s v="SECRETARIA GENERAL"/>
    <x v="2"/>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77"/>
    <s v="SECRETARIA GENERAL"/>
    <x v="2"/>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1"/>
    <n v="60"/>
    <s v="SECRETARIA GENERAL"/>
    <x v="2"/>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1"/>
    <n v="63"/>
    <s v="SECRETARIA GENERAL"/>
    <x v="2"/>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67"/>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55"/>
    <s v="SECRETARIA GENERAL"/>
    <x v="2"/>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42"/>
    <s v="SECRETARIA GENERAL"/>
    <x v="2"/>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2"/>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50"/>
    <s v="SECRETARIA GENERAL"/>
    <x v="2"/>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37"/>
    <s v="SECRETARIA GENERAL"/>
    <x v="2"/>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68"/>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54"/>
    <s v="SECRETARIA GENERAL"/>
    <x v="2"/>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m/>
    <s v="SECRETARIA GENERAL"/>
    <x v="2"/>
    <n v="1"/>
    <n v="0"/>
    <n v="1"/>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m/>
    <e v="#N/A"/>
    <e v="#N/A"/>
    <e v="#N/A"/>
    <e v="#N/A"/>
    <m/>
    <n v="0"/>
    <n v="0"/>
    <m/>
    <n v="0"/>
    <n v="1"/>
    <m/>
    <m/>
    <s v="OK"/>
  </r>
  <r>
    <n v="6"/>
    <m/>
    <s v="SECRETARIA GENERAL"/>
    <x v="2"/>
    <n v="1"/>
    <n v="0"/>
    <n v="1"/>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m/>
    <e v="#N/A"/>
    <e v="#N/A"/>
    <e v="#N/A"/>
    <e v="#N/A"/>
    <m/>
    <n v="0"/>
    <n v="0"/>
    <m/>
    <n v="0"/>
    <n v="1"/>
    <m/>
    <m/>
    <s v="OK"/>
  </r>
  <r>
    <n v="1"/>
    <n v="73"/>
    <s v="SECRETARIA GENERAL"/>
    <x v="2"/>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53"/>
    <s v="SECRETARIA GENERAL"/>
    <x v="2"/>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69"/>
    <s v="SECRETARIA GENERAL"/>
    <x v="2"/>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s v="1//1"/>
    <s v="3--4"/>
    <s v="SECRETARIA GENERAL"/>
    <x v="2"/>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62"/>
    <s v="SECRETARIA GENERAL"/>
    <x v="2"/>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2"/>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n v="64"/>
    <s v="SECRETARIA GENERAL"/>
    <x v="2"/>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n v="1"/>
    <n v="66"/>
    <s v="SECRETARIA GENERAL"/>
    <x v="2"/>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2"/>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n v="39"/>
    <s v="SECRETARIA GENERAL"/>
    <x v="2"/>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0"/>
    <m/>
    <m/>
    <s v="OK"/>
  </r>
  <r>
    <n v="1"/>
    <n v="22"/>
    <s v="SECRETARIA GENERAL"/>
    <x v="2"/>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2"/>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2"/>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2"/>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2"/>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m/>
    <s v="SECRETARIA GENERAL"/>
    <x v="2"/>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r>
    <n v="1"/>
    <n v="72"/>
    <s v="SECRETARIA GENERAL"/>
    <x v="2"/>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5"/>
    <m/>
    <s v="CATASTRO"/>
    <x v="1"/>
    <n v="3"/>
    <n v="0"/>
    <n v="3"/>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0"/>
    <m/>
    <n v="0"/>
    <n v="3"/>
    <m/>
    <m/>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d v="2003-02-01T00:00:00"/>
    <s v="AGROLOGIA"/>
    <x v="0"/>
    <n v="1"/>
    <n v="1"/>
    <n v="0"/>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d v="2021-07-19T00:00:00"/>
    <n v="9559115.5"/>
    <n v="9559115.5"/>
    <n v="9559115.5"/>
    <s v="OK"/>
    <s v="INICIO PROCESO"/>
    <n v="440884.5"/>
    <n v="0"/>
    <m/>
    <n v="1"/>
    <n v="0"/>
    <s v="Día(s)"/>
    <n v="30"/>
    <s v="OK"/>
  </r>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1"/>
    <s v="Día(s)"/>
    <n v="60"/>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1608631.5"/>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3815258.4"/>
    <m/>
    <n v="0"/>
    <n v="1"/>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5447833.666666667"/>
    <m/>
    <n v="0"/>
    <n v="2"/>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7404822.9111111108"/>
    <m/>
    <n v="0"/>
    <n v="2"/>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368833.333333334"/>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91682.3999999985"/>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0.966666667"/>
    <m/>
    <n v="0"/>
    <n v="1"/>
    <m/>
    <m/>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86"/>
    <s v="CATASTRO"/>
    <x v="1"/>
    <n v="1"/>
    <n v="1"/>
    <n v="0"/>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2T00:00:00"/>
    <n v="2671483"/>
    <n v="13357415"/>
    <n v="13357415"/>
    <s v="OK"/>
    <s v="JULIETH ANDREA GARCIA HERNANDEZ"/>
    <n v="0"/>
    <n v="0"/>
    <m/>
    <n v="1"/>
    <n v="1"/>
    <m/>
    <n v="291"/>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88"/>
    <s v="CATASTRO"/>
    <x v="1"/>
    <n v="1"/>
    <n v="1"/>
    <n v="0"/>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6T00:00:00"/>
    <n v="8707976"/>
    <n v="46442538.666666664"/>
    <n v="46442538.666666664"/>
    <s v="OK"/>
    <s v="MIGUEL JOSE PAZ MUÑOZ "/>
    <n v="23221269.333333336"/>
    <n v="0"/>
    <m/>
    <n v="1"/>
    <n v="0"/>
    <s v="Día(s)"/>
    <n v="160"/>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1"/>
    <s v="Día(s)"/>
    <n v="180"/>
    <s v="OK"/>
  </r>
  <r>
    <n v="5"/>
    <n v="89"/>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s v="16/07/2021 se anulo el conttrato"/>
    <n v="12179900"/>
    <n v="64959466.666666672"/>
    <n v="64959466.666666672"/>
    <s v="OK"/>
    <s v="ANGIE ROCIO QUEVEDO RUIZ"/>
    <n v="12179900"/>
    <n v="0"/>
    <m/>
    <n v="1"/>
    <n v="0"/>
    <s v="Día(s)"/>
    <n v="160"/>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207280549"/>
    <n v="0"/>
    <s v="24679_x000a_24680_x000a_24681"/>
    <n v="3"/>
    <n v="2"/>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15591433.999999998"/>
    <n v="0"/>
    <n v="24765"/>
    <n v="1"/>
    <n v="3"/>
    <s v="Día(s)"/>
    <m/>
    <s v="OK"/>
  </r>
  <r>
    <n v="5"/>
    <n v="87"/>
    <s v="CATASTRO"/>
    <x v="1"/>
    <n v="5"/>
    <n v="2"/>
    <n v="3"/>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d v="2021-07-13T00:00:00"/>
    <n v="40000000"/>
    <n v="40000000"/>
    <n v="80000000"/>
    <s v="OK"/>
    <s v="DIANA MARIA LOAIZA BARRAGAN_x000a_ JULIETH KATTERINE ROJAS_x000a_"/>
    <n v="30285714.285714284"/>
    <n v="0"/>
    <m/>
    <n v="2"/>
    <n v="3"/>
    <s v="Día(s)"/>
    <n v="150"/>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47789681.900000006"/>
    <n v="0"/>
    <s v="24700_x000a_24760_x000a_24762"/>
    <n v="1"/>
    <n v="5"/>
    <s v="Día(s)"/>
    <m/>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n v="261"/>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1.102564104"/>
    <m/>
    <n v="0"/>
    <n v="1"/>
    <m/>
    <m/>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431083.5999999996"/>
    <m/>
    <n v="0"/>
    <n v="1"/>
    <m/>
    <m/>
    <s v="OK"/>
  </r>
  <r>
    <n v="5"/>
    <n v="83"/>
    <s v="CATASTRO"/>
    <x v="1"/>
    <n v="1"/>
    <n v="1"/>
    <n v="0"/>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CARLOS ALBERTO MARTÍNEZ CRUZ"/>
    <n v="0"/>
    <n v="0"/>
    <m/>
    <n v="1"/>
    <n v="0"/>
    <s v="Mes (s)"/>
    <n v="6"/>
    <s v="OK"/>
  </r>
  <r>
    <n v="5"/>
    <n v="84"/>
    <s v="CATASTRO"/>
    <x v="1"/>
    <n v="1"/>
    <n v="1"/>
    <n v="0"/>
    <d v="2021-06-11T00:00:00"/>
    <n v="1"/>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IRMA AMPARO GONZÁLEZ SIERRA"/>
    <n v="0"/>
    <n v="0"/>
    <m/>
    <n v="1"/>
    <n v="0"/>
    <s v="Día(s)"/>
    <n v="180"/>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85"/>
    <s v="CATASTRO"/>
    <x v="1"/>
    <n v="1"/>
    <n v="1"/>
    <n v="0"/>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12T00:00:00"/>
    <n v="12179900"/>
    <n v="73079400"/>
    <n v="73079400"/>
    <s v="OK"/>
    <s v="CARLOS ARTURO ROBLES"/>
    <n v="56997206"/>
    <n v="0"/>
    <m/>
    <n v="1"/>
    <n v="0"/>
    <s v="Mes (s)"/>
    <n v="6"/>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4459483.199999988"/>
    <m/>
    <n v="0"/>
    <n v="8"/>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0172100.966666667"/>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9473245.866666667"/>
    <m/>
    <n v="0"/>
    <n v="1"/>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5"/>
    <n v="90"/>
    <s v="CATASTRO"/>
    <x v="1"/>
    <n v="3"/>
    <n v="2"/>
    <n v="1"/>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9T00:00:00"/>
    <n v="7550277"/>
    <n v="40268144"/>
    <n v="80536288"/>
    <s v="OK"/>
    <s v="LUZ DARY RODRIGUEZ GARZON_x000a_JOSE GERMAN CASTELLANOS TORRES"/>
    <n v="5788545.7000000002"/>
    <n v="0"/>
    <m/>
    <n v="2"/>
    <n v="1"/>
    <s v="Día(s)"/>
    <n v="160"/>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r>
    <n v="3"/>
    <n v="19"/>
    <s v="CIAF"/>
    <x v="2"/>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33"/>
    <s v="CIAF"/>
    <x v="2"/>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2"/>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13"/>
    <s v="CIAF"/>
    <x v="2"/>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8"/>
    <s v="CIAF"/>
    <x v="2"/>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2"/>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2"/>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26"/>
    <s v="CIAF"/>
    <x v="2"/>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1"/>
    <s v="Día(s)"/>
    <m/>
    <s v="OK"/>
  </r>
  <r>
    <n v="3"/>
    <n v="2"/>
    <s v="CIAF"/>
    <x v="2"/>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17"/>
    <s v="CIAF"/>
    <x v="2"/>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5"/>
    <s v="CIAF"/>
    <x v="2"/>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23"/>
    <s v="CIAF"/>
    <x v="2"/>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18"/>
    <s v="CIAF"/>
    <x v="2"/>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20"/>
    <s v="CIAF"/>
    <x v="2"/>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
    <s v="CIAF"/>
    <x v="2"/>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6"/>
    <s v="CIAF"/>
    <x v="2"/>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0"/>
    <s v="CIAF"/>
    <x v="2"/>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1"/>
    <s v="CIAF"/>
    <x v="2"/>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9"/>
    <s v="CIAF"/>
    <x v="2"/>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3"/>
    <s v="CIAF"/>
    <x v="2"/>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m/>
    <s v="CIAF"/>
    <x v="2"/>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2"/>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3173495.5333333337"/>
    <m/>
    <n v="0"/>
    <n v="1"/>
    <m/>
    <m/>
    <s v="OK"/>
  </r>
  <r>
    <n v="3"/>
    <m/>
    <s v="CIAF"/>
    <x v="2"/>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7408269.333333334"/>
    <m/>
    <n v="0"/>
    <n v="2"/>
    <m/>
    <m/>
    <s v="OK"/>
  </r>
  <r>
    <n v="3"/>
    <m/>
    <s v="CIAF"/>
    <x v="2"/>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3704134.666666667"/>
    <m/>
    <n v="0"/>
    <n v="1"/>
    <m/>
    <m/>
    <s v="OK"/>
  </r>
  <r>
    <n v="3"/>
    <m/>
    <s v="CIAF"/>
    <x v="2"/>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30"/>
    <s v="CIAF"/>
    <x v="2"/>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1"/>
    <s v="Día(s)"/>
    <n v="210"/>
    <s v="OK"/>
  </r>
  <r>
    <n v="3"/>
    <n v="29"/>
    <s v="CIAF"/>
    <x v="2"/>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m/>
    <s v="CIAF"/>
    <x v="2"/>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1"/>
    <m/>
    <n v="210"/>
    <s v="OK"/>
  </r>
  <r>
    <n v="3"/>
    <n v="31"/>
    <s v="CIAF"/>
    <x v="2"/>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12"/>
    <s v="CIAF"/>
    <x v="2"/>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32"/>
    <s v="CIAF"/>
    <x v="2"/>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28"/>
    <s v="CIAF"/>
    <x v="2"/>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16"/>
    <s v="CIAF"/>
    <x v="2"/>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15"/>
    <s v="CIAF"/>
    <x v="2"/>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25"/>
    <s v="CIAF"/>
    <x v="2"/>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n v="24"/>
    <s v="CIAF"/>
    <x v="2"/>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n v="27"/>
    <s v="CIAF"/>
    <x v="2"/>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22"/>
    <s v="CIAF"/>
    <x v="2"/>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m/>
    <s v="CIAF"/>
    <x v="2"/>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2"/>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2"/>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0"/>
    <s v="OK"/>
  </r>
  <r>
    <n v="3"/>
    <m/>
    <s v="CIAF"/>
    <x v="2"/>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7000000002"/>
    <m/>
    <n v="0"/>
    <n v="1"/>
    <m/>
    <m/>
    <s v="OK"/>
  </r>
  <r>
    <n v="3"/>
    <m/>
    <s v="CIAF"/>
    <x v="2"/>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3264094.9268292687"/>
    <m/>
    <n v="0"/>
    <n v="1"/>
    <m/>
    <n v="315"/>
    <s v="OK"/>
  </r>
  <r>
    <n v="3"/>
    <m/>
    <s v="CIAF"/>
    <x v="2"/>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641025641"/>
    <m/>
    <n v="0"/>
    <n v="1"/>
    <m/>
    <n v="210"/>
    <s v="OK"/>
  </r>
  <r>
    <n v="3"/>
    <m/>
    <s v="CIAF"/>
    <x v="2"/>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3352229.866666665"/>
    <m/>
    <n v="0"/>
    <n v="2"/>
    <m/>
    <m/>
    <s v="OK"/>
  </r>
  <r>
    <n v="3"/>
    <m/>
    <s v="CIAF"/>
    <x v="2"/>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2"/>
    <n v="25"/>
    <s v="DIRECCION "/>
    <x v="3"/>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3"/>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3"/>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4"/>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4"/>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4"/>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4"/>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4"/>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4"/>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4"/>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12"/>
    <s v="DIRECCION "/>
    <x v="4"/>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4"/>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4"/>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58"/>
    <s v="DIRECCION "/>
    <x v="4"/>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4"/>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4"/>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4"/>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4"/>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5"/>
    <s v="DIRECCION "/>
    <x v="4"/>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n v="39"/>
    <s v="DIRECCION "/>
    <x v="4"/>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91"/>
    <s v="DIRECCION "/>
    <x v="4"/>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96"/>
    <s v="DIRECCION "/>
    <x v="4"/>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1"/>
    <s v="Día(s)"/>
    <n v="315"/>
    <s v="OK"/>
  </r>
  <r>
    <n v="2"/>
    <m/>
    <s v="DIRECCION "/>
    <x v="4"/>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1988482.6333333333"/>
    <m/>
    <n v="0"/>
    <n v="1"/>
    <m/>
    <m/>
    <s v="OK"/>
  </r>
  <r>
    <n v="2"/>
    <m/>
    <s v="DIRECCION "/>
    <x v="4"/>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1988482.6333333333"/>
    <m/>
    <n v="0"/>
    <n v="1"/>
    <m/>
    <m/>
    <s v="OK"/>
  </r>
  <r>
    <n v="2"/>
    <m/>
    <s v="DIRECCION "/>
    <x v="4"/>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4"/>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2"/>
    <n v="68"/>
    <s v="DIRECCION "/>
    <x v="5"/>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5"/>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56"/>
    <s v="DIRECCION "/>
    <x v="5"/>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5"/>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4"/>
    <s v="DIRECCION "/>
    <x v="5"/>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43"/>
    <s v="DIRECCION "/>
    <x v="5"/>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5"/>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5"/>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69"/>
    <s v="DIRECCION "/>
    <x v="5"/>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76"/>
    <s v="DIRECCION "/>
    <x v="5"/>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63"/>
    <s v="DIRECCION "/>
    <x v="5"/>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73"/>
    <s v="DIRECCION "/>
    <x v="5"/>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4"/>
    <s v="DIRECCION "/>
    <x v="5"/>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67"/>
    <s v="DIRECCION "/>
    <x v="5"/>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5"/>
    <s v="DIRECCION "/>
    <x v="5"/>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66"/>
    <s v="DIRECCION "/>
    <x v="5"/>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88"/>
    <s v="DIRECCION "/>
    <x v="5"/>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9"/>
    <s v="DIRECCION "/>
    <x v="5"/>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46"/>
    <s v="DIRECCION "/>
    <x v="5"/>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3"/>
    <s v="DIRECCION "/>
    <x v="5"/>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60"/>
    <s v="DIRECCION "/>
    <x v="5"/>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98"/>
    <s v="DIRECCION "/>
    <x v="5"/>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64"/>
    <s v="DIRECCION "/>
    <x v="5"/>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52"/>
    <s v="DIRECCION "/>
    <x v="5"/>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77"/>
    <s v="DIRECCION "/>
    <x v="5"/>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57"/>
    <s v="DIRECCION "/>
    <x v="5"/>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37"/>
    <s v="DIRECCION "/>
    <x v="5"/>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n v="50"/>
    <s v="DIRECCION "/>
    <x v="5"/>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38"/>
    <s v="DIRECCION "/>
    <x v="5"/>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5"/>
    <s v="DIRECCION "/>
    <x v="5"/>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8"/>
    <s v="DIRECCION "/>
    <x v="5"/>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51"/>
    <s v="DIRECCION "/>
    <x v="5"/>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40"/>
    <s v="DIRECCION "/>
    <x v="5"/>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54"/>
    <s v="DIRECCION "/>
    <x v="5"/>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92"/>
    <s v="DIRECCION "/>
    <x v="5"/>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99"/>
    <s v="DIRECCION "/>
    <x v="5"/>
    <n v="1"/>
    <n v="1"/>
    <n v="0"/>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d v="2021-07-13T00:00:00"/>
    <n v="159265998.68000001"/>
    <n v="159265998.68000001"/>
    <n v="159265998.68000001"/>
    <s v="OK"/>
    <s v="INICIO PROCESO"/>
    <n v="2976851.3199999928"/>
    <n v="0"/>
    <m/>
    <n v="1"/>
    <n v="0"/>
    <m/>
    <m/>
    <s v="OK"/>
  </r>
  <r>
    <n v="2"/>
    <n v="47"/>
    <s v="DIRECCION "/>
    <x v="5"/>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44"/>
    <s v="DIRECCION "/>
    <x v="5"/>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42"/>
    <s v="DIRECCION "/>
    <x v="5"/>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97"/>
    <s v="DIRECCION "/>
    <x v="5"/>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5"/>
    <s v="DIRECCION "/>
    <x v="5"/>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65"/>
    <s v="DIRECCION "/>
    <x v="5"/>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5"/>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1"/>
    <s v="DIRECCION "/>
    <x v="5"/>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72"/>
    <s v="DIRECCION "/>
    <x v="5"/>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1"/>
    <s v="DIRECCION "/>
    <x v="5"/>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m/>
    <s v="DIRECCION "/>
    <x v="5"/>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10820532.184615385"/>
    <m/>
    <n v="0"/>
    <n v="1"/>
    <m/>
    <m/>
    <s v="OK"/>
  </r>
  <r>
    <n v="2"/>
    <m/>
    <s v="DIRECCION "/>
    <x v="5"/>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5"/>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78"/>
    <s v="DIRECCION "/>
    <x v="5"/>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81"/>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79"/>
    <s v="DIRECCION "/>
    <x v="5"/>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n v="100"/>
    <s v="DIRECCION "/>
    <x v="5"/>
    <n v="1"/>
    <n v="1"/>
    <n v="0"/>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d v="2021-07-23T00:00:00"/>
    <n v="11022592"/>
    <n v="58787157.333333336"/>
    <n v="58787157.333333336"/>
    <s v="OK"/>
    <s v="ORLANDO  BENEVIDES SANTACRUZ"/>
    <n v="7348394.6666666642"/>
    <n v="0"/>
    <m/>
    <n v="1"/>
    <n v="0"/>
    <s v="Día(s)"/>
    <n v="160"/>
    <s v="OK"/>
  </r>
  <r>
    <n v="2"/>
    <n v="24"/>
    <s v="DIRECCION "/>
    <x v="5"/>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m/>
    <s v="DIRECCION "/>
    <x v="5"/>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5"/>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5"/>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20028344.800000001"/>
    <m/>
    <n v="0"/>
    <n v="3"/>
    <m/>
    <m/>
    <s v="OK"/>
  </r>
  <r>
    <n v="2"/>
    <m/>
    <s v="DIRECCION "/>
    <x v="5"/>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3"/>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3"/>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7"/>
    <s v="DIRECCION "/>
    <x v="3"/>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26"/>
    <s v="DIRECCION "/>
    <x v="3"/>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1"/>
    <s v="DIRECCION "/>
    <x v="3"/>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3"/>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3"/>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3"/>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33"/>
    <s v="DIRECCION "/>
    <x v="3"/>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18"/>
    <s v="DIRECCION "/>
    <x v="6"/>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21"/>
    <s v="DIRECCION "/>
    <x v="6"/>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6"/>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6"/>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2"/>
    <n v="16"/>
    <s v="DIRECCION "/>
    <x v="6"/>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17"/>
    <s v="DIRECCION "/>
    <x v="6"/>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22"/>
    <s v="DIRECCION "/>
    <x v="6"/>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5"/>
    <s v="DIRECCION "/>
    <x v="6"/>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19"/>
    <s v="DIRECCION "/>
    <x v="6"/>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93"/>
    <s v="DIRECCION "/>
    <x v="6"/>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1"/>
    <m/>
    <s v="DIRECCION "/>
    <x v="6"/>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6"/>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6"/>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6"/>
    <n v="35"/>
    <s v="GEOGRAFIA Y CARTOGRAFIA"/>
    <x v="7"/>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30"/>
    <s v="GEOGRAFIA Y CARTOGRAFIA"/>
    <x v="7"/>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1"/>
    <s v="GEOGRAFIA Y CARTOGRAFIA"/>
    <x v="7"/>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0"/>
    <s v="GEOGRAFIA Y CARTOGRAFIA"/>
    <x v="7"/>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71"/>
    <s v="GEOGRAFIA Y CARTOGRAFIA"/>
    <x v="7"/>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77"/>
    <s v="GEOGRAFIA Y CARTOGRAFIA"/>
    <x v="7"/>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63"/>
    <s v="GEOGRAFIA Y CARTOGRAFIA"/>
    <x v="7"/>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56"/>
    <s v="GEOGRAFIA Y CARTOGRAFIA"/>
    <x v="7"/>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12"/>
    <s v="GEOGRAFIA Y CARTOGRAFIA"/>
    <x v="7"/>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75"/>
    <s v="GEOGRAFIA Y CARTOGRAFIA"/>
    <x v="7"/>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7"/>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4"/>
    <s v="GEOGRAFIA Y CARTOGRAFIA"/>
    <x v="7"/>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25"/>
    <s v="GEOGRAFIA Y CARTOGRAFIA"/>
    <x v="7"/>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5"/>
    <s v="GEOGRAFIA Y CARTOGRAFIA"/>
    <x v="7"/>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48"/>
    <s v="GEOGRAFIA Y CARTOGRAFIA"/>
    <x v="7"/>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3"/>
    <s v="GEOGRAFIA Y CARTOGRAFIA"/>
    <x v="7"/>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7"/>
    <s v="GEOGRAFIA Y CARTOGRAFIA"/>
    <x v="7"/>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18"/>
    <s v="GEOGRAFIA Y CARTOGRAFIA"/>
    <x v="7"/>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20"/>
    <s v="GEOGRAFIA Y CARTOGRAFIA"/>
    <x v="7"/>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1"/>
    <s v="GEOGRAFIA Y CARTOGRAFIA"/>
    <x v="7"/>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46"/>
    <s v="GEOGRAFIA Y CARTOGRAFIA"/>
    <x v="7"/>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54"/>
    <s v="GEOGRAFIA Y CARTOGRAFIA"/>
    <x v="7"/>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9"/>
    <s v="GEOGRAFIA Y CARTOGRAFIA"/>
    <x v="7"/>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7"/>
    <s v="GEOGRAFIA Y CARTOGRAFIA"/>
    <x v="7"/>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53"/>
    <s v="GEOGRAFIA Y CARTOGRAFIA"/>
    <x v="7"/>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8"/>
    <s v="GEOGRAFIA Y CARTOGRAFIA"/>
    <x v="7"/>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24"/>
    <s v="GEOGRAFIA Y CARTOGRAFIA"/>
    <x v="7"/>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7"/>
    <s v="GEOGRAFIA Y CARTOGRAFIA"/>
    <x v="7"/>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16"/>
    <s v="GEOGRAFIA Y CARTOGRAFIA"/>
    <x v="7"/>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n v="6"/>
    <n v="6"/>
    <s v="GEOGRAFIA Y CARTOGRAFIA"/>
    <x v="7"/>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36"/>
    <s v="GEOGRAFIA Y CARTOGRAFIA"/>
    <x v="7"/>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10"/>
    <s v="GEOGRAFIA Y CARTOGRAFIA"/>
    <x v="7"/>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52"/>
    <s v="GEOGRAFIA Y CARTOGRAFIA"/>
    <x v="7"/>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22"/>
    <s v="GEOGRAFIA Y CARTOGRAFIA"/>
    <x v="7"/>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21"/>
    <s v="GEOGRAFIA Y CARTOGRAFIA"/>
    <x v="7"/>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8"/>
    <s v="GEOGRAFIA Y CARTOGRAFIA"/>
    <x v="7"/>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15"/>
    <s v="GEOGRAFIA Y CARTOGRAFIA"/>
    <x v="7"/>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9"/>
    <s v="GEOGRAFIA Y CARTOGRAFIA"/>
    <x v="7"/>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51"/>
    <s v="GEOGRAFIA Y CARTOGRAFIA"/>
    <x v="7"/>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n v="6"/>
    <n v="13"/>
    <s v="GEOGRAFIA Y CARTOGRAFIA"/>
    <x v="7"/>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44"/>
    <s v="GEOGRAFIA Y CARTOGRAFIA"/>
    <x v="7"/>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55"/>
    <s v="GEOGRAFIA Y CARTOGRAFIA"/>
    <x v="7"/>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49"/>
    <s v="GEOGRAFIA Y CARTOGRAFIA"/>
    <x v="7"/>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11"/>
    <s v="GEOGRAFIA Y CARTOGRAFIA"/>
    <x v="7"/>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50"/>
    <s v="GEOGRAFIA Y CARTOGRAFIA"/>
    <x v="7"/>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14"/>
    <s v="GEOGRAFIA Y CARTOGRAFIA"/>
    <x v="7"/>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n v="62"/>
    <s v="GEOGRAFIA Y CARTOGRAFIA"/>
    <x v="7"/>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26"/>
    <s v="GEOGRAFIA Y CARTOGRAFIA"/>
    <x v="7"/>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32"/>
    <s v="GEOGRAFIA Y CARTOGRAFIA"/>
    <x v="7"/>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61"/>
    <s v="GEOGRAFIA Y CARTOGRAFIA"/>
    <x v="7"/>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29"/>
    <s v="GEOGRAFIA Y CARTOGRAFIA"/>
    <x v="7"/>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65"/>
    <s v="GEOGRAFIA Y CARTOGRAFIA"/>
    <x v="7"/>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40"/>
    <s v="GEOGRAFIA Y CARTOGRAFIA"/>
    <x v="7"/>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45"/>
    <s v="GEOGRAFIA Y CARTOGRAFIA"/>
    <x v="7"/>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66"/>
    <s v="GEOGRAFIA Y CARTOGRAFIA"/>
    <x v="7"/>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42"/>
    <s v="GEOGRAFIA Y CARTOGRAFIA"/>
    <x v="7"/>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41"/>
    <s v="GEOGRAFIA Y CARTOGRAFIA"/>
    <x v="7"/>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33"/>
    <s v="GEOGRAFIA Y CARTOGRAFIA"/>
    <x v="7"/>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78"/>
    <s v="GEOGRAFIA Y CARTOGRAFIA"/>
    <x v="7"/>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70"/>
    <s v="GEOGRAFIA Y CARTOGRAFIA"/>
    <x v="7"/>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64"/>
    <s v="GEOGRAFIA Y CARTOGRAFIA"/>
    <x v="7"/>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8"/>
    <s v="GEOGRAFIA Y CARTOGRAFIA"/>
    <x v="7"/>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37"/>
    <s v="GEOGRAFIA Y CARTOGRAFIA"/>
    <x v="7"/>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23"/>
    <s v="GEOGRAFIA Y CARTOGRAFIA"/>
    <x v="7"/>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43"/>
    <s v="GEOGRAFIA Y CARTOGRAFIA"/>
    <x v="7"/>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74"/>
    <s v="GEOGRAFIA Y CARTOGRAFIA"/>
    <x v="7"/>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s v="6//4"/>
    <n v="1"/>
    <s v="GEOGRAFIA Y CARTOGRAFIA"/>
    <x v="7"/>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7"/>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59"/>
    <s v="GEOGRAFIA Y CARTOGRAFIA"/>
    <x v="7"/>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s v="6//4"/>
    <n v="2"/>
    <s v="GEOGRAFIA Y CARTOGRAFIA"/>
    <x v="7"/>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69"/>
    <s v="GEOGRAFIA Y CARTOGRAFIA"/>
    <x v="7"/>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s v="6//4"/>
    <n v="1"/>
    <s v="GEOGRAFIA Y CARTOGRAFIA"/>
    <x v="7"/>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n v="6"/>
    <n v="38"/>
    <s v="GEOGRAFIA Y CARTOGRAFIA"/>
    <x v="7"/>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27"/>
    <s v="GEOGRAFIA Y CARTOGRAFIA"/>
    <x v="7"/>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2"/>
    <s v="GEOGRAFIA Y CARTOGRAFIA"/>
    <x v="7"/>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67"/>
    <s v="GEOGRAFIA Y CARTOGRAFIA"/>
    <x v="7"/>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32126965"/>
    <n v="0"/>
    <s v="24614_x000a_24733"/>
    <n v="1"/>
    <n v="1"/>
    <s v="Día(s)"/>
    <m/>
    <s v="OK"/>
  </r>
  <r>
    <n v="6"/>
    <n v="72"/>
    <s v="GEOGRAFIA Y CARTOGRAFIA"/>
    <x v="7"/>
    <n v="5"/>
    <n v="5"/>
    <n v="0"/>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GERMAN DAVID HERNANDEZ ESTEPA"/>
    <n v="54162020"/>
    <n v="0"/>
    <s v="24684_x000a_24727_x000a_24732_x000a_24774"/>
    <n v="4"/>
    <n v="1"/>
    <s v="Día(s)"/>
    <m/>
    <s v="OK"/>
  </r>
  <r>
    <n v="6"/>
    <n v="58"/>
    <s v="GEOGRAFIA Y CARTOGRAFIA"/>
    <x v="7"/>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n v="9"/>
    <n v="1"/>
    <s v="Día(s)"/>
    <m/>
    <s v="OK"/>
  </r>
  <r>
    <n v="6"/>
    <m/>
    <s v="GEOGRAFIA Y CARTOGRAFIA"/>
    <x v="7"/>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7"/>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57"/>
    <s v="GEOGRAFIA Y CARTOGRAFIA"/>
    <x v="7"/>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s v="6//4"/>
    <n v="3"/>
    <s v="GEOGRAFIA Y CARTOGRAFIA"/>
    <x v="7"/>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76"/>
    <s v="GEOGRAFIA Y CARTOGRAFIA"/>
    <x v="7"/>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n v="6"/>
    <m/>
    <s v="GEOGRAFIA Y CARTOGRAFIA"/>
    <x v="7"/>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7"/>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7563384.3999999994"/>
    <m/>
    <n v="0"/>
    <n v="1"/>
    <m/>
    <m/>
    <s v="OK"/>
  </r>
  <r>
    <n v="6"/>
    <m/>
    <s v="GEOGRAFIA Y CARTOGRAFIA"/>
    <x v="7"/>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1"/>
    <n v="41"/>
    <s v="SECRETARIA GENERAL"/>
    <x v="8"/>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n v="17"/>
    <s v="SECRETARIA GENERAL"/>
    <x v="8"/>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8"/>
    <s v="SECRETARIA GENERAL"/>
    <x v="8"/>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1"/>
    <n v="16"/>
    <s v="SECRETARIA GENERAL"/>
    <x v="8"/>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5"/>
    <s v="SECRETARIA GENERAL"/>
    <x v="8"/>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2"/>
    <s v="SECRETARIA GENERAL"/>
    <x v="8"/>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74"/>
    <s v="SECRETARIA GENERAL"/>
    <x v="8"/>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8"/>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2"/>
    <s v="SECRETARIA GENERAL"/>
    <x v="8"/>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10"/>
    <s v="SECRETARIA GENERAL"/>
    <x v="8"/>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8"/>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8"/>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8"/>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1"/>
    <s v="Día(s)"/>
    <n v="204"/>
    <s v="OK"/>
  </r>
  <r>
    <n v="1"/>
    <n v="1"/>
    <s v="SECRETARIA GENERAL"/>
    <x v="8"/>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8"/>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6"/>
    <s v="SECRETARIA GENERAL"/>
    <x v="8"/>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8"/>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8"/>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8"/>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3"/>
    <s v="SECRETARIA GENERAL"/>
    <x v="8"/>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n v="47"/>
    <s v="SECRETARIA GENERAL"/>
    <x v="8"/>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8"/>
    <s v="SECRETARIA GENERAL"/>
    <x v="8"/>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n v="1"/>
    <n v="61"/>
    <s v="SECRETARIA GENERAL"/>
    <x v="8"/>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s v="1//1"/>
    <n v="5"/>
    <s v="SECRETARIA GENERAL"/>
    <x v="8"/>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m/>
    <s v="SECRETARIA GENERAL"/>
    <x v="8"/>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57"/>
    <s v="SECRETARIA GENERAL"/>
    <x v="8"/>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79"/>
    <s v="SECRETARIA GENERAL"/>
    <x v="8"/>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1"/>
    <s v="Mes (s)"/>
    <n v="4"/>
    <s v="OK"/>
  </r>
  <r>
    <n v="1"/>
    <n v="80"/>
    <s v="SECRETARIA GENERAL"/>
    <x v="8"/>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n v="59"/>
    <s v="SECRETARIA GENERAL"/>
    <x v="8"/>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40"/>
    <s v="SECRETARIA GENERAL"/>
    <x v="8"/>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39"/>
    <s v="SECRETARIA GENERAL"/>
    <x v="8"/>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48"/>
    <s v="SECRETARIA GENERAL"/>
    <x v="8"/>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8"/>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m/>
    <s v="SECRETARIA GENERAL"/>
    <x v="8"/>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29"/>
    <s v="SECRETARIA GENERAL"/>
    <x v="8"/>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30"/>
    <s v="SECRETARIA GENERAL"/>
    <x v="8"/>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8"/>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8"/>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n v="28"/>
    <s v="SECRETARIA GENERAL"/>
    <x v="8"/>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3"/>
    <s v="SECRETARIA GENERAL"/>
    <x v="8"/>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7"/>
    <s v="SECRETARIA GENERAL"/>
    <x v="8"/>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5"/>
    <s v="SECRETARIA GENERAL"/>
    <x v="8"/>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75"/>
    <s v="SECRETARIA GENERAL"/>
    <x v="8"/>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m/>
    <s v="SECRETARIA GENERAL"/>
    <x v="8"/>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15492307.692307692"/>
    <m/>
    <n v="0"/>
    <n v="1"/>
    <m/>
    <m/>
    <s v="OK"/>
  </r>
  <r>
    <n v="1"/>
    <m/>
    <s v="SECRETARIA GENERAL"/>
    <x v="8"/>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1"/>
    <n v="45"/>
    <s v="SECRETARIA GENERAL"/>
    <x v="8"/>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8"/>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8"/>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6"/>
    <s v="SECRETARIA GENERAL"/>
    <x v="8"/>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n v="32"/>
    <s v="SECRETARIA GENERAL"/>
    <x v="8"/>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m/>
    <s v="SECRETARIA GENERAL"/>
    <x v="8"/>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8"/>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76"/>
    <s v="SECRETARIA GENERAL"/>
    <x v="8"/>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81"/>
    <s v="SECRETARIA GENERAL"/>
    <x v="8"/>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70"/>
    <s v="SECRETARIA GENERAL"/>
    <x v="8"/>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38"/>
    <s v="SECRETARIA GENERAL"/>
    <x v="8"/>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52"/>
    <s v="SECRETARIA GENERAL"/>
    <x v="8"/>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56"/>
    <s v="SECRETARIA GENERAL"/>
    <x v="8"/>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51"/>
    <s v="SECRETARIA GENERAL"/>
    <x v="8"/>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34"/>
    <s v="SECRETARIA GENERAL"/>
    <x v="8"/>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60"/>
    <s v="SECRETARIA GENERAL"/>
    <x v="8"/>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2"/>
    <n v="82"/>
    <s v="SECRETARIA GENERAL"/>
    <x v="8"/>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35"/>
    <s v="SECRETARIA GENERAL"/>
    <x v="8"/>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3"/>
    <s v="SECRETARIA GENERAL"/>
    <x v="8"/>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1"/>
    <n v="71"/>
    <s v="SECRETARIA GENERAL"/>
    <x v="8"/>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77"/>
    <s v="SECRETARIA GENERAL"/>
    <x v="8"/>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6"/>
    <n v="83"/>
    <s v="SECRETARIA GENERAL"/>
    <x v="8"/>
    <n v="1"/>
    <n v="1"/>
    <n v="0"/>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d v="2021-07-13T00:00:00"/>
    <n v="18000000"/>
    <n v="18000000"/>
    <n v="18000000"/>
    <s v="OK"/>
    <s v="INICIO PROCESO"/>
    <n v="0"/>
    <n v="0"/>
    <m/>
    <n v="1"/>
    <n v="0"/>
    <s v="Día(s)"/>
    <n v="150"/>
    <s v="OK"/>
  </r>
  <r>
    <n v="1"/>
    <n v="42"/>
    <s v="SECRETARIA GENERAL"/>
    <x v="8"/>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8"/>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37"/>
    <s v="SECRETARIA GENERAL"/>
    <x v="8"/>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54"/>
    <s v="SECRETARIA GENERAL"/>
    <x v="8"/>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n v="68"/>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63"/>
    <s v="SECRETARIA GENERAL"/>
    <x v="8"/>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53"/>
    <s v="SECRETARIA GENERAL"/>
    <x v="8"/>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55"/>
    <s v="SECRETARIA GENERAL"/>
    <x v="8"/>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50"/>
    <s v="SECRETARIA GENERAL"/>
    <x v="8"/>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82"/>
    <s v="SECRETARIA GENERAL"/>
    <x v="8"/>
    <n v="1"/>
    <n v="1"/>
    <n v="0"/>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d v="2021-07-13T00:00:00"/>
    <n v="9557750"/>
    <n v="9557750"/>
    <n v="9557750"/>
    <s v="OK"/>
    <s v="INICIO PROCESO"/>
    <n v="5442250"/>
    <n v="0"/>
    <m/>
    <n v="1"/>
    <n v="0"/>
    <s v="Día(s)"/>
    <m/>
    <s v="OK"/>
  </r>
  <r>
    <n v="1"/>
    <n v="67"/>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73"/>
    <s v="SECRETARIA GENERAL"/>
    <x v="8"/>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69"/>
    <s v="SECRETARIA GENERAL"/>
    <x v="8"/>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n v="1"/>
    <n v="64"/>
    <s v="SECRETARIA GENERAL"/>
    <x v="8"/>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s v="1//1"/>
    <n v="39"/>
    <s v="SECRETARIA GENERAL"/>
    <x v="8"/>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1"/>
    <m/>
    <m/>
    <s v="OK"/>
  </r>
  <r>
    <n v="1"/>
    <n v="22"/>
    <s v="SECRETARIA GENERAL"/>
    <x v="8"/>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8"/>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8"/>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8"/>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8"/>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n v="66"/>
    <s v="SECRETARIA GENERAL"/>
    <x v="8"/>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8"/>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s v="3--4"/>
    <s v="SECRETARIA GENERAL"/>
    <x v="8"/>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72"/>
    <s v="SECRETARIA GENERAL"/>
    <x v="8"/>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1"/>
    <n v="62"/>
    <s v="SECRETARIA GENERAL"/>
    <x v="8"/>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8"/>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m/>
    <s v="SECRETARIA GENERAL"/>
    <x v="8"/>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x v="0"/>
    <m/>
    <x v="0"/>
    <x v="0"/>
    <x v="0"/>
    <x v="0"/>
    <x v="0"/>
    <x v="0"/>
    <x v="0"/>
    <s v="Servicios de formación profesional en ingeniería"/>
    <x v="0"/>
    <n v="86101610"/>
    <s v="Prestación de servicios profesionales para realizar el control de calidad, en tema de geomatica aplicados al levantamiento de suelos, y aplicaciones agrologicas."/>
    <x v="0"/>
    <x v="0"/>
    <n v="5"/>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10"/>
  </r>
  <r>
    <x v="0"/>
    <m/>
    <x v="0"/>
    <x v="0"/>
    <x v="0"/>
    <x v="0"/>
    <x v="0"/>
    <x v="0"/>
    <x v="0"/>
    <s v="Servicios de formación profesional en ingeniería"/>
    <x v="0"/>
    <n v="86101610"/>
    <s v="Prestación de servicios profesionales la revisión y aval de las bases de datos alfanumérica y grafica de los proyectos que adelanta la subdirección de agrología."/>
    <x v="0"/>
    <x v="0"/>
    <n v="5"/>
    <x v="0"/>
    <x v="0"/>
    <x v="0"/>
    <n v="28975394"/>
    <n v="28975394"/>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08"/>
  </r>
  <r>
    <x v="0"/>
    <m/>
    <x v="0"/>
    <x v="0"/>
    <x v="1"/>
    <x v="0"/>
    <x v="1"/>
    <x v="0"/>
    <x v="0"/>
    <s v="Servicios de formación profesional en ingeniería"/>
    <x v="0"/>
    <n v="86101610"/>
    <s v="Prestación de servicios profesionales para realizar el levantamiento de suelos   en los proyectos que adelanta la Subdirección de Agrología"/>
    <x v="0"/>
    <x v="0"/>
    <n v="4"/>
    <x v="0"/>
    <x v="0"/>
    <x v="0"/>
    <n v="115901576"/>
    <n v="115901576"/>
    <x v="0"/>
    <x v="0"/>
    <x v="1"/>
    <x v="0"/>
    <x v="0"/>
    <s v="Subdirección de Agrología"/>
    <x v="1"/>
    <s v="Subdirector de Agrología "/>
    <x v="0"/>
    <x v="0"/>
    <s v="Estudio de suelos como insumo para el ordenamiento integral del territorio."/>
    <s v="Sistema de información agrologica actualizado"/>
    <m/>
    <m/>
    <e v="#N/A"/>
    <e v="#N/A"/>
    <e v="#N/A"/>
    <x v="0"/>
    <m/>
    <n v="0"/>
    <x v="0"/>
    <m/>
    <x v="0"/>
    <x v="1"/>
    <x v="0"/>
    <n v="310"/>
  </r>
  <r>
    <x v="0"/>
    <m/>
    <x v="0"/>
    <x v="0"/>
    <x v="0"/>
    <x v="0"/>
    <x v="0"/>
    <x v="0"/>
    <x v="0"/>
    <s v="Servicios de formación profesional en ingeniería"/>
    <x v="0"/>
    <n v="86101610"/>
    <s v="Prestación de servicios para adelantar y gestionar acciones e Innovación en aplicaciones agrológicas"/>
    <x v="0"/>
    <x v="0"/>
    <n v="4"/>
    <x v="0"/>
    <x v="0"/>
    <x v="0"/>
    <n v="33820360"/>
    <n v="338203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0"/>
    <x v="0"/>
    <s v="Servicios de formación profesional en ingeniería"/>
    <x v="0"/>
    <n v="86101610"/>
    <s v="Prestación de servicios profesionales para realizar la caracterización climática y la correlación de los suelos en los proyectos de levantamientos de la Subdirección de Agrología"/>
    <x v="0"/>
    <x v="0"/>
    <n v="7"/>
    <x v="0"/>
    <x v="0"/>
    <x v="0"/>
    <n v="28975394"/>
    <n v="28975394"/>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aborar las bases de datos de información agrológica de los convenios que desarrolla la Subdirección de Agrología"/>
    <x v="0"/>
    <x v="0"/>
    <n v="5"/>
    <x v="0"/>
    <x v="0"/>
    <x v="0"/>
    <n v="15623660"/>
    <n v="156236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 desarrollo de las aplicaciones agrológicas requeridas en los proyectos que desarrolla la Subdirección de Agrología"/>
    <x v="0"/>
    <x v="0"/>
    <n v="5"/>
    <x v="0"/>
    <x v="0"/>
    <x v="0"/>
    <n v="21317610"/>
    <n v="2131761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0"/>
    <x v="0"/>
    <n v="5"/>
    <x v="0"/>
    <x v="0"/>
    <x v="0"/>
    <n v="10491075"/>
    <n v="10491075"/>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 servicios profesionales en control de calidad  de productos de sensores remotos en temas relacionados con aplicaciones agrologicas."/>
    <x v="1"/>
    <x v="1"/>
    <n v="4"/>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m/>
  </r>
  <r>
    <x v="0"/>
    <m/>
    <x v="0"/>
    <x v="0"/>
    <x v="0"/>
    <x v="0"/>
    <x v="0"/>
    <x v="3"/>
    <x v="0"/>
    <s v="Mantenimiento de equipos de laboratorio"/>
    <x v="0"/>
    <n v="81101706"/>
    <s v="Prestación de servicios para sistema recolectora de desechos de laboratorio"/>
    <x v="1"/>
    <x v="1"/>
    <n v="4"/>
    <x v="0"/>
    <x v="1"/>
    <x v="0"/>
    <n v="10000000"/>
    <n v="1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l servicio de calibración acreditada de equipos e instrumentos del Laboratorio Nacional de Suelos."/>
    <x v="1"/>
    <x v="1"/>
    <n v="4"/>
    <x v="0"/>
    <x v="2"/>
    <x v="0"/>
    <n v="90000000"/>
    <n v="9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Prestación del servicio de mantenimiento preventivo y correctivo, con suministro de repuestos y consumibles para los equipos no exclusivos del Laboratorio Nacional de Suelos."/>
    <x v="0"/>
    <x v="0"/>
    <n v="2"/>
    <x v="0"/>
    <x v="2"/>
    <x v="0"/>
    <n v="260000000"/>
    <n v="26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Adquisición de reactivos y materiales para el GIT Laboratorio Nacional de Suelos."/>
    <x v="1"/>
    <x v="1"/>
    <n v="2"/>
    <x v="0"/>
    <x v="2"/>
    <x v="0"/>
    <n v="250000000"/>
    <n v="25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1"/>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2"/>
    <x v="2"/>
    <n v="6"/>
    <x v="0"/>
    <x v="0"/>
    <x v="0"/>
    <n v="12589290"/>
    <n v="1258929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1"/>
    <m/>
    <x v="0"/>
    <x v="0"/>
    <x v="0"/>
    <m/>
  </r>
  <r>
    <x v="0"/>
    <m/>
    <x v="0"/>
    <x v="0"/>
    <x v="0"/>
    <x v="0"/>
    <x v="0"/>
    <x v="4"/>
    <x v="0"/>
    <s v="Servicios de formación profesional en ingeniería"/>
    <x v="0"/>
    <n v="86101610"/>
    <s v="Prestación de servicios profesionales para realizar seguimiento y control a la gestión de los procesos de la Subdirección de Agrología"/>
    <x v="2"/>
    <x v="2"/>
    <n v="6"/>
    <x v="0"/>
    <x v="0"/>
    <x v="0"/>
    <n v="29858544"/>
    <n v="29858544"/>
    <x v="0"/>
    <x v="0"/>
    <x v="0"/>
    <x v="0"/>
    <x v="0"/>
    <s v="Subdirección de Agrología"/>
    <x v="3"/>
    <s v="Subdirección de Agrología"/>
    <x v="1"/>
    <x v="2"/>
    <s v="Generación de estudios de suelos, tierras y aplicaciones agrológicas como insumo para el ordenamiento integral y el manejo sostenible del territorio a nivel Nacional"/>
    <s v="Sistema de información agrologica actualizado"/>
    <m/>
    <m/>
    <e v="#N/A"/>
    <e v="#N/A"/>
    <e v="#N/A"/>
    <x v="0"/>
    <m/>
    <n v="0"/>
    <x v="2"/>
    <m/>
    <x v="0"/>
    <x v="0"/>
    <x v="0"/>
    <m/>
  </r>
  <r>
    <x v="0"/>
    <m/>
    <x v="0"/>
    <x v="0"/>
    <x v="2"/>
    <x v="0"/>
    <x v="2"/>
    <x v="1"/>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2"/>
    <x v="2"/>
    <n v="6"/>
    <x v="0"/>
    <x v="0"/>
    <x v="0"/>
    <n v="42635220"/>
    <n v="42635220"/>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3"/>
    <m/>
    <x v="0"/>
    <x v="2"/>
    <x v="0"/>
    <m/>
  </r>
  <r>
    <x v="0"/>
    <m/>
    <x v="0"/>
    <x v="0"/>
    <x v="2"/>
    <x v="0"/>
    <x v="2"/>
    <x v="2"/>
    <x v="0"/>
    <s v="Servicios de formación profesional en ingeniería"/>
    <x v="0"/>
    <n v="86101610"/>
    <s v="Prestación de servicios profesionales para la interpretación de imágenes para obtener la capa de cobertura y uso de la tierra en los proyectos de la Subdirección de Agrología."/>
    <x v="2"/>
    <x v="2"/>
    <n v="6"/>
    <x v="0"/>
    <x v="0"/>
    <x v="0"/>
    <n v="57950788"/>
    <n v="57950788"/>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4"/>
    <m/>
    <x v="0"/>
    <x v="2"/>
    <x v="0"/>
    <m/>
  </r>
  <r>
    <x v="0"/>
    <n v="26"/>
    <x v="0"/>
    <x v="0"/>
    <x v="0"/>
    <x v="1"/>
    <x v="3"/>
    <x v="5"/>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1"/>
    <n v="21446236"/>
    <n v="21446236"/>
    <x v="0"/>
    <x v="1"/>
    <x v="0"/>
    <x v="0"/>
    <x v="0"/>
    <s v="Subdirección de Agrología"/>
    <x v="4"/>
    <s v="Subdriector de Agrología"/>
    <x v="0"/>
    <x v="0"/>
    <s v="Estudio de suelos como insumo para el ordenamiento integral del territorio."/>
    <s v="Sistema de información agrologica actualizado"/>
    <n v="151"/>
    <d v="2021-02-01T00:00:00"/>
    <n v="3063748"/>
    <n v="21446236"/>
    <n v="21446236"/>
    <x v="1"/>
    <s v="GUERTHY ADRIANA MORENO SÁNCHEZ"/>
    <n v="0"/>
    <x v="0"/>
    <n v="24431"/>
    <x v="1"/>
    <x v="3"/>
    <x v="1"/>
    <n v="11"/>
  </r>
  <r>
    <x v="0"/>
    <n v="40"/>
    <x v="0"/>
    <x v="0"/>
    <x v="0"/>
    <x v="1"/>
    <x v="3"/>
    <x v="6"/>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4"/>
    <x v="4"/>
    <n v="3"/>
    <x v="0"/>
    <x v="0"/>
    <x v="0"/>
    <n v="14929272"/>
    <n v="14929272"/>
    <x v="0"/>
    <x v="1"/>
    <x v="0"/>
    <x v="0"/>
    <x v="0"/>
    <s v="Subdirección de Agrología"/>
    <x v="4"/>
    <s v="Subdirector de Agrología "/>
    <x v="0"/>
    <x v="0"/>
    <s v="Actualización, Homologación y Correlación de áreas homogéneas de tierras con fines múltiples."/>
    <s v="Sistema de Información Agrológica Actualizado"/>
    <n v="556"/>
    <d v="2021-04-28T00:00:00"/>
    <n v="4976424"/>
    <n v="14929272"/>
    <n v="14929272"/>
    <x v="1"/>
    <s v="JERSSON ANDRES MARTINEZ BERMUDEZ"/>
    <n v="0"/>
    <x v="0"/>
    <n v="24699"/>
    <x v="1"/>
    <x v="3"/>
    <x v="1"/>
    <n v="179"/>
  </r>
  <r>
    <x v="0"/>
    <n v="39"/>
    <x v="0"/>
    <x v="0"/>
    <x v="0"/>
    <x v="1"/>
    <x v="3"/>
    <x v="7"/>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4"/>
    <x v="4"/>
    <n v="3"/>
    <x v="0"/>
    <x v="0"/>
    <x v="0"/>
    <n v="12790566"/>
    <n v="12790566"/>
    <x v="0"/>
    <x v="1"/>
    <x v="0"/>
    <x v="0"/>
    <x v="0"/>
    <s v="Subdirección de Agrología"/>
    <x v="4"/>
    <s v="Subdirector de Agrología "/>
    <x v="0"/>
    <x v="0"/>
    <s v="Actualización, Homologación y Correlación de áreas homogéneas de tierras con fines múltiples."/>
    <s v="Sistema de Información Agrológica Actualizado"/>
    <n v="567"/>
    <d v="2021-04-28T00:00:00"/>
    <n v="4263522"/>
    <n v="12790566"/>
    <n v="12790566"/>
    <x v="1"/>
    <s v="MIGUEL OCTAVIO BERNAL BOTIVA"/>
    <n v="0"/>
    <x v="0"/>
    <n v="24702"/>
    <x v="1"/>
    <x v="3"/>
    <x v="1"/>
    <n v="318"/>
  </r>
  <r>
    <x v="0"/>
    <n v="41"/>
    <x v="0"/>
    <x v="0"/>
    <x v="0"/>
    <x v="1"/>
    <x v="3"/>
    <x v="8"/>
    <x v="0"/>
    <s v="Servicios de formación profesional en ingeniería"/>
    <x v="1"/>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2"/>
    <x v="2"/>
    <n v="2"/>
    <x v="0"/>
    <x v="0"/>
    <x v="0"/>
    <n v="19905696"/>
    <n v="19905696"/>
    <x v="0"/>
    <x v="1"/>
    <x v="0"/>
    <x v="0"/>
    <x v="0"/>
    <s v="Subdirección de Agrología"/>
    <x v="4"/>
    <s v="Subdirector de Agrología "/>
    <x v="0"/>
    <x v="0"/>
    <s v="Actualización, Homologación y Correlación de áreas homogéneas de tierras con fines múltiples."/>
    <s v="Sistema de Información Agrológica Actualizado"/>
    <m/>
    <d v="2021-07-07T00:00:00"/>
    <n v="9952848"/>
    <n v="19905696"/>
    <n v="19905696"/>
    <x v="1"/>
    <s v="SEIRY SOLENY VARGAS TEJEDOR"/>
    <n v="0"/>
    <x v="0"/>
    <m/>
    <x v="1"/>
    <x v="3"/>
    <x v="1"/>
    <n v="60"/>
  </r>
  <r>
    <x v="0"/>
    <n v="2"/>
    <x v="0"/>
    <x v="0"/>
    <x v="0"/>
    <x v="1"/>
    <x v="3"/>
    <x v="9"/>
    <x v="0"/>
    <s v="Servicios de formación profesional en ingeniería"/>
    <x v="0"/>
    <n v="86101610"/>
    <s v="Prestación de servicios profesionales para realizar actividades de apoyo a los procesos administrativos que adelanta la Subdirección de Agrología"/>
    <x v="5"/>
    <x v="5"/>
    <n v="7"/>
    <x v="0"/>
    <x v="0"/>
    <x v="1"/>
    <n v="21236040"/>
    <n v="21236040"/>
    <x v="0"/>
    <x v="1"/>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1"/>
    <s v="VIVIANA ANDREA RUEDA CALDERÓN"/>
    <n v="3248"/>
    <x v="0"/>
    <n v="24308"/>
    <x v="1"/>
    <x v="3"/>
    <x v="1"/>
    <n v="300"/>
  </r>
  <r>
    <x v="0"/>
    <n v="18"/>
    <x v="0"/>
    <x v="0"/>
    <x v="2"/>
    <x v="2"/>
    <x v="3"/>
    <x v="9"/>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0"/>
    <x v="0"/>
    <x v="1"/>
    <n v="42472080"/>
    <n v="42472080"/>
    <x v="0"/>
    <x v="1"/>
    <x v="2"/>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x v="0"/>
    <s v="24298_x000a_24301"/>
    <x v="2"/>
    <x v="3"/>
    <x v="1"/>
    <n v="325"/>
  </r>
  <r>
    <x v="0"/>
    <n v="8"/>
    <x v="0"/>
    <x v="0"/>
    <x v="3"/>
    <x v="3"/>
    <x v="3"/>
    <x v="5"/>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3"/>
    <x v="3"/>
    <n v="7"/>
    <x v="0"/>
    <x v="0"/>
    <x v="1"/>
    <n v="63708120"/>
    <n v="63708120"/>
    <x v="0"/>
    <x v="1"/>
    <x v="3"/>
    <x v="0"/>
    <x v="0"/>
    <s v="Subdirección de Agrología"/>
    <x v="4"/>
    <s v="Subdriector de Agrología"/>
    <x v="0"/>
    <x v="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x v="0"/>
    <s v="24480_x000a_24578_x000a_24579"/>
    <x v="3"/>
    <x v="3"/>
    <x v="1"/>
    <n v="11"/>
  </r>
  <r>
    <x v="0"/>
    <n v="4"/>
    <x v="0"/>
    <x v="0"/>
    <x v="0"/>
    <x v="1"/>
    <x v="3"/>
    <x v="9"/>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1"/>
    <s v="VALENTINA ROJAS"/>
    <n v="92050"/>
    <x v="0"/>
    <n v="24338"/>
    <x v="1"/>
    <x v="3"/>
    <x v="1"/>
    <n v="90"/>
  </r>
  <r>
    <x v="0"/>
    <n v="6"/>
    <x v="0"/>
    <x v="0"/>
    <x v="0"/>
    <x v="1"/>
    <x v="3"/>
    <x v="9"/>
    <x v="0"/>
    <s v="Servicios de formación profesional en ingeniería"/>
    <x v="0"/>
    <n v="86101610"/>
    <s v="Prestación de servicios para el manejo de la información que genere la subdirección de agrología en el desarrollo de sus proyectos."/>
    <x v="5"/>
    <x v="5"/>
    <n v="7"/>
    <x v="0"/>
    <x v="0"/>
    <x v="1"/>
    <n v="18155711"/>
    <n v="18155711"/>
    <x v="0"/>
    <x v="1"/>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1"/>
    <s v="ANDREA PILAR SINTURA HUERTA"/>
    <n v="124145"/>
    <x v="0"/>
    <n v="24309"/>
    <x v="1"/>
    <x v="3"/>
    <x v="1"/>
    <n v="330"/>
  </r>
  <r>
    <x v="0"/>
    <n v="23"/>
    <x v="0"/>
    <x v="0"/>
    <x v="0"/>
    <x v="1"/>
    <x v="3"/>
    <x v="9"/>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1"/>
    <s v="JOHN JAIRO YATE ALAPE"/>
    <n v="124145"/>
    <x v="0"/>
    <n v="24350"/>
    <x v="1"/>
    <x v="3"/>
    <x v="1"/>
    <n v="11"/>
  </r>
  <r>
    <x v="0"/>
    <n v="20"/>
    <x v="0"/>
    <x v="0"/>
    <x v="0"/>
    <x v="1"/>
    <x v="3"/>
    <x v="9"/>
    <x v="0"/>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1"/>
    <s v="SERGIO ANDRÉS ARENAS ENMOGA"/>
    <n v="124145"/>
    <x v="0"/>
    <n v="24392"/>
    <x v="1"/>
    <x v="3"/>
    <x v="2"/>
    <n v="300"/>
  </r>
  <r>
    <x v="0"/>
    <n v="5"/>
    <x v="0"/>
    <x v="0"/>
    <x v="0"/>
    <x v="1"/>
    <x v="3"/>
    <x v="9"/>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0"/>
    <x v="0"/>
    <x v="1"/>
    <n v="28975394"/>
    <n v="28975394"/>
    <x v="0"/>
    <x v="1"/>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1"/>
    <s v="JOHANNA KATERINE CORDERO CASALLAS"/>
    <n v="185927"/>
    <x v="0"/>
    <n v="24434"/>
    <x v="1"/>
    <x v="3"/>
    <x v="1"/>
    <m/>
  </r>
  <r>
    <x v="0"/>
    <n v="16"/>
    <x v="0"/>
    <x v="0"/>
    <x v="0"/>
    <x v="1"/>
    <x v="3"/>
    <x v="10"/>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4"/>
    <x v="4"/>
    <n v="10"/>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x v="0"/>
    <n v="24550"/>
    <x v="1"/>
    <x v="3"/>
    <x v="1"/>
    <n v="329"/>
  </r>
  <r>
    <x v="0"/>
    <n v="21"/>
    <x v="0"/>
    <x v="0"/>
    <x v="0"/>
    <x v="1"/>
    <x v="3"/>
    <x v="9"/>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0"/>
    <x v="0"/>
    <x v="1"/>
    <n v="28975394"/>
    <n v="28975394"/>
    <x v="0"/>
    <x v="1"/>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1"/>
    <s v="VLADIMIR PAEZ FONSECA"/>
    <n v="185927"/>
    <x v="0"/>
    <n v="24336"/>
    <x v="1"/>
    <x v="3"/>
    <x v="1"/>
    <n v="320"/>
  </r>
  <r>
    <x v="0"/>
    <n v="15"/>
    <x v="0"/>
    <x v="0"/>
    <x v="0"/>
    <x v="1"/>
    <x v="3"/>
    <x v="9"/>
    <x v="0"/>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x v="0"/>
    <n v="24467"/>
    <x v="1"/>
    <x v="3"/>
    <x v="1"/>
    <n v="329"/>
  </r>
  <r>
    <x v="0"/>
    <n v="11"/>
    <x v="0"/>
    <x v="0"/>
    <x v="2"/>
    <x v="2"/>
    <x v="3"/>
    <x v="9"/>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0"/>
    <x v="0"/>
    <x v="1"/>
    <n v="36311422"/>
    <n v="36311422"/>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x v="0"/>
    <s v="24476_x000a_24585"/>
    <x v="2"/>
    <x v="3"/>
    <x v="1"/>
    <n v="329"/>
  </r>
  <r>
    <x v="0"/>
    <n v="22"/>
    <x v="0"/>
    <x v="0"/>
    <x v="0"/>
    <x v="1"/>
    <x v="3"/>
    <x v="9"/>
    <x v="0"/>
    <s v="Servicios de formación profesional en ingeniería"/>
    <x v="0"/>
    <n v="86101610"/>
    <s v="Prestación de servicios personales para realizar la preparación y manejo de muestras de suelos, aguas, compost y tejido vegetal en el GIT Laboratorio Nacional de Suelos. "/>
    <x v="5"/>
    <x v="5"/>
    <n v="7"/>
    <x v="0"/>
    <x v="0"/>
    <x v="1"/>
    <n v="16296816"/>
    <n v="16296816"/>
    <x v="0"/>
    <x v="1"/>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1"/>
    <s v="JUAN FELIPE RUEDA CALDERON"/>
    <n v="257584"/>
    <x v="0"/>
    <n v="24349"/>
    <x v="1"/>
    <x v="3"/>
    <x v="1"/>
    <n v="330"/>
  </r>
  <r>
    <x v="0"/>
    <n v="3"/>
    <x v="0"/>
    <x v="0"/>
    <x v="0"/>
    <x v="1"/>
    <x v="3"/>
    <x v="9"/>
    <x v="0"/>
    <s v="Servicios de formación profesional en ingeniería"/>
    <x v="0"/>
    <n v="86101610"/>
    <s v="Prestación de servicios personales para realizar la digitación y consolidación de la información agrológica, acorde con los estándares de control de calidad de la entidad."/>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1"/>
    <s v="MARÍA PAULA ROJAS"/>
    <n v="362089"/>
    <x v="0"/>
    <n v="24420"/>
    <x v="1"/>
    <x v="3"/>
    <x v="1"/>
    <n v="90"/>
  </r>
  <r>
    <x v="0"/>
    <n v="13"/>
    <x v="0"/>
    <x v="0"/>
    <x v="2"/>
    <x v="2"/>
    <x v="3"/>
    <x v="9"/>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0"/>
    <x v="0"/>
    <x v="1"/>
    <n v="57950788"/>
    <n v="57950788"/>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x v="0"/>
    <s v="24343_x000a_24456"/>
    <x v="2"/>
    <x v="3"/>
    <x v="1"/>
    <n v="330"/>
  </r>
  <r>
    <x v="0"/>
    <n v="19"/>
    <x v="0"/>
    <x v="0"/>
    <x v="3"/>
    <x v="3"/>
    <x v="3"/>
    <x v="9"/>
    <x v="0"/>
    <s v="Servicios de formación profesional en ingeniería"/>
    <x v="0"/>
    <n v="86101610"/>
    <s v="Prestación de servicios personales para la ejecución de análisis básicos y aplicación de controles de calidad en el GIT Laboratorio Nacional de Suelos."/>
    <x v="5"/>
    <x v="5"/>
    <n v="7"/>
    <x v="0"/>
    <x v="0"/>
    <x v="1"/>
    <n v="54467133"/>
    <n v="54467133"/>
    <x v="0"/>
    <x v="1"/>
    <x v="3"/>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x v="0"/>
    <s v="24317_x000a_24318_x000a_24319"/>
    <x v="3"/>
    <x v="3"/>
    <x v="1"/>
    <n v="270"/>
  </r>
  <r>
    <x v="0"/>
    <d v="2003-02-01T00:00:00"/>
    <x v="0"/>
    <x v="0"/>
    <x v="0"/>
    <x v="1"/>
    <x v="3"/>
    <x v="8"/>
    <x v="0"/>
    <s v="Gases naturales y gases mixtos"/>
    <x v="1"/>
    <n v="12142100"/>
    <s v="Suministro de Gases especiales para la ejecución de análisis para el Laboratorio Nacional de Suelos. "/>
    <x v="2"/>
    <x v="2"/>
    <n v="6"/>
    <x v="0"/>
    <x v="1"/>
    <x v="1"/>
    <n v="10000000"/>
    <n v="10000000"/>
    <x v="0"/>
    <x v="0"/>
    <x v="0"/>
    <x v="0"/>
    <x v="0"/>
    <s v="Subdirección de Agrología"/>
    <x v="2"/>
    <s v="Subdirector de Agrología "/>
    <x v="0"/>
    <x v="1"/>
    <s v="Análisis físicos, químicos, biológicos y mineralógicos de suelos"/>
    <s v="Pruebas químicas, físicas, mineralógicas y biológicas de suelos realizadas"/>
    <m/>
    <d v="2021-07-19T00:00:00"/>
    <n v="9559115.5"/>
    <n v="9559115.5"/>
    <n v="9559115.5"/>
    <x v="1"/>
    <s v="INICIO PROCESO"/>
    <n v="440884.5"/>
    <x v="0"/>
    <m/>
    <x v="1"/>
    <x v="3"/>
    <x v="1"/>
    <n v="30"/>
  </r>
  <r>
    <x v="0"/>
    <n v="25"/>
    <x v="0"/>
    <x v="0"/>
    <x v="2"/>
    <x v="2"/>
    <x v="3"/>
    <x v="9"/>
    <x v="0"/>
    <s v="Servicios de formación profesional en ingeniería"/>
    <x v="0"/>
    <n v="86101610"/>
    <s v="Prestación de servicios personales para realizar el lavado y alistamiento de la instrumentación requerida para la ejecución de análisis en el GIT Laboratorio Nacional de Suelos."/>
    <x v="5"/>
    <x v="5"/>
    <n v="7"/>
    <x v="0"/>
    <x v="0"/>
    <x v="1"/>
    <n v="28519428"/>
    <n v="28519428"/>
    <x v="0"/>
    <x v="1"/>
    <x v="2"/>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x v="0"/>
    <s v="24353_x000a_24354"/>
    <x v="2"/>
    <x v="3"/>
    <x v="1"/>
    <n v="330"/>
  </r>
  <r>
    <x v="0"/>
    <n v="1"/>
    <x v="0"/>
    <x v="0"/>
    <x v="0"/>
    <x v="1"/>
    <x v="3"/>
    <x v="9"/>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0"/>
    <x v="0"/>
    <x v="1"/>
    <n v="51312562"/>
    <n v="51312562"/>
    <x v="0"/>
    <x v="1"/>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1"/>
    <s v="ADRIANA CAROLINA RIVADENEIRA PISCIOTTI"/>
    <n v="483210"/>
    <x v="0"/>
    <n v="24307"/>
    <x v="1"/>
    <x v="3"/>
    <x v="1"/>
    <n v="315"/>
  </r>
  <r>
    <x v="0"/>
    <n v="24"/>
    <x v="0"/>
    <x v="0"/>
    <x v="0"/>
    <x v="1"/>
    <x v="3"/>
    <x v="9"/>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0"/>
    <x v="0"/>
    <x v="1"/>
    <n v="33820360"/>
    <n v="33820360"/>
    <x v="0"/>
    <x v="1"/>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1"/>
    <s v="ELSA MATILDE GONZÁLEZ"/>
    <n v="648830"/>
    <x v="0"/>
    <n v="24337"/>
    <x v="1"/>
    <x v="3"/>
    <x v="1"/>
    <n v="330"/>
  </r>
  <r>
    <x v="0"/>
    <n v="12"/>
    <x v="0"/>
    <x v="0"/>
    <x v="0"/>
    <x v="1"/>
    <x v="3"/>
    <x v="9"/>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x v="0"/>
    <n v="24344"/>
    <x v="1"/>
    <x v="3"/>
    <x v="1"/>
    <n v="330"/>
  </r>
  <r>
    <x v="0"/>
    <n v="7"/>
    <x v="0"/>
    <x v="0"/>
    <x v="0"/>
    <x v="1"/>
    <x v="3"/>
    <x v="9"/>
    <x v="0"/>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0"/>
    <x v="0"/>
    <x v="1"/>
    <n v="33820360"/>
    <n v="33820360"/>
    <x v="0"/>
    <x v="1"/>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1"/>
    <s v="JULIANA YAMILE CUY TORRES"/>
    <n v="648830"/>
    <x v="0"/>
    <n v="24434"/>
    <x v="1"/>
    <x v="3"/>
    <x v="1"/>
    <n v="11"/>
  </r>
  <r>
    <x v="0"/>
    <n v="17"/>
    <x v="0"/>
    <x v="0"/>
    <x v="0"/>
    <x v="1"/>
    <x v="3"/>
    <x v="9"/>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x v="0"/>
    <n v="24472"/>
    <x v="1"/>
    <x v="3"/>
    <x v="1"/>
    <n v="330"/>
  </r>
  <r>
    <x v="0"/>
    <n v="10"/>
    <x v="0"/>
    <x v="0"/>
    <x v="4"/>
    <x v="4"/>
    <x v="3"/>
    <x v="9"/>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0"/>
    <x v="0"/>
    <x v="1"/>
    <n v="144876970"/>
    <n v="144876970"/>
    <x v="0"/>
    <x v="1"/>
    <x v="4"/>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x v="0"/>
    <s v="24345_x000a_24457_x000a_24458_x000a_24540_x000a_24584"/>
    <x v="4"/>
    <x v="3"/>
    <x v="1"/>
    <n v="330"/>
  </r>
  <r>
    <x v="0"/>
    <n v="14"/>
    <x v="0"/>
    <x v="0"/>
    <x v="2"/>
    <x v="2"/>
    <x v="3"/>
    <x v="9"/>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0"/>
    <x v="0"/>
    <x v="1"/>
    <n v="67640720"/>
    <n v="67640720"/>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x v="0"/>
    <s v="24368_x000a_24499"/>
    <x v="2"/>
    <x v="3"/>
    <x v="1"/>
    <n v="330"/>
  </r>
  <r>
    <x v="0"/>
    <n v="9"/>
    <x v="0"/>
    <x v="0"/>
    <x v="5"/>
    <x v="5"/>
    <x v="3"/>
    <x v="9"/>
    <x v="0"/>
    <s v="Servicios de formación profesional en ingeniería"/>
    <x v="0"/>
    <n v="86101610"/>
    <s v="Prestación de servicios profesionales para realizar el levantamiento de suelos  y capacidad de uso de las tierras en los proyectos que adelanta la Subdirección de Agrología"/>
    <x v="5"/>
    <x v="5"/>
    <n v="7"/>
    <x v="0"/>
    <x v="0"/>
    <x v="1"/>
    <n v="202827758"/>
    <n v="202827758"/>
    <x v="0"/>
    <x v="1"/>
    <x v="5"/>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5"/>
    <x v="3"/>
    <x v="1"/>
    <n v="11"/>
  </r>
  <r>
    <x v="0"/>
    <n v="42"/>
    <x v="0"/>
    <x v="0"/>
    <x v="0"/>
    <x v="1"/>
    <x v="3"/>
    <x v="8"/>
    <x v="0"/>
    <s v="Servicios de formación profesional en ingeniería"/>
    <x v="1"/>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2"/>
    <x v="2"/>
    <n v="2"/>
    <x v="0"/>
    <x v="0"/>
    <x v="0"/>
    <n v="17054088"/>
    <n v="17054088"/>
    <x v="0"/>
    <x v="1"/>
    <x v="0"/>
    <x v="0"/>
    <x v="0"/>
    <s v="Subdirección de Agrología"/>
    <x v="4"/>
    <s v="Subdirector de Agrología "/>
    <x v="0"/>
    <x v="0"/>
    <s v="Actualización, Homologación y Correlación de áreas homogéneas de tierras con fines múltiples."/>
    <s v="Sistema de Información Agrológica Actualizado"/>
    <m/>
    <d v="2021-07-07T00:00:00"/>
    <n v="4263522"/>
    <n v="8527044"/>
    <n v="8527044"/>
    <x v="1"/>
    <s v=" JHON EDER MONTERO ESPINOSA"/>
    <n v="8527044"/>
    <x v="0"/>
    <m/>
    <x v="1"/>
    <x v="3"/>
    <x v="1"/>
    <n v="60"/>
  </r>
  <r>
    <x v="0"/>
    <n v="43"/>
    <x v="0"/>
    <x v="0"/>
    <x v="0"/>
    <x v="1"/>
    <x v="3"/>
    <x v="8"/>
    <x v="0"/>
    <s v="Servicios de formación profesional en ingeniería"/>
    <x v="1"/>
    <n v="86101610"/>
    <s v="Prestación de servicios profesionales para ejecutar las diferentes etapas de la actualización de Áreas Homogéneas de Tierras con fines de catastro multipropósito, en el marco de la actualización catastral de Arauquita."/>
    <x v="2"/>
    <x v="2"/>
    <n v="2"/>
    <x v="0"/>
    <x v="0"/>
    <x v="0"/>
    <n v="17054088"/>
    <n v="17054088"/>
    <x v="0"/>
    <x v="1"/>
    <x v="0"/>
    <x v="0"/>
    <x v="1"/>
    <s v="Subdirección de Catastro"/>
    <x v="4"/>
    <s v="Subdirectora de Catastro"/>
    <x v="0"/>
    <x v="0"/>
    <s v="Actualización, Homologación y Correlación de áreas homogéneas de tierras con fines múltiples."/>
    <s v="Sistema de Información Agrológica Actualizado"/>
    <m/>
    <d v="2021-07-08T00:00:00"/>
    <n v="4263522"/>
    <n v="8527044"/>
    <n v="8527044"/>
    <x v="1"/>
    <s v="INGRID FERNANDA RODRÍGUEZ LUCAS"/>
    <n v="8527044"/>
    <x v="0"/>
    <m/>
    <x v="1"/>
    <x v="4"/>
    <x v="1"/>
    <n v="60"/>
  </r>
  <r>
    <x v="0"/>
    <n v="31"/>
    <x v="0"/>
    <x v="0"/>
    <x v="0"/>
    <x v="1"/>
    <x v="3"/>
    <x v="9"/>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1"/>
    <x v="0"/>
    <x v="0"/>
    <x v="0"/>
    <s v="Subdirección de Agrología"/>
    <x v="4"/>
    <s v="Subdirector de Agrología "/>
    <x v="2"/>
    <x v="3"/>
    <s v="Generar los productos agrológicos como insumos para el Catastro multipropósito"/>
    <s v="Sistema de Información Predial Actualizado_x000a_"/>
    <n v="481"/>
    <d v="2021-03-15T00:00:00"/>
    <n v="4976424"/>
    <n v="46280743"/>
    <n v="46280743"/>
    <x v="1"/>
    <s v="NATALIA PRECIADO"/>
    <n v="1019257"/>
    <x v="0"/>
    <n v="24616"/>
    <x v="1"/>
    <x v="3"/>
    <x v="1"/>
    <n v="325"/>
  </r>
  <r>
    <x v="0"/>
    <n v="34"/>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65"/>
    <d v="2021-03-15T00:00:00"/>
    <n v="4976424"/>
    <n v="47276028"/>
    <n v="47276028"/>
    <x v="1"/>
    <s v="JAIME ANDRES NEIRA"/>
    <n v="2223972"/>
    <x v="0"/>
    <n v="24604"/>
    <x v="1"/>
    <x v="3"/>
    <x v="1"/>
    <n v="240"/>
  </r>
  <r>
    <x v="0"/>
    <n v="27"/>
    <x v="0"/>
    <x v="0"/>
    <x v="0"/>
    <x v="1"/>
    <x v="3"/>
    <x v="9"/>
    <x v="1"/>
    <s v="Servicios de formación profesional en ingeniería"/>
    <x v="0"/>
    <n v="86101610"/>
    <s v="Prestación de servicios para realizar la preparación y alistamiento de equipos, reactivos y materiales y apoyo en los diferentes procesos de análisis del Laboratorio Nacional de Suel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9"/>
    <d v="2021-03-15T00:00:00"/>
    <n v="2671483"/>
    <n v="25379089"/>
    <n v="25379089"/>
    <x v="1"/>
    <s v="ANGIE LORENA CARDENAS PUERTO"/>
    <n v="3220911"/>
    <x v="0"/>
    <n v="24624"/>
    <x v="1"/>
    <x v="3"/>
    <x v="1"/>
    <n v="330"/>
  </r>
  <r>
    <x v="0"/>
    <n v="37"/>
    <x v="0"/>
    <x v="0"/>
    <x v="0"/>
    <x v="1"/>
    <x v="3"/>
    <x v="9"/>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6"/>
    <d v="2021-03-15T00:00:00"/>
    <n v="2671483"/>
    <n v="25379089"/>
    <n v="25379089"/>
    <x v="1"/>
    <s v="MARISOL  ARDILA CUBIDES"/>
    <n v="3220911"/>
    <x v="0"/>
    <n v="24611"/>
    <x v="1"/>
    <x v="3"/>
    <x v="1"/>
    <n v="320"/>
  </r>
  <r>
    <x v="0"/>
    <n v="32"/>
    <x v="0"/>
    <x v="0"/>
    <x v="0"/>
    <x v="1"/>
    <x v="3"/>
    <x v="9"/>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59"/>
    <d v="2021-03-15T00:00:00"/>
    <n v="2671483"/>
    <n v="25379089"/>
    <n v="25379089"/>
    <x v="1"/>
    <s v="MONICA ANDREA GARCIA"/>
    <n v="3220911"/>
    <x v="0"/>
    <n v="24600"/>
    <x v="1"/>
    <x v="3"/>
    <x v="1"/>
    <n v="320"/>
  </r>
  <r>
    <x v="0"/>
    <n v="28"/>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8"/>
    <d v="2021-03-15T00:00:00"/>
    <n v="4263522"/>
    <n v="40503459"/>
    <n v="40503459"/>
    <x v="1"/>
    <s v="ANDRES EMILIO MORENO CASTRO"/>
    <n v="3496541"/>
    <x v="0"/>
    <n v="24613"/>
    <x v="1"/>
    <x v="3"/>
    <x v="1"/>
    <m/>
  </r>
  <r>
    <x v="0"/>
    <n v="29"/>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3"/>
    <d v="2021-03-15T00:00:00"/>
    <n v="4263522"/>
    <n v="40503459"/>
    <n v="40503459"/>
    <x v="1"/>
    <s v="DANIEL JOSE MORALES MEJIA"/>
    <n v="3496541"/>
    <x v="0"/>
    <n v="24602"/>
    <x v="1"/>
    <x v="3"/>
    <x v="0"/>
    <n v="330"/>
  </r>
  <r>
    <x v="0"/>
    <n v="36"/>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85"/>
    <d v="2021-03-15T00:00:00"/>
    <n v="4263522"/>
    <n v="40503459"/>
    <n v="40503459"/>
    <x v="1"/>
    <s v="EDWIN ALFONSO PERILLA"/>
    <n v="3496541"/>
    <x v="0"/>
    <n v="24619"/>
    <x v="1"/>
    <x v="3"/>
    <x v="0"/>
    <n v="240"/>
  </r>
  <r>
    <x v="0"/>
    <n v="33"/>
    <x v="0"/>
    <x v="0"/>
    <x v="0"/>
    <x v="1"/>
    <x v="3"/>
    <x v="9"/>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73"/>
    <d v="2021-03-15T00:00:00"/>
    <n v="4263522"/>
    <n v="40503459"/>
    <n v="40503459"/>
    <x v="1"/>
    <s v="MARCO ANTONIO SUAREZ GALEANO"/>
    <n v="3496541"/>
    <x v="0"/>
    <n v="24607"/>
    <x v="1"/>
    <x v="3"/>
    <x v="1"/>
    <n v="320"/>
  </r>
  <r>
    <x v="0"/>
    <n v="38"/>
    <x v="0"/>
    <x v="0"/>
    <x v="0"/>
    <x v="1"/>
    <x v="3"/>
    <x v="10"/>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4"/>
    <x v="4"/>
    <n v="10"/>
    <x v="0"/>
    <x v="0"/>
    <x v="2"/>
    <n v="53900000"/>
    <n v="53900000"/>
    <x v="0"/>
    <x v="1"/>
    <x v="0"/>
    <x v="0"/>
    <x v="0"/>
    <s v="Subdirección de Agrología"/>
    <x v="4"/>
    <s v="Subdirector de Agrología "/>
    <x v="2"/>
    <x v="3"/>
    <s v="Generar los productos agrológicos como insumos para el Catastro multipropósito"/>
    <s v="Sistema de Información Predial Actualizado_x000a_"/>
    <n v="471"/>
    <d v="2021-03-15T00:00:00"/>
    <n v="4976424"/>
    <n v="47276028"/>
    <n v="47276028"/>
    <x v="1"/>
    <s v="ANA MARIA DEL ROSARIO PALACINO DE WALTEROS"/>
    <n v="6623972"/>
    <x v="0"/>
    <n v="24606"/>
    <x v="1"/>
    <x v="3"/>
    <x v="1"/>
    <n v="180"/>
  </r>
  <r>
    <x v="0"/>
    <n v="35"/>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53"/>
    <d v="2021-03-15T00:00:00"/>
    <n v="4263522"/>
    <n v="38798050"/>
    <n v="38798050"/>
    <x v="1"/>
    <s v="GERSE DAVID RUIZ"/>
    <n v="10701950"/>
    <x v="0"/>
    <n v="24590"/>
    <x v="1"/>
    <x v="3"/>
    <x v="1"/>
    <n v="320"/>
  </r>
  <r>
    <x v="1"/>
    <m/>
    <x v="1"/>
    <x v="1"/>
    <x v="0"/>
    <x v="0"/>
    <x v="0"/>
    <x v="3"/>
    <x v="0"/>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6"/>
    <x v="6"/>
    <n v="180"/>
    <x v="1"/>
    <x v="0"/>
    <x v="0"/>
    <n v="16028898"/>
    <n v="16028898"/>
    <x v="0"/>
    <x v="1"/>
    <x v="0"/>
    <x v="0"/>
    <x v="1"/>
    <s v="Subdirección de Catastro"/>
    <x v="5"/>
    <s v="Subdirectora de Catastro"/>
    <x v="2"/>
    <x v="3"/>
    <s v="Ejecutar procesos de actualización catastral a nivel nacional"/>
    <s v="Predios actualizados catastralmente"/>
    <m/>
    <m/>
    <e v="#N/A"/>
    <e v="#N/A"/>
    <e v="#N/A"/>
    <x v="0"/>
    <m/>
    <n v="0"/>
    <x v="5"/>
    <m/>
    <x v="0"/>
    <x v="0"/>
    <x v="0"/>
    <m/>
  </r>
  <r>
    <x v="1"/>
    <m/>
    <x v="1"/>
    <x v="1"/>
    <x v="0"/>
    <x v="0"/>
    <x v="0"/>
    <x v="3"/>
    <x v="0"/>
    <s v="Servicios secretariales o de administración de oficinas  "/>
    <x v="0"/>
    <n v="80161501"/>
    <s v="Prestación de servicios técnicos de apoyo al seguimiento, planeación y gestión del reconocimiento predial  en el proceso de actualización catastral multipropósito de Arauquita - Arauca"/>
    <x v="6"/>
    <x v="6"/>
    <n v="180"/>
    <x v="1"/>
    <x v="0"/>
    <x v="0"/>
    <n v="21630000"/>
    <n v="21630000"/>
    <x v="0"/>
    <x v="1"/>
    <x v="0"/>
    <x v="0"/>
    <x v="1"/>
    <s v="Subdirección de Catastro"/>
    <x v="5"/>
    <s v="Subdirectora de Catastro"/>
    <x v="2"/>
    <x v="3"/>
    <s v="Ejecutar procesos de actualización catastral a nivel nacional"/>
    <s v="Predios actualizados catastralmente"/>
    <m/>
    <m/>
    <e v="#N/A"/>
    <e v="#N/A"/>
    <e v="#N/A"/>
    <x v="0"/>
    <m/>
    <n v="0"/>
    <x v="6"/>
    <m/>
    <x v="0"/>
    <x v="0"/>
    <x v="0"/>
    <m/>
  </r>
  <r>
    <x v="1"/>
    <m/>
    <x v="1"/>
    <x v="1"/>
    <x v="0"/>
    <x v="0"/>
    <x v="0"/>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6"/>
    <x v="6"/>
    <n v="180"/>
    <x v="1"/>
    <x v="0"/>
    <x v="0"/>
    <n v="29858544"/>
    <n v="29858544"/>
    <x v="0"/>
    <x v="1"/>
    <x v="0"/>
    <x v="0"/>
    <x v="1"/>
    <s v="Subdirección de Catastro"/>
    <x v="5"/>
    <s v="Subdirectora de Catastro"/>
    <x v="2"/>
    <x v="3"/>
    <s v="Ejecutar procesos de actualización catastral a nivel nacional"/>
    <s v="Predios actualizados catastralmente"/>
    <m/>
    <m/>
    <e v="#N/A"/>
    <e v="#N/A"/>
    <e v="#N/A"/>
    <x v="0"/>
    <m/>
    <n v="0"/>
    <x v="2"/>
    <m/>
    <x v="0"/>
    <x v="0"/>
    <x v="0"/>
    <m/>
  </r>
  <r>
    <x v="1"/>
    <m/>
    <x v="1"/>
    <x v="1"/>
    <x v="0"/>
    <x v="0"/>
    <x v="0"/>
    <x v="3"/>
    <x v="0"/>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6"/>
    <x v="6"/>
    <n v="180"/>
    <x v="1"/>
    <x v="0"/>
    <x v="0"/>
    <n v="34546758"/>
    <n v="34546758"/>
    <x v="0"/>
    <x v="1"/>
    <x v="0"/>
    <x v="0"/>
    <x v="1"/>
    <s v="Subdirección de Catastro"/>
    <x v="5"/>
    <s v="Subdirectora de Catastro"/>
    <x v="2"/>
    <x v="3"/>
    <s v="Ejecutar procesos de actualización catastral a nivel nacional"/>
    <s v="Predios actualizados catastralmente"/>
    <m/>
    <m/>
    <e v="#N/A"/>
    <e v="#N/A"/>
    <e v="#N/A"/>
    <x v="0"/>
    <m/>
    <n v="0"/>
    <x v="7"/>
    <m/>
    <x v="0"/>
    <x v="0"/>
    <x v="0"/>
    <m/>
  </r>
  <r>
    <x v="1"/>
    <n v="67"/>
    <x v="1"/>
    <x v="1"/>
    <x v="2"/>
    <x v="2"/>
    <x v="3"/>
    <x v="11"/>
    <x v="0"/>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1"/>
    <x v="2"/>
    <x v="0"/>
    <x v="1"/>
    <s v="Subdirección de Catastro"/>
    <x v="5"/>
    <s v="Subdirectora de Catastro"/>
    <x v="2"/>
    <x v="3"/>
    <s v="Ejecutar procesos de actualización catastral a nivel nacional"/>
    <s v="Predios actualizados catastralmente"/>
    <n v="590"/>
    <d v="2021-05-18T00:00:00"/>
    <n v="1701243"/>
    <n v="10207458"/>
    <n v="20414916"/>
    <x v="1"/>
    <s v="DIANA CAROLINA HERNANDEZ_x000a_YARLY JOHANNA MARIN TINEO"/>
    <n v="0"/>
    <x v="0"/>
    <s v="24731_x000a_24743"/>
    <x v="1"/>
    <x v="0"/>
    <x v="1"/>
    <m/>
  </r>
  <r>
    <x v="1"/>
    <n v="51"/>
    <x v="1"/>
    <x v="1"/>
    <x v="0"/>
    <x v="1"/>
    <x v="3"/>
    <x v="12"/>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4"/>
    <x v="4"/>
    <n v="6"/>
    <x v="0"/>
    <x v="0"/>
    <x v="1"/>
    <n v="18748392"/>
    <n v="18748392"/>
    <x v="0"/>
    <x v="1"/>
    <x v="0"/>
    <x v="0"/>
    <x v="1"/>
    <s v="DT Casanare"/>
    <x v="6"/>
    <s v="HERMES SALCEDO RODRIGUEZ"/>
    <x v="2"/>
    <x v="3"/>
    <s v="Ejecutar procesos de conservación catastral a nivel nacional"/>
    <s v="Mutaciones realizadas"/>
    <n v="512"/>
    <d v="2021-03-30T00:00:00"/>
    <n v="3124732"/>
    <n v="18748392"/>
    <n v="18748392"/>
    <x v="1"/>
    <s v="HONOFRE QUINTERO CABICHE"/>
    <n v="0"/>
    <x v="0"/>
    <n v="24645"/>
    <x v="1"/>
    <x v="3"/>
    <x v="1"/>
    <m/>
  </r>
  <r>
    <x v="1"/>
    <n v="53"/>
    <x v="1"/>
    <x v="1"/>
    <x v="0"/>
    <x v="1"/>
    <x v="3"/>
    <x v="12"/>
    <x v="0"/>
    <s v="Servicios secretariales o de administración de oficinas  "/>
    <x v="0"/>
    <n v="80161501"/>
    <s v="Prestación de servicios de apoyo a la gestión en ventanilla para atencion al usuario presencial y virtual en los procesos catastrales de la dirección territorial casanare"/>
    <x v="4"/>
    <x v="4"/>
    <n v="6"/>
    <x v="0"/>
    <x v="0"/>
    <x v="1"/>
    <n v="12589290"/>
    <n v="12589290"/>
    <x v="0"/>
    <x v="1"/>
    <x v="0"/>
    <x v="0"/>
    <x v="1"/>
    <s v="DT Casanare"/>
    <x v="6"/>
    <s v="HERMES SALCEDO RODRIGUEZ"/>
    <x v="2"/>
    <x v="3"/>
    <s v="Ejecutar procesos de conservación catastral a nivel nacional"/>
    <s v="Mutaciones realizadas"/>
    <n v="508"/>
    <d v="2021-03-30T00:00:00"/>
    <n v="2098215"/>
    <n v="12589290"/>
    <n v="12589290"/>
    <x v="1"/>
    <s v="JOSE LEONIDAS VEGA PEREZ_x000a_"/>
    <n v="0"/>
    <x v="0"/>
    <n v="24641"/>
    <x v="1"/>
    <x v="3"/>
    <x v="1"/>
    <m/>
  </r>
  <r>
    <x v="1"/>
    <n v="62"/>
    <x v="1"/>
    <x v="1"/>
    <x v="0"/>
    <x v="1"/>
    <x v="3"/>
    <x v="13"/>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8"/>
    <x v="8"/>
    <n v="150"/>
    <x v="1"/>
    <x v="0"/>
    <x v="1"/>
    <n v="15623660"/>
    <n v="15623660"/>
    <x v="0"/>
    <x v="1"/>
    <x v="0"/>
    <x v="0"/>
    <x v="1"/>
    <s v="DT Casanare"/>
    <x v="6"/>
    <s v="HERMES SALCEDO RODRIGUEZ"/>
    <x v="2"/>
    <x v="3"/>
    <s v="Ejecutar procesos de conservación catastral a nivel nacional"/>
    <s v="Mutaciones realizadas"/>
    <n v="548"/>
    <d v="2021-04-23T00:00:00"/>
    <n v="3124732"/>
    <n v="15623660"/>
    <n v="15623660"/>
    <x v="1"/>
    <s v="LILIANA  ALFONSO CHAVITA"/>
    <n v="0"/>
    <x v="0"/>
    <n v="24692"/>
    <x v="1"/>
    <x v="3"/>
    <x v="1"/>
    <m/>
  </r>
  <r>
    <x v="1"/>
    <n v="52"/>
    <x v="1"/>
    <x v="1"/>
    <x v="0"/>
    <x v="1"/>
    <x v="3"/>
    <x v="12"/>
    <x v="0"/>
    <s v="Servicios secretariales o de administración de oficinas  "/>
    <x v="0"/>
    <n v="80161501"/>
    <s v="Prestación de servicios de apoyo a la gestión desarrollada en procesos catastrales de la dirección territorial casanare "/>
    <x v="4"/>
    <x v="4"/>
    <n v="6"/>
    <x v="0"/>
    <x v="0"/>
    <x v="1"/>
    <n v="10207458"/>
    <n v="10207458"/>
    <x v="0"/>
    <x v="1"/>
    <x v="0"/>
    <x v="0"/>
    <x v="1"/>
    <s v="DT Casanare"/>
    <x v="6"/>
    <s v="HERMES SALCEDO RODRIGUEZ"/>
    <x v="2"/>
    <x v="3"/>
    <s v="Ejecutar procesos de conservación catastral a nivel nacional"/>
    <s v="Mutaciones realizadas"/>
    <n v="513"/>
    <d v="2021-03-30T00:00:00"/>
    <n v="1701243"/>
    <n v="10207458"/>
    <n v="10207458"/>
    <x v="1"/>
    <s v="YULY MARICELA ROJAS PACAGUI_x000a_"/>
    <n v="0"/>
    <x v="0"/>
    <n v="24650"/>
    <x v="1"/>
    <x v="3"/>
    <x v="1"/>
    <n v="180"/>
  </r>
  <r>
    <x v="1"/>
    <n v="68"/>
    <x v="1"/>
    <x v="1"/>
    <x v="0"/>
    <x v="1"/>
    <x v="3"/>
    <x v="0"/>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0"/>
    <x v="0"/>
    <x v="0"/>
    <x v="1"/>
    <s v="DT Casanare"/>
    <x v="6"/>
    <s v="HERMES SALCEDO RODRIGUEZ"/>
    <x v="2"/>
    <x v="3"/>
    <s v="Ejecutar procesos de conservación catastral a nivel nacional"/>
    <s v="Mutaciones realizadas"/>
    <n v="604"/>
    <d v="2021-05-27T00:00:00"/>
    <n v="2671483"/>
    <n v="18700381"/>
    <n v="18700381"/>
    <x v="1"/>
    <s v="OSCAR FABIAN VILLARRAGA MALLUNGO"/>
    <n v="1335741.5"/>
    <x v="0"/>
    <n v="24748"/>
    <x v="1"/>
    <x v="3"/>
    <x v="1"/>
    <n v="285"/>
  </r>
  <r>
    <x v="1"/>
    <n v="59"/>
    <x v="1"/>
    <x v="1"/>
    <x v="0"/>
    <x v="1"/>
    <x v="3"/>
    <x v="6"/>
    <x v="0"/>
    <s v="Servicios secretariales o de administración de oficinas  "/>
    <x v="0"/>
    <n v="80161501"/>
    <s v="Prestación de servicios profesionales para realizar las socializaciones requeridas en el proceso de actualización catastral multipropósito de Arauquita - Arauca"/>
    <x v="8"/>
    <x v="8"/>
    <n v="240"/>
    <x v="1"/>
    <x v="0"/>
    <x v="0"/>
    <n v="29121888"/>
    <n v="29121888"/>
    <x v="0"/>
    <x v="1"/>
    <x v="0"/>
    <x v="0"/>
    <x v="1"/>
    <s v="Subdirección de Catastro"/>
    <x v="5"/>
    <s v="Subdirectora de Catastro"/>
    <x v="2"/>
    <x v="3"/>
    <s v="Ejecutar procesos de actualización catastral a nivel nacional"/>
    <s v="Predios actualizados catastralmente"/>
    <n v="526"/>
    <d v="2021-04-14T00:00:00"/>
    <n v="3640236"/>
    <n v="27301770"/>
    <n v="27301770"/>
    <x v="1"/>
    <s v="YECNNY PATRICIA CASTELLANOS GONZALEZ"/>
    <n v="1820118"/>
    <x v="0"/>
    <n v="24668"/>
    <x v="1"/>
    <x v="3"/>
    <x v="1"/>
    <m/>
  </r>
  <r>
    <x v="1"/>
    <n v="58"/>
    <x v="1"/>
    <x v="1"/>
    <x v="0"/>
    <x v="1"/>
    <x v="3"/>
    <x v="6"/>
    <x v="0"/>
    <s v="Servicios secretariales o de administración de oficinas  "/>
    <x v="0"/>
    <n v="80161501"/>
    <s v="Prestación de servicios profesionales para el seguimiento y control de las actividades de la etapa operativa del proyecto de gestión catastral multipropósito de Arauquita - Arauca"/>
    <x v="8"/>
    <x v="8"/>
    <n v="240"/>
    <x v="1"/>
    <x v="0"/>
    <x v="0"/>
    <n v="69663808"/>
    <n v="69663808"/>
    <x v="0"/>
    <x v="1"/>
    <x v="0"/>
    <x v="0"/>
    <x v="1"/>
    <s v="Subdirección de Catastro"/>
    <x v="5"/>
    <s v="Subdirectora de Catastro"/>
    <x v="2"/>
    <x v="3"/>
    <s v="Ejecutar procesos de actualización catastral a nivel nacional"/>
    <s v="Predios actualizados catastralmente"/>
    <n v="523"/>
    <d v="2021-04-12T00:00:00"/>
    <n v="8707976"/>
    <n v="66761149"/>
    <n v="66761149"/>
    <x v="1"/>
    <s v="ELMO ADOLFO SANCHEZ CALDERON"/>
    <n v="2902659"/>
    <x v="0"/>
    <n v="24665"/>
    <x v="1"/>
    <x v="3"/>
    <x v="1"/>
    <m/>
  </r>
  <r>
    <x v="1"/>
    <n v="70"/>
    <x v="1"/>
    <x v="1"/>
    <x v="0"/>
    <x v="1"/>
    <x v="3"/>
    <x v="0"/>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7"/>
    <x v="7"/>
    <n v="210"/>
    <x v="1"/>
    <x v="0"/>
    <x v="1"/>
    <n v="19827500"/>
    <n v="19827500"/>
    <x v="0"/>
    <x v="0"/>
    <x v="0"/>
    <x v="0"/>
    <x v="1"/>
    <s v="DT Casanare"/>
    <x v="6"/>
    <s v="HERMES SALCEDO RODRIGUEZ"/>
    <x v="2"/>
    <x v="3"/>
    <s v="Atender las solicitudes en materia de Política de Restitución de Tierras y Ley de Víctimas"/>
    <s v="Solicitudes Atendidas"/>
    <n v="616"/>
    <d v="2021-06-04T00:00:00"/>
    <n v="2832500"/>
    <n v="14162500"/>
    <n v="14162500"/>
    <x v="1"/>
    <s v="LUISA FERNANDA LONDOÑO ORTIZ"/>
    <n v="5665000"/>
    <x v="0"/>
    <n v="24761"/>
    <x v="1"/>
    <x v="3"/>
    <x v="1"/>
    <s v="Día(s)"/>
  </r>
  <r>
    <x v="1"/>
    <n v="66"/>
    <x v="1"/>
    <x v="1"/>
    <x v="6"/>
    <x v="4"/>
    <x v="0"/>
    <x v="11"/>
    <x v="0"/>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1"/>
    <x v="6"/>
    <x v="0"/>
    <x v="1"/>
    <s v="Subdirección de Catastro"/>
    <x v="5"/>
    <s v="Subdirectora de Catastro"/>
    <x v="2"/>
    <x v="3"/>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9374196"/>
    <x v="0"/>
    <s v="24721_x000a_24724_x000a_24749_x000a_24752_x000a_24756"/>
    <x v="4"/>
    <x v="0"/>
    <x v="0"/>
    <m/>
  </r>
  <r>
    <x v="1"/>
    <m/>
    <x v="1"/>
    <x v="1"/>
    <x v="0"/>
    <x v="0"/>
    <x v="0"/>
    <x v="3"/>
    <x v="0"/>
    <s v="Servicios secretariales o de administración de oficinas  "/>
    <x v="0"/>
    <n v="80161501"/>
    <s v="Prestación de servicios profesionales para apoyar la gestión de los procesos catastrales de formación, actualización y conservación catastral."/>
    <x v="6"/>
    <x v="6"/>
    <n v="240"/>
    <x v="1"/>
    <x v="0"/>
    <x v="0"/>
    <n v="29121888"/>
    <n v="29121888"/>
    <x v="0"/>
    <x v="1"/>
    <x v="0"/>
    <x v="0"/>
    <x v="1"/>
    <s v="Subdirección de Catastro"/>
    <x v="5"/>
    <s v="Subdirectora de Catastro"/>
    <x v="2"/>
    <x v="3"/>
    <s v="Ejecutar procesos de actualización catastral a nivel nacional"/>
    <s v="Predios actualizados catastralmente"/>
    <m/>
    <m/>
    <e v="#N/A"/>
    <e v="#N/A"/>
    <e v="#N/A"/>
    <x v="0"/>
    <m/>
    <n v="0"/>
    <x v="8"/>
    <m/>
    <x v="0"/>
    <x v="0"/>
    <x v="0"/>
    <m/>
  </r>
  <r>
    <x v="1"/>
    <m/>
    <x v="1"/>
    <x v="1"/>
    <x v="0"/>
    <x v="0"/>
    <x v="0"/>
    <x v="3"/>
    <x v="0"/>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6"/>
    <x v="6"/>
    <n v="195"/>
    <x v="1"/>
    <x v="0"/>
    <x v="1"/>
    <n v="37425655"/>
    <n v="37425655"/>
    <x v="0"/>
    <x v="0"/>
    <x v="0"/>
    <x v="0"/>
    <x v="1"/>
    <s v="Subdirección de Catastro"/>
    <x v="5"/>
    <s v="Subdirectora de Catastro"/>
    <x v="2"/>
    <x v="3"/>
    <s v="Ejecutar procesos de actualización catastral a nivel nacional"/>
    <s v="Predios actualizados catastralmente"/>
    <m/>
    <m/>
    <e v="#N/A"/>
    <e v="#N/A"/>
    <e v="#N/A"/>
    <x v="0"/>
    <m/>
    <n v="0"/>
    <x v="9"/>
    <m/>
    <x v="0"/>
    <x v="0"/>
    <x v="0"/>
    <m/>
  </r>
  <r>
    <x v="1"/>
    <n v="12"/>
    <x v="1"/>
    <x v="1"/>
    <x v="3"/>
    <x v="3"/>
    <x v="3"/>
    <x v="5"/>
    <x v="0"/>
    <s v="Servicios de sistemas de información geográfica (sig)"/>
    <x v="0"/>
    <n v="81101512"/>
    <s v="Prestación de servicios profesionales para apoyar la gestión requerida para la habilitación de gestores catastrales."/>
    <x v="3"/>
    <x v="3"/>
    <n v="325"/>
    <x v="1"/>
    <x v="0"/>
    <x v="1"/>
    <n v="187128273"/>
    <n v="187128273"/>
    <x v="0"/>
    <x v="1"/>
    <x v="3"/>
    <x v="0"/>
    <x v="1"/>
    <s v="Subdirección de Catastro"/>
    <x v="5"/>
    <s v="Subdirectora de Catastro"/>
    <x v="2"/>
    <x v="3"/>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3"/>
    <x v="3"/>
    <x v="1"/>
    <m/>
  </r>
  <r>
    <x v="1"/>
    <n v="22"/>
    <x v="1"/>
    <x v="1"/>
    <x v="0"/>
    <x v="1"/>
    <x v="3"/>
    <x v="5"/>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1"/>
    <n v="53911260"/>
    <n v="53911260"/>
    <x v="0"/>
    <x v="1"/>
    <x v="0"/>
    <x v="0"/>
    <x v="1"/>
    <s v="Subdirección de Catastro"/>
    <x v="5"/>
    <s v="Subdirectora de Catastro"/>
    <x v="2"/>
    <x v="3"/>
    <s v="Atender las solicitudes en materia de Política de Restitución de Tierras y Ley de Víctimas"/>
    <s v="Solicitudes Atendidas"/>
    <n v="134"/>
    <d v="2021-01-25T00:00:00"/>
    <n v="4976424"/>
    <n v="54740664"/>
    <n v="54740664"/>
    <x v="2"/>
    <s v="ELIZABETH HERNANDEZ SANTAMARIA"/>
    <n v="0"/>
    <x v="0"/>
    <n v="24372"/>
    <x v="1"/>
    <x v="3"/>
    <x v="1"/>
    <m/>
  </r>
  <r>
    <x v="1"/>
    <n v="20"/>
    <x v="1"/>
    <x v="1"/>
    <x v="0"/>
    <x v="1"/>
    <x v="3"/>
    <x v="14"/>
    <x v="0"/>
    <s v="Servicios de sistemas de información geográfica (sig)"/>
    <x v="0"/>
    <n v="81101512"/>
    <s v="Prestación de servicios profesionales para el desarrollo del componente tecnológico requerido de los procesos de gestión catastral desarrollados por el IGAC"/>
    <x v="5"/>
    <x v="5"/>
    <n v="11"/>
    <x v="0"/>
    <x v="0"/>
    <x v="0"/>
    <n v="108518124"/>
    <n v="108518124"/>
    <x v="1"/>
    <x v="0"/>
    <x v="0"/>
    <x v="0"/>
    <x v="1"/>
    <s v="Subdirección de Catastro"/>
    <x v="5"/>
    <s v="Subdirectora de Catastro"/>
    <x v="2"/>
    <x v="3"/>
    <s v="Ejecutar procesos de actualización catastral a nivel nacional"/>
    <s v="Predios actualizados catastralmente"/>
    <n v="104"/>
    <d v="2021-01-25T00:00:00"/>
    <n v="9865284"/>
    <n v="108518124"/>
    <n v="108518124"/>
    <x v="1"/>
    <s v="ALDEMAR  GUZMAN YARA"/>
    <n v="0"/>
    <x v="0"/>
    <n v="24252"/>
    <x v="1"/>
    <x v="3"/>
    <x v="1"/>
    <m/>
  </r>
  <r>
    <x v="1"/>
    <n v="2"/>
    <x v="1"/>
    <x v="1"/>
    <x v="0"/>
    <x v="1"/>
    <x v="3"/>
    <x v="9"/>
    <x v="0"/>
    <s v="Servicios secretariales o de administración de oficinas  "/>
    <x v="0"/>
    <n v="80161501"/>
    <s v="Prestación de servicios profesionales para apoyar desde el componente social, el desarrollo de los proyectos programados para la gestión catastral."/>
    <x v="5"/>
    <x v="5"/>
    <n v="11"/>
    <x v="0"/>
    <x v="0"/>
    <x v="1"/>
    <n v="121248517"/>
    <n v="121248517"/>
    <x v="0"/>
    <x v="1"/>
    <x v="0"/>
    <x v="0"/>
    <x v="1"/>
    <s v="Subdirección de Catastro"/>
    <x v="5"/>
    <s v="Subdirectora de Catastro"/>
    <x v="2"/>
    <x v="3"/>
    <s v="Ejecutar procesos de actualización catastral a nivel nacional"/>
    <s v="Predios actualizados catastralmente"/>
    <n v="45"/>
    <d v="2021-01-18T00:00:00"/>
    <n v="11022592"/>
    <n v="121248517"/>
    <n v="121248517"/>
    <x v="1"/>
    <s v="ANA MARIA SANTOFIMIO MAHECHA"/>
    <n v="0"/>
    <x v="0"/>
    <n v="24205"/>
    <x v="1"/>
    <x v="3"/>
    <x v="2"/>
    <n v="230"/>
  </r>
  <r>
    <x v="1"/>
    <n v="73"/>
    <x v="1"/>
    <x v="1"/>
    <x v="0"/>
    <x v="1"/>
    <x v="3"/>
    <x v="3"/>
    <x v="0"/>
    <s v="Servicios secretariales o de administración de oficinas  "/>
    <x v="0"/>
    <n v="80161501"/>
    <s v="Arrendamiento  de bien inmueble para funcionamiento de sede operativa del contrato 02-2021 actualización catastral con enfoque multipropósito del munincipio de arauquita"/>
    <x v="6"/>
    <x v="6"/>
    <n v="225"/>
    <x v="1"/>
    <x v="0"/>
    <x v="0"/>
    <n v="11250000"/>
    <n v="11250000"/>
    <x v="0"/>
    <x v="0"/>
    <x v="0"/>
    <x v="0"/>
    <x v="1"/>
    <s v="DT Casanare"/>
    <x v="6"/>
    <s v="HERMES SALCEDO RODRIGUEZ"/>
    <x v="2"/>
    <x v="3"/>
    <s v="Ejecutar procesos de actualización catastral a nivel nacional"/>
    <s v="Predios actualizados catastralmente"/>
    <n v="619"/>
    <d v="2021-06-11T00:00:00"/>
    <n v="11250000"/>
    <n v="11250000"/>
    <n v="11250000"/>
    <x v="1"/>
    <s v="COMITE DE GANADEROS DE ARAUQUITA"/>
    <n v="0"/>
    <x v="0"/>
    <n v="24764"/>
    <x v="1"/>
    <x v="3"/>
    <x v="1"/>
    <n v="195"/>
  </r>
  <r>
    <x v="1"/>
    <n v="80"/>
    <x v="1"/>
    <x v="1"/>
    <x v="0"/>
    <x v="1"/>
    <x v="3"/>
    <x v="1"/>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6"/>
    <x v="6"/>
    <n v="120"/>
    <x v="1"/>
    <x v="0"/>
    <x v="1"/>
    <n v="12498928"/>
    <n v="12498928"/>
    <x v="0"/>
    <x v="1"/>
    <x v="0"/>
    <x v="0"/>
    <x v="1"/>
    <s v="Subdirección de Catastro"/>
    <x v="5"/>
    <s v="Subdirectora de Catastro"/>
    <x v="2"/>
    <x v="3"/>
    <s v="Ejecutar procesos de actualización catastral a nivel nacional"/>
    <s v="Predios actualizados catastralmente"/>
    <n v="639"/>
    <d v="2021-07-01T00:00:00"/>
    <n v="3124732"/>
    <n v="12498928"/>
    <n v="12498928"/>
    <x v="1"/>
    <s v="CRISTIAN ENRIQUE PALACIOS AMEZQUITA"/>
    <n v="0"/>
    <x v="0"/>
    <n v="24779"/>
    <x v="1"/>
    <x v="3"/>
    <x v="1"/>
    <n v="120"/>
  </r>
  <r>
    <x v="1"/>
    <n v="76"/>
    <x v="1"/>
    <x v="1"/>
    <x v="0"/>
    <x v="1"/>
    <x v="3"/>
    <x v="1"/>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6"/>
    <x v="6"/>
    <n v="150"/>
    <x v="1"/>
    <x v="0"/>
    <x v="1"/>
    <n v="18025000"/>
    <n v="18025000"/>
    <x v="0"/>
    <x v="1"/>
    <x v="0"/>
    <x v="0"/>
    <x v="1"/>
    <s v="Subdirección de Catastro"/>
    <x v="5"/>
    <s v="Subdirectora de Catastro"/>
    <x v="2"/>
    <x v="3"/>
    <s v="Ejecutar procesos de actualización catastral a nivel nacional"/>
    <s v="Predios actualizados catastralmente"/>
    <n v="630"/>
    <d v="2021-06-24T00:00:00"/>
    <n v="3605000"/>
    <n v="18025000"/>
    <n v="18025000"/>
    <x v="1"/>
    <s v="FREDY LEONARDO SOLORZANO VASQUEZ"/>
    <n v="0"/>
    <x v="0"/>
    <n v="24772"/>
    <x v="1"/>
    <x v="3"/>
    <x v="1"/>
    <n v="150"/>
  </r>
  <r>
    <x v="1"/>
    <n v="10"/>
    <x v="1"/>
    <x v="1"/>
    <x v="0"/>
    <x v="1"/>
    <x v="3"/>
    <x v="9"/>
    <x v="0"/>
    <s v="Servicios secretariales o de administración de oficinas  "/>
    <x v="0"/>
    <n v="80161501"/>
    <s v="Prestación de servicios profesionales para el desarrollo de procesos estadísticos en el marco de la gestión catastral a cargo del IGAC."/>
    <x v="5"/>
    <x v="5"/>
    <n v="11"/>
    <x v="0"/>
    <x v="0"/>
    <x v="1"/>
    <n v="164285000"/>
    <n v="164285000"/>
    <x v="0"/>
    <x v="1"/>
    <x v="0"/>
    <x v="0"/>
    <x v="1"/>
    <s v="Subdirección de Catastro"/>
    <x v="5"/>
    <s v="Subdirectora de Catastro"/>
    <x v="2"/>
    <x v="3"/>
    <s v="Ejecutar procesos de actualización catastral a nivel nacional"/>
    <s v="Predios actualizados catastralmente"/>
    <n v="57"/>
    <d v="2021-01-20T00:00:00"/>
    <n v="14935000"/>
    <n v="164285000"/>
    <n v="164285000"/>
    <x v="1"/>
    <s v="GABRIEL ANTONIO VALLEJO HERNANDEZ"/>
    <n v="0"/>
    <x v="0"/>
    <n v="24220"/>
    <x v="1"/>
    <x v="3"/>
    <x v="1"/>
    <m/>
  </r>
  <r>
    <x v="1"/>
    <n v="82"/>
    <x v="1"/>
    <x v="1"/>
    <x v="0"/>
    <x v="1"/>
    <x v="3"/>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6"/>
    <x v="6"/>
    <n v="165"/>
    <x v="1"/>
    <x v="0"/>
    <x v="1"/>
    <n v="27370332"/>
    <n v="27370332"/>
    <x v="0"/>
    <x v="0"/>
    <x v="0"/>
    <x v="0"/>
    <x v="1"/>
    <s v="Subdirección de Catastro"/>
    <x v="5"/>
    <s v="Subdirectora de Catastro"/>
    <x v="2"/>
    <x v="3"/>
    <s v="Ejecutar procesos de actualización catastral a nivel nacional"/>
    <s v="Predios actualizados catastralmente"/>
    <n v="641"/>
    <d v="2021-07-02T00:00:00"/>
    <n v="4976424"/>
    <n v="27370331.999999996"/>
    <n v="27370331.999999996"/>
    <x v="1"/>
    <s v="GUILLERMO JOSE ROMERO CHARRY"/>
    <n v="0"/>
    <x v="0"/>
    <n v="24782"/>
    <x v="1"/>
    <x v="3"/>
    <x v="1"/>
    <n v="165"/>
  </r>
  <r>
    <x v="1"/>
    <n v="49"/>
    <x v="1"/>
    <x v="1"/>
    <x v="0"/>
    <x v="1"/>
    <x v="3"/>
    <x v="12"/>
    <x v="0"/>
    <s v="Publicidad en periódicos"/>
    <x v="0"/>
    <n v="82101504"/>
    <s v="Prestación de servicios para la publicación de los actos administrativos de la entidad en el diario oficial"/>
    <x v="4"/>
    <x v="4"/>
    <n v="9"/>
    <x v="0"/>
    <x v="0"/>
    <x v="1"/>
    <n v="30000000"/>
    <n v="30000000"/>
    <x v="0"/>
    <x v="1"/>
    <x v="0"/>
    <x v="0"/>
    <x v="1"/>
    <s v="Subdirección de Catastro"/>
    <x v="5"/>
    <s v="Subdirectora de Catastro"/>
    <x v="2"/>
    <x v="3"/>
    <s v="Ejecutar procesos de actualización catastral a nivel nacional"/>
    <s v="Predios actualizados catastralmente"/>
    <n v="491"/>
    <d v="2021-03-19T00:00:00"/>
    <n v="0"/>
    <n v="30000000"/>
    <n v="30000000"/>
    <x v="1"/>
    <s v="IMPRENTA NACIONAL"/>
    <n v="0"/>
    <x v="0"/>
    <n v="24626"/>
    <x v="1"/>
    <x v="3"/>
    <x v="1"/>
    <m/>
  </r>
  <r>
    <x v="1"/>
    <n v="100"/>
    <x v="1"/>
    <x v="1"/>
    <x v="0"/>
    <x v="1"/>
    <x v="3"/>
    <x v="0"/>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23T00:00:00"/>
    <n v="2671483"/>
    <n v="13357415"/>
    <n v="13357415"/>
    <x v="1"/>
    <s v="JAVIER ANDRES RINCON LOPEZ "/>
    <n v="0"/>
    <x v="0"/>
    <n v="1"/>
    <x v="0"/>
    <x v="0"/>
    <x v="2"/>
    <n v="150"/>
  </r>
  <r>
    <x v="1"/>
    <n v="75"/>
    <x v="1"/>
    <x v="1"/>
    <x v="0"/>
    <x v="1"/>
    <x v="3"/>
    <x v="0"/>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6"/>
    <x v="6"/>
    <n v="150"/>
    <x v="1"/>
    <x v="0"/>
    <x v="1"/>
    <n v="24882120"/>
    <n v="24882120"/>
    <x v="0"/>
    <x v="0"/>
    <x v="0"/>
    <x v="0"/>
    <x v="1"/>
    <s v="Subdirección de Catastro"/>
    <x v="5"/>
    <s v="Subdirectora de Catastro"/>
    <x v="2"/>
    <x v="3"/>
    <s v="Ejecutar procesos de actualización catastral a nivel nacional"/>
    <s v="Predios actualizados catastralmente"/>
    <n v="629"/>
    <d v="2021-06-24T00:00:00"/>
    <n v="4976424"/>
    <n v="24882120"/>
    <n v="24882120"/>
    <x v="1"/>
    <s v="JUAN CAMILO MADERA CALAO"/>
    <n v="0"/>
    <x v="0"/>
    <n v="24770"/>
    <x v="1"/>
    <x v="3"/>
    <x v="1"/>
    <n v="150"/>
  </r>
  <r>
    <x v="1"/>
    <n v="86"/>
    <x v="1"/>
    <x v="1"/>
    <x v="0"/>
    <x v="1"/>
    <x v="3"/>
    <x v="0"/>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12T00:00:00"/>
    <n v="2671483"/>
    <n v="13357415"/>
    <n v="13357415"/>
    <x v="1"/>
    <s v="JULIETH ANDREA GARCIA HERNANDEZ"/>
    <n v="0"/>
    <x v="0"/>
    <m/>
    <x v="1"/>
    <x v="0"/>
    <x v="0"/>
    <n v="291"/>
  </r>
  <r>
    <x v="1"/>
    <n v="23"/>
    <x v="1"/>
    <x v="1"/>
    <x v="0"/>
    <x v="1"/>
    <x v="3"/>
    <x v="9"/>
    <x v="0"/>
    <s v="Servicios secretariales o de administración de oficinas  "/>
    <x v="0"/>
    <n v="80161501"/>
    <s v="Prestación de servicios profesionales para adelantar el control de calidad de los avalúos asignados, así como la elaboración de avalúos comerciales e IVP."/>
    <x v="5"/>
    <x v="5"/>
    <n v="11"/>
    <x v="0"/>
    <x v="0"/>
    <x v="1"/>
    <n v="83053047"/>
    <n v="83053047"/>
    <x v="0"/>
    <x v="1"/>
    <x v="0"/>
    <x v="0"/>
    <x v="1"/>
    <s v="Subdirección de Catastro"/>
    <x v="5"/>
    <s v="Subdirectora de Catastro"/>
    <x v="2"/>
    <x v="4"/>
    <s v="Realizar avalúos IVP"/>
    <s v="Avalúos realizados"/>
    <n v="110"/>
    <d v="2021-01-27T00:00:00"/>
    <n v="7550277"/>
    <n v="83053047"/>
    <n v="83053047"/>
    <x v="1"/>
    <s v="JULIO CESAR DIAZ"/>
    <n v="0"/>
    <x v="0"/>
    <n v="24255"/>
    <x v="1"/>
    <x v="3"/>
    <x v="1"/>
    <m/>
  </r>
  <r>
    <x v="1"/>
    <n v="26"/>
    <x v="1"/>
    <x v="1"/>
    <x v="0"/>
    <x v="1"/>
    <x v="3"/>
    <x v="5"/>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1"/>
    <n v="81794668"/>
    <n v="81794668"/>
    <x v="0"/>
    <x v="1"/>
    <x v="0"/>
    <x v="0"/>
    <x v="1"/>
    <s v="Subdirección de Catastro"/>
    <x v="5"/>
    <s v="Subdirectora de Catastro"/>
    <x v="2"/>
    <x v="3"/>
    <s v="Ejecutar procesos de actualización catastral a nivel nacional"/>
    <s v="Predios actualizados catastralmente"/>
    <n v="171"/>
    <d v="2021-02-04T00:00:00"/>
    <n v="7550277"/>
    <n v="81794668"/>
    <n v="81794668"/>
    <x v="1"/>
    <s v="LAURA FERNANDA PARRA PINZON"/>
    <n v="0"/>
    <x v="0"/>
    <n v="24356"/>
    <x v="1"/>
    <x v="3"/>
    <x v="1"/>
    <m/>
  </r>
  <r>
    <x v="1"/>
    <n v="13"/>
    <x v="1"/>
    <x v="1"/>
    <x v="0"/>
    <x v="1"/>
    <x v="3"/>
    <x v="5"/>
    <x v="0"/>
    <s v="Servicios de formación profesional en derecho"/>
    <x v="0"/>
    <n v="86101713"/>
    <s v="Prestación de servicios profesionales para apoyar el desarrollo de los proyectos programados en el marco de la habilitación de gestores catastrales."/>
    <x v="3"/>
    <x v="3"/>
    <n v="325"/>
    <x v="1"/>
    <x v="0"/>
    <x v="1"/>
    <n v="144486420"/>
    <n v="144486420"/>
    <x v="0"/>
    <x v="1"/>
    <x v="0"/>
    <x v="0"/>
    <x v="1"/>
    <s v="Subdirección de Catastro"/>
    <x v="5"/>
    <s v="Subdirectora de Catastro"/>
    <x v="2"/>
    <x v="3"/>
    <s v="Implementar el modelo de habilitación de gestores catastrales a nivel nacional"/>
    <s v="Sistema de Información predial actualizado"/>
    <n v="79"/>
    <d v="2021-01-21T00:00:00"/>
    <n v="13337208"/>
    <n v="144486420"/>
    <n v="144486420"/>
    <x v="1"/>
    <s v="LUZ DARY LEON SANCHEZ"/>
    <n v="0"/>
    <x v="0"/>
    <n v="24357"/>
    <x v="1"/>
    <x v="3"/>
    <x v="1"/>
    <m/>
  </r>
  <r>
    <x v="1"/>
    <n v="79"/>
    <x v="1"/>
    <x v="1"/>
    <x v="4"/>
    <x v="4"/>
    <x v="3"/>
    <x v="0"/>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6"/>
    <x v="6"/>
    <n v="120"/>
    <x v="1"/>
    <x v="0"/>
    <x v="1"/>
    <n v="62494640"/>
    <n v="62494640"/>
    <x v="0"/>
    <x v="0"/>
    <x v="4"/>
    <x v="0"/>
    <x v="1"/>
    <s v="Subdirección de Catastro"/>
    <x v="5"/>
    <s v="Subdirectora de Catastro"/>
    <x v="2"/>
    <x v="3"/>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x v="0"/>
    <s v="24777_x000a_24778_x000a_24780_x000a_24783_x000a_24784"/>
    <x v="4"/>
    <x v="3"/>
    <x v="0"/>
    <n v="120"/>
  </r>
  <r>
    <x v="1"/>
    <n v="43"/>
    <x v="1"/>
    <x v="1"/>
    <x v="4"/>
    <x v="4"/>
    <x v="3"/>
    <x v="10"/>
    <x v="0"/>
    <s v="Servicios secretariales o de administración de oficinas  "/>
    <x v="0"/>
    <n v="80161501"/>
    <s v="Prestación de servicios profesionales para adelantar los avalúos comerciales que le sean asignados a nivel nacional."/>
    <x v="4"/>
    <x v="4"/>
    <n v="300"/>
    <x v="1"/>
    <x v="0"/>
    <x v="0"/>
    <n v="300000000"/>
    <n v="300000000"/>
    <x v="0"/>
    <x v="1"/>
    <x v="4"/>
    <x v="0"/>
    <x v="1"/>
    <s v="Subdirección de Catastro"/>
    <x v="5"/>
    <s v="Subdirectora de Catastro"/>
    <x v="2"/>
    <x v="4"/>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x v="0"/>
    <s v="24535_x000a_24536_x000a_24537_x000a_24539_x000a_24589"/>
    <x v="4"/>
    <x v="3"/>
    <x v="1"/>
    <m/>
  </r>
  <r>
    <x v="1"/>
    <n v="5"/>
    <x v="1"/>
    <x v="1"/>
    <x v="0"/>
    <x v="1"/>
    <x v="3"/>
    <x v="9"/>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0"/>
    <x v="0"/>
    <x v="1"/>
    <n v="83053047"/>
    <n v="83053047"/>
    <x v="0"/>
    <x v="1"/>
    <x v="0"/>
    <x v="0"/>
    <x v="1"/>
    <s v="Subdirección de Catastro"/>
    <x v="5"/>
    <s v="Subdirectora de Catastro"/>
    <x v="2"/>
    <x v="3"/>
    <s v="Atender las solicitudes en materia de Política de Restitución de Tierras y Ley de Víctimas"/>
    <s v="Solicitudes Atendidas"/>
    <n v="46"/>
    <d v="2021-01-19T00:00:00"/>
    <n v="7550277"/>
    <n v="83053047"/>
    <n v="83053047"/>
    <x v="1"/>
    <s v="ROBERTH ANDRES BELTRAN MARTINEZ"/>
    <n v="0"/>
    <x v="0"/>
    <n v="24211"/>
    <x v="1"/>
    <x v="3"/>
    <x v="2"/>
    <n v="215"/>
  </r>
  <r>
    <x v="1"/>
    <n v="78"/>
    <x v="1"/>
    <x v="1"/>
    <x v="0"/>
    <x v="1"/>
    <x v="3"/>
    <x v="0"/>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6"/>
    <x v="6"/>
    <n v="150"/>
    <x v="1"/>
    <x v="0"/>
    <x v="1"/>
    <n v="18025000"/>
    <n v="18025000"/>
    <x v="0"/>
    <x v="0"/>
    <x v="0"/>
    <x v="0"/>
    <x v="1"/>
    <s v="Subdirección de Catastro"/>
    <x v="5"/>
    <s v="Subdirectora de Catastro"/>
    <x v="2"/>
    <x v="3"/>
    <s v="Ejecutar procesos de actualización catastral a nivel nacional"/>
    <s v="Predios actualizados catastralmente"/>
    <n v="637"/>
    <d v="2021-07-01T00:00:00"/>
    <n v="3605000"/>
    <n v="18025000"/>
    <n v="18025000"/>
    <x v="1"/>
    <s v="YESMY  BATISTA PALOMINO"/>
    <n v="0"/>
    <x v="0"/>
    <n v="24776"/>
    <x v="1"/>
    <x v="3"/>
    <x v="1"/>
    <n v="150"/>
  </r>
  <r>
    <x v="1"/>
    <n v="33"/>
    <x v="1"/>
    <x v="1"/>
    <x v="0"/>
    <x v="1"/>
    <x v="3"/>
    <x v="5"/>
    <x v="0"/>
    <s v="Servicios secretariales o de administración de oficinas  "/>
    <x v="0"/>
    <n v="80161501"/>
    <s v="Prestación de servicios para la generación de productos de la información alfanumérica catastral en el marco del Proyecto de &quot;Actualización y gestión catastral Nacional&quot;"/>
    <x v="3"/>
    <x v="3"/>
    <n v="6"/>
    <x v="0"/>
    <x v="0"/>
    <x v="1"/>
    <n v="16028900"/>
    <n v="16028900"/>
    <x v="0"/>
    <x v="1"/>
    <x v="0"/>
    <x v="0"/>
    <x v="1"/>
    <s v="Subdirección de Catastro"/>
    <x v="5"/>
    <s v="Subdirectora de Catastro"/>
    <x v="2"/>
    <x v="3"/>
    <s v="Estandarizar las coberturas de información del proceso de catastro"/>
    <s v="Sistema de Información predial actualizado"/>
    <n v="259"/>
    <d v="2021-02-09T00:00:00"/>
    <n v="2671483"/>
    <n v="16028898"/>
    <n v="16028898"/>
    <x v="1"/>
    <s v="ALEJANDRO ORTIZ BARON"/>
    <n v="2"/>
    <x v="0"/>
    <n v="24438"/>
    <x v="1"/>
    <x v="3"/>
    <x v="1"/>
    <m/>
  </r>
  <r>
    <x v="1"/>
    <n v="9"/>
    <x v="1"/>
    <x v="1"/>
    <x v="1"/>
    <x v="6"/>
    <x v="3"/>
    <x v="9"/>
    <x v="0"/>
    <s v="Servicios secretariales o de administración de oficinas  "/>
    <x v="0"/>
    <n v="80161501"/>
    <s v="Prestación de servicios de apoyo orientados a la gestión y enrutamiento de la información derivada de los procesos catastrales."/>
    <x v="5"/>
    <x v="5"/>
    <n v="11"/>
    <x v="0"/>
    <x v="0"/>
    <x v="1"/>
    <n v="92321463"/>
    <n v="92321463"/>
    <x v="0"/>
    <x v="1"/>
    <x v="1"/>
    <x v="0"/>
    <x v="1"/>
    <s v="Subdirección de Catastro"/>
    <x v="5"/>
    <s v="Subdirectora de Catastro"/>
    <x v="2"/>
    <x v="3"/>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x v="0"/>
    <s v="24216_x000a_24217_x000a_24218_x000a_24292"/>
    <x v="6"/>
    <x v="3"/>
    <x v="1"/>
    <n v="210"/>
  </r>
  <r>
    <x v="1"/>
    <n v="36"/>
    <x v="1"/>
    <x v="1"/>
    <x v="0"/>
    <x v="1"/>
    <x v="3"/>
    <x v="5"/>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3"/>
    <x v="3"/>
    <n v="6"/>
    <x v="0"/>
    <x v="0"/>
    <x v="1"/>
    <n v="29858547"/>
    <n v="29858547"/>
    <x v="0"/>
    <x v="1"/>
    <x v="0"/>
    <x v="0"/>
    <x v="1"/>
    <s v="Subdirección de Catastro"/>
    <x v="5"/>
    <s v="Subdirectora de Catastro"/>
    <x v="2"/>
    <x v="3"/>
    <s v="Estandarizar las coberturas de información del proceso de catastro"/>
    <s v="Sistema de Información predial actualizado"/>
    <n v="294"/>
    <d v="2021-02-11T00:00:00"/>
    <n v="4976424"/>
    <n v="29858544"/>
    <n v="29858544"/>
    <x v="1"/>
    <s v="DIEGO FERNANDO GRISALES RAMIREZ"/>
    <n v="3"/>
    <x v="0"/>
    <n v="24462"/>
    <x v="1"/>
    <x v="3"/>
    <x v="1"/>
    <m/>
  </r>
  <r>
    <x v="1"/>
    <n v="39"/>
    <x v="1"/>
    <x v="1"/>
    <x v="0"/>
    <x v="1"/>
    <x v="3"/>
    <x v="5"/>
    <x v="0"/>
    <s v="Servicios de sistemas de información geográfica (sig)"/>
    <x v="0"/>
    <n v="81101512"/>
    <s v="Prestación de servicios profesionales para gestionar, controlar y hacer seguimiento de la información  alfanumérica y gráfica de los procesos catastrales."/>
    <x v="3"/>
    <x v="3"/>
    <n v="6"/>
    <x v="0"/>
    <x v="0"/>
    <x v="1"/>
    <n v="29858547"/>
    <n v="29858547"/>
    <x v="0"/>
    <x v="1"/>
    <x v="0"/>
    <x v="0"/>
    <x v="1"/>
    <s v="Subdirección de Catastro"/>
    <x v="5"/>
    <s v="Subdirectora de Catastro"/>
    <x v="2"/>
    <x v="3"/>
    <s v="Estandarizar las coberturas de información del proceso de catastro"/>
    <s v="Sistema de Información predial actualizado"/>
    <n v="316"/>
    <d v="2021-02-16T00:00:00"/>
    <n v="4976424"/>
    <n v="29858544"/>
    <n v="29858544"/>
    <x v="1"/>
    <s v="NANCY YOLANDA LÓPEZ FORERO"/>
    <n v="3"/>
    <x v="0"/>
    <n v="24477"/>
    <x v="1"/>
    <x v="3"/>
    <x v="1"/>
    <m/>
  </r>
  <r>
    <x v="1"/>
    <n v="21"/>
    <x v="1"/>
    <x v="1"/>
    <x v="0"/>
    <x v="1"/>
    <x v="3"/>
    <x v="9"/>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0"/>
    <x v="0"/>
    <x v="1"/>
    <n v="54740669"/>
    <n v="54740669"/>
    <x v="0"/>
    <x v="1"/>
    <x v="0"/>
    <x v="0"/>
    <x v="1"/>
    <s v="Subdirección de Catastro"/>
    <x v="5"/>
    <s v="Subdirectora de Catastro"/>
    <x v="2"/>
    <x v="3"/>
    <s v="Atender las solicitudes en materia de Política de Restitución de Tierras y Ley de Víctimas"/>
    <s v="Solicitudes Atendidas"/>
    <n v="124"/>
    <d v="2021-01-25T00:00:00"/>
    <n v="4976424"/>
    <n v="54740664"/>
    <n v="54740664"/>
    <x v="1"/>
    <s v="DANILO BERNAL DIAZ"/>
    <n v="5"/>
    <x v="0"/>
    <n v="24264"/>
    <x v="1"/>
    <x v="3"/>
    <x v="1"/>
    <m/>
  </r>
  <r>
    <x v="1"/>
    <n v="4"/>
    <x v="1"/>
    <x v="1"/>
    <x v="0"/>
    <x v="1"/>
    <x v="3"/>
    <x v="9"/>
    <x v="0"/>
    <s v="Servicios de formación profesional en derecho"/>
    <x v="0"/>
    <n v="86101713"/>
    <s v="Prestación de servicios profesionales para apoyar el componente jurídico en los proyectos de Gestión Catastral desarrollados por el IGAC"/>
    <x v="5"/>
    <x v="5"/>
    <n v="11"/>
    <x v="0"/>
    <x v="0"/>
    <x v="0"/>
    <n v="95787741"/>
    <n v="95787741"/>
    <x v="0"/>
    <x v="1"/>
    <x v="0"/>
    <x v="0"/>
    <x v="1"/>
    <s v="Subdirección de Catastro"/>
    <x v="5"/>
    <s v="Subdirectora de Catastro"/>
    <x v="2"/>
    <x v="3"/>
    <s v="Ejecutar procesos de actualización catastral a nivel nacional"/>
    <s v="Predios actualizados catastralmente"/>
    <n v="48"/>
    <d v="2021-01-18T00:00:00"/>
    <n v="8707976"/>
    <n v="95787736"/>
    <n v="95787736"/>
    <x v="1"/>
    <s v="LIZZY KAROLAY RINCON CAMELO"/>
    <n v="5"/>
    <x v="0"/>
    <n v="24206"/>
    <x v="1"/>
    <x v="3"/>
    <x v="2"/>
    <n v="235"/>
  </r>
  <r>
    <x v="1"/>
    <n v="6"/>
    <x v="1"/>
    <x v="1"/>
    <x v="0"/>
    <x v="1"/>
    <x v="3"/>
    <x v="9"/>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0"/>
    <x v="0"/>
    <x v="0"/>
    <n v="108518129"/>
    <n v="108518129"/>
    <x v="0"/>
    <x v="1"/>
    <x v="0"/>
    <x v="0"/>
    <x v="1"/>
    <s v="Subdirección de Catastro"/>
    <x v="5"/>
    <s v="Subdirectora de Catastro"/>
    <x v="2"/>
    <x v="3"/>
    <s v="Ejecutar procesos de actualización catastral a nivel nacional"/>
    <s v="Predios actualizados catastralmente"/>
    <n v="61"/>
    <d v="2021-01-19T00:00:00"/>
    <n v="9865284"/>
    <n v="108518124"/>
    <n v="108518124"/>
    <x v="1"/>
    <s v="MARYSOL  RUIZ CANO"/>
    <n v="5"/>
    <x v="0"/>
    <n v="24223"/>
    <x v="1"/>
    <x v="3"/>
    <x v="1"/>
    <n v="150"/>
  </r>
  <r>
    <x v="1"/>
    <n v="8"/>
    <x v="1"/>
    <x v="1"/>
    <x v="2"/>
    <x v="2"/>
    <x v="3"/>
    <x v="9"/>
    <x v="0"/>
    <s v="Servicios secretariales o de administración de oficinas  "/>
    <x v="0"/>
    <n v="80161501"/>
    <s v="Prestación de servicios para apoyar las actividades técnicas y operativas para la habilitación de gestores catastrales."/>
    <x v="5"/>
    <x v="5"/>
    <n v="11"/>
    <x v="0"/>
    <x v="0"/>
    <x v="1"/>
    <n v="58772631"/>
    <n v="58772631"/>
    <x v="0"/>
    <x v="1"/>
    <x v="2"/>
    <x v="0"/>
    <x v="1"/>
    <s v="Subdirección de Catastro"/>
    <x v="5"/>
    <s v="Subdirectora de Catastro"/>
    <x v="2"/>
    <x v="3"/>
    <s v="Implementar el modelo de habilitación de gestores catastrales a nivel nacional"/>
    <s v="Sistema de Información predial actualizado"/>
    <n v="47"/>
    <d v="2021-01-19T00:00:00"/>
    <n v="2671483"/>
    <n v="29386313"/>
    <n v="58772626"/>
    <x v="1"/>
    <s v="MAX HENRY SALAZAR GARCIA_x000a_CAMILO ALFONSO ESCOBAR GIRALDO"/>
    <n v="5"/>
    <x v="0"/>
    <s v="24212_x000a_24347_x000a_"/>
    <x v="2"/>
    <x v="3"/>
    <x v="1"/>
    <m/>
  </r>
  <r>
    <x v="1"/>
    <n v="18"/>
    <x v="1"/>
    <x v="1"/>
    <x v="1"/>
    <x v="6"/>
    <x v="3"/>
    <x v="9"/>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0"/>
    <x v="0"/>
    <x v="1"/>
    <n v="434072513"/>
    <n v="434072513"/>
    <x v="0"/>
    <x v="1"/>
    <x v="1"/>
    <x v="0"/>
    <x v="1"/>
    <s v="Subdirección de Catastro"/>
    <x v="5"/>
    <s v="Subdirectora de Catastro"/>
    <x v="2"/>
    <x v="3"/>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x v="0"/>
    <s v="24244_x000a_24314_x000a_24315_x000a_24321"/>
    <x v="6"/>
    <x v="3"/>
    <x v="1"/>
    <m/>
  </r>
  <r>
    <x v="1"/>
    <n v="7"/>
    <x v="1"/>
    <x v="1"/>
    <x v="0"/>
    <x v="1"/>
    <x v="3"/>
    <x v="9"/>
    <x v="0"/>
    <s v="Servicios de formación profesional en derecho"/>
    <x v="0"/>
    <n v="86101713"/>
    <s v="Prestación de servicios profesionales para el desarrollo del componente social requerido de los procesos de gestión catastral desarrollados por el IGAC"/>
    <x v="5"/>
    <x v="5"/>
    <n v="11"/>
    <x v="0"/>
    <x v="0"/>
    <x v="0"/>
    <n v="63335720"/>
    <n v="63335720"/>
    <x v="0"/>
    <x v="1"/>
    <x v="0"/>
    <x v="0"/>
    <x v="1"/>
    <s v="Subdirección de Catastro"/>
    <x v="5"/>
    <s v="Subdirectora de Catastro"/>
    <x v="2"/>
    <x v="3"/>
    <s v="Ejecutar procesos de actualización catastral a nivel nacional"/>
    <s v="Predios actualizados catastralmente"/>
    <n v="54"/>
    <d v="2021-01-19T00:00:00"/>
    <n v="5757793"/>
    <n v="63143797"/>
    <n v="63143797"/>
    <x v="1"/>
    <s v="GERMAN ANDRES HERRERA SIERRA"/>
    <n v="191923"/>
    <x v="0"/>
    <n v="24213"/>
    <x v="1"/>
    <x v="3"/>
    <x v="1"/>
    <n v="7"/>
  </r>
  <r>
    <x v="1"/>
    <n v="11"/>
    <x v="1"/>
    <x v="1"/>
    <x v="0"/>
    <x v="1"/>
    <x v="3"/>
    <x v="9"/>
    <x v="0"/>
    <s v="Servicios secretariales o de administración de oficinas  "/>
    <x v="0"/>
    <n v="80161501"/>
    <s v="Prestación de servicios profesionales para la atención, control y seguimiento a las peticiones presentadas en el área asignada."/>
    <x v="5"/>
    <x v="5"/>
    <n v="11"/>
    <x v="0"/>
    <x v="0"/>
    <x v="1"/>
    <n v="63335720"/>
    <n v="63335720"/>
    <x v="0"/>
    <x v="1"/>
    <x v="0"/>
    <x v="0"/>
    <x v="1"/>
    <s v="Subdirección de Catastro"/>
    <x v="5"/>
    <s v="Subdirectora de Catastro"/>
    <x v="2"/>
    <x v="3"/>
    <s v="Ejecutar procesos de actualización catastral a nivel nacional"/>
    <s v="Predios actualizados catastralmente"/>
    <n v="68"/>
    <d v="2021-01-20T00:00:00"/>
    <n v="5757793"/>
    <n v="63143797"/>
    <n v="63143797"/>
    <x v="1"/>
    <s v="MARTHA YANET DIAZ AYALA"/>
    <n v="191923"/>
    <x v="0"/>
    <n v="24225"/>
    <x v="1"/>
    <x v="3"/>
    <x v="1"/>
    <m/>
  </r>
  <r>
    <x v="1"/>
    <n v="35"/>
    <x v="1"/>
    <x v="1"/>
    <x v="2"/>
    <x v="2"/>
    <x v="3"/>
    <x v="5"/>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3"/>
    <x v="3"/>
    <n v="6"/>
    <x v="0"/>
    <x v="0"/>
    <x v="1"/>
    <n v="69093513"/>
    <n v="69093513"/>
    <x v="0"/>
    <x v="1"/>
    <x v="2"/>
    <x v="0"/>
    <x v="1"/>
    <s v="Subdirección de Catastro"/>
    <x v="5"/>
    <s v="Subdirectora de Catastro"/>
    <x v="2"/>
    <x v="3"/>
    <s v="Estandarizar las coberturas de información del proceso de catastro"/>
    <s v="Sistema de Información predial actualizado"/>
    <n v="239"/>
    <d v="2021-02-11T00:00:00"/>
    <n v="5757793"/>
    <n v="34354832"/>
    <n v="68709664"/>
    <x v="1"/>
    <s v="SONIA ELIZABETH ERASO HANRRYR_x000a_CLAUDIA ALEJANDRA BELTRAN FERNADEZ"/>
    <n v="383849"/>
    <x v="0"/>
    <s v="24415_x000a_24416"/>
    <x v="2"/>
    <x v="3"/>
    <x v="1"/>
    <m/>
  </r>
  <r>
    <x v="1"/>
    <n v="24"/>
    <x v="1"/>
    <x v="1"/>
    <x v="1"/>
    <x v="6"/>
    <x v="3"/>
    <x v="9"/>
    <x v="0"/>
    <s v="Servicios de sistemas de información geográfica (sig)"/>
    <x v="0"/>
    <n v="81101512"/>
    <s v="Prestación de servicios profesionales para adelantar los avalúos comerciales asignados, de acuerdo a la programación establecida. "/>
    <x v="5"/>
    <x v="5"/>
    <n v="11"/>
    <x v="0"/>
    <x v="0"/>
    <x v="0"/>
    <n v="253342879"/>
    <n v="253342879"/>
    <x v="0"/>
    <x v="1"/>
    <x v="1"/>
    <x v="0"/>
    <x v="1"/>
    <s v="Subdirección de Catastro"/>
    <x v="5"/>
    <s v="Subdirectora de Catastro"/>
    <x v="2"/>
    <x v="4"/>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x v="0"/>
    <s v="24258_x000a_24450_x000a_24453_x000a_24494"/>
    <x v="6"/>
    <x v="3"/>
    <x v="1"/>
    <m/>
  </r>
  <r>
    <x v="1"/>
    <n v="48"/>
    <x v="1"/>
    <x v="1"/>
    <x v="0"/>
    <x v="1"/>
    <x v="3"/>
    <x v="10"/>
    <x v="0"/>
    <s v="Servicios secretariales o de administración de oficinas  "/>
    <x v="0"/>
    <n v="80161501"/>
    <s v="Prestación de servicios profesionales para el procesamiento, análisis y generación de productos geográficos que apoyen el proceso de actualización catastral"/>
    <x v="4"/>
    <x v="4"/>
    <n v="285"/>
    <x v="1"/>
    <x v="0"/>
    <x v="0"/>
    <n v="25379089"/>
    <n v="25379089"/>
    <x v="0"/>
    <x v="1"/>
    <x v="0"/>
    <x v="0"/>
    <x v="1"/>
    <s v="Subdirección de Catastro"/>
    <x v="5"/>
    <s v="Subdirectora de Catastro"/>
    <x v="2"/>
    <x v="3"/>
    <s v="Ejecutar procesos de actualización catastral a nivel nacional"/>
    <s v="Predios actualizados catastralmente"/>
    <n v="470"/>
    <d v="2021-03-18T00:00:00"/>
    <n v="2671483"/>
    <n v="24577644"/>
    <n v="24577644"/>
    <x v="1"/>
    <s v="LAURA ALEJANDRA MARTINEZ CONDE"/>
    <n v="801445"/>
    <x v="0"/>
    <n v="24681"/>
    <x v="1"/>
    <x v="3"/>
    <x v="1"/>
    <m/>
  </r>
  <r>
    <x v="1"/>
    <n v="17"/>
    <x v="1"/>
    <x v="1"/>
    <x v="0"/>
    <x v="1"/>
    <x v="3"/>
    <x v="5"/>
    <x v="0"/>
    <s v="Servicios secretariales o de administración de oficinas  "/>
    <x v="0"/>
    <n v="80161501"/>
    <s v="Prestación de servicios profesionales para la programación, control y seguimiento presupuestal y financiero del proyecto de inversión &quot;Actualización y gestión catastral Nacional&quot;"/>
    <x v="3"/>
    <x v="3"/>
    <n v="325"/>
    <x v="1"/>
    <x v="0"/>
    <x v="1"/>
    <n v="72404085"/>
    <n v="72404085"/>
    <x v="0"/>
    <x v="1"/>
    <x v="0"/>
    <x v="0"/>
    <x v="1"/>
    <s v="Subdirección de Catastro"/>
    <x v="5"/>
    <s v="Subdirectora de Catastro"/>
    <x v="2"/>
    <x v="3"/>
    <s v="Ejecutar procesos de actualización catastral a nivel nacional"/>
    <s v="Predios actualizados catastralmente"/>
    <n v="115"/>
    <d v="2021-02-04T00:00:00"/>
    <n v="6683454"/>
    <n v="71290176"/>
    <n v="71290176"/>
    <x v="1"/>
    <s v="LEIDY ANDREA GUZMAN_x000a_CAMELO"/>
    <n v="1113909"/>
    <x v="0"/>
    <n v="24367"/>
    <x v="1"/>
    <x v="3"/>
    <x v="1"/>
    <m/>
  </r>
  <r>
    <x v="1"/>
    <n v="38"/>
    <x v="1"/>
    <x v="1"/>
    <x v="0"/>
    <x v="1"/>
    <x v="3"/>
    <x v="5"/>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3"/>
    <x v="3"/>
    <n v="325"/>
    <x v="1"/>
    <x v="0"/>
    <x v="1"/>
    <n v="28941066"/>
    <n v="28941066"/>
    <x v="0"/>
    <x v="1"/>
    <x v="0"/>
    <x v="0"/>
    <x v="1"/>
    <s v="Subdirección de Catastro"/>
    <x v="5"/>
    <s v="Subdirectora de Catastro"/>
    <x v="2"/>
    <x v="4"/>
    <s v="Realizar avalúos IVP"/>
    <s v="Avalúos realizados"/>
    <n v="332"/>
    <d v="2021-02-16T00:00:00"/>
    <n v="2671483"/>
    <n v="27694374"/>
    <n v="27694374"/>
    <x v="1"/>
    <s v="WILSON JAVIER NUÑEZ BARRERA"/>
    <n v="1246692"/>
    <x v="0"/>
    <n v="24492"/>
    <x v="1"/>
    <x v="3"/>
    <x v="1"/>
    <m/>
  </r>
  <r>
    <x v="1"/>
    <n v="14"/>
    <x v="1"/>
    <x v="1"/>
    <x v="0"/>
    <x v="1"/>
    <x v="3"/>
    <x v="5"/>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3"/>
    <x v="3"/>
    <n v="325"/>
    <x v="1"/>
    <x v="0"/>
    <x v="1"/>
    <n v="81794668"/>
    <n v="81794668"/>
    <x v="0"/>
    <x v="1"/>
    <x v="0"/>
    <x v="0"/>
    <x v="1"/>
    <s v="Subdirección de Catastro"/>
    <x v="5"/>
    <s v="Subdirectora de Catastro"/>
    <x v="2"/>
    <x v="3"/>
    <s v="Ejecutar procesos de actualización catastral a nivel nacional"/>
    <s v="Predios actualizados catastralmente"/>
    <n v="193"/>
    <d v="2021-02-03T00:00:00"/>
    <n v="7550277"/>
    <n v="80536288"/>
    <n v="80536288"/>
    <x v="1"/>
    <s v="ADRIANA MARIA MARTINEZ BUSTOS"/>
    <n v="1258380"/>
    <x v="0"/>
    <n v="24376"/>
    <x v="1"/>
    <x v="3"/>
    <x v="1"/>
    <m/>
  </r>
  <r>
    <x v="1"/>
    <n v="30"/>
    <x v="1"/>
    <x v="1"/>
    <x v="0"/>
    <x v="1"/>
    <x v="3"/>
    <x v="5"/>
    <x v="0"/>
    <s v="Servicios secretariales o de administración de oficinas  "/>
    <x v="0"/>
    <n v="80161501"/>
    <s v="Prestación de servicios profesionales para apoyar los análisis estadísticos requeridos para los procesos de gestión catastral con enfoque multipropósito."/>
    <x v="3"/>
    <x v="3"/>
    <n v="325"/>
    <x v="1"/>
    <x v="0"/>
    <x v="1"/>
    <n v="81794668"/>
    <n v="81794668"/>
    <x v="0"/>
    <x v="1"/>
    <x v="0"/>
    <x v="0"/>
    <x v="1"/>
    <s v="Subdirección de Catastro"/>
    <x v="5"/>
    <s v="Subdirectora de Catastro"/>
    <x v="2"/>
    <x v="3"/>
    <s v="Ejecutar procesos de actualización catastral a nivel nacional"/>
    <s v="Predios actualizados catastralmente"/>
    <n v="215"/>
    <d v="2021-02-10T00:00:00"/>
    <n v="7550277"/>
    <n v="80536288"/>
    <n v="80536288"/>
    <x v="1"/>
    <s v="SANTIAGO ANDRES BARRAGAN LOPEZ"/>
    <n v="1258380"/>
    <x v="0"/>
    <n v="24398"/>
    <x v="1"/>
    <x v="3"/>
    <x v="1"/>
    <m/>
  </r>
  <r>
    <x v="1"/>
    <n v="27"/>
    <x v="1"/>
    <x v="1"/>
    <x v="0"/>
    <x v="1"/>
    <x v="3"/>
    <x v="5"/>
    <x v="0"/>
    <s v="Servicios secretariales o de administración de oficinas  "/>
    <x v="0"/>
    <n v="80161501"/>
    <s v="Prestación de servicios profesionales para adelantar los análisis estadísticos requeridos para el desarrollo de los procesos de catastro multipropósito."/>
    <x v="3"/>
    <x v="3"/>
    <n v="325"/>
    <x v="1"/>
    <x v="0"/>
    <x v="1"/>
    <n v="106873910"/>
    <n v="106873910"/>
    <x v="0"/>
    <x v="1"/>
    <x v="0"/>
    <x v="0"/>
    <x v="1"/>
    <s v="Subdirección de Catastro"/>
    <x v="5"/>
    <s v="Subdirectora de Catastro"/>
    <x v="2"/>
    <x v="3"/>
    <s v="Ejecutar procesos de actualización catastral a nivel nacional"/>
    <s v="Predios actualizados catastralmente"/>
    <n v="180"/>
    <d v="2021-02-04T00:00:00"/>
    <n v="9865284"/>
    <n v="105229696"/>
    <n v="105229696"/>
    <x v="1"/>
    <s v="BRAYAN ARTURO CAMARGO LOZANO"/>
    <n v="1644214"/>
    <x v="0"/>
    <n v="24366"/>
    <x v="1"/>
    <x v="3"/>
    <x v="1"/>
    <m/>
  </r>
  <r>
    <x v="1"/>
    <n v="28"/>
    <x v="1"/>
    <x v="1"/>
    <x v="0"/>
    <x v="1"/>
    <x v="3"/>
    <x v="5"/>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3"/>
    <x v="3"/>
    <n v="325"/>
    <x v="1"/>
    <x v="0"/>
    <x v="0"/>
    <n v="106873910"/>
    <n v="106873910"/>
    <x v="0"/>
    <x v="1"/>
    <x v="0"/>
    <x v="0"/>
    <x v="1"/>
    <s v="Subdirección de Catastro"/>
    <x v="5"/>
    <s v="Subdirectora de Catastro"/>
    <x v="2"/>
    <x v="3"/>
    <s v="Ejecutar procesos de actualización catastral a nivel nacional"/>
    <s v="Predios actualizados catastralmente"/>
    <n v="177"/>
    <d v="2021-02-04T00:00:00"/>
    <n v="9865284"/>
    <n v="105229696"/>
    <n v="105229696"/>
    <x v="1"/>
    <s v="ELENA ROCÍO VERÁSTEGUI NIÑO"/>
    <n v="1644214"/>
    <x v="0"/>
    <n v="24361"/>
    <x v="1"/>
    <x v="3"/>
    <x v="1"/>
    <m/>
  </r>
  <r>
    <x v="1"/>
    <n v="81"/>
    <x v="1"/>
    <x v="1"/>
    <x v="0"/>
    <x v="1"/>
    <x v="3"/>
    <x v="3"/>
    <x v="0"/>
    <s v="Servicios secretariales o de administración de oficinas  "/>
    <x v="0"/>
    <n v="80161501"/>
    <s v="Prestación de servicios profesionales para realizar las socializaciones requeridas en el proceso de actualización catastral multiproposito de El Guamo y Córdoba (Bolivar)  y Río Blanco (Tolima)"/>
    <x v="6"/>
    <x v="6"/>
    <n v="195"/>
    <x v="1"/>
    <x v="0"/>
    <x v="1"/>
    <n v="23661534"/>
    <n v="23661534"/>
    <x v="0"/>
    <x v="0"/>
    <x v="0"/>
    <x v="0"/>
    <x v="1"/>
    <s v="Subdirección de Catastro"/>
    <x v="5"/>
    <s v="Subdirectora de Catastro"/>
    <x v="2"/>
    <x v="3"/>
    <s v="Ejecutar procesos de actualización catastral a nivel nacional"/>
    <s v="Predios actualizados catastralmente"/>
    <n v="640"/>
    <d v="2021-07-01T00:00:00"/>
    <n v="3640236"/>
    <n v="21841416"/>
    <n v="21841416"/>
    <x v="1"/>
    <s v="NORELIS DEL CARMEN ANAYA PEREZ"/>
    <n v="1820118"/>
    <x v="0"/>
    <n v="24781"/>
    <x v="0"/>
    <x v="0"/>
    <x v="1"/>
    <n v="180"/>
  </r>
  <r>
    <x v="1"/>
    <n v="32"/>
    <x v="1"/>
    <x v="1"/>
    <x v="0"/>
    <x v="1"/>
    <x v="3"/>
    <x v="5"/>
    <x v="0"/>
    <s v="Servicios de sistemas de información geográfica (sig)"/>
    <x v="0"/>
    <n v="81101512"/>
    <s v="Prestación de servicios profesionales para el seguimiento y control de los proyectos de gestión catastral con enforque multipropósito."/>
    <x v="3"/>
    <x v="3"/>
    <n v="325"/>
    <x v="1"/>
    <x v="0"/>
    <x v="0"/>
    <n v="131948917"/>
    <n v="131948917"/>
    <x v="0"/>
    <x v="1"/>
    <x v="0"/>
    <x v="0"/>
    <x v="1"/>
    <s v="Subdirección de Catastro"/>
    <x v="5"/>
    <s v="Subdirectora de Catastro"/>
    <x v="2"/>
    <x v="3"/>
    <s v="Ejecutar procesos de actualización catastral a nivel nacional"/>
    <s v="Predios actualizados catastralmente"/>
    <n v="183"/>
    <d v="2021-02-05T00:00:00"/>
    <n v="12179900"/>
    <n v="129918933"/>
    <n v="129918933"/>
    <x v="1"/>
    <s v="AVIER ENRIQUE ZULUAGA GONZALEZ"/>
    <n v="2029984"/>
    <x v="0"/>
    <n v="24371"/>
    <x v="1"/>
    <x v="3"/>
    <x v="1"/>
    <m/>
  </r>
  <r>
    <x v="1"/>
    <n v="46"/>
    <x v="1"/>
    <x v="1"/>
    <x v="0"/>
    <x v="1"/>
    <x v="3"/>
    <x v="12"/>
    <x v="0"/>
    <s v="Servicios secretariales o de administración de oficinas  "/>
    <x v="0"/>
    <n v="80161501"/>
    <s v="Prestación de servicios para apoyar la atención y trámite de las solicitudes de avalúos y de requerimientos de información relacionados con  la ejecución de avalúos."/>
    <x v="4"/>
    <x v="4"/>
    <n v="300"/>
    <x v="1"/>
    <x v="0"/>
    <x v="0"/>
    <n v="28941066"/>
    <n v="28941066"/>
    <x v="0"/>
    <x v="1"/>
    <x v="0"/>
    <x v="0"/>
    <x v="1"/>
    <s v="Subdirección de Catastro"/>
    <x v="5"/>
    <s v="Subdirectora de Catastro"/>
    <x v="2"/>
    <x v="4"/>
    <s v="Realizar avalúos comerciales, de acuerdo a las solicitudes recibidas."/>
    <s v="Avalúos realizados"/>
    <n v="433"/>
    <d v="2021-03-08T00:00:00"/>
    <n v="2671483"/>
    <n v="26269583"/>
    <n v="26269583"/>
    <x v="1"/>
    <s v="MARIA NIRIAM URREA"/>
    <n v="2671483"/>
    <x v="0"/>
    <n v="24562"/>
    <x v="1"/>
    <x v="3"/>
    <x v="1"/>
    <m/>
  </r>
  <r>
    <x v="1"/>
    <n v="40"/>
    <x v="1"/>
    <x v="1"/>
    <x v="2"/>
    <x v="2"/>
    <x v="3"/>
    <x v="5"/>
    <x v="0"/>
    <s v="Servicios secretariales o de administración de oficinas  "/>
    <x v="0"/>
    <n v="80161501"/>
    <s v="Prestación de servicios profesionales para actuar como auxiliares de la justicia y en la ejecución de avalúos IVP, de acuerdo a los procesos que le sean asignados."/>
    <x v="3"/>
    <x v="3"/>
    <n v="325"/>
    <x v="1"/>
    <x v="0"/>
    <x v="1"/>
    <n v="63738567"/>
    <n v="63738567"/>
    <x v="0"/>
    <x v="1"/>
    <x v="2"/>
    <x v="0"/>
    <x v="1"/>
    <s v="Subdirección de Catastro"/>
    <x v="5"/>
    <s v="Subdirectora de Catastro"/>
    <x v="2"/>
    <x v="4"/>
    <s v="Realizar avalúos IVP"/>
    <s v="Avalúos realizados"/>
    <n v="342"/>
    <d v="2021-02-16T00:00:00"/>
    <n v="2941780"/>
    <n v="30398393"/>
    <n v="60796786"/>
    <x v="1"/>
    <s v="STEFANNYE BUITRAGO MARULANDA _x000a_YEISON ALEJANDRO SÁNCHEZ GONZALEZ"/>
    <n v="2941781"/>
    <x v="0"/>
    <s v="24504_x000a_24507"/>
    <x v="2"/>
    <x v="3"/>
    <x v="1"/>
    <m/>
  </r>
  <r>
    <x v="1"/>
    <n v="44"/>
    <x v="1"/>
    <x v="1"/>
    <x v="0"/>
    <x v="1"/>
    <x v="3"/>
    <x v="15"/>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4"/>
    <x v="4"/>
    <n v="300"/>
    <x v="1"/>
    <x v="0"/>
    <x v="0"/>
    <n v="113450766"/>
    <n v="113450766"/>
    <x v="0"/>
    <x v="1"/>
    <x v="0"/>
    <x v="0"/>
    <x v="1"/>
    <s v="Subdirección de Catastro"/>
    <x v="5"/>
    <s v="Subdirectora de Catastro"/>
    <x v="2"/>
    <x v="3"/>
    <s v="Ejecutar procesos de actualización catastral a nivel nacional"/>
    <s v="Predios actualizados catastralmente"/>
    <n v="445"/>
    <d v="2021-02-25T00:00:00"/>
    <n v="12179900"/>
    <n v="109619100"/>
    <n v="109619100"/>
    <x v="1"/>
    <s v="CLAUDIA CECILIA PUENTES RIAÑO"/>
    <n v="3831666"/>
    <x v="0"/>
    <m/>
    <x v="1"/>
    <x v="3"/>
    <x v="1"/>
    <m/>
  </r>
  <r>
    <x v="1"/>
    <n v="34"/>
    <x v="1"/>
    <x v="1"/>
    <x v="2"/>
    <x v="2"/>
    <x v="3"/>
    <x v="5"/>
    <x v="0"/>
    <s v="Servicios secretariales o de administración de oficinas  "/>
    <x v="0"/>
    <n v="80161501"/>
    <s v="Prestación de servicios profesionales para adelantar la ejecución de los procesos de gestión catastral a cargo del IGAC, programados en la vigencia"/>
    <x v="3"/>
    <x v="3"/>
    <n v="325"/>
    <x v="1"/>
    <x v="0"/>
    <x v="0"/>
    <n v="213747820"/>
    <n v="213747820"/>
    <x v="0"/>
    <x v="1"/>
    <x v="2"/>
    <x v="0"/>
    <x v="1"/>
    <s v="Subdirección de Catastro"/>
    <x v="5"/>
    <s v="Subdirectora de Catastro"/>
    <x v="2"/>
    <x v="3"/>
    <s v="Ejecutar procesos de actualización catastral a nivel nacional"/>
    <s v="Predios actualizados catastralmente"/>
    <n v="221"/>
    <d v="2021-02-10T00:00:00"/>
    <n v="9865284"/>
    <n v="104572010"/>
    <n v="209144020"/>
    <x v="1"/>
    <s v="WILMER OSWALDO GUTIERREZ GUTIERREZ_x000a_CARLOS ARTURO FERNANDEZ HERNANDEZ_x000a_"/>
    <n v="4603800"/>
    <x v="0"/>
    <s v="24399_x000a_24469"/>
    <x v="2"/>
    <x v="3"/>
    <x v="1"/>
    <m/>
  </r>
  <r>
    <x v="1"/>
    <n v="41"/>
    <x v="1"/>
    <x v="1"/>
    <x v="0"/>
    <x v="1"/>
    <x v="3"/>
    <x v="16"/>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3"/>
    <x v="3"/>
    <n v="325"/>
    <x v="1"/>
    <x v="0"/>
    <x v="1"/>
    <n v="81794668"/>
    <n v="81794668"/>
    <x v="0"/>
    <x v="0"/>
    <x v="0"/>
    <x v="0"/>
    <x v="1"/>
    <s v="Subdirección de Catastro"/>
    <x v="5"/>
    <s v="Subdirectora de Catastro"/>
    <x v="2"/>
    <x v="3"/>
    <s v="Ejecutar procesos de actualización catastral a nivel nacional"/>
    <s v="Predios actualizados catastralmente"/>
    <n v="350"/>
    <d v="2021-02-19T00:00:00"/>
    <n v="7550277"/>
    <n v="77012825"/>
    <n v="77012825"/>
    <x v="1"/>
    <s v="DANIEL MUÑOZ CASTRO"/>
    <n v="4781843"/>
    <x v="0"/>
    <n v="24506"/>
    <x v="1"/>
    <x v="3"/>
    <x v="1"/>
    <m/>
  </r>
  <r>
    <x v="1"/>
    <n v="37"/>
    <x v="1"/>
    <x v="1"/>
    <x v="2"/>
    <x v="2"/>
    <x v="3"/>
    <x v="16"/>
    <x v="0"/>
    <s v="Servicios de sistemas de información geográfica (sig)"/>
    <x v="0"/>
    <n v="81101512"/>
    <s v="Prestación de servicios profesionales para la gestión, control y seguimiento a los procesos catastrales de formación, actualización y conservación catastral con enfoque multipropósito"/>
    <x v="3"/>
    <x v="3"/>
    <n v="325"/>
    <x v="1"/>
    <x v="0"/>
    <x v="1"/>
    <n v="124752182"/>
    <n v="124752182"/>
    <x v="0"/>
    <x v="0"/>
    <x v="2"/>
    <x v="0"/>
    <x v="1"/>
    <s v="Subdirección de Catastro"/>
    <x v="5"/>
    <s v="Subdirectora de Catastro"/>
    <x v="2"/>
    <x v="3"/>
    <s v="Ejecutar procesos de actualización catastral a nivel nacional"/>
    <s v="Predios actualizados catastralmente"/>
    <n v="317"/>
    <d v="2021-02-12T00:00:00"/>
    <n v="5757793"/>
    <n v="59881047"/>
    <n v="119762094"/>
    <x v="1"/>
    <s v=" MAYELYN LORENA BECERRA SORAIDA _x000a_MARIA TARAZONA DOMINGUEZ"/>
    <n v="4990088"/>
    <x v="0"/>
    <s v="24478_x000a_24479"/>
    <x v="2"/>
    <x v="3"/>
    <x v="1"/>
    <m/>
  </r>
  <r>
    <x v="1"/>
    <n v="77"/>
    <x v="1"/>
    <x v="1"/>
    <x v="0"/>
    <x v="1"/>
    <x v="3"/>
    <x v="1"/>
    <x v="0"/>
    <s v="Servicios secretariales o de administración de oficinas  "/>
    <x v="0"/>
    <n v="80161501"/>
    <s v="Prestación de servicios profesionales para revisar y aprobar los estudios de zonas homogéneas físicas y geoeconómicas requeridos en los procesos de la gestión catastral."/>
    <x v="6"/>
    <x v="6"/>
    <n v="210"/>
    <x v="1"/>
    <x v="0"/>
    <x v="0"/>
    <n v="40304551"/>
    <n v="40304551"/>
    <x v="0"/>
    <x v="1"/>
    <x v="0"/>
    <x v="0"/>
    <x v="1"/>
    <s v="Subdirección de Catastro"/>
    <x v="5"/>
    <s v="Subdirectora de Catastro"/>
    <x v="2"/>
    <x v="3"/>
    <s v="Ejecutar procesos de actualización catastral a nivel nacional"/>
    <s v="Predios actualizados catastralmente"/>
    <n v="632"/>
    <d v="2021-06-28T00:00:00"/>
    <n v="5757793"/>
    <n v="34546758"/>
    <n v="34546758"/>
    <x v="1"/>
    <s v="AMANDA TOVAR GONZALEZ"/>
    <n v="5757793"/>
    <x v="0"/>
    <n v="24773"/>
    <x v="1"/>
    <x v="3"/>
    <x v="1"/>
    <n v="180"/>
  </r>
  <r>
    <x v="1"/>
    <n v="19"/>
    <x v="1"/>
    <x v="1"/>
    <x v="2"/>
    <x v="2"/>
    <x v="3"/>
    <x v="5"/>
    <x v="0"/>
    <s v="Servicios de sistemas de información geográfica (sig)"/>
    <x v="0"/>
    <n v="81101512"/>
    <s v="Prestación de servicios profesionales para orientar y controlar, la operación de los proyectos de Gestión Catastral adelantados por el IGAC"/>
    <x v="3"/>
    <x v="3"/>
    <n v="325"/>
    <x v="1"/>
    <x v="0"/>
    <x v="0"/>
    <n v="188672813"/>
    <n v="188672813"/>
    <x v="0"/>
    <x v="1"/>
    <x v="2"/>
    <x v="0"/>
    <x v="1"/>
    <s v="Subdirección de Catastro"/>
    <x v="5"/>
    <s v="Subdirectora de Catastro"/>
    <x v="2"/>
    <x v="3"/>
    <s v="Ejecutar procesos de actualización catastral a nivel nacional"/>
    <s v="Predios actualizados catastralmente"/>
    <n v="242"/>
    <d v="2021-01-25T00:00:00"/>
    <n v="8707976"/>
    <n v="91433748"/>
    <n v="182867496"/>
    <x v="1"/>
    <s v="PAOLA ANDREA MARTÍNEZ PÉREZ _x000a_ OSCAR ALEXANDER PEREZ PINEDA"/>
    <n v="5805317"/>
    <x v="0"/>
    <s v="24417_x000a_24482"/>
    <x v="2"/>
    <x v="3"/>
    <x v="2"/>
    <m/>
  </r>
  <r>
    <x v="1"/>
    <n v="25"/>
    <x v="1"/>
    <x v="1"/>
    <x v="4"/>
    <x v="4"/>
    <x v="3"/>
    <x v="5"/>
    <x v="0"/>
    <s v="Servicios secretariales o de administración de oficinas  "/>
    <x v="0"/>
    <n v="80161501"/>
    <s v="Prestación de servicios profesionales para realizar el control de calidad y el apoyo técnico de los avalúos adelantados por el IGAC."/>
    <x v="3"/>
    <x v="3"/>
    <n v="325"/>
    <x v="1"/>
    <x v="0"/>
    <x v="0"/>
    <n v="408973338"/>
    <n v="408973338"/>
    <x v="0"/>
    <x v="1"/>
    <x v="4"/>
    <x v="0"/>
    <x v="1"/>
    <s v="Subdirección de Catastro"/>
    <x v="5"/>
    <s v="Subdirectora de Catastro"/>
    <x v="2"/>
    <x v="4"/>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x v="0"/>
    <s v="24379_x000a_24393_x000a_24465_x000a_24470_x000a_24481"/>
    <x v="4"/>
    <x v="3"/>
    <x v="1"/>
    <m/>
  </r>
  <r>
    <x v="1"/>
    <n v="64"/>
    <x v="1"/>
    <x v="1"/>
    <x v="2"/>
    <x v="2"/>
    <x v="3"/>
    <x v="13"/>
    <x v="0"/>
    <s v="Servicios secretariales o de administración de oficinas  "/>
    <x v="0"/>
    <n v="80161501"/>
    <s v="Prestación de servicios  para identificar, localizar, editar, integrar,estructurar en GDB y validar, la cartografía básica y temática de Ordenamiento Territorial."/>
    <x v="8"/>
    <x v="8"/>
    <n v="240"/>
    <x v="1"/>
    <x v="0"/>
    <x v="0"/>
    <n v="58243776"/>
    <n v="58243776"/>
    <x v="0"/>
    <x v="1"/>
    <x v="2"/>
    <x v="0"/>
    <x v="1"/>
    <s v="Subdirección de Catastro"/>
    <x v="5"/>
    <s v="Subdirectora de Catastro"/>
    <x v="2"/>
    <x v="3"/>
    <s v="Ejecutar procesos de actualización catastral a nivel nacional"/>
    <s v="Predios actualizados catastralmente"/>
    <n v="564"/>
    <d v="2021-05-10T00:00:00"/>
    <n v="3640236"/>
    <n v="25481652"/>
    <n v="50963304"/>
    <x v="1"/>
    <s v="YIMI TOBIAS MORA CHAMORRO_x000a_JULIAN DAVID MORENO GALVIS"/>
    <n v="7280472"/>
    <x v="0"/>
    <s v="24720_x000a_24707"/>
    <x v="2"/>
    <x v="3"/>
    <x v="0"/>
    <m/>
  </r>
  <r>
    <x v="1"/>
    <n v="42"/>
    <x v="1"/>
    <x v="1"/>
    <x v="1"/>
    <x v="6"/>
    <x v="3"/>
    <x v="5"/>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0"/>
    <n v="127477133"/>
    <n v="127477133"/>
    <x v="0"/>
    <x v="1"/>
    <x v="1"/>
    <x v="0"/>
    <x v="1"/>
    <s v="Subdirección de Catastro"/>
    <x v="5"/>
    <s v="Subdirectora de Catastro"/>
    <x v="2"/>
    <x v="4"/>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x v="0"/>
    <s v="24509_x000a_24510_x000a_24511_x000a_24512"/>
    <x v="6"/>
    <x v="3"/>
    <x v="1"/>
    <m/>
  </r>
  <r>
    <x v="1"/>
    <n v="45"/>
    <x v="1"/>
    <x v="1"/>
    <x v="0"/>
    <x v="1"/>
    <x v="3"/>
    <x v="12"/>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4"/>
    <x v="4"/>
    <n v="300"/>
    <x v="1"/>
    <x v="0"/>
    <x v="0"/>
    <n v="62376091"/>
    <n v="62376091"/>
    <x v="0"/>
    <x v="1"/>
    <x v="0"/>
    <x v="0"/>
    <x v="1"/>
    <s v="Subdirección de Catastro"/>
    <x v="5"/>
    <s v="Subdirectora de Catastro"/>
    <x v="2"/>
    <x v="3"/>
    <s v="Ejecutar procesos de actualización catastral a nivel nacional"/>
    <s v="Predios actualizados catastralmente"/>
    <n v="433"/>
    <d v="2021-03-04T00:00:00"/>
    <n v="5757793"/>
    <n v="54699033"/>
    <n v="54699033"/>
    <x v="1"/>
    <s v="SANDRA MILENA BELALCAZAR BENAVIDES"/>
    <n v="7677058"/>
    <x v="0"/>
    <n v="24580"/>
    <x v="1"/>
    <x v="3"/>
    <x v="1"/>
    <m/>
  </r>
  <r>
    <x v="1"/>
    <n v="74"/>
    <x v="1"/>
    <x v="1"/>
    <x v="0"/>
    <x v="1"/>
    <x v="3"/>
    <x v="3"/>
    <x v="0"/>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6"/>
    <x v="6"/>
    <n v="240"/>
    <x v="1"/>
    <x v="0"/>
    <x v="0"/>
    <n v="46062344"/>
    <n v="46062344"/>
    <x v="0"/>
    <x v="0"/>
    <x v="0"/>
    <x v="0"/>
    <x v="1"/>
    <s v="Subdirección de Catastro"/>
    <x v="5"/>
    <s v="Subdirectora de Catastro"/>
    <x v="2"/>
    <x v="3"/>
    <s v="Ejecutar procesos de actualización catastral a nivel nacional"/>
    <s v="Predios actualizados catastralmente"/>
    <n v="625"/>
    <d v="2021-06-18T00:00:00"/>
    <n v="5757793"/>
    <n v="36466022.333333328"/>
    <n v="36466022.333333328"/>
    <x v="1"/>
    <s v="DIANA ERIKA RAMIREZ RAMIREZ"/>
    <n v="9596321.6666666716"/>
    <x v="0"/>
    <n v="24769"/>
    <x v="1"/>
    <x v="3"/>
    <x v="1"/>
    <n v="190"/>
  </r>
  <r>
    <x v="1"/>
    <n v="16"/>
    <x v="1"/>
    <x v="1"/>
    <x v="0"/>
    <x v="1"/>
    <x v="3"/>
    <x v="5"/>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3"/>
    <x v="3"/>
    <n v="325"/>
    <x v="1"/>
    <x v="0"/>
    <x v="1"/>
    <n v="131948917"/>
    <n v="131948917"/>
    <x v="0"/>
    <x v="1"/>
    <x v="0"/>
    <x v="0"/>
    <x v="1"/>
    <s v="Subdirección de Catastro"/>
    <x v="5"/>
    <s v="Subdirectora de Catastro"/>
    <x v="2"/>
    <x v="3"/>
    <s v="Ejecutar procesos de actualización catastral a nivel nacional"/>
    <s v="Predios actualizados catastralmente"/>
    <n v="121"/>
    <d v="2021-01-22T00:00:00"/>
    <n v="12179900"/>
    <n v="121799000"/>
    <n v="121799000"/>
    <x v="1"/>
    <s v="MAGDA JOHANNA RAMIREZ PARDO"/>
    <n v="10149917"/>
    <x v="0"/>
    <n v="24370"/>
    <x v="1"/>
    <x v="3"/>
    <x v="1"/>
    <m/>
  </r>
  <r>
    <x v="1"/>
    <n v="63"/>
    <x v="1"/>
    <x v="1"/>
    <x v="2"/>
    <x v="2"/>
    <x v="3"/>
    <x v="0"/>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1"/>
    <x v="2"/>
    <x v="0"/>
    <x v="1"/>
    <s v="Subdirección de Catastro"/>
    <x v="5"/>
    <s v="Subdirectora de Catastro"/>
    <x v="2"/>
    <x v="3"/>
    <s v="Ejecutar procesos de actualización catastral a nivel nacional"/>
    <s v="Predios actualizados catastralmente"/>
    <n v="572"/>
    <d v="2021-04-27T00:00:00"/>
    <n v="6683454"/>
    <n v="46784178"/>
    <n v="93568356"/>
    <x v="1"/>
    <s v="LUZ MARY ROSERO DELGADO_x000a_FABIAN ESTEBAN SUAREZ BURBANO_x000a_"/>
    <n v="13366908"/>
    <x v="0"/>
    <s v="24706_x000a_24722"/>
    <x v="2"/>
    <x v="3"/>
    <x v="1"/>
    <m/>
  </r>
  <r>
    <x v="2"/>
    <n v="1"/>
    <x v="1"/>
    <x v="1"/>
    <x v="0"/>
    <x v="1"/>
    <x v="3"/>
    <x v="12"/>
    <x v="0"/>
    <s v="Cintas métricas"/>
    <x v="0"/>
    <n v="27111801"/>
    <s v="Compra y calibración de cintas métricas (patrón) metálicas de 20 metros por un ente acreditado"/>
    <x v="4"/>
    <x v="4"/>
    <n v="1"/>
    <x v="0"/>
    <x v="1"/>
    <x v="1"/>
    <n v="40000000"/>
    <n v="40000000"/>
    <x v="0"/>
    <x v="1"/>
    <x v="0"/>
    <x v="0"/>
    <x v="1"/>
    <s v="Subdirección de Catastro"/>
    <x v="5"/>
    <s v="Subdirectora de Catastro"/>
    <x v="2"/>
    <x v="3"/>
    <s v="Ejecutar procesos de actualización catastral a nivel nacional"/>
    <s v="Predios actualizados catastralmente"/>
    <n v="448"/>
    <d v="2021-03-04T00:00:00"/>
    <m/>
    <n v="19230400"/>
    <n v="19230400"/>
    <x v="1"/>
    <s v="SUMINISTROS INDUSTRIALES DE COLOMBIA SOCIEDAD POR ACCIONES SIMPLIFICADA SAS"/>
    <n v="20769600"/>
    <x v="0"/>
    <n v="24644"/>
    <x v="1"/>
    <x v="3"/>
    <x v="1"/>
    <m/>
  </r>
  <r>
    <x v="1"/>
    <n v="54"/>
    <x v="1"/>
    <x v="1"/>
    <x v="3"/>
    <x v="3"/>
    <x v="3"/>
    <x v="10"/>
    <x v="0"/>
    <s v="Servicios de sistemas de información geográfica (sig)"/>
    <x v="0"/>
    <n v="81101512"/>
    <s v="Prestación de servicios profesionales para el desarrollo, validación e implementación de las metodologías de valoración, aplicables a los procesos de catastrales con enfoque multipropósito"/>
    <x v="4"/>
    <x v="4"/>
    <n v="300"/>
    <x v="1"/>
    <x v="0"/>
    <x v="0"/>
    <n v="226508310"/>
    <n v="226508310"/>
    <x v="0"/>
    <x v="1"/>
    <x v="3"/>
    <x v="0"/>
    <x v="1"/>
    <s v="Subdirección de Catastro"/>
    <x v="5"/>
    <s v="Subdirectora de Catastro"/>
    <x v="2"/>
    <x v="3"/>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x v="0"/>
    <s v="24643_x000a_24647_x000a_24649"/>
    <x v="3"/>
    <x v="3"/>
    <x v="1"/>
    <m/>
  </r>
  <r>
    <x v="1"/>
    <n v="47"/>
    <x v="1"/>
    <x v="1"/>
    <x v="0"/>
    <x v="1"/>
    <x v="3"/>
    <x v="12"/>
    <x v="0"/>
    <s v="Servicios secretariales o de administración de oficinas  "/>
    <x v="0"/>
    <n v="80161501"/>
    <s v="Prestación de servicios profesionales para realizar los análisis estadísticos requeridos en el marco de los procesos de formación y actualización catastral a cargo de Instituto "/>
    <x v="8"/>
    <x v="8"/>
    <n v="270"/>
    <x v="1"/>
    <x v="0"/>
    <x v="0"/>
    <n v="86828186"/>
    <n v="86828186"/>
    <x v="0"/>
    <x v="1"/>
    <x v="0"/>
    <x v="0"/>
    <x v="1"/>
    <s v="Subdirección de Catastro"/>
    <x v="5"/>
    <s v="Subdirectora de Catastro"/>
    <x v="2"/>
    <x v="3"/>
    <s v="Ejecutar procesos de actualización catastral a nivel nacional"/>
    <s v="Predios actualizados catastralmente"/>
    <n v="451"/>
    <d v="2021-03-15T00:00:00"/>
    <n v="7550277"/>
    <n v="64177355"/>
    <n v="64177355"/>
    <x v="1"/>
    <s v="KAREN ROSANA CÓRDOBA PÉROZO"/>
    <n v="22650831"/>
    <x v="0"/>
    <n v="24680"/>
    <x v="1"/>
    <x v="3"/>
    <x v="1"/>
    <m/>
  </r>
  <r>
    <x v="1"/>
    <n v="88"/>
    <x v="1"/>
    <x v="1"/>
    <x v="0"/>
    <x v="1"/>
    <x v="3"/>
    <x v="3"/>
    <x v="0"/>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6"/>
    <x v="6"/>
    <n v="240"/>
    <x v="1"/>
    <x v="0"/>
    <x v="0"/>
    <n v="69663808"/>
    <n v="69663808"/>
    <x v="0"/>
    <x v="1"/>
    <x v="0"/>
    <x v="0"/>
    <x v="1"/>
    <s v="Subdirección de Catastro"/>
    <x v="5"/>
    <s v="Subdirectora de Catastro"/>
    <x v="2"/>
    <x v="3"/>
    <s v="Ejecutar procesos de actualización catastral a nivel nacional"/>
    <s v="Predios actualizados catastralmente"/>
    <m/>
    <d v="2021-07-16T00:00:00"/>
    <n v="8707976"/>
    <n v="46442538.666666664"/>
    <n v="46442538.666666664"/>
    <x v="1"/>
    <s v="MIGUEL JOSE PAZ MUÑOZ "/>
    <n v="23221269.333333336"/>
    <x v="0"/>
    <m/>
    <x v="1"/>
    <x v="3"/>
    <x v="1"/>
    <n v="160"/>
  </r>
  <r>
    <x v="1"/>
    <n v="15"/>
    <x v="1"/>
    <x v="1"/>
    <x v="0"/>
    <x v="1"/>
    <x v="3"/>
    <x v="5"/>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3"/>
    <x v="3"/>
    <n v="325"/>
    <x v="1"/>
    <x v="0"/>
    <x v="1"/>
    <n v="144486420"/>
    <n v="144486420"/>
    <x v="0"/>
    <x v="1"/>
    <x v="0"/>
    <x v="0"/>
    <x v="1"/>
    <s v="Subdirección de Catastro"/>
    <x v="5"/>
    <s v="Subdirectora de Catastro"/>
    <x v="2"/>
    <x v="3"/>
    <s v="Ejecutar procesos de actualización catastral a nivel nacional"/>
    <s v="Predios actualizados catastralmente"/>
    <n v="88"/>
    <d v="2021-01-22T00:00:00"/>
    <n v="13337208"/>
    <n v="120034872"/>
    <n v="120034872"/>
    <x v="1"/>
    <s v=" CLAUDIA PATRICIA RODRÍGUEZ RODRÍGUEZ"/>
    <n v="24451548"/>
    <x v="0"/>
    <n v="24300"/>
    <x v="1"/>
    <x v="3"/>
    <x v="1"/>
    <m/>
  </r>
  <r>
    <x v="1"/>
    <n v="71"/>
    <x v="1"/>
    <x v="1"/>
    <x v="2"/>
    <x v="2"/>
    <x v="3"/>
    <x v="3"/>
    <x v="0"/>
    <s v="Servicios secretariales o de administración de oficinas  "/>
    <x v="0"/>
    <n v="80161501"/>
    <s v="Prestación de servicios profesionales encaminados a desarrollar el apoyo técnico y control de calidad de los avalúos de bienes inmuebles tanto urbanos como rurales a nivel nacional"/>
    <x v="6"/>
    <x v="6"/>
    <n v="255"/>
    <x v="1"/>
    <x v="0"/>
    <x v="0"/>
    <n v="128354709"/>
    <n v="128354709"/>
    <x v="0"/>
    <x v="1"/>
    <x v="2"/>
    <x v="0"/>
    <x v="1"/>
    <s v="Subdirección de Catastro"/>
    <x v="5"/>
    <s v="Subdirectora de Catastro"/>
    <x v="2"/>
    <x v="4"/>
    <s v="Realizar avalúos comerciales, de acuerdo a las solicitudes recibidas."/>
    <s v="Avalúos realizados"/>
    <n v="620"/>
    <d v="2021-06-09T00:00:00"/>
    <n v="7550277"/>
    <n v="50335180"/>
    <n v="100670360"/>
    <x v="1"/>
    <s v="ISABEL QUINTERO PINILLA_x000a_JAIRO ALFONSO MORENO PADILLA"/>
    <n v="27684349"/>
    <x v="0"/>
    <s v="24766_x000a_24768"/>
    <x v="2"/>
    <x v="3"/>
    <x v="1"/>
    <m/>
  </r>
  <r>
    <x v="1"/>
    <n v="50"/>
    <x v="1"/>
    <x v="1"/>
    <x v="3"/>
    <x v="3"/>
    <x v="3"/>
    <x v="12"/>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4"/>
    <x v="4"/>
    <n v="300"/>
    <x v="1"/>
    <x v="0"/>
    <x v="0"/>
    <n v="230579163"/>
    <n v="230579163"/>
    <x v="0"/>
    <x v="1"/>
    <x v="3"/>
    <x v="0"/>
    <x v="1"/>
    <s v="Subdirección de Catastro"/>
    <x v="5"/>
    <s v="Subdirectora de Catastro"/>
    <x v="2"/>
    <x v="3"/>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x v="0"/>
    <s v="24625_x000a_24674_x000a_24678"/>
    <x v="3"/>
    <x v="3"/>
    <x v="1"/>
    <m/>
  </r>
  <r>
    <x v="1"/>
    <n v="57"/>
    <x v="1"/>
    <x v="1"/>
    <x v="4"/>
    <x v="4"/>
    <x v="3"/>
    <x v="6"/>
    <x v="0"/>
    <s v="Servicios secretariales o de administración de oficinas  "/>
    <x v="0"/>
    <n v="80161501"/>
    <s v="Prestación de servicios profesionales para generar productos de Aplicaciones Agrológicas, derivados de Levantamientos de suelos, para apoyar los procesos de Catastro Multipropósito."/>
    <x v="8"/>
    <x v="8"/>
    <n v="270"/>
    <x v="1"/>
    <x v="0"/>
    <x v="0"/>
    <n v="227115000"/>
    <n v="227115000"/>
    <x v="0"/>
    <x v="1"/>
    <x v="4"/>
    <x v="0"/>
    <x v="1"/>
    <s v="Subdirección de Catastro"/>
    <x v="5"/>
    <s v="Subdirectora de Catastro"/>
    <x v="2"/>
    <x v="3"/>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x v="0"/>
    <s v="24657_x000a_24658_x000a_24659_x000a_24660_x000a_24661"/>
    <x v="4"/>
    <x v="3"/>
    <x v="1"/>
    <m/>
  </r>
  <r>
    <x v="1"/>
    <n v="56"/>
    <x v="1"/>
    <x v="1"/>
    <x v="3"/>
    <x v="3"/>
    <x v="3"/>
    <x v="7"/>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8"/>
    <x v="8"/>
    <n v="300"/>
    <x v="1"/>
    <x v="0"/>
    <x v="0"/>
    <n v="230579163"/>
    <n v="230579163"/>
    <x v="0"/>
    <x v="1"/>
    <x v="3"/>
    <x v="0"/>
    <x v="1"/>
    <s v="Subdirección de Catastro"/>
    <x v="5"/>
    <s v="Subdirectora de Catastro"/>
    <x v="2"/>
    <x v="3"/>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x v="0"/>
    <s v="24654_x000a_24655_x000a_24687_x000a_"/>
    <x v="3"/>
    <x v="3"/>
    <x v="0"/>
    <m/>
  </r>
  <r>
    <x v="1"/>
    <n v="89"/>
    <x v="1"/>
    <x v="1"/>
    <x v="0"/>
    <x v="0"/>
    <x v="0"/>
    <x v="3"/>
    <x v="0"/>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6"/>
    <x v="6"/>
    <n v="240"/>
    <x v="1"/>
    <x v="0"/>
    <x v="0"/>
    <n v="97439200"/>
    <n v="97439200"/>
    <x v="0"/>
    <x v="1"/>
    <x v="0"/>
    <x v="0"/>
    <x v="1"/>
    <s v="Subdirección de Catastro"/>
    <x v="5"/>
    <s v="Subdirectora de Catastro"/>
    <x v="2"/>
    <x v="3"/>
    <s v="Ejecutar procesos de actualización catastral a nivel nacional"/>
    <s v="Predios actualizados catastralmente"/>
    <m/>
    <s v="16/07/2021 se anulo el conttrato"/>
    <n v="12179900"/>
    <n v="64959466.666666672"/>
    <n v="64959466.666666672"/>
    <x v="1"/>
    <s v="ANGIE ROCIO QUEVEDO RUIZ"/>
    <n v="24359800"/>
    <x v="0"/>
    <m/>
    <x v="1"/>
    <x v="3"/>
    <x v="1"/>
    <n v="160"/>
  </r>
  <r>
    <x v="1"/>
    <n v="60"/>
    <x v="1"/>
    <x v="1"/>
    <x v="4"/>
    <x v="3"/>
    <x v="2"/>
    <x v="12"/>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8"/>
    <x v="8"/>
    <n v="270"/>
    <x v="1"/>
    <x v="0"/>
    <x v="0"/>
    <n v="331073098"/>
    <n v="331073098"/>
    <x v="0"/>
    <x v="1"/>
    <x v="4"/>
    <x v="0"/>
    <x v="1"/>
    <s v="Subdirección de Catastro"/>
    <x v="5"/>
    <s v="Subdirectora de Catastro"/>
    <x v="2"/>
    <x v="3"/>
    <s v="Ejecutar procesos de actualización catastral a nivel nacional"/>
    <s v="Predios actualizados catastralmente"/>
    <n v="536"/>
    <d v="2021-04-19T00:00:00"/>
    <n v="5757793"/>
    <n v="41264183"/>
    <n v="123792549"/>
    <x v="1"/>
    <s v="MEYBES DIANA SOSSA RODRIGUEZ_x000a_DAVID ERNESTO NEGRETE CABRA_x000a_OSCAR YESID QUINTERO DELGADO"/>
    <n v="46062344"/>
    <x v="0"/>
    <s v="24679_x000a_24680_x000a_24681"/>
    <x v="3"/>
    <x v="2"/>
    <x v="1"/>
    <m/>
  </r>
  <r>
    <x v="1"/>
    <n v="72"/>
    <x v="1"/>
    <x v="1"/>
    <x v="1"/>
    <x v="1"/>
    <x v="4"/>
    <x v="3"/>
    <x v="0"/>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6"/>
    <x v="6"/>
    <n v="255"/>
    <x v="1"/>
    <x v="0"/>
    <x v="0"/>
    <n v="100020520"/>
    <n v="100020520"/>
    <x v="0"/>
    <x v="1"/>
    <x v="1"/>
    <x v="0"/>
    <x v="1"/>
    <s v="Subdirección de Catastro"/>
    <x v="5"/>
    <s v="Subdirectora de Catastro"/>
    <x v="2"/>
    <x v="4"/>
    <s v="Realizar avalúos comerciales, de acuerdo a las solicitudes recibidas."/>
    <s v="Avalúos realizados"/>
    <n v="618"/>
    <d v="2021-06-09T00:00:00"/>
    <n v="19611867"/>
    <n v="19611867"/>
    <n v="19611867"/>
    <x v="1"/>
    <s v=" LEIDY JOHANNA GARCIA SANABRIA"/>
    <n v="13843670.823529415"/>
    <x v="0"/>
    <n v="24765"/>
    <x v="1"/>
    <x v="5"/>
    <x v="1"/>
    <m/>
  </r>
  <r>
    <x v="1"/>
    <n v="87"/>
    <x v="1"/>
    <x v="1"/>
    <x v="4"/>
    <x v="2"/>
    <x v="4"/>
    <x v="1"/>
    <x v="0"/>
    <s v="Servicios secretariales o de administración de oficinas  "/>
    <x v="0"/>
    <n v="80161501"/>
    <s v="Prestación de servicios profesionales para realizar avalúos comerciales, a nivel nacional de los bienes urbanos y rurales."/>
    <x v="6"/>
    <x v="6"/>
    <n v="210"/>
    <x v="1"/>
    <x v="0"/>
    <x v="0"/>
    <n v="200000000"/>
    <n v="200000000"/>
    <x v="0"/>
    <x v="1"/>
    <x v="4"/>
    <x v="0"/>
    <x v="1"/>
    <s v="Subdirección de Catastro"/>
    <x v="5"/>
    <s v="Subdirectora de Catastro"/>
    <x v="2"/>
    <x v="4"/>
    <s v="Realizar avalúos comerciales, de acuerdo a las solicitudes recibidas."/>
    <s v="Avalúos realizados"/>
    <m/>
    <d v="2021-07-13T00:00:00"/>
    <n v="40000000"/>
    <n v="40000000"/>
    <n v="80000000"/>
    <x v="1"/>
    <s v="DIANA MARIA LOAIZA BARRAGAN_x000a_ JULIETH KATTERINE ROJAS_x000a_"/>
    <n v="34285714.285714284"/>
    <x v="0"/>
    <m/>
    <x v="2"/>
    <x v="5"/>
    <x v="1"/>
    <n v="150"/>
  </r>
  <r>
    <x v="1"/>
    <n v="65"/>
    <x v="1"/>
    <x v="1"/>
    <x v="6"/>
    <x v="3"/>
    <x v="4"/>
    <x v="11"/>
    <x v="0"/>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1"/>
    <x v="6"/>
    <x v="0"/>
    <x v="1"/>
    <s v="Subdirección de Catastro"/>
    <x v="5"/>
    <s v="Subdirectora de Catastro"/>
    <x v="2"/>
    <x v="4"/>
    <s v="Realizar avalúos comerciales, de acuerdo a las solicitudes recibidas."/>
    <s v="Avalúos realizados"/>
    <n v="565"/>
    <d v="2021-04-28T00:00:00"/>
    <n v="5757793"/>
    <n v="40304551"/>
    <n v="40304551"/>
    <x v="1"/>
    <s v="HUGO ENRIQUE JIMENEZ CASTELLANOS_x000a_JULI MARCELA GUTIERREZ PACHECO_x000a_LUZ MERY PULIDO PELAEZ"/>
    <n v="51820137"/>
    <x v="0"/>
    <s v="24700_x000a_24760_x000a_24762"/>
    <x v="1"/>
    <x v="6"/>
    <x v="1"/>
    <m/>
  </r>
  <r>
    <x v="1"/>
    <m/>
    <x v="1"/>
    <x v="1"/>
    <x v="0"/>
    <x v="0"/>
    <x v="0"/>
    <x v="3"/>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6"/>
    <x v="6"/>
    <n v="6"/>
    <x v="0"/>
    <x v="0"/>
    <x v="2"/>
    <n v="200000000"/>
    <n v="20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6"/>
    <x v="6"/>
    <n v="240"/>
    <x v="1"/>
    <x v="0"/>
    <x v="2"/>
    <n v="210000000"/>
    <n v="21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6"/>
    <x v="6"/>
    <n v="240"/>
    <x v="0"/>
    <x v="0"/>
    <x v="2"/>
    <n v="714000000"/>
    <n v="714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ahates y María La Baja en el  del Departamento de Bolívar, en conjunto con la Agencia Nacional de Tierras - ANT."/>
    <x v="6"/>
    <x v="6"/>
    <n v="9"/>
    <x v="0"/>
    <x v="0"/>
    <x v="2"/>
    <n v="1148985120"/>
    <n v="114898512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San Juan de Nepomuceno, Zambrano, Palmito, San Onofre y Mercaderes, en conjunto con la Agencia Nacional de Tierras - ANT."/>
    <x v="6"/>
    <x v="6"/>
    <n v="9"/>
    <x v="0"/>
    <x v="0"/>
    <x v="2"/>
    <n v="2114430486"/>
    <n v="211443048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orales y Piendamó en el  del Departamento del Cauca, en conjunto con la Agencia Nacional de Tierras - ANT."/>
    <x v="6"/>
    <x v="6"/>
    <n v="9"/>
    <x v="0"/>
    <x v="3"/>
    <x v="2"/>
    <n v="884523002"/>
    <n v="884523002"/>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Cajibío, Piamonte, Sucre y Almaguer, en conjunto con la Agencia Nacional de Tierras - ANT."/>
    <x v="6"/>
    <x v="6"/>
    <n v="9"/>
    <x v="0"/>
    <x v="3"/>
    <x v="2"/>
    <n v="781026077"/>
    <n v="781026077"/>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6"/>
    <x v="6"/>
    <n v="240"/>
    <x v="1"/>
    <x v="3"/>
    <x v="2"/>
    <n v="7000000000"/>
    <n v="7000000000"/>
    <x v="0"/>
    <x v="0"/>
    <x v="0"/>
    <x v="0"/>
    <x v="1"/>
    <s v="Subdirección de Catastro"/>
    <x v="5"/>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Mundial - BM, priorizados para el año 2021 en el marco del Crédito de Catastro Multipropósito"/>
    <x v="2"/>
    <x v="2"/>
    <n v="180"/>
    <x v="1"/>
    <x v="3"/>
    <x v="2"/>
    <n v="35008220003"/>
    <n v="3500822000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4 municipios priorizados en 2021 y financiados con recursos del Banco Mundial."/>
    <x v="2"/>
    <x v="2"/>
    <n v="180"/>
    <x v="1"/>
    <x v="3"/>
    <x v="2"/>
    <n v="13449700495"/>
    <n v="13449700495"/>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a Zona Urbana de 16 municipios financiados con recursos del Banco Mundial."/>
    <x v="2"/>
    <x v="2"/>
    <n v="180"/>
    <x v="1"/>
    <x v="3"/>
    <x v="2"/>
    <n v="15100588991"/>
    <n v="15100588991"/>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Interamerciano de Desarrollo - BID, priorizados para el año 2021 en el marco del Crédito de Catastro Multipropósito"/>
    <x v="2"/>
    <x v="2"/>
    <n v="180"/>
    <x v="1"/>
    <x v="3"/>
    <x v="2"/>
    <n v="23610620573"/>
    <n v="2361062057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6"/>
    <x v="6"/>
    <n v="6"/>
    <x v="0"/>
    <x v="0"/>
    <x v="2"/>
    <n v="28988880"/>
    <n v="2898888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6"/>
    <x v="6"/>
    <n v="6"/>
    <x v="0"/>
    <x v="0"/>
    <x v="2"/>
    <n v="29858544"/>
    <n v="2985854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2"/>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46062344"/>
    <n v="4606234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7"/>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6"/>
    <x v="6"/>
    <n v="6"/>
    <x v="0"/>
    <x v="0"/>
    <x v="2"/>
    <n v="59191704"/>
    <n v="5919170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5"/>
    <m/>
    <x v="0"/>
    <x v="0"/>
    <x v="0"/>
    <m/>
  </r>
  <r>
    <x v="1"/>
    <m/>
    <x v="1"/>
    <x v="1"/>
    <x v="0"/>
    <x v="0"/>
    <x v="0"/>
    <x v="3"/>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88180736"/>
    <n v="8818073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6"/>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7"/>
    <x v="0"/>
    <x v="5"/>
    <x v="3"/>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6"/>
    <x v="6"/>
    <n v="60"/>
    <x v="1"/>
    <x v="0"/>
    <x v="2"/>
    <n v="106935264"/>
    <n v="106935264"/>
    <x v="0"/>
    <x v="1"/>
    <x v="7"/>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7"/>
    <x v="0"/>
    <m/>
  </r>
  <r>
    <x v="1"/>
    <n v="83"/>
    <x v="1"/>
    <x v="1"/>
    <x v="0"/>
    <x v="1"/>
    <x v="3"/>
    <x v="3"/>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CARLOS ALBERTO MARTÍNEZ CRUZ"/>
    <n v="0"/>
    <x v="0"/>
    <m/>
    <x v="1"/>
    <x v="3"/>
    <x v="2"/>
    <n v="6"/>
  </r>
  <r>
    <x v="1"/>
    <n v="84"/>
    <x v="1"/>
    <x v="1"/>
    <x v="0"/>
    <x v="1"/>
    <x v="3"/>
    <x v="3"/>
    <x v="1"/>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IRMA AMPARO GONZÁLEZ SIERRA"/>
    <n v="0"/>
    <x v="0"/>
    <m/>
    <x v="1"/>
    <x v="3"/>
    <x v="1"/>
    <n v="180"/>
  </r>
  <r>
    <x v="1"/>
    <n v="29"/>
    <x v="1"/>
    <x v="1"/>
    <x v="0"/>
    <x v="1"/>
    <x v="3"/>
    <x v="5"/>
    <x v="1"/>
    <s v="Servicios de sistemas de información geográfica (sig)"/>
    <x v="0"/>
    <n v="81101512"/>
    <s v="Adelantar los procesos de actualización catastral de 4 municipios del departamento de Boyacá financiados con recursos del Banco Interamericano de Desarrollo"/>
    <x v="3"/>
    <x v="3"/>
    <n v="8"/>
    <x v="0"/>
    <x v="3"/>
    <x v="2"/>
    <n v="2901108715"/>
    <n v="2901108715"/>
    <x v="0"/>
    <x v="1"/>
    <x v="0"/>
    <x v="0"/>
    <x v="1"/>
    <s v="Subdirección de Catastro"/>
    <x v="4"/>
    <s v="Subdirectora de Catastro"/>
    <x v="2"/>
    <x v="3"/>
    <s v="Realizar el levantamiento catastral en los municipios priorizados para la conformación del catastro multipropósito"/>
    <s v="Sistema de Información Predial Actualizado_x000a_"/>
    <n v="178"/>
    <d v="2021-02-05T00:00:00"/>
    <n v="0"/>
    <n v="2901108715"/>
    <n v="2901108715"/>
    <x v="1"/>
    <s v="TELESPAZIO ARGENTINA S.A"/>
    <n v="0"/>
    <x v="0"/>
    <n v="24360"/>
    <x v="1"/>
    <x v="3"/>
    <x v="1"/>
    <m/>
  </r>
  <r>
    <x v="1"/>
    <n v="31"/>
    <x v="1"/>
    <x v="1"/>
    <x v="0"/>
    <x v="1"/>
    <x v="3"/>
    <x v="5"/>
    <x v="1"/>
    <s v="Servicios de sistemas de información geográfica (sig)"/>
    <x v="0"/>
    <n v="81101512"/>
    <s v="Adelantar los procesos de actualización catastral de 4 municipios del departamento de Boyacá financiados con recursos del Banco Mundial -BM"/>
    <x v="3"/>
    <x v="3"/>
    <n v="8"/>
    <x v="0"/>
    <x v="3"/>
    <x v="2"/>
    <n v="4875235099"/>
    <n v="4875235099"/>
    <x v="0"/>
    <x v="1"/>
    <x v="0"/>
    <x v="0"/>
    <x v="1"/>
    <s v="Subdirección de Catastro"/>
    <x v="5"/>
    <s v="Subdirectora de Catastro"/>
    <x v="2"/>
    <x v="3"/>
    <s v="Realizar el levantamiento catastral en los municipios priorizados para la conformación del catastro multipropósito"/>
    <s v="Sistema de Información Predial Actualizado_x000a_"/>
    <n v="179"/>
    <d v="2021-02-05T00:00:00"/>
    <n v="0"/>
    <n v="4875235099"/>
    <n v="4875235099"/>
    <x v="1"/>
    <s v="TELESPAZIO ARGENTINA S.A"/>
    <n v="0"/>
    <x v="0"/>
    <n v="24363"/>
    <x v="1"/>
    <x v="3"/>
    <x v="1"/>
    <m/>
  </r>
  <r>
    <x v="1"/>
    <n v="92"/>
    <x v="1"/>
    <x v="1"/>
    <x v="0"/>
    <x v="1"/>
    <x v="3"/>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358"/>
    <x v="0"/>
    <m/>
    <x v="1"/>
    <x v="3"/>
    <x v="1"/>
    <n v="155"/>
  </r>
  <r>
    <x v="1"/>
    <n v="1"/>
    <x v="1"/>
    <x v="1"/>
    <x v="0"/>
    <x v="1"/>
    <x v="3"/>
    <x v="9"/>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1"/>
    <x v="0"/>
    <x v="2"/>
    <n v="94300000"/>
    <n v="94300000"/>
    <x v="0"/>
    <x v="1"/>
    <x v="0"/>
    <x v="0"/>
    <x v="1"/>
    <s v="Subdirección de Catastro"/>
    <x v="4"/>
    <s v="Subdirectora de Catastro"/>
    <x v="2"/>
    <x v="3"/>
    <s v="Gestionar técnicamente la operación del proyecto de catastro multipropósito, en lo correspondiente al IGAC"/>
    <s v="Sistema de Información Predial Actualizado_x000a_"/>
    <n v="53"/>
    <d v="2021-01-14T00:00:00"/>
    <n v="7550277"/>
    <n v="85569806"/>
    <n v="85569806"/>
    <x v="1"/>
    <s v="MARIA VIVIANA BORDA CALVACHE"/>
    <n v="8730194"/>
    <x v="0"/>
    <n v="24219"/>
    <x v="1"/>
    <x v="3"/>
    <x v="1"/>
    <n v="210"/>
  </r>
  <r>
    <x v="1"/>
    <n v="69"/>
    <x v="1"/>
    <x v="1"/>
    <x v="0"/>
    <x v="1"/>
    <x v="3"/>
    <x v="12"/>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345"/>
    <x v="1"/>
    <x v="0"/>
    <x v="2"/>
    <n v="116150000"/>
    <n v="116150000"/>
    <x v="0"/>
    <x v="1"/>
    <x v="0"/>
    <x v="0"/>
    <x v="1"/>
    <s v="Subdirección de Catastro"/>
    <x v="4"/>
    <s v="Subdirectora de Catastro"/>
    <x v="2"/>
    <x v="3"/>
    <s v="Gestionar técnicamente la operación del proyecto de catastro multipropósito, en lo correspondiente al IGAC"/>
    <s v="Sistema de Información Predial Actualizado_x000a_"/>
    <m/>
    <d v="2021-06-03T00:00:00"/>
    <n v="9865284"/>
    <n v="69056988"/>
    <n v="69056988"/>
    <x v="1"/>
    <s v="NELSON ENRIQUE SILVA NIÑO"/>
    <n v="47093012"/>
    <x v="0"/>
    <m/>
    <x v="1"/>
    <x v="3"/>
    <x v="1"/>
    <m/>
  </r>
  <r>
    <x v="1"/>
    <n v="85"/>
    <x v="1"/>
    <x v="1"/>
    <x v="0"/>
    <x v="1"/>
    <x v="3"/>
    <x v="3"/>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12T00:00:00"/>
    <n v="12179900"/>
    <n v="73079400"/>
    <n v="73079400"/>
    <x v="1"/>
    <s v="CARLOS ARTURO ROBLES"/>
    <n v="56997206"/>
    <x v="0"/>
    <m/>
    <x v="1"/>
    <x v="3"/>
    <x v="2"/>
    <n v="6"/>
  </r>
  <r>
    <x v="1"/>
    <n v="55"/>
    <x v="1"/>
    <x v="1"/>
    <x v="4"/>
    <x v="4"/>
    <x v="3"/>
    <x v="6"/>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8"/>
    <x v="8"/>
    <n v="270"/>
    <x v="1"/>
    <x v="0"/>
    <x v="0"/>
    <n v="339762465"/>
    <n v="339762465"/>
    <x v="0"/>
    <x v="1"/>
    <x v="4"/>
    <x v="0"/>
    <x v="1"/>
    <s v="Subdirección de Catastro"/>
    <x v="5"/>
    <s v="Subdirectora de Catastro"/>
    <x v="2"/>
    <x v="3"/>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x v="0"/>
    <s v="24656_x000a_24663_x000a_24664_x000a_24666_x000a_24667"/>
    <x v="4"/>
    <x v="3"/>
    <x v="0"/>
    <m/>
  </r>
  <r>
    <x v="1"/>
    <m/>
    <x v="1"/>
    <x v="1"/>
    <x v="0"/>
    <x v="0"/>
    <x v="0"/>
    <x v="17"/>
    <x v="0"/>
    <s v="Servicios de sistemas de información geográfica (sig)"/>
    <x v="2"/>
    <n v="81101512"/>
    <s v="Realizar la actualización catastral con enfoque multipropósito en las áreas urbana y rural  en sus componentes fisico, jurídico y económico del municipio de Puerto Libertador, Córdoba."/>
    <x v="2"/>
    <x v="2"/>
    <n v="180"/>
    <x v="1"/>
    <x v="3"/>
    <x v="0"/>
    <n v="3847187767"/>
    <n v="3847187767"/>
    <x v="0"/>
    <x v="1"/>
    <x v="0"/>
    <x v="0"/>
    <x v="1"/>
    <s v="Subdirección de Catastro"/>
    <x v="4"/>
    <s v="Subdirectora de Catastro"/>
    <x v="2"/>
    <x v="3"/>
    <s v="Ejecutar procesos de actualización catastral a nivel nacional"/>
    <s v="Predios actualizados catastralmente"/>
    <m/>
    <m/>
    <e v="#N/A"/>
    <e v="#N/A"/>
    <e v="#N/A"/>
    <x v="0"/>
    <m/>
    <n v="0"/>
    <x v="0"/>
    <m/>
    <x v="0"/>
    <x v="0"/>
    <x v="0"/>
    <m/>
  </r>
  <r>
    <x v="1"/>
    <n v="90"/>
    <x v="1"/>
    <x v="1"/>
    <x v="3"/>
    <x v="2"/>
    <x v="0"/>
    <x v="17"/>
    <x v="0"/>
    <s v="Servicios secretariales o de administración de oficinas  "/>
    <x v="2"/>
    <n v="80161501"/>
    <s v="Prestación de servicios profesionales para adelantar, desarrollar e implementar las metodologías de valoración predial requeridas para el desarrollo de los procesos de actualización catastral con enfoque multipropósito. "/>
    <x v="2"/>
    <x v="2"/>
    <n v="180"/>
    <x v="1"/>
    <x v="0"/>
    <x v="1"/>
    <n v="135904986"/>
    <n v="135904986"/>
    <x v="0"/>
    <x v="1"/>
    <x v="3"/>
    <x v="0"/>
    <x v="1"/>
    <s v="Subdirección de Catastro"/>
    <x v="5"/>
    <s v="Subdirectora de Catastro"/>
    <x v="2"/>
    <x v="3"/>
    <s v="Ejecutar procesos de actualización catastral a nivel nacional"/>
    <s v="Predios actualizados catastralmente"/>
    <m/>
    <d v="2021-07-19T00:00:00"/>
    <n v="7550277"/>
    <n v="40268144"/>
    <n v="80536288"/>
    <x v="1"/>
    <s v="LUZ DARY RODRIGUEZ GARZON_x000a_JOSE GERMAN CASTELLANOS TORRES"/>
    <n v="7550277"/>
    <x v="0"/>
    <m/>
    <x v="2"/>
    <x v="0"/>
    <x v="1"/>
    <n v="160"/>
  </r>
  <r>
    <x v="3"/>
    <m/>
    <x v="2"/>
    <x v="2"/>
    <x v="0"/>
    <x v="0"/>
    <x v="0"/>
    <x v="17"/>
    <x v="0"/>
    <s v="Servicios de sistemas de información geográfica (sig)"/>
    <x v="2"/>
    <n v="81101512"/>
    <s v="Prestación de servicios profesionales para realizar actividades de apoyo técnico y temático requerido en el desarrollo de los proyecto a cargo de la jefatura de la oficina CIAF."/>
    <x v="0"/>
    <x v="0"/>
    <n v="133"/>
    <x v="1"/>
    <x v="0"/>
    <x v="1"/>
    <n v="11843574.633333335"/>
    <n v="11843574.633333335"/>
    <x v="0"/>
    <x v="1"/>
    <x v="0"/>
    <x v="0"/>
    <x v="2"/>
    <s v="Oficina CIAF"/>
    <x v="4"/>
    <s v="Jefe Oficina CIAF"/>
    <x v="3"/>
    <x v="5"/>
    <s v="Realizar el desarrollo y soporte del sistemas de información geográfica para grupos étnicos"/>
    <s v="Entidades Asistidas"/>
    <m/>
    <m/>
    <e v="#N/A"/>
    <e v="#N/A"/>
    <e v="#N/A"/>
    <x v="0"/>
    <m/>
    <n v="0"/>
    <x v="0"/>
    <m/>
    <x v="0"/>
    <x v="0"/>
    <x v="0"/>
    <m/>
  </r>
  <r>
    <x v="3"/>
    <m/>
    <x v="2"/>
    <x v="2"/>
    <x v="0"/>
    <x v="0"/>
    <x v="0"/>
    <x v="17"/>
    <x v="0"/>
    <s v="Servicios de sistemas de información geográfica (sig)"/>
    <x v="2"/>
    <n v="81101512"/>
    <s v="Prestación de servicios profesionales para la verificación, ajustes y seguimiento técnico de las etapas de implementación y cierre de los proyectos en  tecnologías geoespaciales a cargo de la oficina CIAF"/>
    <x v="1"/>
    <x v="1"/>
    <n v="105"/>
    <x v="1"/>
    <x v="0"/>
    <x v="0"/>
    <n v="25656281"/>
    <n v="25656281"/>
    <x v="0"/>
    <x v="1"/>
    <x v="0"/>
    <x v="0"/>
    <x v="2"/>
    <s v="Oficina CIAF"/>
    <x v="4"/>
    <s v="Jefe Oficina CIAF"/>
    <x v="3"/>
    <x v="5"/>
    <s v="Desarrollar la asistencia técnica, asesoría, análisis y/o consultoría"/>
    <s v="Entidades Asistidas"/>
    <m/>
    <m/>
    <e v="#N/A"/>
    <e v="#N/A"/>
    <e v="#N/A"/>
    <x v="0"/>
    <m/>
    <n v="0"/>
    <x v="0"/>
    <m/>
    <x v="0"/>
    <x v="0"/>
    <x v="0"/>
    <m/>
  </r>
  <r>
    <x v="3"/>
    <m/>
    <x v="2"/>
    <x v="2"/>
    <x v="0"/>
    <x v="0"/>
    <x v="0"/>
    <x v="17"/>
    <x v="0"/>
    <s v="Servicios de sistemas de información geográfica (sig)"/>
    <x v="2"/>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x v="2"/>
    <x v="2"/>
    <n v="5"/>
    <x v="0"/>
    <x v="0"/>
    <x v="0"/>
    <n v="20696710"/>
    <n v="20696710"/>
    <x v="0"/>
    <x v="1"/>
    <x v="0"/>
    <x v="0"/>
    <x v="2"/>
    <s v="Oficina CIAF"/>
    <x v="4"/>
    <s v="Jefe Oficina CIAF"/>
    <x v="3"/>
    <x v="5"/>
    <s v="Desarrollar la asistencia técnica, asesoría, análisis y/o consultoría"/>
    <s v="Entidades Asistidas"/>
    <m/>
    <m/>
    <e v="#N/A"/>
    <e v="#N/A"/>
    <e v="#N/A"/>
    <x v="0"/>
    <m/>
    <n v="0"/>
    <x v="18"/>
    <m/>
    <x v="0"/>
    <x v="0"/>
    <x v="0"/>
    <m/>
  </r>
  <r>
    <x v="3"/>
    <m/>
    <x v="2"/>
    <x v="2"/>
    <x v="2"/>
    <x v="0"/>
    <x v="2"/>
    <x v="17"/>
    <x v="0"/>
    <s v="Servicios de sistemas de información geográfica (sig)"/>
    <x v="2"/>
    <n v="81101512"/>
    <s v="Prestación de servicios profesionales para realizar el desarrollo, ajuste, publicación de funcionalidades y documentación técnica asignada de los proyectos de desarrollo de aplicaciones en tecnologías de la información geográfica a cargo de la oficina CIAF."/>
    <x v="2"/>
    <x v="2"/>
    <n v="5"/>
    <x v="0"/>
    <x v="0"/>
    <x v="0"/>
    <n v="48314800"/>
    <n v="48314800"/>
    <x v="0"/>
    <x v="1"/>
    <x v="2"/>
    <x v="0"/>
    <x v="2"/>
    <s v="Oficina CIAF"/>
    <x v="4"/>
    <s v="Jefe Oficina CIAF"/>
    <x v="3"/>
    <x v="5"/>
    <s v="Desarrollar la asistencia técnica, asesoría, análisis y/o consultoría"/>
    <s v="Entidades Asistidas"/>
    <m/>
    <m/>
    <e v="#N/A"/>
    <e v="#N/A"/>
    <e v="#N/A"/>
    <x v="0"/>
    <m/>
    <n v="0"/>
    <x v="19"/>
    <m/>
    <x v="0"/>
    <x v="2"/>
    <x v="0"/>
    <m/>
  </r>
  <r>
    <x v="3"/>
    <n v="19"/>
    <x v="2"/>
    <x v="2"/>
    <x v="0"/>
    <x v="1"/>
    <x v="3"/>
    <x v="10"/>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4"/>
    <x v="4"/>
    <n v="5"/>
    <x v="0"/>
    <x v="0"/>
    <x v="0"/>
    <n v="36651830"/>
    <n v="36651830"/>
    <x v="0"/>
    <x v="1"/>
    <x v="0"/>
    <x v="0"/>
    <x v="2"/>
    <s v="Oficina CIAF"/>
    <x v="4"/>
    <s v="Jefe Oficina CIAF"/>
    <x v="3"/>
    <x v="5"/>
    <s v="Desarrollar la asistencia técnica, asesoría y/o consultoría"/>
    <s v="Entidades Asistidas"/>
    <n v="496"/>
    <d v="2021-03-23T00:00:00"/>
    <n v="7330366"/>
    <n v="36651830"/>
    <n v="36651830"/>
    <x v="1"/>
    <s v=" LINA MARGARITA LORA MATIZ"/>
    <n v="0"/>
    <x v="0"/>
    <n v="24631"/>
    <x v="1"/>
    <x v="3"/>
    <x v="1"/>
    <n v="210"/>
  </r>
  <r>
    <x v="3"/>
    <n v="33"/>
    <x v="2"/>
    <x v="2"/>
    <x v="0"/>
    <x v="1"/>
    <x v="3"/>
    <x v="13"/>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2"/>
    <x v="2"/>
    <n v="165"/>
    <x v="1"/>
    <x v="0"/>
    <x v="0"/>
    <n v="52678703"/>
    <n v="52678703"/>
    <x v="0"/>
    <x v="1"/>
    <x v="0"/>
    <x v="0"/>
    <x v="2"/>
    <s v="Oficina CIAF"/>
    <x v="4"/>
    <s v="Jefe Oficina CIAF"/>
    <x v="3"/>
    <x v="5"/>
    <s v="Planear la asistencia técnica, asesoría, análisis y/o consultoría a desarrollar"/>
    <s v="Entidades Asistidas"/>
    <m/>
    <d v="2021-07-06T00:00:00"/>
    <n v="9577946"/>
    <n v="52678702.999999993"/>
    <n v="52678702.999999993"/>
    <x v="1"/>
    <s v="ANA JULIA SARRIA ALVAREZ"/>
    <n v="0"/>
    <x v="0"/>
    <m/>
    <x v="1"/>
    <x v="3"/>
    <x v="0"/>
    <n v="165"/>
  </r>
  <r>
    <x v="3"/>
    <n v="4"/>
    <x v="2"/>
    <x v="2"/>
    <x v="0"/>
    <x v="1"/>
    <x v="3"/>
    <x v="9"/>
    <x v="0"/>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1"/>
    <x v="0"/>
    <x v="1"/>
    <n v="17031787"/>
    <n v="17031787"/>
    <x v="0"/>
    <x v="1"/>
    <x v="0"/>
    <x v="0"/>
    <x v="2"/>
    <s v="Oficina CIAF"/>
    <x v="4"/>
    <s v="Jefe Oficina CIAF"/>
    <x v="3"/>
    <x v="5"/>
    <s v="Planear la asistencia técnica, asesoría, análisis y/o consultoría a desarrollar"/>
    <s v="Entidades Asistidas"/>
    <n v="44"/>
    <d v="2021-01-18T00:00:00"/>
    <n v="2671483"/>
    <n v="17031787"/>
    <n v="17031787"/>
    <x v="1"/>
    <s v="ANDRES FELIPE LOPEZ ORTIZ"/>
    <n v="0"/>
    <x v="0"/>
    <n v="24203"/>
    <x v="1"/>
    <x v="3"/>
    <x v="0"/>
    <n v="120"/>
  </r>
  <r>
    <x v="3"/>
    <n v="13"/>
    <x v="2"/>
    <x v="2"/>
    <x v="0"/>
    <x v="1"/>
    <x v="3"/>
    <x v="5"/>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0"/>
    <n v="29321464"/>
    <n v="29321464"/>
    <x v="0"/>
    <x v="1"/>
    <x v="0"/>
    <x v="0"/>
    <x v="3"/>
    <s v="CENTRO DE INVESTIGACIÓN Y DESARROLLO EN INFORMACIÓN GEOGRÁFICA - CIAF"/>
    <x v="4"/>
    <s v="Diana Rocio Galindo - Jefe CIAF"/>
    <x v="3"/>
    <x v="5"/>
    <s v="Planear la asistencia técnica, asesoría y/o consultoría a desarrollar"/>
    <s v="Entidades Asistidas"/>
    <n v="374"/>
    <d v="2021-02-24T00:00:00"/>
    <n v="7330366"/>
    <n v="29321464"/>
    <n v="29321464"/>
    <x v="1"/>
    <s v="GASTON ANTONIO MEJIA ARIAS"/>
    <n v="0"/>
    <x v="0"/>
    <n v="24528"/>
    <x v="1"/>
    <x v="3"/>
    <x v="1"/>
    <n v="215"/>
  </r>
  <r>
    <x v="3"/>
    <n v="35"/>
    <x v="2"/>
    <x v="2"/>
    <x v="0"/>
    <x v="1"/>
    <x v="3"/>
    <x v="17"/>
    <x v="0"/>
    <s v="Servicios de sistemas de información geográfica (sig)"/>
    <x v="2"/>
    <n v="81101512"/>
    <s v="Prestación de servicios profesionales para desarrollar herramientas asociadas a la transferencia de conocimiento técnico especializado de acuerdos con los requerimientos y necesidades de la oficina CIAF."/>
    <x v="2"/>
    <x v="2"/>
    <n v="105"/>
    <x v="1"/>
    <x v="0"/>
    <x v="0"/>
    <n v="16910180"/>
    <n v="16910180"/>
    <x v="0"/>
    <x v="1"/>
    <x v="0"/>
    <x v="0"/>
    <x v="2"/>
    <s v="Oficina CIAF"/>
    <x v="4"/>
    <s v="Jefe Oficina CIAF"/>
    <x v="3"/>
    <x v="6"/>
    <s v="Desarrollar estudios e investigaciones aplicadas a través de ciencia de datos y prospectiva para fortalecer los procesos institucionales"/>
    <s v="Modelos de gestión Implementados"/>
    <m/>
    <d v="2021-07-27T00:00:00"/>
    <n v="4831480"/>
    <n v="16910180"/>
    <n v="16910180"/>
    <x v="1"/>
    <s v="JUAN CAMILO FERNANDEZ"/>
    <n v="0"/>
    <x v="0"/>
    <m/>
    <x v="1"/>
    <x v="3"/>
    <x v="1"/>
    <m/>
  </r>
  <r>
    <x v="3"/>
    <n v="8"/>
    <x v="2"/>
    <x v="2"/>
    <x v="0"/>
    <x v="1"/>
    <x v="3"/>
    <x v="9"/>
    <x v="0"/>
    <s v="Servicios de sistemas de información geográfica (sig)"/>
    <x v="0"/>
    <n v="81101512"/>
    <s v="Prestación de servicios profesionales para realizar actividades de gestión y desarrollo de los proyectos de tecnologías geoespaciales que adelante la oficina CIAF."/>
    <x v="3"/>
    <x v="3"/>
    <n v="315"/>
    <x v="1"/>
    <x v="0"/>
    <x v="0"/>
    <n v="68132295"/>
    <n v="68132295"/>
    <x v="0"/>
    <x v="1"/>
    <x v="0"/>
    <x v="0"/>
    <x v="2"/>
    <s v="Oficina CIAF"/>
    <x v="4"/>
    <s v="Jefe Oficina CIAF"/>
    <x v="3"/>
    <x v="5"/>
    <s v="Desarrollar la asistencia técnica, asesoría y/o consultoría"/>
    <s v="Entidades Asistidas"/>
    <n v="205"/>
    <d v="2021-02-09T00:00:00"/>
    <n v="6488790"/>
    <n v="68132295"/>
    <n v="68132295"/>
    <x v="1"/>
    <s v="JUAN CARLOS MELO"/>
    <n v="0"/>
    <x v="0"/>
    <n v="24389"/>
    <x v="1"/>
    <x v="3"/>
    <x v="1"/>
    <n v="210"/>
  </r>
  <r>
    <x v="3"/>
    <n v="14"/>
    <x v="2"/>
    <x v="2"/>
    <x v="0"/>
    <x v="1"/>
    <x v="3"/>
    <x v="16"/>
    <x v="0"/>
    <s v="Servicios de sistemas de información geográfica (sig)"/>
    <x v="0"/>
    <n v="81101512"/>
    <s v="Prestación de servicios profesionales para conceptualizar, implementar y monitorear las bases de datos de los proyectos  de tecnologías de información geográfica a cargo de la oficina CIAF."/>
    <x v="4"/>
    <x v="4"/>
    <n v="8"/>
    <x v="0"/>
    <x v="0"/>
    <x v="0"/>
    <n v="58642928"/>
    <n v="58642928"/>
    <x v="0"/>
    <x v="1"/>
    <x v="0"/>
    <x v="0"/>
    <x v="3"/>
    <s v="CENTRO DE INVESTIGACIÓN Y DESARROLLO EN INFORMACIÓN GEOGRÁFICA - CIAF"/>
    <x v="4"/>
    <s v="Diana Rocio Galindo - Jefe CIAF"/>
    <x v="3"/>
    <x v="5"/>
    <s v="Desarrollar la asistencia técnica, asesoría, análisis y/o consultoría"/>
    <s v="Entidades Asistidas"/>
    <n v="404"/>
    <d v="2021-03-01T00:00:00"/>
    <n v="7330366"/>
    <n v="58642928"/>
    <n v="58642928"/>
    <x v="1"/>
    <s v="JULIO CESAR MENDOZA JIMENEZ"/>
    <n v="0"/>
    <x v="0"/>
    <n v="24547"/>
    <x v="1"/>
    <x v="3"/>
    <x v="1"/>
    <m/>
  </r>
  <r>
    <x v="3"/>
    <n v="7"/>
    <x v="2"/>
    <x v="2"/>
    <x v="0"/>
    <x v="1"/>
    <x v="3"/>
    <x v="9"/>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3"/>
    <x v="3"/>
    <n v="11"/>
    <x v="0"/>
    <x v="0"/>
    <x v="0"/>
    <n v="61490990"/>
    <n v="61490990"/>
    <x v="0"/>
    <x v="1"/>
    <x v="0"/>
    <x v="0"/>
    <x v="2"/>
    <s v="Oficina CIAF"/>
    <x v="4"/>
    <s v="Jefe Oficina CIAF"/>
    <x v="3"/>
    <x v="5"/>
    <s v="Desarrollar la asistencia técnica, asesoría y/o consultoría"/>
    <s v="Entidades Asistidas"/>
    <n v="145"/>
    <d v="2021-01-29T00:00:00"/>
    <n v="5590090"/>
    <n v="61490990"/>
    <n v="61490990"/>
    <x v="1"/>
    <s v="MANUEL CAMILO REYES GONZALEZ"/>
    <n v="0"/>
    <x v="0"/>
    <n v="24284"/>
    <x v="1"/>
    <x v="3"/>
    <x v="1"/>
    <n v="244"/>
  </r>
  <r>
    <x v="3"/>
    <n v="26"/>
    <x v="2"/>
    <x v="2"/>
    <x v="0"/>
    <x v="1"/>
    <x v="3"/>
    <x v="0"/>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1"/>
    <x v="0"/>
    <x v="0"/>
    <x v="2"/>
    <s v="Oficina CIAF"/>
    <x v="4"/>
    <s v="Jefe Oficina CIAF"/>
    <x v="3"/>
    <x v="5"/>
    <s v="Desarrollar la asistencia técnica, asesoría, análisis y/o consultoría"/>
    <s v="Entidades Asistidas"/>
    <n v="588"/>
    <d v="2021-05-13T00:00:00"/>
    <n v="6488790"/>
    <n v="19466370"/>
    <n v="19466370"/>
    <x v="1"/>
    <s v="YESSICA NATALIA RAMIREZ YARA"/>
    <n v="0"/>
    <x v="0"/>
    <n v="24729"/>
    <x v="0"/>
    <x v="0"/>
    <x v="1"/>
    <m/>
  </r>
  <r>
    <x v="3"/>
    <n v="2"/>
    <x v="2"/>
    <x v="2"/>
    <x v="0"/>
    <x v="1"/>
    <x v="3"/>
    <x v="9"/>
    <x v="0"/>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1"/>
    <x v="0"/>
    <x v="1"/>
    <n v="57152855"/>
    <n v="57152855"/>
    <x v="0"/>
    <x v="1"/>
    <x v="0"/>
    <x v="0"/>
    <x v="2"/>
    <s v="Oficina CIAF"/>
    <x v="4"/>
    <s v="Jefe Oficina CIAF"/>
    <x v="3"/>
    <x v="5"/>
    <s v="Realizar el desarrollo y soporte del sistemas de información geográfica para grupos étnicos"/>
    <s v="Entidades Asistidas"/>
    <n v="24"/>
    <d v="2021-01-08T00:00:00"/>
    <n v="7330366"/>
    <n v="56932509"/>
    <n v="56932509"/>
    <x v="1"/>
    <s v="YESENIA  VARGAS TEJEDOR"/>
    <n v="220346"/>
    <x v="0"/>
    <n v="24195"/>
    <x v="1"/>
    <x v="3"/>
    <x v="1"/>
    <n v="270"/>
  </r>
  <r>
    <x v="3"/>
    <n v="17"/>
    <x v="2"/>
    <x v="2"/>
    <x v="0"/>
    <x v="1"/>
    <x v="3"/>
    <x v="10"/>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4"/>
    <x v="4"/>
    <n v="285"/>
    <x v="1"/>
    <x v="0"/>
    <x v="0"/>
    <n v="53105855"/>
    <n v="53105855"/>
    <x v="0"/>
    <x v="1"/>
    <x v="0"/>
    <x v="0"/>
    <x v="2"/>
    <s v="Oficina CIAF"/>
    <x v="4"/>
    <s v="Jefe Oficina CIAF"/>
    <x v="3"/>
    <x v="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x v="0"/>
    <n v="24598"/>
    <x v="1"/>
    <x v="3"/>
    <x v="1"/>
    <n v="210"/>
  </r>
  <r>
    <x v="3"/>
    <n v="5"/>
    <x v="2"/>
    <x v="2"/>
    <x v="0"/>
    <x v="1"/>
    <x v="3"/>
    <x v="9"/>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0"/>
    <x v="0"/>
    <x v="0"/>
    <n v="39130630"/>
    <n v="39130630"/>
    <x v="0"/>
    <x v="1"/>
    <x v="0"/>
    <x v="0"/>
    <x v="3"/>
    <s v="CENTRO DE INVESTIGACIÓN Y DESARROLLO EN INFORMACIÓN GEOGRÁFICA - CIAF"/>
    <x v="4"/>
    <s v="Diana Rocio Galindo - Jefe CIAF"/>
    <x v="3"/>
    <x v="5"/>
    <s v="Desarrollar la asistencia técnica, asesoría y/o consultoría"/>
    <s v="Entidades Asistidas"/>
    <n v="77"/>
    <d v="2021-01-21T00:00:00"/>
    <n v="4976424"/>
    <n v="34834968"/>
    <n v="34834968"/>
    <x v="1"/>
    <s v="CLAUDIA VIVIANA GOMEZ TENJO"/>
    <n v="4295662"/>
    <x v="0"/>
    <n v="24232"/>
    <x v="1"/>
    <x v="3"/>
    <x v="1"/>
    <n v="210"/>
  </r>
  <r>
    <x v="3"/>
    <n v="23"/>
    <x v="2"/>
    <x v="2"/>
    <x v="0"/>
    <x v="1"/>
    <x v="3"/>
    <x v="10"/>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8"/>
    <x v="8"/>
    <n v="9"/>
    <x v="0"/>
    <x v="0"/>
    <x v="0"/>
    <n v="51820137"/>
    <n v="51820137"/>
    <x v="0"/>
    <x v="1"/>
    <x v="0"/>
    <x v="0"/>
    <x v="2"/>
    <s v="Oficina CIAF"/>
    <x v="4"/>
    <s v="Jefe Oficina CIAF"/>
    <x v="3"/>
    <x v="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x v="0"/>
    <n v="24685"/>
    <x v="1"/>
    <x v="3"/>
    <x v="1"/>
    <n v="210"/>
  </r>
  <r>
    <x v="3"/>
    <n v="18"/>
    <x v="2"/>
    <x v="2"/>
    <x v="0"/>
    <x v="1"/>
    <x v="3"/>
    <x v="5"/>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4"/>
    <x v="4"/>
    <n v="9"/>
    <x v="0"/>
    <x v="0"/>
    <x v="0"/>
    <n v="44787816"/>
    <n v="44787816"/>
    <x v="0"/>
    <x v="1"/>
    <x v="0"/>
    <x v="0"/>
    <x v="3"/>
    <s v="CENTRO DE INVESTIGACIÓN Y DESARROLLO EN INFORMACIÓN GEOGRÁFICA - CIAF"/>
    <x v="4"/>
    <s v="Diana Rocio Galindo - Jefe CIAF"/>
    <x v="3"/>
    <x v="5"/>
    <s v="Desarrollar la asistencia técnica, asesoría y/o consultoría"/>
    <s v="Entidades Asistidas"/>
    <n v="495"/>
    <d v="2021-03-17T00:00:00"/>
    <n v="4263522"/>
    <n v="38371698"/>
    <n v="38371698"/>
    <x v="1"/>
    <s v="FERNEYALONSO MORENO PINEDA"/>
    <n v="6416118"/>
    <x v="0"/>
    <n v="24630"/>
    <x v="1"/>
    <x v="3"/>
    <x v="1"/>
    <n v="210"/>
  </r>
  <r>
    <x v="3"/>
    <n v="20"/>
    <x v="2"/>
    <x v="2"/>
    <x v="0"/>
    <x v="1"/>
    <x v="3"/>
    <x v="5"/>
    <x v="0"/>
    <s v="Servicios de sistemas de información geográfica (sig)"/>
    <x v="0"/>
    <n v="81101512"/>
    <s v="Prestación de servicios profesioanales para el desarrollo, ajuste y documentación de las aplicaciones en tecnologías de información geográfica a cargo de la oficina CIAF."/>
    <x v="4"/>
    <x v="4"/>
    <n v="7"/>
    <x v="0"/>
    <x v="0"/>
    <x v="0"/>
    <n v="45421530"/>
    <n v="45421530"/>
    <x v="0"/>
    <x v="1"/>
    <x v="0"/>
    <x v="0"/>
    <x v="3"/>
    <s v="CENTRO DE INVESTIGACIÓN Y DESARROLLO EN INFORMACIÓN GEOGRÁFICA - CIAF"/>
    <x v="4"/>
    <s v="Diana Rocio Galindo - Jefe CIAF"/>
    <x v="3"/>
    <x v="5"/>
    <s v="Desarrollar la asistencia técnica, asesoría y/o consultoría"/>
    <s v="Entidades Asistidas"/>
    <n v="515"/>
    <d v="2021-03-31T00:00:00"/>
    <n v="6488790"/>
    <n v="25955160"/>
    <n v="25955160"/>
    <x v="1"/>
    <s v="JAIME ALBERTO GUITIERREZ"/>
    <n v="19466370"/>
    <x v="0"/>
    <n v="24651"/>
    <x v="1"/>
    <x v="3"/>
    <x v="1"/>
    <n v="210"/>
  </r>
  <r>
    <x v="3"/>
    <n v="1"/>
    <x v="2"/>
    <x v="2"/>
    <x v="0"/>
    <x v="1"/>
    <x v="3"/>
    <x v="9"/>
    <x v="0"/>
    <s v="Servicios de sistemas de información geográfica (sig)"/>
    <x v="0"/>
    <n v="81101512"/>
    <s v="Prestación de servicios profesionales especializados en la planeación estratégica y ejecución de los proyectos de la oficina CIAF"/>
    <x v="5"/>
    <x v="5"/>
    <n v="4"/>
    <x v="0"/>
    <x v="0"/>
    <x v="1"/>
    <n v="42806184"/>
    <n v="42806184"/>
    <x v="0"/>
    <x v="1"/>
    <x v="0"/>
    <x v="0"/>
    <x v="2"/>
    <s v="Oficina CIAF"/>
    <x v="4"/>
    <s v="Jefe Oficina CIAF"/>
    <x v="3"/>
    <x v="5"/>
    <s v="Realizar el desarrollo y soporte del sistemas de información geográfica para grupos étnicos"/>
    <s v="Entidades Asistidas"/>
    <n v="23"/>
    <d v="2021-01-08T00:00:00"/>
    <n v="10701546"/>
    <n v="21403092"/>
    <n v="21403092"/>
    <x v="1"/>
    <s v="ALEXANDER  MONTEALEGRE TRUJILLO"/>
    <n v="21403092"/>
    <x v="0"/>
    <n v="24193"/>
    <x v="1"/>
    <x v="3"/>
    <x v="1"/>
    <n v="285"/>
  </r>
  <r>
    <x v="3"/>
    <n v="6"/>
    <x v="2"/>
    <x v="2"/>
    <x v="0"/>
    <x v="1"/>
    <x v="3"/>
    <x v="9"/>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0"/>
    <n v="73303660"/>
    <n v="73303660"/>
    <x v="0"/>
    <x v="1"/>
    <x v="0"/>
    <x v="0"/>
    <x v="3"/>
    <s v="CENTRO DE INVESTIGACIÓN Y DESARROLLO EN INFORMACIÓN GEOGRÁFICA - CIAF"/>
    <x v="4"/>
    <s v="Diana Rocio Galindo - Jefe CIAF"/>
    <x v="3"/>
    <x v="5"/>
    <s v="Desarrollar la asistencia técnica, asesoría y/o consultoría"/>
    <s v="Entidades Asistidas"/>
    <n v="156"/>
    <d v="2021-01-26T00:00:00"/>
    <n v="7330366"/>
    <n v="51312562"/>
    <n v="51312562"/>
    <x v="1"/>
    <s v="FERNANDO IVAN CAMARGO"/>
    <n v="21991098"/>
    <x v="0"/>
    <n v="24333"/>
    <x v="1"/>
    <x v="3"/>
    <x v="1"/>
    <m/>
  </r>
  <r>
    <x v="3"/>
    <n v="10"/>
    <x v="2"/>
    <x v="2"/>
    <x v="0"/>
    <x v="1"/>
    <x v="3"/>
    <x v="9"/>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3"/>
    <x v="3"/>
    <n v="11"/>
    <x v="0"/>
    <x v="0"/>
    <x v="0"/>
    <n v="80634026"/>
    <n v="80634026"/>
    <x v="0"/>
    <x v="1"/>
    <x v="0"/>
    <x v="0"/>
    <x v="3"/>
    <s v="CENTRO DE INVESTIGACIÓN Y DESARROLLO EN INFORMACIÓN GEOGRÁFICA - CIAF"/>
    <x v="4"/>
    <s v="Diana Rocio Galindo - Jefe CIAF"/>
    <x v="3"/>
    <x v="5"/>
    <s v="Desarrollar la asistencia técnica, asesoría y/o consultoría"/>
    <s v="Entidades Asistidas"/>
    <n v="271"/>
    <d v="2021-02-15T00:00:00"/>
    <n v="7330366"/>
    <n v="58642928"/>
    <n v="58642928"/>
    <x v="1"/>
    <s v="MONICA CORTES"/>
    <n v="21991098"/>
    <x v="0"/>
    <n v="24454"/>
    <x v="1"/>
    <x v="3"/>
    <x v="1"/>
    <m/>
  </r>
  <r>
    <x v="3"/>
    <n v="21"/>
    <x v="2"/>
    <x v="2"/>
    <x v="0"/>
    <x v="1"/>
    <x v="3"/>
    <x v="10"/>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8"/>
    <x v="8"/>
    <n v="7"/>
    <x v="0"/>
    <x v="0"/>
    <x v="0"/>
    <n v="45421530"/>
    <n v="45421530"/>
    <x v="0"/>
    <x v="1"/>
    <x v="0"/>
    <x v="0"/>
    <x v="2"/>
    <s v="Oficina CIAF"/>
    <x v="4"/>
    <s v="Jefe Oficina CIAF"/>
    <x v="3"/>
    <x v="5"/>
    <s v="Desarrollar la asistencia técnica, asesoría y/o consultoría"/>
    <s v="Entidades Asistidas"/>
    <n v="524"/>
    <d v="2021-04-09T00:00:00"/>
    <n v="3124732"/>
    <n v="21873124"/>
    <n v="21873124"/>
    <x v="1"/>
    <s v="HUGO ARMANDO CENDALES PRIETO"/>
    <n v="23548406"/>
    <x v="0"/>
    <n v="24662"/>
    <x v="1"/>
    <x v="3"/>
    <x v="1"/>
    <n v="210"/>
  </r>
  <r>
    <x v="3"/>
    <n v="9"/>
    <x v="2"/>
    <x v="2"/>
    <x v="2"/>
    <x v="2"/>
    <x v="3"/>
    <x v="9"/>
    <x v="0"/>
    <s v="Servicios de sistemas de información geográfica (sig)"/>
    <x v="0"/>
    <n v="81101512"/>
    <s v="Prestación de servicios profesionales para el desarrollo, ajuste y documentación de las aplicaciones en tecnologías de información geográfica a cargo de la oficina CIAF."/>
    <x v="3"/>
    <x v="3"/>
    <n v="9"/>
    <x v="0"/>
    <x v="0"/>
    <x v="0"/>
    <n v="116798220"/>
    <n v="116798220"/>
    <x v="0"/>
    <x v="1"/>
    <x v="2"/>
    <x v="0"/>
    <x v="3"/>
    <s v="CENTRO DE INVESTIGACIÓN Y DESARROLLO EN INFORMACIÓN GEOGRÁFICA - CIAF"/>
    <x v="4"/>
    <s v="Diana Rocio Galindo - Jefe CIAF"/>
    <x v="3"/>
    <x v="5"/>
    <s v="Desarrollar la asistencia técnica, asesoría y/o consultoría"/>
    <s v="Entidades Asistidas"/>
    <n v="231"/>
    <d v="2021-02-10T00:00:00"/>
    <n v="6488790"/>
    <n v="38932740"/>
    <n v="77865480"/>
    <x v="1"/>
    <s v="MONICA ANDREA NIÑO_x000a_JUAN FELIPE MOLINA"/>
    <n v="38932740"/>
    <x v="0"/>
    <s v="24426_x000a_24427"/>
    <x v="2"/>
    <x v="3"/>
    <x v="1"/>
    <n v="250"/>
  </r>
  <r>
    <x v="3"/>
    <n v="3"/>
    <x v="2"/>
    <x v="2"/>
    <x v="0"/>
    <x v="1"/>
    <x v="3"/>
    <x v="9"/>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1"/>
    <x v="0"/>
    <x v="0"/>
    <n v="105357406"/>
    <n v="105357406"/>
    <x v="0"/>
    <x v="1"/>
    <x v="0"/>
    <x v="0"/>
    <x v="2"/>
    <s v="Oficina CIAF"/>
    <x v="4"/>
    <s v="Jefe Oficina CIAF"/>
    <x v="3"/>
    <x v="5"/>
    <s v="Planear la asistencia técnica, asesoría, análisis y/o consultoría a desarrollar"/>
    <s v="Entidades Asistidas"/>
    <n v="25"/>
    <d v="2021-01-08T00:00:00"/>
    <n v="9577946"/>
    <n v="52678703"/>
    <n v="52678703"/>
    <x v="1"/>
    <s v="ANA JULIA SARRIA ALVAREZ"/>
    <n v="52678703"/>
    <x v="0"/>
    <n v="24196"/>
    <x v="1"/>
    <x v="3"/>
    <x v="2"/>
    <n v="150"/>
  </r>
  <r>
    <x v="3"/>
    <m/>
    <x v="2"/>
    <x v="2"/>
    <x v="0"/>
    <x v="0"/>
    <x v="0"/>
    <x v="0"/>
    <x v="0"/>
    <s v="Servicios de sistemas de información geográfica (sig)"/>
    <x v="0"/>
    <n v="81101512"/>
    <s v="Prestación de servicios profesionales para el desarrollo de procesos de analítica de datos en el marco de los métodos indirectos del catastro multipropósito"/>
    <x v="0"/>
    <x v="0"/>
    <n v="5"/>
    <x v="0"/>
    <x v="0"/>
    <x v="2"/>
    <n v="18201180"/>
    <n v="1820118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m/>
  </r>
  <r>
    <x v="3"/>
    <m/>
    <x v="2"/>
    <x v="2"/>
    <x v="0"/>
    <x v="0"/>
    <x v="0"/>
    <x v="0"/>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0"/>
    <x v="0"/>
    <x v="2"/>
    <n v="50726076"/>
    <n v="5072607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310"/>
  </r>
  <r>
    <x v="3"/>
    <m/>
    <x v="2"/>
    <x v="2"/>
    <x v="0"/>
    <x v="0"/>
    <x v="0"/>
    <x v="0"/>
    <x v="0"/>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3"/>
    <x v="2"/>
    <n v="100000000"/>
    <n v="100000000"/>
    <x v="3"/>
    <x v="2"/>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210"/>
  </r>
  <r>
    <x v="3"/>
    <m/>
    <x v="2"/>
    <x v="2"/>
    <x v="0"/>
    <x v="0"/>
    <x v="0"/>
    <x v="0"/>
    <x v="0"/>
    <s v="Servicios de diseño de gráficos o gráficas"/>
    <x v="0"/>
    <n v="82141504"/>
    <s v="Prestación de servicios profesionales para generar contenidos graficos y multimedia apoyo a la implementación de la estrategia de fortalecimiento territorio virtual"/>
    <x v="2"/>
    <x v="2"/>
    <n v="82"/>
    <x v="1"/>
    <x v="0"/>
    <x v="2"/>
    <n v="11637208"/>
    <n v="1163720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0"/>
    <m/>
    <x v="0"/>
    <x v="0"/>
    <x v="0"/>
    <n v="315"/>
  </r>
  <r>
    <x v="3"/>
    <m/>
    <x v="2"/>
    <x v="2"/>
    <x v="0"/>
    <x v="0"/>
    <x v="0"/>
    <x v="8"/>
    <x v="0"/>
    <s v="Servicios de sistemas de información geográfica (sig)"/>
    <x v="1"/>
    <n v="81101512"/>
    <s v="Prestación de servicios profesionales el desarrollo de procesos de inteligencia artificial en el marco de los métodos indirectos del catastro multipropósito"/>
    <x v="2"/>
    <x v="2"/>
    <n v="195"/>
    <x v="1"/>
    <x v="0"/>
    <x v="2"/>
    <n v="49076800"/>
    <n v="4907680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1"/>
    <m/>
    <x v="0"/>
    <x v="0"/>
    <x v="0"/>
    <n v="210"/>
  </r>
  <r>
    <x v="3"/>
    <m/>
    <x v="2"/>
    <x v="2"/>
    <x v="0"/>
    <x v="0"/>
    <x v="0"/>
    <x v="0"/>
    <x v="0"/>
    <s v="Servicios de sistemas de información geográfica (sig)"/>
    <x v="0"/>
    <n v="81101512"/>
    <s v="Prestación de servicios profesionales para realizar la implementación de estándares sobre los datos fundamentales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identificar e integrar los modelos de objetos geográficos territoriales en el marco de la administración del territorio"/>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realizar la gestión de los datos abiertos en el marco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0"/>
  </r>
  <r>
    <x v="3"/>
    <m/>
    <x v="2"/>
    <x v="2"/>
    <x v="0"/>
    <x v="0"/>
    <x v="0"/>
    <x v="8"/>
    <x v="0"/>
    <s v="Servicios de sistemas de información geográfica (sig)"/>
    <x v="1"/>
    <n v="81101512"/>
    <s v="Prestación de servicios profesionales como desarrollador frontend para la Plataforma Tecnológica de la ICDE en el marco de su fortalecimiento y de la implementación de la política de catastro multipropósito"/>
    <x v="2"/>
    <x v="2"/>
    <n v="7"/>
    <x v="0"/>
    <x v="0"/>
    <x v="2"/>
    <n v="52851939"/>
    <n v="52851939"/>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3"/>
    <m/>
    <x v="0"/>
    <x v="0"/>
    <x v="0"/>
    <m/>
  </r>
  <r>
    <x v="3"/>
    <m/>
    <x v="2"/>
    <x v="2"/>
    <x v="0"/>
    <x v="0"/>
    <x v="0"/>
    <x v="0"/>
    <x v="0"/>
    <s v="Servicios de sistemas de información geográfica (sig)"/>
    <x v="0"/>
    <n v="81101512"/>
    <s v="Prestación de servicios profesionales para realizar los estudios técnicos y económicos de implementación de datos de observación de la tierra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0"/>
    <x v="0"/>
    <x v="0"/>
    <x v="0"/>
    <x v="0"/>
    <s v="Servicios de sistemas de información geográfica (sig)"/>
    <x v="0"/>
    <n v="81101512"/>
    <s v="Prestación de servicios profesionales para realizar el análisis y acompañamiento técnico en la implementación de tecnologías geoespaciales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2"/>
    <x v="0"/>
    <x v="2"/>
    <x v="8"/>
    <x v="0"/>
    <s v="Servicios de sistemas de información geográfica (sig)"/>
    <x v="1"/>
    <n v="81101512"/>
    <s v="Prestación de servicios profesionales para gestionar y disponer información geoespacial y datos de observación de la tierra a través de la ICDE en el marco de la implementación de la política de CM"/>
    <x v="2"/>
    <x v="2"/>
    <n v="195"/>
    <x v="1"/>
    <x v="0"/>
    <x v="2"/>
    <n v="113203688"/>
    <n v="113203688"/>
    <x v="0"/>
    <x v="1"/>
    <x v="2"/>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2"/>
    <x v="0"/>
    <m/>
  </r>
  <r>
    <x v="3"/>
    <m/>
    <x v="2"/>
    <x v="2"/>
    <x v="0"/>
    <x v="0"/>
    <x v="0"/>
    <x v="0"/>
    <x v="0"/>
    <s v="Servicio de análisis de sistemas"/>
    <x v="0"/>
    <n v="81111808"/>
    <s v="Prestación de servicios profesionales como arquitecto de solución en la implementación de una plataforma tecnológica que soporte la operación de la ICDE  apoyo a la política de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m/>
    <x v="2"/>
    <x v="2"/>
    <x v="0"/>
    <x v="0"/>
    <x v="0"/>
    <x v="0"/>
    <x v="0"/>
    <s v="Servicios de sistemas de información geográfica (sig)"/>
    <x v="0"/>
    <n v="81101512"/>
    <s v="Prestación de servicios profesionales para el diseño e implementación de los servicios tecnológicos requeridos para el catastro multipropósito en el marco d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n v="30"/>
    <x v="2"/>
    <x v="2"/>
    <x v="0"/>
    <x v="1"/>
    <x v="3"/>
    <x v="0"/>
    <x v="1"/>
    <s v="Servicios de sistemas de información geográfica (sig)"/>
    <x v="0"/>
    <n v="81101512"/>
    <s v="Prestación de servicios profesionales para diseñar los servicios de información, de procesamiento y disposición de información para el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x v="0"/>
    <n v="24755"/>
    <x v="0"/>
    <x v="0"/>
    <x v="1"/>
    <n v="210"/>
  </r>
  <r>
    <x v="3"/>
    <n v="29"/>
    <x v="2"/>
    <x v="2"/>
    <x v="0"/>
    <x v="1"/>
    <x v="3"/>
    <x v="0"/>
    <x v="1"/>
    <s v="Servicio de análisis de sistemas"/>
    <x v="0"/>
    <n v="81111808"/>
    <s v="Prestación de servicios profesionales para implementar y poner en operación el sistema de gestión de contenidos de la plataforma tecnológica de la ICDE de conformidad con los lineamientos definidos"/>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x v="0"/>
    <n v="24736"/>
    <x v="1"/>
    <x v="3"/>
    <x v="1"/>
    <n v="210"/>
  </r>
  <r>
    <x v="3"/>
    <n v="31"/>
    <x v="2"/>
    <x v="2"/>
    <x v="0"/>
    <x v="1"/>
    <x v="3"/>
    <x v="0"/>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6"/>
    <x v="6"/>
    <n v="195"/>
    <x v="1"/>
    <x v="0"/>
    <x v="2"/>
    <n v="43442451"/>
    <n v="43442451"/>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x v="0"/>
    <n v="24775"/>
    <x v="1"/>
    <x v="3"/>
    <x v="1"/>
    <n v="180"/>
  </r>
  <r>
    <x v="3"/>
    <n v="12"/>
    <x v="2"/>
    <x v="2"/>
    <x v="0"/>
    <x v="1"/>
    <x v="3"/>
    <x v="5"/>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x v="0"/>
    <n v="24489"/>
    <x v="1"/>
    <x v="3"/>
    <x v="1"/>
    <n v="255"/>
  </r>
  <r>
    <x v="3"/>
    <n v="32"/>
    <x v="2"/>
    <x v="2"/>
    <x v="0"/>
    <x v="1"/>
    <x v="3"/>
    <x v="0"/>
    <x v="0"/>
    <s v="Servicio de análisis de sistemas"/>
    <x v="0"/>
    <n v="81111808"/>
    <s v="Servicios profesionales para realizar el diseño e implementación de la experiencia de usuario de la plataforma tecnológica de la ICDE en la implementación de la política de catastro multipropósito"/>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6-30T00:00:00"/>
    <n v="7550277"/>
    <n v="45301662"/>
    <n v="45301662"/>
    <x v="1"/>
    <s v="DIANA CIFUENTES"/>
    <n v="7550277"/>
    <x v="0"/>
    <m/>
    <x v="1"/>
    <x v="3"/>
    <x v="1"/>
    <n v="180"/>
  </r>
  <r>
    <x v="3"/>
    <n v="28"/>
    <x v="2"/>
    <x v="2"/>
    <x v="0"/>
    <x v="1"/>
    <x v="3"/>
    <x v="10"/>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4"/>
    <x v="4"/>
    <n v="285"/>
    <x v="1"/>
    <x v="0"/>
    <x v="2"/>
    <n v="71727632"/>
    <n v="7172763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x v="0"/>
    <n v="24746"/>
    <x v="1"/>
    <x v="3"/>
    <x v="1"/>
    <n v="210"/>
  </r>
  <r>
    <x v="3"/>
    <n v="16"/>
    <x v="2"/>
    <x v="2"/>
    <x v="0"/>
    <x v="1"/>
    <x v="3"/>
    <x v="5"/>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x v="0"/>
    <n v="24554"/>
    <x v="1"/>
    <x v="3"/>
    <x v="1"/>
    <n v="90"/>
  </r>
  <r>
    <x v="3"/>
    <n v="34"/>
    <x v="2"/>
    <x v="2"/>
    <x v="0"/>
    <x v="1"/>
    <x v="3"/>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7-26T00:00:00"/>
    <n v="9865284"/>
    <n v="59191704"/>
    <n v="59191704"/>
    <x v="1"/>
    <s v="FREDY JAVIER AGATON AGUIRRE"/>
    <n v="9865284"/>
    <x v="0"/>
    <m/>
    <x v="1"/>
    <x v="3"/>
    <x v="1"/>
    <n v="180"/>
  </r>
  <r>
    <x v="3"/>
    <n v="15"/>
    <x v="2"/>
    <x v="2"/>
    <x v="0"/>
    <x v="1"/>
    <x v="3"/>
    <x v="9"/>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x v="0"/>
    <n v="24571"/>
    <x v="1"/>
    <x v="3"/>
    <x v="1"/>
    <m/>
  </r>
  <r>
    <x v="3"/>
    <n v="25"/>
    <x v="2"/>
    <x v="2"/>
    <x v="0"/>
    <x v="1"/>
    <x v="3"/>
    <x v="10"/>
    <x v="1"/>
    <s v="Servicio de análisis de sistemas"/>
    <x v="0"/>
    <n v="81111808"/>
    <s v="Prestación de servicios profesionales para implementar procesos de innovación tecnológica en el análisis y explotación de datos en el marco de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x v="0"/>
    <n v="24717"/>
    <x v="1"/>
    <x v="3"/>
    <x v="1"/>
    <n v="210"/>
  </r>
  <r>
    <x v="3"/>
    <n v="24"/>
    <x v="2"/>
    <x v="2"/>
    <x v="0"/>
    <x v="1"/>
    <x v="3"/>
    <x v="10"/>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x v="0"/>
    <n v="24714"/>
    <x v="1"/>
    <x v="3"/>
    <x v="1"/>
    <n v="210"/>
  </r>
  <r>
    <x v="3"/>
    <n v="27"/>
    <x v="2"/>
    <x v="2"/>
    <x v="0"/>
    <x v="1"/>
    <x v="3"/>
    <x v="10"/>
    <x v="1"/>
    <s v="Servicios de procesamiento o preparación de datos "/>
    <x v="0"/>
    <n v="81112002"/>
    <s v="Prestación de servicios profesionales para implementar los modelos de las bases de datos requeridas en el marco de la política de catastral multipropósito y el fortalecimiento de la ICDE"/>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672"/>
    <x v="0"/>
    <n v="24734"/>
    <x v="1"/>
    <x v="3"/>
    <x v="1"/>
    <n v="210"/>
  </r>
  <r>
    <x v="3"/>
    <n v="22"/>
    <x v="2"/>
    <x v="2"/>
    <x v="0"/>
    <x v="1"/>
    <x v="3"/>
    <x v="5"/>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s v="9.5"/>
    <x v="0"/>
    <x v="0"/>
    <x v="2"/>
    <n v="120000000"/>
    <n v="120000000"/>
    <x v="0"/>
    <x v="1"/>
    <x v="0"/>
    <x v="0"/>
    <x v="2"/>
    <s v="Oficina CIAF"/>
    <x v="4"/>
    <s v="Jefe Oficina CIAF"/>
    <x v="2"/>
    <x v="3"/>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x v="0"/>
    <n v="24673"/>
    <x v="1"/>
    <x v="3"/>
    <x v="0"/>
    <n v="210"/>
  </r>
  <r>
    <x v="3"/>
    <m/>
    <x v="2"/>
    <x v="2"/>
    <x v="0"/>
    <x v="1"/>
    <x v="3"/>
    <x v="5"/>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x v="0"/>
    <m/>
    <x v="7"/>
    <x v="0"/>
    <x v="0"/>
    <n v="210"/>
  </r>
  <r>
    <x v="4"/>
    <m/>
    <x v="3"/>
    <x v="3"/>
    <x v="0"/>
    <x v="7"/>
    <x v="0"/>
    <x v="9"/>
    <x v="0"/>
    <s v="Software de edición y creación de contenidos"/>
    <x v="0"/>
    <n v="43232100"/>
    <s v="Adquisición Licenciamiento Adobe "/>
    <x v="9"/>
    <x v="9"/>
    <n v="1"/>
    <x v="0"/>
    <x v="1"/>
    <x v="1"/>
    <n v="17000000"/>
    <n v="17000000"/>
    <x v="0"/>
    <x v="1"/>
    <x v="0"/>
    <x v="0"/>
    <x v="4"/>
    <s v="Oficina de Difusión y Mercadeo"/>
    <x v="4"/>
    <s v="Jefe Oficina de Difusión y Mercadeo de Información "/>
    <x v="4"/>
    <x v="7"/>
    <s v="Realizar campañas en medios digitales y/o presenciales sobre los productos y servicios que genera la entidad."/>
    <s v="Servicios de información implementados"/>
    <m/>
    <m/>
    <e v="#N/A"/>
    <e v="#N/A"/>
    <e v="#N/A"/>
    <x v="0"/>
    <m/>
    <n v="0"/>
    <x v="0"/>
    <m/>
    <x v="7"/>
    <x v="0"/>
    <x v="0"/>
    <m/>
  </r>
  <r>
    <x v="4"/>
    <m/>
    <x v="3"/>
    <x v="3"/>
    <x v="0"/>
    <x v="0"/>
    <x v="0"/>
    <x v="8"/>
    <x v="0"/>
    <s v="Software de servidor de autenticación"/>
    <x v="1"/>
    <n v="43233201"/>
    <s v="Adquisición Firma Digital"/>
    <x v="2"/>
    <x v="2"/>
    <n v="2"/>
    <x v="0"/>
    <x v="1"/>
    <x v="0"/>
    <n v="5000000"/>
    <n v="5000000"/>
    <x v="0"/>
    <x v="0"/>
    <x v="0"/>
    <x v="0"/>
    <x v="4"/>
    <s v="Oficina de Difusión y Mercadeo"/>
    <x v="4"/>
    <s v="Jefe Oficina de Difusión y Mercadeo de Información"/>
    <x v="4"/>
    <x v="7"/>
    <s v="Diseñar y divulgar diferentes contenidos digitales, análogos  y de apoyo a los servicios requeridos por los usuarios internos y externos. "/>
    <s v="Sistemas de información implementados"/>
    <m/>
    <m/>
    <e v="#N/A"/>
    <e v="#N/A"/>
    <e v="#N/A"/>
    <x v="0"/>
    <m/>
    <n v="0"/>
    <x v="0"/>
    <m/>
    <x v="0"/>
    <x v="0"/>
    <x v="0"/>
    <n v="300"/>
  </r>
  <r>
    <x v="4"/>
    <m/>
    <x v="3"/>
    <x v="3"/>
    <x v="0"/>
    <x v="0"/>
    <x v="0"/>
    <x v="17"/>
    <x v="0"/>
    <s v="Servicios de consultoría de negocios y administración corporativa"/>
    <x v="2"/>
    <n v="80101500"/>
    <s v="Prestación de servicios profesionales para realizar seguimiento y ejecución a los trámites y servicios solicitados por los usuarios internos y externos del IGAC. "/>
    <x v="2"/>
    <x v="2"/>
    <n v="6"/>
    <x v="0"/>
    <x v="0"/>
    <x v="0"/>
    <n v="15562038"/>
    <n v="15562038"/>
    <x v="0"/>
    <x v="1"/>
    <x v="0"/>
    <x v="0"/>
    <x v="4"/>
    <s v="Oficina de Difusión y Mercadeo"/>
    <x v="4"/>
    <s v="Jefe Oficina de Difusión y Mercadeo de Información "/>
    <x v="4"/>
    <x v="8"/>
    <s v="Realizar seguimiento al plan de mercadeo y/o estudios priorizados por la entidad"/>
    <s v="Documentos de lineamientos técnicos"/>
    <m/>
    <m/>
    <e v="#N/A"/>
    <e v="#N/A"/>
    <e v="#N/A"/>
    <x v="0"/>
    <m/>
    <n v="0"/>
    <x v="25"/>
    <m/>
    <x v="0"/>
    <x v="0"/>
    <x v="0"/>
    <m/>
  </r>
  <r>
    <x v="4"/>
    <m/>
    <x v="3"/>
    <x v="3"/>
    <x v="0"/>
    <x v="0"/>
    <x v="0"/>
    <x v="17"/>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2"/>
    <x v="2"/>
    <n v="6"/>
    <x v="0"/>
    <x v="0"/>
    <x v="1"/>
    <n v="15562038"/>
    <n v="15562038"/>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m/>
    <m/>
    <e v="#N/A"/>
    <e v="#N/A"/>
    <e v="#N/A"/>
    <x v="0"/>
    <m/>
    <n v="0"/>
    <x v="25"/>
    <m/>
    <x v="0"/>
    <x v="0"/>
    <x v="0"/>
    <m/>
  </r>
  <r>
    <x v="4"/>
    <n v="7"/>
    <x v="3"/>
    <x v="3"/>
    <x v="0"/>
    <x v="1"/>
    <x v="3"/>
    <x v="9"/>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3"/>
    <x v="3"/>
    <n v="315"/>
    <x v="1"/>
    <x v="0"/>
    <x v="0"/>
    <n v="43463091"/>
    <n v="43463091"/>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2"/>
    <d v="2021-01-08T00:00:00"/>
    <n v="4139342"/>
    <n v="43463091"/>
    <n v="43463091"/>
    <x v="1"/>
    <s v="ALBA ESPERANZA GIRALDO VASQUEZ"/>
    <n v="0"/>
    <x v="0"/>
    <n v="24266"/>
    <x v="1"/>
    <x v="3"/>
    <x v="1"/>
    <n v="330"/>
  </r>
  <r>
    <x v="4"/>
    <n v="85"/>
    <x v="3"/>
    <x v="3"/>
    <x v="0"/>
    <x v="1"/>
    <x v="3"/>
    <x v="9"/>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x v="0"/>
    <n v="24599"/>
    <x v="1"/>
    <x v="3"/>
    <x v="1"/>
    <n v="255"/>
  </r>
  <r>
    <x v="4"/>
    <n v="3"/>
    <x v="3"/>
    <x v="3"/>
    <x v="0"/>
    <x v="1"/>
    <x v="3"/>
    <x v="9"/>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3"/>
    <x v="3"/>
    <n v="9"/>
    <x v="0"/>
    <x v="0"/>
    <x v="0"/>
    <n v="23343057"/>
    <n v="23343057"/>
    <x v="0"/>
    <x v="1"/>
    <x v="0"/>
    <x v="0"/>
    <x v="5"/>
    <s v="Oficina de Difusión y Mercadeo"/>
    <x v="4"/>
    <s v="Yira Paola Perez-Jefe de Oficina"/>
    <x v="4"/>
    <x v="7"/>
    <s v="Realizar campañas en medios digitales y/o presenciales sobre los productos y servicios que genera la entidad."/>
    <s v="Servicios de información implementados"/>
    <n v="60"/>
    <d v="2021-01-31T00:00:00"/>
    <n v="2593673"/>
    <n v="23343057"/>
    <n v="23343057"/>
    <x v="1"/>
    <s v="ASCENED  TRUJILLO RODRIGUEZ"/>
    <n v="0"/>
    <x v="0"/>
    <n v="24269"/>
    <x v="1"/>
    <x v="3"/>
    <x v="0"/>
    <n v="300"/>
  </r>
  <r>
    <x v="4"/>
    <n v="86"/>
    <x v="3"/>
    <x v="3"/>
    <x v="0"/>
    <x v="1"/>
    <x v="3"/>
    <x v="9"/>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x v="0"/>
    <n v="24608"/>
    <x v="1"/>
    <x v="3"/>
    <x v="1"/>
    <n v="245"/>
  </r>
  <r>
    <x v="4"/>
    <n v="89"/>
    <x v="3"/>
    <x v="3"/>
    <x v="0"/>
    <x v="1"/>
    <x v="3"/>
    <x v="10"/>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4"/>
    <x v="4"/>
    <n v="255"/>
    <x v="1"/>
    <x v="0"/>
    <x v="0"/>
    <n v="36239937"/>
    <n v="36239937"/>
    <x v="0"/>
    <x v="1"/>
    <x v="0"/>
    <x v="0"/>
    <x v="4"/>
    <s v="Oficina de Difusión y Mercadeo de Información "/>
    <x v="4"/>
    <s v="Jefe Oficina de Difusión y Mercadeo de Información "/>
    <x v="4"/>
    <x v="7"/>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x v="0"/>
    <n v="24629"/>
    <x v="1"/>
    <x v="3"/>
    <x v="1"/>
    <m/>
  </r>
  <r>
    <x v="4"/>
    <n v="1"/>
    <x v="3"/>
    <x v="3"/>
    <x v="0"/>
    <x v="1"/>
    <x v="3"/>
    <x v="9"/>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0"/>
    <n v="80634026"/>
    <n v="80634026"/>
    <x v="0"/>
    <x v="1"/>
    <x v="0"/>
    <x v="0"/>
    <x v="4"/>
    <s v="Oficina de Difusión y Mercadeo"/>
    <x v="4"/>
    <s v="Jefe Oficina de Difusión y Mercadeo de Información "/>
    <x v="4"/>
    <x v="8"/>
    <s v="Realizar seguimiento al plan de mercadeo y/o estudios priorizados por la entidad"/>
    <s v="Documentos de lineamientos técnicos"/>
    <n v="122"/>
    <d v="2021-01-08T00:00:00"/>
    <n v="7330366"/>
    <n v="80634026"/>
    <n v="80634026"/>
    <x v="1"/>
    <s v="DANIEL OSWALDO BUITRAGO CARRILLO"/>
    <n v="0"/>
    <x v="0"/>
    <n v="24265"/>
    <x v="1"/>
    <x v="3"/>
    <x v="1"/>
    <n v="11"/>
  </r>
  <r>
    <x v="4"/>
    <n v="90"/>
    <x v="3"/>
    <x v="3"/>
    <x v="0"/>
    <x v="1"/>
    <x v="3"/>
    <x v="10"/>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4"/>
    <x v="4"/>
    <n v="255"/>
    <x v="1"/>
    <x v="0"/>
    <x v="0"/>
    <n v="48941241"/>
    <n v="48941241"/>
    <x v="0"/>
    <x v="1"/>
    <x v="0"/>
    <x v="0"/>
    <x v="4"/>
    <s v="Oficina de Difusión y Mercadeo"/>
    <x v="4"/>
    <s v="Jefe Oficina de Difusión y Mercadeo de Información "/>
    <x v="4"/>
    <x v="7"/>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x v="0"/>
    <n v="24623"/>
    <x v="1"/>
    <x v="3"/>
    <x v="1"/>
    <m/>
  </r>
  <r>
    <x v="4"/>
    <n v="12"/>
    <x v="3"/>
    <x v="3"/>
    <x v="0"/>
    <x v="1"/>
    <x v="3"/>
    <x v="9"/>
    <x v="0"/>
    <s v="Servicios de consultoría de negocios y administración corporativa"/>
    <x v="0"/>
    <n v="80101500"/>
    <s v="Prestación de servicios profesionales para diagramar y producir las piezas de comunicación interna contempladas en el plan de comunicaciones de la entidad"/>
    <x v="3"/>
    <x v="3"/>
    <n v="10"/>
    <x v="0"/>
    <x v="0"/>
    <x v="0"/>
    <n v="48314800"/>
    <n v="48314800"/>
    <x v="0"/>
    <x v="1"/>
    <x v="0"/>
    <x v="0"/>
    <x v="5"/>
    <s v="Oficina de Difusión y Mercadeo"/>
    <x v="4"/>
    <s v="Yira Paola Perez-Jefe de Oficina"/>
    <x v="4"/>
    <x v="7"/>
    <s v="Realizar campañas en medios digitales y/o presenciales sobre los productos y servicios que genera la entidad."/>
    <s v="Servicios de información implementados"/>
    <n v="65"/>
    <d v="2021-02-03T00:00:00"/>
    <n v="4831480"/>
    <n v="48314800"/>
    <n v="48314800"/>
    <x v="1"/>
    <s v="DIEGO HENAN LINARES AROCA"/>
    <n v="0"/>
    <x v="0"/>
    <n v="24280"/>
    <x v="1"/>
    <x v="3"/>
    <x v="1"/>
    <m/>
  </r>
  <r>
    <x v="4"/>
    <n v="84"/>
    <x v="3"/>
    <x v="3"/>
    <x v="0"/>
    <x v="1"/>
    <x v="3"/>
    <x v="10"/>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4"/>
    <x v="4"/>
    <n v="10"/>
    <x v="0"/>
    <x v="0"/>
    <x v="0"/>
    <n v="36402360"/>
    <n v="36402360"/>
    <x v="0"/>
    <x v="1"/>
    <x v="0"/>
    <x v="0"/>
    <x v="4"/>
    <s v="Oficina de Difusión y Mercadeo"/>
    <x v="4"/>
    <s v="Jefe Oficina de Difusión y Mercadeo de Información "/>
    <x v="4"/>
    <x v="8"/>
    <s v="Realizar el plan de mercadeo y/o estudios priorizados por la entidad"/>
    <s v="Documentos de lineamientos técnicos"/>
    <n v="462"/>
    <d v="2021-03-16T00:00:00"/>
    <n v="3640236"/>
    <n v="36402360"/>
    <n v="36402360"/>
    <x v="1"/>
    <s v="ELVER ALEXANDER PINEDA"/>
    <n v="0"/>
    <x v="0"/>
    <n v="24603"/>
    <x v="1"/>
    <x v="3"/>
    <x v="1"/>
    <n v="300"/>
  </r>
  <r>
    <x v="4"/>
    <n v="2"/>
    <x v="3"/>
    <x v="3"/>
    <x v="0"/>
    <x v="1"/>
    <x v="3"/>
    <x v="9"/>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3"/>
    <x v="3"/>
    <n v="315"/>
    <x v="1"/>
    <x v="0"/>
    <x v="0"/>
    <n v="58695945"/>
    <n v="58695945"/>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x v="0"/>
    <n v="24281"/>
    <x v="1"/>
    <x v="3"/>
    <x v="2"/>
    <n v="11"/>
  </r>
  <r>
    <x v="4"/>
    <n v="58"/>
    <x v="3"/>
    <x v="3"/>
    <x v="0"/>
    <x v="1"/>
    <x v="3"/>
    <x v="16"/>
    <x v="0"/>
    <s v="Servicios de consultoría de negocios y administración corporativa"/>
    <x v="0"/>
    <n v="80101500"/>
    <s v="Prestación de servicios profesionales para difundir, promocionar y comercializar los productos y servicios del IGAC a nivel Nacional. "/>
    <x v="3"/>
    <x v="3"/>
    <n v="11"/>
    <x v="0"/>
    <x v="0"/>
    <x v="0"/>
    <n v="54740664"/>
    <n v="54740664"/>
    <x v="0"/>
    <x v="1"/>
    <x v="0"/>
    <x v="0"/>
    <x v="4"/>
    <s v="Oficina de Difusión y Mercadeo de Información "/>
    <x v="4"/>
    <s v="Yira Paola Perez-Jefe de Oficina"/>
    <x v="4"/>
    <x v="7"/>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x v="0"/>
    <n v="24455"/>
    <x v="1"/>
    <x v="3"/>
    <x v="1"/>
    <n v="270"/>
  </r>
  <r>
    <x v="4"/>
    <n v="87"/>
    <x v="3"/>
    <x v="3"/>
    <x v="0"/>
    <x v="1"/>
    <x v="3"/>
    <x v="12"/>
    <x v="0"/>
    <s v="Etiquetas de códigos de barra"/>
    <x v="0"/>
    <n v="55121608"/>
    <s v="Adquisición del derecho de uso del sistema de codificación EAN/UCC."/>
    <x v="4"/>
    <x v="4"/>
    <n v="1"/>
    <x v="0"/>
    <x v="0"/>
    <x v="1"/>
    <n v="8131000"/>
    <n v="8131000"/>
    <x v="0"/>
    <x v="1"/>
    <x v="8"/>
    <x v="0"/>
    <x v="4"/>
    <s v="Oficina de Difusión y Mercadeo"/>
    <x v="4"/>
    <s v="Jefe Oficina de Difusión y Mercadeo de Información "/>
    <x v="4"/>
    <x v="7"/>
    <s v="Ampliar y/o actualizar la oferta de los productos de la entidad atráves de: biblioteca virtual, tienda virtual y del ecosistema digital. "/>
    <s v="Servicios de información implementados"/>
    <n v="501"/>
    <d v="2021-03-16T00:00:00"/>
    <n v="0"/>
    <n v="8131000"/>
    <n v="8131000"/>
    <x v="1"/>
    <s v="LOGYCA ASOCIACION"/>
    <n v="0"/>
    <x v="0"/>
    <n v="24636"/>
    <x v="1"/>
    <x v="3"/>
    <x v="1"/>
    <n v="240"/>
  </r>
  <r>
    <x v="4"/>
    <n v="4"/>
    <x v="3"/>
    <x v="3"/>
    <x v="0"/>
    <x v="1"/>
    <x v="3"/>
    <x v="9"/>
    <x v="0"/>
    <s v="Servicios de consultoría de negocios y administración corporativa"/>
    <x v="0"/>
    <n v="80101500"/>
    <s v="Prestación de servicios profesionales para ejecutar la estrategia de comunicaciones externas de la entidad y la redacción, desarrollo y revisión de contenidos editoriales."/>
    <x v="3"/>
    <x v="3"/>
    <n v="11"/>
    <x v="0"/>
    <x v="0"/>
    <x v="0"/>
    <n v="92997806"/>
    <n v="92997806"/>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4"/>
    <d v="2021-01-08T00:00:00"/>
    <n v="8454346"/>
    <n v="92997806"/>
    <n v="92997806"/>
    <x v="1"/>
    <s v="MARIA ALEJANDRA SANCHEZ"/>
    <n v="0"/>
    <x v="0"/>
    <n v="24282"/>
    <x v="1"/>
    <x v="3"/>
    <x v="2"/>
    <n v="330"/>
  </r>
  <r>
    <x v="4"/>
    <n v="83"/>
    <x v="3"/>
    <x v="3"/>
    <x v="0"/>
    <x v="1"/>
    <x v="3"/>
    <x v="10"/>
    <x v="0"/>
    <s v="Servicios de consultoría de negocios y administración corporativa"/>
    <x v="0"/>
    <n v="80101500"/>
    <s v="Prestación de servicios profesionales para realizar la  medicion de satisfaccion, retroalimentacion y seguimiento con las areas de las PQRs que se hayan tramitado. "/>
    <x v="4"/>
    <x v="4"/>
    <n v="10"/>
    <x v="0"/>
    <x v="0"/>
    <x v="0"/>
    <n v="29417800"/>
    <n v="29417800"/>
    <x v="0"/>
    <x v="1"/>
    <x v="0"/>
    <x v="0"/>
    <x v="4"/>
    <s v="Oficina de Difusión y Mercadeo"/>
    <x v="4"/>
    <s v="Jefe Oficina de Difusión y Mercadeo de Información "/>
    <x v="4"/>
    <x v="8"/>
    <s v="Realizar el plan de mercadeo y/o estudios priorizados por la entidad"/>
    <s v="Documentos de lineamientos técnicos"/>
    <n v="461"/>
    <d v="2021-03-16T00:00:00"/>
    <n v="2941780"/>
    <n v="29417800"/>
    <n v="29417800"/>
    <x v="1"/>
    <s v="MARIA CAMILA PALOMARES"/>
    <n v="0"/>
    <x v="0"/>
    <n v="24601"/>
    <x v="1"/>
    <x v="3"/>
    <x v="1"/>
    <n v="255"/>
  </r>
  <r>
    <x v="4"/>
    <n v="8"/>
    <x v="3"/>
    <x v="3"/>
    <x v="0"/>
    <x v="1"/>
    <x v="3"/>
    <x v="9"/>
    <x v="0"/>
    <s v="Servicios de consultoría de negocios y administración corporativa"/>
    <x v="0"/>
    <n v="80101500"/>
    <s v="Prestación de servicios profesionales para la realización y registro de productos audiovisuales en las actividades y eventos del IGAC."/>
    <x v="3"/>
    <x v="3"/>
    <n v="315"/>
    <x v="1"/>
    <x v="0"/>
    <x v="0"/>
    <n v="58695945"/>
    <n v="58695945"/>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30"/>
    <d v="2021-01-08T00:00:00"/>
    <n v="5590090"/>
    <n v="58695945"/>
    <n v="58695945"/>
    <x v="1"/>
    <s v="MARIA CAMILA RODRIGUEZ GARZON"/>
    <n v="0"/>
    <x v="0"/>
    <n v="24310"/>
    <x v="1"/>
    <x v="3"/>
    <x v="2"/>
    <n v="330"/>
  </r>
  <r>
    <x v="4"/>
    <n v="5"/>
    <x v="3"/>
    <x v="3"/>
    <x v="0"/>
    <x v="1"/>
    <x v="3"/>
    <x v="9"/>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0"/>
    <n v="53146280"/>
    <n v="53146280"/>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3"/>
    <d v="2021-01-08T00:00:00"/>
    <n v="4831480"/>
    <n v="53146280"/>
    <n v="53146280"/>
    <x v="1"/>
    <s v="MELANIE PAOLA PEREZ NARVAEZ"/>
    <n v="0"/>
    <x v="0"/>
    <n v="24283"/>
    <x v="1"/>
    <x v="3"/>
    <x v="2"/>
    <n v="330"/>
  </r>
  <r>
    <x v="4"/>
    <n v="96"/>
    <x v="3"/>
    <x v="3"/>
    <x v="0"/>
    <x v="1"/>
    <x v="3"/>
    <x v="0"/>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1"/>
    <x v="0"/>
    <x v="0"/>
    <x v="4"/>
    <s v="Oficina de Difusión y Mercadeo"/>
    <x v="4"/>
    <s v="Jefe Oficina de Difusión y Mercadeo de Información "/>
    <x v="4"/>
    <x v="7"/>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x v="0"/>
    <n v="24728"/>
    <x v="0"/>
    <x v="0"/>
    <x v="1"/>
    <n v="315"/>
  </r>
  <r>
    <x v="4"/>
    <n v="39"/>
    <x v="3"/>
    <x v="3"/>
    <x v="0"/>
    <x v="1"/>
    <x v="3"/>
    <x v="5"/>
    <x v="0"/>
    <s v="Servicios de consultoría de negocios y administración corporativa"/>
    <x v="0"/>
    <n v="80101500"/>
    <s v="Prestación de servicios profesionales para generar informes de ventas y  garantizar la calidad y entrega oportuna de los productos y servicios ofertados por el Instituto."/>
    <x v="3"/>
    <x v="3"/>
    <n v="11"/>
    <x v="0"/>
    <x v="0"/>
    <x v="0"/>
    <n v="63335723"/>
    <n v="63335723"/>
    <x v="0"/>
    <x v="1"/>
    <x v="0"/>
    <x v="0"/>
    <x v="5"/>
    <s v="Oficina de Difusión y Mercadeo"/>
    <x v="4"/>
    <s v="Yira Paola Perez-Jefe de Oficina"/>
    <x v="4"/>
    <x v="7"/>
    <s v="Diseñar y divulgar diferentes contenidos digitales, análogos  y de apoyo a los servicios requeridos por los usuarios. "/>
    <s v="Servicios de información implementados"/>
    <n v="202"/>
    <d v="2021-02-08T00:00:00"/>
    <n v="5757793"/>
    <n v="61416459"/>
    <n v="61416459"/>
    <x v="1"/>
    <s v="MARIA CONSTANZA MESIAS"/>
    <n v="1919264"/>
    <x v="0"/>
    <n v="24391"/>
    <x v="1"/>
    <x v="3"/>
    <x v="1"/>
    <n v="270"/>
  </r>
  <r>
    <x v="4"/>
    <n v="91"/>
    <x v="3"/>
    <x v="3"/>
    <x v="0"/>
    <x v="1"/>
    <x v="3"/>
    <x v="10"/>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4"/>
    <x v="4"/>
    <n v="10"/>
    <x v="0"/>
    <x v="0"/>
    <x v="0"/>
    <n v="36402360"/>
    <n v="3640236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x v="0"/>
    <n v="24634"/>
    <x v="1"/>
    <x v="3"/>
    <x v="1"/>
    <m/>
  </r>
  <r>
    <x v="4"/>
    <n v="25"/>
    <x v="3"/>
    <x v="4"/>
    <x v="1"/>
    <x v="6"/>
    <x v="3"/>
    <x v="9"/>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0"/>
    <n v="253342879"/>
    <n v="253342879"/>
    <x v="0"/>
    <x v="1"/>
    <x v="1"/>
    <x v="0"/>
    <x v="4"/>
    <s v="Control interno"/>
    <x v="4"/>
    <s v="Jefe Oficina de Control Interno"/>
    <x v="5"/>
    <x v="9"/>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x v="0"/>
    <s v="24289_x000a_24290_x000a_24291_x000a_24293"/>
    <x v="6"/>
    <x v="3"/>
    <x v="1"/>
    <n v="330"/>
  </r>
  <r>
    <x v="4"/>
    <n v="10"/>
    <x v="3"/>
    <x v="4"/>
    <x v="0"/>
    <x v="1"/>
    <x v="3"/>
    <x v="9"/>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0"/>
    <x v="0"/>
    <x v="0"/>
    <n v="56650000"/>
    <n v="56650000"/>
    <x v="0"/>
    <x v="1"/>
    <x v="0"/>
    <x v="1"/>
    <x v="6"/>
    <s v="Despacho"/>
    <x v="4"/>
    <s v="Secretaria General"/>
    <x v="6"/>
    <x v="10"/>
    <s v="N/A"/>
    <s v="N/A"/>
    <n v="55"/>
    <d v="2021-01-14T00:00:00"/>
    <n v="5000000"/>
    <n v="55000000"/>
    <n v="55000000"/>
    <x v="1"/>
    <s v="ANDRES MURCIA VARGAS ABOGADOS ASOCIADOS SAS"/>
    <n v="1650000"/>
    <x v="0"/>
    <n v="24215"/>
    <x v="1"/>
    <x v="3"/>
    <x v="2"/>
    <n v="330"/>
  </r>
  <r>
    <x v="4"/>
    <n v="95"/>
    <x v="3"/>
    <x v="4"/>
    <x v="0"/>
    <x v="1"/>
    <x v="3"/>
    <x v="0"/>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1"/>
    <x v="0"/>
    <x v="0"/>
    <x v="4"/>
    <s v="Dirección General"/>
    <x v="4"/>
    <s v="Directora General "/>
    <x v="5"/>
    <x v="1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x v="0"/>
    <n v="24726"/>
    <x v="1"/>
    <x v="3"/>
    <x v="1"/>
    <m/>
  </r>
  <r>
    <x v="5"/>
    <m/>
    <x v="4"/>
    <x v="5"/>
    <x v="0"/>
    <x v="0"/>
    <x v="0"/>
    <x v="2"/>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6"/>
    <x v="6"/>
    <n v="2"/>
    <x v="0"/>
    <x v="0"/>
    <x v="2"/>
    <n v="355564593"/>
    <n v="355564593"/>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17"/>
    <x v="0"/>
    <s v="Servicios de formación profesional en ingeniería"/>
    <x v="2"/>
    <n v="86101610"/>
    <s v="Prestación de servicios como copiloto de la aeronave hk 1771-g y la gestión de apoyo en el seguimiento y continuidad de los procesos y procedimientos de operaciones aéreas de los equipos tripulados y no tripulados del igac"/>
    <x v="10"/>
    <x v="10"/>
    <n v="3"/>
    <x v="0"/>
    <x v="0"/>
    <x v="0"/>
    <n v="25338000"/>
    <n v="25338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Prestación de servicios como piloto al mando de la aeronave hk 1771-g y la gestión de seguimiento, control y continuidad de los procesos y procedimientos de operaciones aéreas de los equipos tripulados y no tripulados del igac"/>
    <x v="10"/>
    <x v="10"/>
    <n v="3"/>
    <x v="0"/>
    <x v="0"/>
    <x v="0"/>
    <n v="40170000"/>
    <n v="4017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10"/>
    <x v="10"/>
    <n v="45"/>
    <x v="1"/>
    <x v="3"/>
    <x v="2"/>
    <n v="2499822874"/>
    <n v="2499822874"/>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7"/>
    <x v="0"/>
    <s v="Cartografía"/>
    <x v="0"/>
    <n v="81151600"/>
    <s v="Realizar el  mantenimiento, patronamiento y verificación de equipos geodésicos para el fortalecimiento de la red activa, red magna eco y red de nivelación nacional."/>
    <x v="0"/>
    <x v="0"/>
    <n v="5"/>
    <x v="0"/>
    <x v="4"/>
    <x v="0"/>
    <n v="57121940"/>
    <n v="57121940"/>
    <x v="0"/>
    <x v="1"/>
    <x v="0"/>
    <x v="0"/>
    <x v="7"/>
    <s v="Subdirección de Geografía y Cartografía "/>
    <x v="5"/>
    <s v="Subdirector de Geografía y Cartografía "/>
    <x v="7"/>
    <x v="13"/>
    <s v="Densificar el marco de referencia terrestre"/>
    <s v="Puntos Geodésicos Materializados"/>
    <m/>
    <m/>
    <e v="#N/A"/>
    <e v="#N/A"/>
    <e v="#N/A"/>
    <x v="0"/>
    <m/>
    <n v="0"/>
    <x v="0"/>
    <m/>
    <x v="0"/>
    <x v="0"/>
    <x v="0"/>
    <m/>
  </r>
  <r>
    <x v="5"/>
    <n v="35"/>
    <x v="4"/>
    <x v="5"/>
    <x v="3"/>
    <x v="3"/>
    <x v="3"/>
    <x v="16"/>
    <x v="0"/>
    <s v="Cartografía"/>
    <x v="0"/>
    <n v="81151600"/>
    <s v="Prestación de servicios para apoyar la generación de ortoimágenes a diferentes escalas, de conformidad con las especificaciones técnicas y rendimientos establecidos."/>
    <x v="3"/>
    <x v="3"/>
    <n v="10"/>
    <x v="0"/>
    <x v="0"/>
    <x v="0"/>
    <n v="80144490"/>
    <n v="80144490"/>
    <x v="0"/>
    <x v="1"/>
    <x v="3"/>
    <x v="0"/>
    <x v="7"/>
    <s v="Subdirección de Geografía y Cartografía "/>
    <x v="5"/>
    <s v="Subdirector de Geografía y Cartografía "/>
    <x v="7"/>
    <x v="12"/>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x v="0"/>
    <s v="24471_x000a_24474_x000a_24475_x000a_"/>
    <x v="3"/>
    <x v="3"/>
    <x v="0"/>
    <m/>
  </r>
  <r>
    <x v="5"/>
    <n v="30"/>
    <x v="4"/>
    <x v="5"/>
    <x v="2"/>
    <x v="2"/>
    <x v="3"/>
    <x v="5"/>
    <x v="0"/>
    <s v="Cartografía"/>
    <x v="0"/>
    <n v="81151600"/>
    <s v="Prestación de servicios profesionales para gestionar, controlar y hacer seguimiento de los procesos de producción cartográfica, asignados de conformidad con los lineamientos establecidos."/>
    <x v="3"/>
    <x v="3"/>
    <n v="315"/>
    <x v="1"/>
    <x v="0"/>
    <x v="1"/>
    <n v="140352534"/>
    <n v="140352534"/>
    <x v="0"/>
    <x v="1"/>
    <x v="2"/>
    <x v="0"/>
    <x v="7"/>
    <s v="Subdirección de Geografía y Cartografía "/>
    <x v="5"/>
    <s v="Subdirector de Geografía y Cartografía "/>
    <x v="7"/>
    <x v="12"/>
    <s v="Generar insumos y/o productos cartográficos"/>
    <s v="Cartografía escalas Medianas generada (1:10,000, 1:25,000)"/>
    <n v="206"/>
    <d v="2021-02-10T00:00:00"/>
    <n v="6683454"/>
    <n v="70176267"/>
    <n v="140352534"/>
    <x v="1"/>
    <s v="CARLOS ALBERTO SEDANO ARIZA  _x000a_CARLOS  EDUARDO  PLATA  CABRERA"/>
    <n v="0"/>
    <x v="0"/>
    <s v="24394_x000a_24395"/>
    <x v="2"/>
    <x v="3"/>
    <x v="1"/>
    <m/>
  </r>
  <r>
    <x v="5"/>
    <n v="31"/>
    <x v="4"/>
    <x v="5"/>
    <x v="6"/>
    <x v="8"/>
    <x v="3"/>
    <x v="5"/>
    <x v="0"/>
    <s v="Cartografía"/>
    <x v="0"/>
    <n v="81151600"/>
    <s v="Prestación de servicios para la captura o digitalización de elementos vectoriales a diferentes escalas y dimensiones, de conformidad con las especificaciones técnicas y rendimientos establecidos."/>
    <x v="3"/>
    <x v="3"/>
    <n v="11"/>
    <x v="0"/>
    <x v="0"/>
    <x v="1"/>
    <n v="381694680"/>
    <n v="381694680"/>
    <x v="0"/>
    <x v="1"/>
    <x v="6"/>
    <x v="0"/>
    <x v="7"/>
    <s v="Subdirección de Geografía y Cartografía "/>
    <x v="5"/>
    <s v="Subdirector de Geografía y Cartografía "/>
    <x v="7"/>
    <x v="12"/>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x v="0"/>
    <s v="24407_x000a_24412_x000a_24411_x000a_24413_x000a_24676"/>
    <x v="8"/>
    <x v="3"/>
    <x v="0"/>
    <m/>
  </r>
  <r>
    <x v="5"/>
    <n v="60"/>
    <x v="4"/>
    <x v="5"/>
    <x v="1"/>
    <x v="6"/>
    <x v="3"/>
    <x v="12"/>
    <x v="0"/>
    <s v="Cartografía"/>
    <x v="0"/>
    <n v="81151600"/>
    <s v="Prestacion de servicios para estructurar, integrar y validar la cartografía para los estudios y/o investigaciones geográficas asignadas"/>
    <x v="4"/>
    <x v="4"/>
    <n v="285"/>
    <x v="1"/>
    <x v="0"/>
    <x v="0"/>
    <n v="138328968"/>
    <n v="138328968"/>
    <x v="0"/>
    <x v="1"/>
    <x v="1"/>
    <x v="0"/>
    <x v="7"/>
    <s v="Subdirección de Geografía y Cartografía "/>
    <x v="4"/>
    <s v="Subdirector de Geografía y Cartografía "/>
    <x v="7"/>
    <x v="12"/>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x v="0"/>
    <s v="24564_x000a_24565_x000a_24566_x000a_24567"/>
    <x v="6"/>
    <x v="3"/>
    <x v="1"/>
    <m/>
  </r>
  <r>
    <x v="5"/>
    <n v="71"/>
    <x v="4"/>
    <x v="5"/>
    <x v="0"/>
    <x v="1"/>
    <x v="3"/>
    <x v="12"/>
    <x v="0"/>
    <s v="Servicios de mantenimiento y reparación de instalación de máquinas"/>
    <x v="0"/>
    <n v="72151800"/>
    <s v="Realizar el mantenimiento de los escáneres fotogramétricos del IGAC."/>
    <x v="4"/>
    <x v="4"/>
    <n v="10"/>
    <x v="0"/>
    <x v="0"/>
    <x v="0"/>
    <n v="218640604"/>
    <n v="218640604"/>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x v="0"/>
    <n v="24642"/>
    <x v="1"/>
    <x v="3"/>
    <x v="0"/>
    <m/>
  </r>
  <r>
    <x v="5"/>
    <n v="77"/>
    <x v="4"/>
    <x v="5"/>
    <x v="0"/>
    <x v="1"/>
    <x v="3"/>
    <x v="2"/>
    <x v="0"/>
    <s v="Cartografía"/>
    <x v="0"/>
    <n v="81151600"/>
    <s v="Realizar el mantenimiento, patronamiento y verificación de equipos geodésicos hiper sr -hiper v y estación total os 101, incluido los respuestos,  para dar cumplimiento a las labores de fotocontrol y rastreo de coordenadas."/>
    <x v="6"/>
    <x v="6"/>
    <n v="7"/>
    <x v="0"/>
    <x v="4"/>
    <x v="0"/>
    <n v="76844250"/>
    <n v="76844250"/>
    <x v="0"/>
    <x v="1"/>
    <x v="0"/>
    <x v="0"/>
    <x v="7"/>
    <s v="Subdirección de Geografía y Cartografía "/>
    <x v="5"/>
    <s v="Subdirector de Geografía y Cartografía "/>
    <x v="7"/>
    <x v="13"/>
    <s v="Densificar el marco de referencia terrestre"/>
    <s v="Puntos Geodésicos Materializados"/>
    <m/>
    <d v="2021-07-02T00:00:00"/>
    <n v="76844250"/>
    <n v="76844250"/>
    <n v="76844250"/>
    <x v="1"/>
    <s v="INICIO PROCESO"/>
    <n v="0"/>
    <x v="0"/>
    <m/>
    <x v="1"/>
    <x v="3"/>
    <x v="1"/>
    <n v="60"/>
  </r>
  <r>
    <x v="5"/>
    <n v="63"/>
    <x v="4"/>
    <x v="5"/>
    <x v="3"/>
    <x v="3"/>
    <x v="3"/>
    <x v="12"/>
    <x v="0"/>
    <s v="Cartografía"/>
    <x v="0"/>
    <n v="81151600"/>
    <s v="Prestación de servicios para la estandarización,  integración y disposición de información de ordenamiento territorial de los nodos regionales y locales al sistema de información geográfica definido para tal fin."/>
    <x v="4"/>
    <x v="4"/>
    <n v="255"/>
    <x v="1"/>
    <x v="0"/>
    <x v="1"/>
    <n v="75015390"/>
    <n v="75015390"/>
    <x v="0"/>
    <x v="1"/>
    <x v="3"/>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x v="0"/>
    <s v="24581_x000a_24582_x000a_24583"/>
    <x v="3"/>
    <x v="3"/>
    <x v="1"/>
    <m/>
  </r>
  <r>
    <x v="5"/>
    <n v="56"/>
    <x v="4"/>
    <x v="5"/>
    <x v="0"/>
    <x v="1"/>
    <x v="3"/>
    <x v="15"/>
    <x v="0"/>
    <s v="Cartografía"/>
    <x v="0"/>
    <n v="81151600"/>
    <s v="Prestación de servicios para realizar procesos de generalización de información cartográfica para los diferentes fines."/>
    <x v="3"/>
    <x v="3"/>
    <n v="8"/>
    <x v="0"/>
    <x v="0"/>
    <x v="0"/>
    <n v="21371864"/>
    <n v="21371864"/>
    <x v="0"/>
    <x v="1"/>
    <x v="0"/>
    <x v="0"/>
    <x v="7"/>
    <s v="Subdirección de Geografía y Cartografía "/>
    <x v="5"/>
    <s v="Subdirector de Geografía y Cartografía "/>
    <x v="7"/>
    <x v="12"/>
    <s v="Generar insumos y/o productos cartográficos"/>
    <s v="Cartografía escalas Medianas generada (1:10,000, 1:25,000)"/>
    <n v="399"/>
    <d v="2021-02-25T00:00:00"/>
    <n v="2671483"/>
    <n v="21371864"/>
    <n v="21371864"/>
    <x v="1"/>
    <s v="LUZ KELLY GARCÍA CONDE"/>
    <n v="0"/>
    <x v="0"/>
    <n v="24538"/>
    <x v="1"/>
    <x v="3"/>
    <x v="1"/>
    <m/>
  </r>
  <r>
    <x v="5"/>
    <n v="12"/>
    <x v="4"/>
    <x v="5"/>
    <x v="7"/>
    <x v="9"/>
    <x v="3"/>
    <x v="9"/>
    <x v="0"/>
    <s v="Cartografía"/>
    <x v="0"/>
    <n v="81151600"/>
    <s v="Prestación de servicios para la captura de información vectorial, de conformidad con las especificaciones técnicas y rendimientos establecidos."/>
    <x v="5"/>
    <x v="5"/>
    <n v="11"/>
    <x v="0"/>
    <x v="0"/>
    <x v="0"/>
    <n v="352739640"/>
    <n v="352739640"/>
    <x v="0"/>
    <x v="1"/>
    <x v="7"/>
    <x v="0"/>
    <x v="7"/>
    <s v="Subdirección de Geografía y Cartografía "/>
    <x v="5"/>
    <s v="Subdirector de Geografía y Cartografía "/>
    <x v="7"/>
    <x v="12"/>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3"/>
    <x v="1"/>
    <m/>
  </r>
  <r>
    <x v="5"/>
    <n v="75"/>
    <x v="4"/>
    <x v="5"/>
    <x v="2"/>
    <x v="2"/>
    <x v="3"/>
    <x v="13"/>
    <x v="0"/>
    <s v="Servicios de comercio internacional"/>
    <x v="0"/>
    <n v="80151600"/>
    <s v="Prestación de servicio para apoyar la organización, digitalización, control y seguimiento de los productos y servicios de la Subdirección de Geografía y Cartografía."/>
    <x v="8"/>
    <x v="8"/>
    <n v="8"/>
    <x v="0"/>
    <x v="0"/>
    <x v="1"/>
    <n v="33571440"/>
    <n v="33571440"/>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x v="0"/>
    <s v="24688_x000a_24689"/>
    <x v="2"/>
    <x v="3"/>
    <x v="0"/>
    <m/>
  </r>
  <r>
    <x v="5"/>
    <n v="73"/>
    <x v="4"/>
    <x v="5"/>
    <x v="2"/>
    <x v="2"/>
    <x v="3"/>
    <x v="13"/>
    <x v="0"/>
    <s v="Servicios de comercio internacional"/>
    <x v="0"/>
    <n v="80151600"/>
    <s v="Prestación de servicios para estructurar y elaborar cartografía temática de los proyectos asignados, de conformidad con las especificaciones técnicas y los tiempos establecidos."/>
    <x v="8"/>
    <x v="8"/>
    <n v="8"/>
    <x v="0"/>
    <x v="0"/>
    <x v="1"/>
    <n v="42743728"/>
    <n v="42743728"/>
    <x v="0"/>
    <x v="1"/>
    <x v="2"/>
    <x v="0"/>
    <x v="7"/>
    <s v="Subdirección de Geografía y Cartografía "/>
    <x v="5"/>
    <s v="Subdirector de Geografía y Cartografía "/>
    <x v="7"/>
    <x v="12"/>
    <s v="Generar insumos y/o productos cartográficos"/>
    <s v="Cartografía escalas Medianas generada (1:10,000, 1:25,000)"/>
    <n v="541"/>
    <d v="2021-04-22T00:00:00"/>
    <n v="2671483"/>
    <n v="21371864"/>
    <n v="42743728"/>
    <x v="1"/>
    <s v="SANTIAGO DÍAZ BOLÍVAR _x000a_LINA PAOLA FANDIÑO HERRERA"/>
    <n v="0"/>
    <x v="0"/>
    <s v="24686_x000a_24691"/>
    <x v="2"/>
    <x v="3"/>
    <x v="0"/>
    <m/>
  </r>
  <r>
    <x v="5"/>
    <n v="25"/>
    <x v="4"/>
    <x v="5"/>
    <x v="2"/>
    <x v="2"/>
    <x v="3"/>
    <x v="5"/>
    <x v="0"/>
    <s v="Cartografía"/>
    <x v="0"/>
    <n v="81151600"/>
    <s v="Prestación de servicios profesionales para orientar y optimizar los procesos de producción cartográfica, asignados de conformidad con los lineamientos establecidos."/>
    <x v="3"/>
    <x v="3"/>
    <n v="315"/>
    <x v="1"/>
    <x v="0"/>
    <x v="1"/>
    <n v="120913653"/>
    <n v="120913653"/>
    <x v="0"/>
    <x v="1"/>
    <x v="2"/>
    <x v="0"/>
    <x v="7"/>
    <s v="Subdirección de Geografía y Cartografía "/>
    <x v="5"/>
    <s v="Subdirector de Geografía y Cartografía "/>
    <x v="7"/>
    <x v="12"/>
    <s v="Generar insumos y/o productos cartográficos"/>
    <s v="Cartografía escalas Medianas generada (1:10,000, 1:25,000)"/>
    <n v="199"/>
    <d v="2021-02-05T00:00:00"/>
    <n v="5757793"/>
    <n v="60456826"/>
    <n v="120913652"/>
    <x v="1"/>
    <s v="MIGUEL ANGEL RAMÍREZ GUTIÉRREZ_x000a_VICTOR ANDRÉS MARTÍNEZ RUÍZ"/>
    <n v="1"/>
    <x v="0"/>
    <s v="24386_x000a_24388"/>
    <x v="2"/>
    <x v="3"/>
    <x v="1"/>
    <m/>
  </r>
  <r>
    <x v="5"/>
    <n v="5"/>
    <x v="4"/>
    <x v="5"/>
    <x v="0"/>
    <x v="1"/>
    <x v="3"/>
    <x v="9"/>
    <x v="0"/>
    <s v="Cartografía"/>
    <x v="0"/>
    <n v="81151600"/>
    <s v="Prestación de servicios para la generación de contenidos asociados a los procesos geográficos, cartográficos y geodésicos"/>
    <x v="3"/>
    <x v="3"/>
    <n v="9"/>
    <x v="0"/>
    <x v="0"/>
    <x v="0"/>
    <n v="50310810"/>
    <n v="50310810"/>
    <x v="0"/>
    <x v="1"/>
    <x v="0"/>
    <x v="0"/>
    <x v="7"/>
    <s v="Subdirección de Geografía y Cartografía "/>
    <x v="5"/>
    <s v="Subdirector de Geografía y Cartografía "/>
    <x v="8"/>
    <x v="14"/>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x v="0"/>
    <n v="24339"/>
    <x v="1"/>
    <x v="3"/>
    <x v="1"/>
    <n v="275"/>
  </r>
  <r>
    <x v="5"/>
    <n v="48"/>
    <x v="4"/>
    <x v="5"/>
    <x v="0"/>
    <x v="1"/>
    <x v="3"/>
    <x v="9"/>
    <x v="0"/>
    <s v="Cartografía"/>
    <x v="0"/>
    <n v="81151600"/>
    <s v="Prestación de servicios profesionales para realizar el control de calidad de los diagnósticos de los límites de las entidades territoriales y demás proyectos asociados"/>
    <x v="3"/>
    <x v="3"/>
    <n v="10"/>
    <x v="0"/>
    <x v="0"/>
    <x v="1"/>
    <n v="35342100"/>
    <n v="35342100"/>
    <x v="0"/>
    <x v="1"/>
    <x v="0"/>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x v="0"/>
    <n v="24516"/>
    <x v="1"/>
    <x v="3"/>
    <x v="1"/>
    <m/>
  </r>
  <r>
    <x v="5"/>
    <n v="3"/>
    <x v="4"/>
    <x v="5"/>
    <x v="0"/>
    <x v="1"/>
    <x v="3"/>
    <x v="9"/>
    <x v="0"/>
    <s v="Cartografía"/>
    <x v="0"/>
    <n v="81151600"/>
    <s v="Prestación de servicios para apoyar la implementación de métodos estadísticos en la subdirección y generación de nuevos productos."/>
    <x v="3"/>
    <x v="3"/>
    <n v="9"/>
    <x v="0"/>
    <x v="0"/>
    <x v="0"/>
    <n v="65973294"/>
    <n v="65973294"/>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x v="0"/>
    <n v="24207"/>
    <x v="1"/>
    <x v="3"/>
    <x v="1"/>
    <m/>
  </r>
  <r>
    <x v="5"/>
    <n v="17"/>
    <x v="4"/>
    <x v="5"/>
    <x v="0"/>
    <x v="1"/>
    <x v="3"/>
    <x v="9"/>
    <x v="0"/>
    <s v="Cartografía"/>
    <x v="0"/>
    <n v="81151600"/>
    <s v="Prestación de servicios profesionales para el seguimiento al proceso de implementación de los servicios ntrip vrs"/>
    <x v="5"/>
    <x v="5"/>
    <n v="11"/>
    <x v="0"/>
    <x v="0"/>
    <x v="1"/>
    <n v="28530403"/>
    <n v="28530403"/>
    <x v="0"/>
    <x v="1"/>
    <x v="0"/>
    <x v="0"/>
    <x v="7"/>
    <s v="Subdirección de Geografía y Cartografía "/>
    <x v="5"/>
    <s v="Subdirector de Geografía y Cartografía "/>
    <x v="7"/>
    <x v="13"/>
    <s v="Densificar el marco de referencia terrestre"/>
    <s v="Datos altimétricos generados"/>
    <n v="123"/>
    <d v="2021-01-27T00:00:00"/>
    <n v="2671483"/>
    <n v="28495819"/>
    <n v="28495819"/>
    <x v="1"/>
    <s v="JUAN DAVID HURTADO JAIMES"/>
    <n v="34584"/>
    <x v="0"/>
    <n v="24261"/>
    <x v="1"/>
    <x v="3"/>
    <x v="1"/>
    <n v="30"/>
  </r>
  <r>
    <x v="5"/>
    <n v="18"/>
    <x v="4"/>
    <x v="5"/>
    <x v="0"/>
    <x v="1"/>
    <x v="3"/>
    <x v="9"/>
    <x v="0"/>
    <s v="Cartografía"/>
    <x v="0"/>
    <n v="81151600"/>
    <s v="Prestación de servicios para el análisis, procesamiento y caracterización de imágenes insumo para la producción cartográfica."/>
    <x v="5"/>
    <x v="5"/>
    <n v="11"/>
    <x v="0"/>
    <x v="0"/>
    <x v="1"/>
    <n v="28530403"/>
    <n v="28530403"/>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x v="0"/>
    <n v="24259"/>
    <x v="1"/>
    <x v="3"/>
    <x v="1"/>
    <m/>
  </r>
  <r>
    <x v="5"/>
    <n v="20"/>
    <x v="4"/>
    <x v="5"/>
    <x v="0"/>
    <x v="1"/>
    <x v="3"/>
    <x v="5"/>
    <x v="0"/>
    <s v="Cartografía"/>
    <x v="0"/>
    <n v="81151600"/>
    <s v="Prestación de servicios para realizar actividades que promuevan la gestión y disposición de los datos geográficos, cartográficos y geodésicos."/>
    <x v="3"/>
    <x v="3"/>
    <n v="11"/>
    <x v="0"/>
    <x v="0"/>
    <x v="1"/>
    <n v="45518000"/>
    <n v="45518000"/>
    <x v="0"/>
    <x v="1"/>
    <x v="0"/>
    <x v="0"/>
    <x v="7"/>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x v="0"/>
    <n v="24358"/>
    <x v="1"/>
    <x v="3"/>
    <x v="1"/>
    <m/>
  </r>
  <r>
    <x v="5"/>
    <n v="1"/>
    <x v="4"/>
    <x v="5"/>
    <x v="0"/>
    <x v="1"/>
    <x v="3"/>
    <x v="9"/>
    <x v="0"/>
    <s v="Servicios de formación profesional en ingeniería"/>
    <x v="0"/>
    <n v="86101610"/>
    <s v="Prestación de servicios para apoyar la actualización de los procesos de la Subdirección de Geografía y Cartografía"/>
    <x v="5"/>
    <x v="5"/>
    <n v="11"/>
    <x v="0"/>
    <x v="0"/>
    <x v="1"/>
    <n v="45518000"/>
    <n v="45518000"/>
    <x v="0"/>
    <x v="1"/>
    <x v="0"/>
    <x v="0"/>
    <x v="7"/>
    <s v="Subdirección de Geografía y Cartografía "/>
    <x v="5"/>
    <s v="Subdirector de Geografía y Cartografía "/>
    <x v="7"/>
    <x v="12"/>
    <s v="Generar insumos y/o productos cartográficos"/>
    <s v="Cartografía escalas Medianas generada (1:10,000, 1:25,000)"/>
    <n v="42"/>
    <d v="2021-01-25T00:00:00"/>
    <n v="4263522"/>
    <n v="45477568"/>
    <n v="45477568"/>
    <x v="1"/>
    <s v="MARIANA  JARAMILLO RAMIREZ"/>
    <n v="40432"/>
    <x v="0"/>
    <n v="24243"/>
    <x v="1"/>
    <x v="3"/>
    <x v="1"/>
    <n v="280"/>
  </r>
  <r>
    <x v="5"/>
    <n v="46"/>
    <x v="4"/>
    <x v="5"/>
    <x v="0"/>
    <x v="1"/>
    <x v="3"/>
    <x v="9"/>
    <x v="0"/>
    <s v="Cartografía"/>
    <x v="0"/>
    <n v="81151600"/>
    <s v="Prestación de servicios para apoyar el análisis, evaluación y atención de requerimientos cartográficos relacionados con resguardos y territorios colectivos."/>
    <x v="3"/>
    <x v="3"/>
    <n v="10"/>
    <x v="0"/>
    <x v="0"/>
    <x v="1"/>
    <n v="48314800"/>
    <n v="48314800"/>
    <x v="0"/>
    <x v="1"/>
    <x v="0"/>
    <x v="0"/>
    <x v="7"/>
    <s v="Subdirección de Geografía y Cartografía "/>
    <x v="5"/>
    <s v="Subdirector de Geografía y Cartografía "/>
    <x v="8"/>
    <x v="15"/>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x v="0"/>
    <n v="24491"/>
    <x v="1"/>
    <x v="3"/>
    <x v="1"/>
    <m/>
  </r>
  <r>
    <x v="5"/>
    <n v="54"/>
    <x v="4"/>
    <x v="5"/>
    <x v="0"/>
    <x v="1"/>
    <x v="3"/>
    <x v="9"/>
    <x v="0"/>
    <s v="Cartografía"/>
    <x v="0"/>
    <n v="81151600"/>
    <s v="Prestación de servicios profesionales para la gestión y estructuración de la información de límites y fronteras."/>
    <x v="3"/>
    <x v="3"/>
    <n v="10"/>
    <x v="0"/>
    <x v="0"/>
    <x v="0"/>
    <n v="48314800"/>
    <n v="48314800"/>
    <x v="0"/>
    <x v="1"/>
    <x v="0"/>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x v="0"/>
    <n v="24521"/>
    <x v="1"/>
    <x v="3"/>
    <x v="1"/>
    <m/>
  </r>
  <r>
    <x v="5"/>
    <n v="9"/>
    <x v="4"/>
    <x v="5"/>
    <x v="0"/>
    <x v="1"/>
    <x v="3"/>
    <x v="9"/>
    <x v="0"/>
    <s v="Cartografía"/>
    <x v="0"/>
    <n v="81151600"/>
    <s v="Prestación de servicios para la revisión, compilación y validación de los datos de campo y calculados de gravimetría y geomagnetismo para su vinculación a la base de datos unificados"/>
    <x v="5"/>
    <x v="5"/>
    <n v="11"/>
    <x v="0"/>
    <x v="0"/>
    <x v="1"/>
    <n v="38876310"/>
    <n v="38876310"/>
    <x v="0"/>
    <x v="1"/>
    <x v="0"/>
    <x v="0"/>
    <x v="7"/>
    <s v="Subdirección de Geografía y Cartografía "/>
    <x v="5"/>
    <s v="Subdirector de Geografía y Cartografía "/>
    <x v="7"/>
    <x v="13"/>
    <s v="Densificar el marco de referencia gravimétricos"/>
    <s v="Valores gravimétricos generados"/>
    <n v="83"/>
    <d v="2021-01-22T00:00:00"/>
    <n v="3640236"/>
    <n v="38829184"/>
    <n v="38829184"/>
    <x v="1"/>
    <s v="DANIELA ANDREA HERNÁNDEZ BELTRÁN"/>
    <n v="47126"/>
    <x v="0"/>
    <n v="24236"/>
    <x v="1"/>
    <x v="3"/>
    <x v="1"/>
    <m/>
  </r>
  <r>
    <x v="5"/>
    <n v="7"/>
    <x v="4"/>
    <x v="5"/>
    <x v="0"/>
    <x v="1"/>
    <x v="3"/>
    <x v="9"/>
    <x v="0"/>
    <s v="Cartografía"/>
    <x v="0"/>
    <n v="81151600"/>
    <s v="Prestación de servicios profesionales para gestión de proyectos y atención a los requerimientos de la cancillería, en el marco de la demarcación de las fronteras del país."/>
    <x v="3"/>
    <x v="3"/>
    <n v="10"/>
    <x v="0"/>
    <x v="0"/>
    <x v="1"/>
    <n v="55900900"/>
    <n v="559009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78"/>
    <d v="2021-01-21T00:00:00"/>
    <n v="5757793"/>
    <n v="55850592"/>
    <n v="55850592"/>
    <x v="1"/>
    <s v="DEYBI LIBARDO MORA CASTAÑEDA"/>
    <n v="50308"/>
    <x v="0"/>
    <n v="24316"/>
    <x v="1"/>
    <x v="3"/>
    <x v="1"/>
    <n v="245"/>
  </r>
  <r>
    <x v="5"/>
    <n v="53"/>
    <x v="4"/>
    <x v="5"/>
    <x v="0"/>
    <x v="1"/>
    <x v="3"/>
    <x v="9"/>
    <x v="0"/>
    <s v="Servicios de implementación de aplicaciones"/>
    <x v="0"/>
    <n v="81111508"/>
    <s v="Prestación de servicios para procesar y analizar información geográfica requerida para los estudios e investigaciones asignadas."/>
    <x v="3"/>
    <x v="3"/>
    <n v="255"/>
    <x v="1"/>
    <x v="0"/>
    <x v="0"/>
    <n v="24276825"/>
    <n v="24276825"/>
    <x v="0"/>
    <x v="1"/>
    <x v="0"/>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x v="0"/>
    <n v="24548"/>
    <x v="1"/>
    <x v="3"/>
    <x v="1"/>
    <m/>
  </r>
  <r>
    <x v="5"/>
    <n v="28"/>
    <x v="4"/>
    <x v="5"/>
    <x v="0"/>
    <x v="1"/>
    <x v="3"/>
    <x v="5"/>
    <x v="0"/>
    <s v="Cartografía"/>
    <x v="0"/>
    <n v="81151600"/>
    <s v="Prestación de servicios profesionales para la gestión, análisis y respuesta oportuna asociada con los procesos y proyectos de la Subdirección"/>
    <x v="3"/>
    <x v="3"/>
    <n v="10"/>
    <x v="0"/>
    <x v="0"/>
    <x v="0"/>
    <n v="84543460"/>
    <n v="84543460"/>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x v="0"/>
    <n v="24409"/>
    <x v="1"/>
    <x v="3"/>
    <x v="1"/>
    <m/>
  </r>
  <r>
    <x v="5"/>
    <n v="24"/>
    <x v="4"/>
    <x v="5"/>
    <x v="2"/>
    <x v="2"/>
    <x v="3"/>
    <x v="5"/>
    <x v="0"/>
    <s v="Cartografía"/>
    <x v="0"/>
    <n v="81151600"/>
    <s v="Prestación de servicio para realizar actividades de mantenimiento, materialización y cálculo de redes geodésicas locales y estaciones de mantenimiento continuo."/>
    <x v="3"/>
    <x v="3"/>
    <n v="11"/>
    <x v="0"/>
    <x v="0"/>
    <x v="1"/>
    <n v="62834134"/>
    <n v="62834134"/>
    <x v="0"/>
    <x v="1"/>
    <x v="2"/>
    <x v="0"/>
    <x v="7"/>
    <s v="Subdirección de Geografía y Cartografía "/>
    <x v="5"/>
    <s v="Subdirector de Geografía y Cartografía "/>
    <x v="7"/>
    <x v="13"/>
    <s v="Densificar el marco de referencia terrestre"/>
    <s v="Datos Rinex de las estaciones permanentes generados"/>
    <n v="198"/>
    <d v="2021-02-05T00:00:00"/>
    <n v="2941780"/>
    <n v="31378987"/>
    <n v="62757974"/>
    <x v="1"/>
    <s v="ALEJANDRO RODRÍGUEZ URREA _x000a_DIEGO ANDRÉS GARCÍA CASTAÑEDA"/>
    <n v="76160"/>
    <x v="0"/>
    <s v="24385_x000a_24387"/>
    <x v="2"/>
    <x v="3"/>
    <x v="1"/>
    <n v="10"/>
  </r>
  <r>
    <x v="5"/>
    <n v="47"/>
    <x v="4"/>
    <x v="5"/>
    <x v="3"/>
    <x v="3"/>
    <x v="3"/>
    <x v="9"/>
    <x v="0"/>
    <s v="Cartografía"/>
    <x v="0"/>
    <n v="81151600"/>
    <s v="Prestación de servicios profesionales para realizar los diagnósticos de los límites de las entidades territoriales."/>
    <x v="3"/>
    <x v="3"/>
    <n v="10"/>
    <x v="0"/>
    <x v="0"/>
    <x v="1"/>
    <n v="85682910"/>
    <n v="85682910"/>
    <x v="0"/>
    <x v="1"/>
    <x v="3"/>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x v="0"/>
    <s v="24529_x000a_24530_x000a_24531"/>
    <x v="3"/>
    <x v="3"/>
    <x v="1"/>
    <m/>
  </r>
  <r>
    <x v="5"/>
    <n v="16"/>
    <x v="4"/>
    <x v="5"/>
    <x v="2"/>
    <x v="2"/>
    <x v="3"/>
    <x v="9"/>
    <x v="0"/>
    <s v="Cartografía"/>
    <x v="0"/>
    <n v="81151600"/>
    <s v="Prestación de servicios profesionales para realizar las actividades de cálculo de proyectos GNSS y demás asignados."/>
    <x v="5"/>
    <x v="5"/>
    <n v="11"/>
    <x v="0"/>
    <x v="0"/>
    <x v="1"/>
    <n v="66741840"/>
    <n v="66741840"/>
    <x v="0"/>
    <x v="1"/>
    <x v="2"/>
    <x v="0"/>
    <x v="7"/>
    <s v="Subdirección de Geografía y Cartografía "/>
    <x v="5"/>
    <s v="Subdirector de Geografía y Cartografía "/>
    <x v="7"/>
    <x v="13"/>
    <s v="Densificar el marco de referencia terrestre"/>
    <s v="Datos Rinex de las estaciones permanentes generados"/>
    <n v="108"/>
    <d v="2021-01-27T00:00:00"/>
    <n v="3124732"/>
    <n v="33330475"/>
    <n v="66660950"/>
    <x v="1"/>
    <s v="PABLO ALEJANDRO MENDEZ HERNANDEZ_x000a_JENNY AZUCENA HERRERA GARZON"/>
    <n v="80890"/>
    <x v="0"/>
    <s v="24250_x000a_24251"/>
    <x v="2"/>
    <x v="3"/>
    <x v="1"/>
    <m/>
  </r>
  <r>
    <x v="5"/>
    <n v="6"/>
    <x v="4"/>
    <x v="5"/>
    <x v="3"/>
    <x v="3"/>
    <x v="3"/>
    <x v="9"/>
    <x v="0"/>
    <s v="Cartografía"/>
    <x v="0"/>
    <n v="81151600"/>
    <s v="Prestación de servicios profesionales para apoyar la gestión técnica de los procesos de deslindes, de conformidad con los criterios técnicos y normatividad establecida"/>
    <x v="3"/>
    <x v="3"/>
    <n v="10"/>
    <x v="0"/>
    <x v="0"/>
    <x v="1"/>
    <n v="106026300"/>
    <n v="106026300"/>
    <x v="0"/>
    <x v="1"/>
    <x v="3"/>
    <x v="0"/>
    <x v="7"/>
    <s v="Subdirección de Geografía y Cartografía "/>
    <x v="5"/>
    <s v="Subdirector de Geografía y Cartografía "/>
    <x v="8"/>
    <x v="15"/>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x v="0"/>
    <s v="24224_x000a_24226_x000a_24227"/>
    <x v="3"/>
    <x v="3"/>
    <x v="1"/>
    <m/>
  </r>
  <r>
    <x v="5"/>
    <n v="36"/>
    <x v="4"/>
    <x v="5"/>
    <x v="0"/>
    <x v="1"/>
    <x v="3"/>
    <x v="5"/>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1"/>
    <n v="80634026"/>
    <n v="80634026"/>
    <x v="0"/>
    <x v="1"/>
    <x v="0"/>
    <x v="0"/>
    <x v="7"/>
    <s v="Subdirección de Geografía y Cartografía "/>
    <x v="5"/>
    <s v="Subdirector de Geografía y Cartografía "/>
    <x v="7"/>
    <x v="12"/>
    <s v="Generar insumos y/o productos cartográficos"/>
    <s v="Cartografía escalas Medianas generada (1:10,000, 1:25,000)"/>
    <n v="286"/>
    <d v="2021-02-15T00:00:00"/>
    <n v="7550277"/>
    <n v="80536288"/>
    <n v="80536288"/>
    <x v="1"/>
    <s v="SONIA BELTRAN"/>
    <n v="97738"/>
    <x v="0"/>
    <n v="24451"/>
    <x v="1"/>
    <x v="3"/>
    <x v="1"/>
    <m/>
  </r>
  <r>
    <x v="5"/>
    <n v="10"/>
    <x v="4"/>
    <x v="5"/>
    <x v="3"/>
    <x v="3"/>
    <x v="3"/>
    <x v="9"/>
    <x v="0"/>
    <s v="Cartografía"/>
    <x v="0"/>
    <n v="81151600"/>
    <s v="Prestación de servicios para la organización, administración y disposición de los productos cartográficos, geográficos y geodésicos de la subdirección de geografía y cartografía. "/>
    <x v="5"/>
    <x v="5"/>
    <n v="11"/>
    <x v="0"/>
    <x v="0"/>
    <x v="1"/>
    <n v="85591209"/>
    <n v="85591209"/>
    <x v="0"/>
    <x v="1"/>
    <x v="3"/>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x v="0"/>
    <s v="23237_x000a_23238_x000a_24552"/>
    <x v="3"/>
    <x v="3"/>
    <x v="0"/>
    <m/>
  </r>
  <r>
    <x v="5"/>
    <n v="52"/>
    <x v="4"/>
    <x v="5"/>
    <x v="2"/>
    <x v="2"/>
    <x v="3"/>
    <x v="9"/>
    <x v="0"/>
    <s v="Cartografía"/>
    <x v="0"/>
    <n v="81151600"/>
    <s v="Prestación de servicios para gestionar, organizar y procesar información geográfica requerida para los estudios e investigaciones asignadas."/>
    <x v="3"/>
    <x v="3"/>
    <n v="255"/>
    <x v="1"/>
    <x v="0"/>
    <x v="1"/>
    <n v="48553649"/>
    <n v="48553649"/>
    <x v="0"/>
    <x v="1"/>
    <x v="2"/>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x v="0"/>
    <s v="24522_x000a_24523"/>
    <x v="2"/>
    <x v="3"/>
    <x v="1"/>
    <m/>
  </r>
  <r>
    <x v="5"/>
    <n v="22"/>
    <x v="4"/>
    <x v="5"/>
    <x v="0"/>
    <x v="1"/>
    <x v="3"/>
    <x v="5"/>
    <x v="0"/>
    <s v="Cartografía"/>
    <x v="0"/>
    <n v="81151600"/>
    <s v="Prestación de servicios para gestionar,  realizar el control  y seguimiento a la toma de fotografía aérea y consecución de insumos necesarios para producción cartográfica."/>
    <x v="3"/>
    <x v="3"/>
    <n v="11"/>
    <x v="0"/>
    <x v="0"/>
    <x v="1"/>
    <n v="92997806"/>
    <n v="92997806"/>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x v="0"/>
    <n v="24351"/>
    <x v="1"/>
    <x v="3"/>
    <x v="1"/>
    <m/>
  </r>
  <r>
    <x v="5"/>
    <n v="21"/>
    <x v="4"/>
    <x v="5"/>
    <x v="0"/>
    <x v="1"/>
    <x v="3"/>
    <x v="5"/>
    <x v="0"/>
    <s v="Servicios de formación profesional en ingeniería"/>
    <x v="0"/>
    <n v="86101610"/>
    <s v="Prestación de servicios profesionales para el acompañamiento y seguimiento a la ejecución de los  proyectos  y procesos de la Subdirección de Geografía y Cartografía."/>
    <x v="3"/>
    <x v="3"/>
    <n v="11"/>
    <x v="0"/>
    <x v="0"/>
    <x v="1"/>
    <n v="92997806"/>
    <n v="92997806"/>
    <x v="0"/>
    <x v="1"/>
    <x v="0"/>
    <x v="0"/>
    <x v="7"/>
    <s v="Subdirección de Geografía y Cartografía "/>
    <x v="5"/>
    <s v="Subdirector de Geografía y Cartografía "/>
    <x v="7"/>
    <x v="12"/>
    <s v="Generar insumos y/o productos cartográficos"/>
    <s v="Cartografía escalas Medianas generada (1:10,000, 1:25,000)"/>
    <n v="170"/>
    <d v="2021-02-04T00:00:00"/>
    <n v="8707976"/>
    <n v="92885077"/>
    <n v="92885077"/>
    <x v="1"/>
    <s v="JOHANNA MARÍA DÍAZ DÍAZ_x000a_"/>
    <n v="112729"/>
    <x v="0"/>
    <n v="24355"/>
    <x v="1"/>
    <x v="3"/>
    <x v="1"/>
    <m/>
  </r>
  <r>
    <x v="5"/>
    <n v="8"/>
    <x v="4"/>
    <x v="5"/>
    <x v="2"/>
    <x v="2"/>
    <x v="3"/>
    <x v="9"/>
    <x v="0"/>
    <s v="Cartografía"/>
    <x v="0"/>
    <n v="81151600"/>
    <s v="Prestación de servicios para el fortalecimiento de los productos y servicios de información geográfica, cartográfica y geodésica, promoviendo su descubrimiento y uso."/>
    <x v="5"/>
    <x v="5"/>
    <n v="10"/>
    <x v="0"/>
    <x v="0"/>
    <x v="0"/>
    <n v="146607320"/>
    <n v="146607320"/>
    <x v="0"/>
    <x v="1"/>
    <x v="2"/>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x v="0"/>
    <s v="24230_x000a_24233"/>
    <x v="2"/>
    <x v="3"/>
    <x v="1"/>
    <m/>
  </r>
  <r>
    <x v="5"/>
    <n v="15"/>
    <x v="4"/>
    <x v="5"/>
    <x v="3"/>
    <x v="3"/>
    <x v="3"/>
    <x v="9"/>
    <x v="0"/>
    <s v="Cartografía"/>
    <x v="0"/>
    <n v="81151600"/>
    <s v="Prestación de servicios para realizar el proceso de aerotriangulación, de conformidad con las especificaciones técnicas y rendimientos establecidos."/>
    <x v="5"/>
    <x v="5"/>
    <n v="11"/>
    <x v="0"/>
    <x v="0"/>
    <x v="1"/>
    <n v="116628930"/>
    <n v="116628930"/>
    <x v="0"/>
    <x v="1"/>
    <x v="3"/>
    <x v="0"/>
    <x v="7"/>
    <s v="Subdirección de Geografía y Cartografía "/>
    <x v="5"/>
    <s v="Subdirector de Geografía y Cartografía "/>
    <x v="7"/>
    <x v="12"/>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x v="0"/>
    <s v="24256_x000a_24254_x000a_24256"/>
    <x v="3"/>
    <x v="3"/>
    <x v="1"/>
    <m/>
  </r>
  <r>
    <x v="5"/>
    <n v="19"/>
    <x v="4"/>
    <x v="5"/>
    <x v="0"/>
    <x v="1"/>
    <x v="3"/>
    <x v="5"/>
    <x v="0"/>
    <s v="Cartografía"/>
    <x v="0"/>
    <n v="81151600"/>
    <s v="Prestación de servicios para gestionar y orientar el cumplimiento de los proyectos liderados por la Subdirección de Geografía y Cartografía"/>
    <x v="3"/>
    <x v="3"/>
    <n v="11"/>
    <x v="0"/>
    <x v="0"/>
    <x v="0"/>
    <n v="117717006"/>
    <n v="117717006"/>
    <x v="0"/>
    <x v="1"/>
    <x v="0"/>
    <x v="0"/>
    <x v="7"/>
    <s v="Subdirección de Geografía y Cartografía "/>
    <x v="5"/>
    <s v="Subdirector de Geografía y Cartografía "/>
    <x v="7"/>
    <x v="13"/>
    <s v="Densificar el marco de referencia terrestre"/>
    <s v="Puntos Geodésicos Materializados"/>
    <n v="131"/>
    <d v="2021-02-04T00:00:00"/>
    <n v="11022592"/>
    <n v="117574315"/>
    <n v="117574315"/>
    <x v="1"/>
    <s v="ADRIANA PACHON LOZANO"/>
    <n v="142691"/>
    <x v="0"/>
    <n v="24359"/>
    <x v="1"/>
    <x v="3"/>
    <x v="2"/>
    <n v="330"/>
  </r>
  <r>
    <x v="5"/>
    <n v="51"/>
    <x v="4"/>
    <x v="5"/>
    <x v="3"/>
    <x v="3"/>
    <x v="3"/>
    <x v="9"/>
    <x v="0"/>
    <s v="Cartografía"/>
    <x v="0"/>
    <n v="81151600"/>
    <s v="Prestación de servicios para elaborar los mapas temáticos y salidas gráficas requeridas para los estudios y/o investigaciones geográficas asignadas, de conformidad con los lineamientos técnicos."/>
    <x v="3"/>
    <x v="3"/>
    <n v="255"/>
    <x v="1"/>
    <x v="0"/>
    <x v="0"/>
    <n v="66138662"/>
    <n v="66138662"/>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x v="0"/>
    <s v="24541_x000a_24542_x000a_24546"/>
    <x v="3"/>
    <x v="3"/>
    <x v="1"/>
    <m/>
  </r>
  <r>
    <x v="5"/>
    <n v="13"/>
    <x v="4"/>
    <x v="5"/>
    <x v="4"/>
    <x v="4"/>
    <x v="3"/>
    <x v="9"/>
    <x v="0"/>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0"/>
    <x v="0"/>
    <x v="1"/>
    <n v="142652015"/>
    <n v="142652015"/>
    <x v="0"/>
    <x v="1"/>
    <x v="4"/>
    <x v="0"/>
    <x v="7"/>
    <s v="Subdirección de Geografía y Cartografía "/>
    <x v="5"/>
    <s v="Subdirector de Geografía y Cartografía "/>
    <x v="7"/>
    <x v="13"/>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x v="0"/>
    <s v="24246_x000a_24247_x000a_24272_x000a_24273_x000a_24274"/>
    <x v="4"/>
    <x v="3"/>
    <x v="1"/>
    <m/>
  </r>
  <r>
    <x v="5"/>
    <n v="44"/>
    <x v="4"/>
    <x v="5"/>
    <x v="6"/>
    <x v="8"/>
    <x v="3"/>
    <x v="5"/>
    <x v="0"/>
    <s v="Cartografía"/>
    <x v="0"/>
    <n v="81151600"/>
    <s v="Prestación de servicios para implementar y optimizar los procesos de aseguramiento de la calidad de productos cartográficos, de conformidad con las especificaciones técnicas y rendimientos establecidos."/>
    <x v="3"/>
    <x v="3"/>
    <n v="10"/>
    <x v="0"/>
    <x v="0"/>
    <x v="0"/>
    <n v="212052600"/>
    <n v="212052600"/>
    <x v="0"/>
    <x v="1"/>
    <x v="6"/>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3"/>
    <x v="1"/>
    <m/>
  </r>
  <r>
    <x v="5"/>
    <n v="55"/>
    <x v="4"/>
    <x v="5"/>
    <x v="2"/>
    <x v="2"/>
    <x v="3"/>
    <x v="9"/>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1"/>
    <n v="51409746"/>
    <n v="51409746"/>
    <x v="0"/>
    <x v="1"/>
    <x v="2"/>
    <x v="0"/>
    <x v="7"/>
    <s v="Subdirección de Geografía y Cartografía "/>
    <x v="5"/>
    <s v="Subdirector de Geografía y Cartografía "/>
    <x v="8"/>
    <x v="15"/>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x v="0"/>
    <s v="24527_x000a_24533_x000a_"/>
    <x v="2"/>
    <x v="3"/>
    <x v="1"/>
    <m/>
  </r>
  <r>
    <x v="5"/>
    <n v="49"/>
    <x v="4"/>
    <x v="5"/>
    <x v="1"/>
    <x v="6"/>
    <x v="3"/>
    <x v="5"/>
    <x v="0"/>
    <s v="Cartografía"/>
    <x v="0"/>
    <n v="81151600"/>
    <s v="Prestación de servicios para analizar y desarrollar el componente temático de los estudios y/o investigaciones geográficas asignadas, de conformidad con la metodología establecida."/>
    <x v="3"/>
    <x v="3"/>
    <n v="255"/>
    <x v="1"/>
    <x v="0"/>
    <x v="1"/>
    <n v="120163140"/>
    <n v="120163140"/>
    <x v="0"/>
    <x v="1"/>
    <x v="1"/>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x v="0"/>
    <s v="24508_x000a_24513_x000a_24514_x000a_24515"/>
    <x v="6"/>
    <x v="3"/>
    <x v="1"/>
    <m/>
  </r>
  <r>
    <x v="5"/>
    <n v="11"/>
    <x v="4"/>
    <x v="5"/>
    <x v="4"/>
    <x v="4"/>
    <x v="3"/>
    <x v="9"/>
    <x v="0"/>
    <s v="Cartografía"/>
    <x v="0"/>
    <n v="81151600"/>
    <s v="Prestación de servicios para realizar la asignación , seguimiento y control de calidad de los procesos de producción cartográfica, de conformidad con las especificaciones técnicas y rendimientos establecidos."/>
    <x v="5"/>
    <x v="5"/>
    <n v="11"/>
    <x v="0"/>
    <x v="0"/>
    <x v="1"/>
    <n v="265731400"/>
    <n v="265731400"/>
    <x v="0"/>
    <x v="1"/>
    <x v="4"/>
    <x v="0"/>
    <x v="7"/>
    <s v="Subdirección de Geografía y Cartografía "/>
    <x v="5"/>
    <s v="Subdirector de Geografía y Cartografía "/>
    <x v="7"/>
    <x v="12"/>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x v="0"/>
    <s v="24312_x000a_24313_x000a_24322_x000a_24323_x000a_24324"/>
    <x v="4"/>
    <x v="3"/>
    <x v="1"/>
    <m/>
  </r>
  <r>
    <x v="5"/>
    <n v="50"/>
    <x v="4"/>
    <x v="5"/>
    <x v="3"/>
    <x v="3"/>
    <x v="3"/>
    <x v="9"/>
    <x v="0"/>
    <s v="Cartografía"/>
    <x v="0"/>
    <n v="81151600"/>
    <s v="Prestación de servicios para analizar, consolidar e integrar los documentos técnicos de los estudios e investigaciones geográficas, de conformidad con la metodología establecida."/>
    <x v="3"/>
    <x v="3"/>
    <n v="255"/>
    <x v="1"/>
    <x v="0"/>
    <x v="1"/>
    <n v="165464145"/>
    <n v="165464145"/>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x v="0"/>
    <s v="24543_x000a_24544_x000a_24545"/>
    <x v="3"/>
    <x v="3"/>
    <x v="1"/>
    <m/>
  </r>
  <r>
    <x v="5"/>
    <n v="14"/>
    <x v="4"/>
    <x v="5"/>
    <x v="8"/>
    <x v="10"/>
    <x v="3"/>
    <x v="9"/>
    <x v="0"/>
    <s v="Cartografía"/>
    <x v="0"/>
    <n v="81151600"/>
    <s v="Prestación de servicios para realizar la edición, estructuración e integración de la cartografía básica, de conformidad con las especificaciones técnicas establecidas."/>
    <x v="5"/>
    <x v="5"/>
    <n v="11"/>
    <x v="0"/>
    <x v="0"/>
    <x v="1"/>
    <n v="388763100"/>
    <n v="388763100"/>
    <x v="0"/>
    <x v="1"/>
    <x v="9"/>
    <x v="0"/>
    <x v="7"/>
    <s v="Subdirección de Geografía y Cartografía "/>
    <x v="5"/>
    <s v="Subdirector de Geografía y Cartografía "/>
    <x v="7"/>
    <x v="12"/>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3"/>
    <x v="1"/>
    <m/>
  </r>
  <r>
    <x v="5"/>
    <n v="62"/>
    <x v="4"/>
    <x v="5"/>
    <x v="3"/>
    <x v="3"/>
    <x v="3"/>
    <x v="16"/>
    <x v="0"/>
    <s v="Cartografía"/>
    <x v="0"/>
    <n v="81151600"/>
    <s v="Prestación de servicios para analizar, elaborar y consolidar la caracterización territorial para los municipios priorizados, desde cada uno de los procesos asignados y de conformidad con la metodología establecida."/>
    <x v="4"/>
    <x v="4"/>
    <n v="6"/>
    <x v="0"/>
    <x v="0"/>
    <x v="0"/>
    <n v="116798220"/>
    <n v="116798220"/>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x v="0"/>
    <s v="24569_x000a_24570_x000a_24637"/>
    <x v="3"/>
    <x v="3"/>
    <x v="1"/>
    <m/>
  </r>
  <r>
    <x v="5"/>
    <n v="26"/>
    <x v="4"/>
    <x v="5"/>
    <x v="5"/>
    <x v="5"/>
    <x v="3"/>
    <x v="5"/>
    <x v="0"/>
    <s v="Cartografía"/>
    <x v="0"/>
    <n v="81151600"/>
    <s v="Prestación de servicios para elaborar ortoimágenes a diferentes escalas, de conformidad con las especificaciones técnicas y rendimientos establecidos."/>
    <x v="3"/>
    <x v="3"/>
    <n v="315"/>
    <x v="1"/>
    <x v="0"/>
    <x v="1"/>
    <n v="194381550"/>
    <n v="194381550"/>
    <x v="0"/>
    <x v="1"/>
    <x v="5"/>
    <x v="0"/>
    <x v="7"/>
    <s v="Subdirección de Geografía y Cartografía "/>
    <x v="5"/>
    <s v="Subdirector de Geografía y Cartografía "/>
    <x v="7"/>
    <x v="12"/>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5"/>
    <x v="3"/>
    <x v="1"/>
    <m/>
  </r>
  <r>
    <x v="5"/>
    <n v="32"/>
    <x v="4"/>
    <x v="5"/>
    <x v="0"/>
    <x v="1"/>
    <x v="3"/>
    <x v="5"/>
    <x v="0"/>
    <s v="Servicios de formación profesional en ingeniería"/>
    <x v="0"/>
    <n v="86101610"/>
    <s v="Prestación de servicios para  la preparación y trámite de información requerida para el desarrollo de los proyectos."/>
    <x v="3"/>
    <x v="3"/>
    <n v="11"/>
    <x v="0"/>
    <x v="0"/>
    <x v="0"/>
    <n v="38876310"/>
    <n v="38876310"/>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x v="0"/>
    <n v="24414"/>
    <x v="1"/>
    <x v="3"/>
    <x v="1"/>
    <m/>
  </r>
  <r>
    <x v="5"/>
    <n v="61"/>
    <x v="4"/>
    <x v="5"/>
    <x v="0"/>
    <x v="1"/>
    <x v="3"/>
    <x v="12"/>
    <x v="0"/>
    <s v="Cartografía"/>
    <x v="0"/>
    <n v="81151600"/>
    <s v="Prestación de servicios para la gestión, inventario y verificación de los equipos de medición de la subdirección de geografía y cartografía"/>
    <x v="4"/>
    <x v="4"/>
    <n v="315"/>
    <x v="1"/>
    <x v="0"/>
    <x v="1"/>
    <n v="28050571.5"/>
    <n v="28050571.5"/>
    <x v="0"/>
    <x v="1"/>
    <x v="0"/>
    <x v="0"/>
    <x v="7"/>
    <s v="Subdirección de Geografía y Cartografía "/>
    <x v="5"/>
    <s v="Subdirector de Geografía y Cartografía "/>
    <x v="7"/>
    <x v="13"/>
    <s v="Densificar el marco de referencia terrestre"/>
    <s v="Puntos Geodésicos Materializados"/>
    <n v="430"/>
    <d v="2021-03-08T00:00:00"/>
    <n v="2671483"/>
    <n v="26714830"/>
    <n v="26714830"/>
    <x v="1"/>
    <s v="GABRIEL ENRIQUE MEJIA ZAMORA"/>
    <n v="1335741.5"/>
    <x v="0"/>
    <n v="24560"/>
    <x v="1"/>
    <x v="3"/>
    <x v="1"/>
    <m/>
  </r>
  <r>
    <x v="5"/>
    <n v="29"/>
    <x v="4"/>
    <x v="5"/>
    <x v="0"/>
    <x v="1"/>
    <x v="3"/>
    <x v="5"/>
    <x v="0"/>
    <s v="Cartografía"/>
    <x v="0"/>
    <n v="81151600"/>
    <s v="Prestación de servicios para gestionar los requerimientos y procesos jurídicos que lidere la subdirección de geografía y cartografía"/>
    <x v="3"/>
    <x v="3"/>
    <n v="11"/>
    <x v="0"/>
    <x v="0"/>
    <x v="0"/>
    <n v="80634026"/>
    <n v="80634026"/>
    <x v="0"/>
    <x v="1"/>
    <x v="0"/>
    <x v="0"/>
    <x v="7"/>
    <s v="Subdirección de Geografía y Cartografía "/>
    <x v="5"/>
    <s v="Subdirector de Geografía y Cartografía "/>
    <x v="7"/>
    <x v="12"/>
    <s v="Generar insumos y/o productos cartográficos"/>
    <s v="Cartografía escalas Medianas generada (1:10,000, 1:25,000)"/>
    <n v="218"/>
    <d v="2021-02-09T00:00:00"/>
    <n v="7550277"/>
    <n v="79277909"/>
    <n v="79277909"/>
    <x v="1"/>
    <s v="EDGAR CAMILO GUTIÉRREZ RODRÍGUEZ"/>
    <n v="1356117"/>
    <x v="0"/>
    <n v="24408"/>
    <x v="1"/>
    <x v="3"/>
    <x v="1"/>
    <m/>
  </r>
  <r>
    <x v="5"/>
    <n v="65"/>
    <x v="4"/>
    <x v="5"/>
    <x v="0"/>
    <x v="1"/>
    <x v="3"/>
    <x v="12"/>
    <x v="0"/>
    <s v="Cartografía"/>
    <x v="0"/>
    <n v="81151600"/>
    <s v="Prestación de servicios para realizar estudios y análisis de información geológica como apoyo a los procesos de la Subdirección."/>
    <x v="4"/>
    <x v="4"/>
    <n v="10"/>
    <x v="0"/>
    <x v="0"/>
    <x v="1"/>
    <n v="30337200"/>
    <n v="303372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483"/>
    <d v="2021-03-15T00:00:00"/>
    <n v="3124732"/>
    <n v="28851692"/>
    <n v="28851692"/>
    <x v="1"/>
    <s v="DANIEL ESTEBAN GONGORA BLANCO"/>
    <n v="1485508"/>
    <x v="0"/>
    <n v="24617"/>
    <x v="1"/>
    <x v="3"/>
    <x v="1"/>
    <m/>
  </r>
  <r>
    <x v="6"/>
    <n v="1"/>
    <x v="4"/>
    <x v="5"/>
    <x v="0"/>
    <x v="1"/>
    <x v="3"/>
    <x v="3"/>
    <x v="0"/>
    <s v="Placa de acero inoxidable"/>
    <x v="0"/>
    <n v="30102205"/>
    <s v="Adquisición de placas metálicas para materialización de puntos geodésicos."/>
    <x v="2"/>
    <x v="2"/>
    <n v="3"/>
    <x v="0"/>
    <x v="1"/>
    <x v="0"/>
    <n v="10000000"/>
    <n v="10000000"/>
    <x v="0"/>
    <x v="1"/>
    <x v="0"/>
    <x v="0"/>
    <x v="7"/>
    <s v="Subdirección de Geografía y Cartografía "/>
    <x v="5"/>
    <s v="Subdirector de Geografía y Cartografía "/>
    <x v="7"/>
    <x v="13"/>
    <s v="Densificar el marco de referencia terrestre"/>
    <s v="Puntos Geodésicos Materializados"/>
    <m/>
    <d v="2021-07-26T00:00:00"/>
    <n v="8408740"/>
    <n v="8408740"/>
    <n v="8408740"/>
    <x v="1"/>
    <s v="INICIO PROCESO"/>
    <n v="1591260"/>
    <x v="0"/>
    <m/>
    <x v="1"/>
    <x v="3"/>
    <x v="0"/>
    <m/>
  </r>
  <r>
    <x v="5"/>
    <n v="40"/>
    <x v="4"/>
    <x v="5"/>
    <x v="0"/>
    <x v="1"/>
    <x v="3"/>
    <x v="5"/>
    <x v="0"/>
    <s v="Cartografía"/>
    <x v="0"/>
    <n v="81151600"/>
    <s v="Prestación de servicios para realizar el seguimiento y control de calidad de los proyectos de producción cartográfica, de acuerdo con las priorizaciones"/>
    <x v="3"/>
    <x v="3"/>
    <n v="11"/>
    <x v="0"/>
    <x v="0"/>
    <x v="0"/>
    <n v="53146280"/>
    <n v="53146280"/>
    <x v="0"/>
    <x v="1"/>
    <x v="0"/>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x v="0"/>
    <n v="24473"/>
    <x v="1"/>
    <x v="3"/>
    <x v="1"/>
    <m/>
  </r>
  <r>
    <x v="5"/>
    <n v="45"/>
    <x v="4"/>
    <x v="5"/>
    <x v="0"/>
    <x v="1"/>
    <x v="3"/>
    <x v="5"/>
    <x v="0"/>
    <s v="Cartografía"/>
    <x v="0"/>
    <n v="81151600"/>
    <s v="Prestación de servicios profesionales para el apoyo en la gestión de procesamiento de estaciones y control de calidad en la obtención de coordenadas, de acuerdo con las especificaciones y prioridades establecidas"/>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361"/>
    <d v="2021-02-19T00:00:00"/>
    <n v="2941780"/>
    <n v="29417800"/>
    <n v="29417800"/>
    <x v="1"/>
    <s v="MARIA CAMILA BAUTISTA"/>
    <n v="1999267"/>
    <x v="0"/>
    <n v="24517"/>
    <x v="1"/>
    <x v="3"/>
    <x v="1"/>
    <m/>
  </r>
  <r>
    <x v="5"/>
    <n v="66"/>
    <x v="4"/>
    <x v="5"/>
    <x v="0"/>
    <x v="1"/>
    <x v="3"/>
    <x v="12"/>
    <x v="0"/>
    <s v="Cartografía"/>
    <x v="0"/>
    <n v="81151600"/>
    <s v="Prestación de servicios para gestionar desde el componente administrativo, procesos y proyectos misionales de la Subdirección de Geografía y Cartografía."/>
    <x v="4"/>
    <x v="4"/>
    <n v="10"/>
    <x v="0"/>
    <x v="0"/>
    <x v="0"/>
    <n v="31247320"/>
    <n v="31247320"/>
    <x v="0"/>
    <x v="1"/>
    <x v="0"/>
    <x v="0"/>
    <x v="7"/>
    <s v="Subdirección de Geografía y Cartografía "/>
    <x v="5"/>
    <s v="Subdirector de Geografía y Cartografía "/>
    <x v="7"/>
    <x v="12"/>
    <s v="Generar insumos y/o productos cartográficos"/>
    <s v="Cartografía escalas Medianas generada (1:10,000, 1:25,000)"/>
    <n v="456"/>
    <d v="2021-03-15T00:00:00"/>
    <n v="3124732"/>
    <n v="29164165"/>
    <n v="29164165"/>
    <x v="1"/>
    <s v="CINDY JINETH FLOREZ MOLINA"/>
    <n v="2083155"/>
    <x v="0"/>
    <n v="24596"/>
    <x v="1"/>
    <x v="3"/>
    <x v="1"/>
    <m/>
  </r>
  <r>
    <x v="5"/>
    <n v="42"/>
    <x v="4"/>
    <x v="5"/>
    <x v="0"/>
    <x v="1"/>
    <x v="3"/>
    <x v="5"/>
    <x v="0"/>
    <s v="Cartografía"/>
    <x v="0"/>
    <n v="81151600"/>
    <s v="Prestación de servicios para realizar la gestión, control y seguimiento del sistema y marco de referencia geodésico nacional con GNSS"/>
    <x v="3"/>
    <x v="3"/>
    <n v="11"/>
    <x v="0"/>
    <x v="0"/>
    <x v="1"/>
    <n v="53146280"/>
    <n v="53146280"/>
    <x v="0"/>
    <x v="1"/>
    <x v="0"/>
    <x v="0"/>
    <x v="7"/>
    <s v="Subdirección de Geografía y Cartografía "/>
    <x v="5"/>
    <s v="Subdirector de Geografía y Cartografía "/>
    <x v="7"/>
    <x v="13"/>
    <s v="Densificar el marco de referencia terrestre"/>
    <s v="Puntos Geodésicos Materializados"/>
    <n v="326"/>
    <d v="2021-02-18T00:00:00"/>
    <n v="4976424"/>
    <n v="50925406"/>
    <n v="50925406"/>
    <x v="1"/>
    <s v="ANDRÉS FELIPE BELTRÁN ZAMUDIO"/>
    <n v="2220874"/>
    <x v="0"/>
    <n v="24487"/>
    <x v="1"/>
    <x v="3"/>
    <x v="1"/>
    <m/>
  </r>
  <r>
    <x v="5"/>
    <n v="41"/>
    <x v="4"/>
    <x v="5"/>
    <x v="2"/>
    <x v="2"/>
    <x v="3"/>
    <x v="5"/>
    <x v="0"/>
    <s v="Cartografía"/>
    <x v="0"/>
    <n v="81151600"/>
    <s v="Prestación de servicios para la toma de datos en campo de gravimetría y geomagnetismo."/>
    <x v="3"/>
    <x v="3"/>
    <n v="11"/>
    <x v="0"/>
    <x v="0"/>
    <x v="1"/>
    <n v="57060806"/>
    <n v="57060806"/>
    <x v="0"/>
    <x v="1"/>
    <x v="2"/>
    <x v="0"/>
    <x v="7"/>
    <s v="Subdirección de Geografía y Cartografía "/>
    <x v="5"/>
    <s v="Subdirector de Geografía y Cartografía "/>
    <x v="7"/>
    <x v="13"/>
    <s v="Densificar el marco de referencia geomagnéticos"/>
    <s v="Valores geomagnéticos generados"/>
    <n v="324"/>
    <d v="2021-02-17T00:00:00"/>
    <n v="2671483"/>
    <n v="27338176"/>
    <n v="54676352"/>
    <x v="1"/>
    <s v="KAREN MILENA SIERRA GONZÁLEZ _x000a_DEIBID STIVEEN RINCÓN VEGA"/>
    <n v="2384454"/>
    <x v="0"/>
    <s v="24485_x000a_24487"/>
    <x v="2"/>
    <x v="3"/>
    <x v="1"/>
    <m/>
  </r>
  <r>
    <x v="5"/>
    <n v="33"/>
    <x v="4"/>
    <x v="5"/>
    <x v="0"/>
    <x v="1"/>
    <x v="3"/>
    <x v="15"/>
    <x v="0"/>
    <s v="Fotogrametría"/>
    <x v="0"/>
    <n v="81151603"/>
    <s v="Prestación de servicios para el copiado, control  y organización de información resultante de los procesos de la subdirección"/>
    <x v="3"/>
    <x v="3"/>
    <n v="11"/>
    <x v="0"/>
    <x v="0"/>
    <x v="0"/>
    <n v="31417067"/>
    <n v="31417067"/>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x v="0"/>
    <n v="24563"/>
    <x v="1"/>
    <x v="3"/>
    <x v="1"/>
    <m/>
  </r>
  <r>
    <x v="5"/>
    <n v="78"/>
    <x v="4"/>
    <x v="5"/>
    <x v="0"/>
    <x v="1"/>
    <x v="3"/>
    <x v="4"/>
    <x v="0"/>
    <s v="Cartografía"/>
    <x v="0"/>
    <n v="81151600"/>
    <s v="Prestación de servicios profesionales para orientar técnicamente la ejecución de los  proyectos  y procesos de la Subdirección de Geografía y Cartografía."/>
    <x v="2"/>
    <x v="2"/>
    <n v="6"/>
    <x v="0"/>
    <x v="0"/>
    <x v="1"/>
    <n v="45301662"/>
    <n v="45301662"/>
    <x v="0"/>
    <x v="1"/>
    <x v="0"/>
    <x v="0"/>
    <x v="7"/>
    <s v="Subdirección de Geografía y Cartografía "/>
    <x v="4"/>
    <s v="Subdirector de Geografía y Cartografía "/>
    <x v="7"/>
    <x v="19"/>
    <s v="Generar insumos y/o productos cartográficos "/>
    <s v="Cartografía escalas Medianas generada (1:10,000, 1:25,000)"/>
    <m/>
    <d v="2021-07-06T00:00:00"/>
    <n v="7550277"/>
    <n v="42784903"/>
    <n v="42784903"/>
    <x v="1"/>
    <s v="LEIDY MARITZA BERNAL VARGAS"/>
    <n v="2516759"/>
    <x v="0"/>
    <m/>
    <x v="1"/>
    <x v="3"/>
    <x v="1"/>
    <m/>
  </r>
  <r>
    <x v="5"/>
    <n v="70"/>
    <x v="4"/>
    <x v="5"/>
    <x v="0"/>
    <x v="1"/>
    <x v="3"/>
    <x v="12"/>
    <x v="0"/>
    <s v="Cartografía"/>
    <x v="0"/>
    <n v="81151600"/>
    <s v="Prestación de servicios para apoyar la gestión logística de la Subdirección de Geografía y Cartografía"/>
    <x v="4"/>
    <x v="4"/>
    <n v="10"/>
    <x v="0"/>
    <x v="0"/>
    <x v="0"/>
    <n v="26714830"/>
    <n v="26714830"/>
    <x v="0"/>
    <x v="1"/>
    <x v="0"/>
    <x v="0"/>
    <x v="7"/>
    <s v="Subdirección de Geografía y Cartografía "/>
    <x v="5"/>
    <s v="Subdirector de Geografía y Cartografía "/>
    <x v="7"/>
    <x v="12"/>
    <s v="Generar insumos y/o productos cartográficos"/>
    <s v="Cartografía escalas Medianas generada (1:10,000, 1:25,000)"/>
    <n v="506"/>
    <d v="2021-03-24T00:00:00"/>
    <n v="2671483"/>
    <n v="24132396"/>
    <n v="24132396"/>
    <x v="1"/>
    <s v="JULIE ALEXANDRA PARRA SANTA"/>
    <n v="2582434"/>
    <x v="0"/>
    <n v="24639"/>
    <x v="1"/>
    <x v="3"/>
    <x v="1"/>
    <m/>
  </r>
  <r>
    <x v="5"/>
    <n v="64"/>
    <x v="4"/>
    <x v="5"/>
    <x v="2"/>
    <x v="2"/>
    <x v="3"/>
    <x v="12"/>
    <x v="0"/>
    <s v="Cartografía"/>
    <x v="0"/>
    <n v="81151600"/>
    <s v="Prestación de servicios para la captura de coordenadas, compilación toponímica y demás procesos en campo, de acuerdo con las especificaciones de conformidad con los lineamientos establecidos."/>
    <x v="4"/>
    <x v="4"/>
    <n v="10"/>
    <x v="0"/>
    <x v="0"/>
    <x v="0"/>
    <n v="53429660"/>
    <n v="53429660"/>
    <x v="0"/>
    <x v="1"/>
    <x v="2"/>
    <x v="0"/>
    <x v="7"/>
    <s v="Subdirección de Geografía y Cartografía "/>
    <x v="5"/>
    <s v="Subdirector de Geografía y Cartografía "/>
    <x v="7"/>
    <x v="13"/>
    <s v="Densificar el marco de referencia terrestre"/>
    <s v="Puntos Geodésicos Materializados"/>
    <n v="454"/>
    <d v="2021-03-10T00:00:00"/>
    <n v="2671483"/>
    <n v="25379089"/>
    <n v="50758178"/>
    <x v="1"/>
    <s v="DUVÁN DARIO TAVERA BERMÚDEZ  _x000a_ARELIS MONTENEGRO MENDIETA "/>
    <n v="2671482"/>
    <x v="0"/>
    <s v="24591_x000a_24592"/>
    <x v="2"/>
    <x v="3"/>
    <x v="1"/>
    <m/>
  </r>
  <r>
    <x v="5"/>
    <n v="68"/>
    <x v="4"/>
    <x v="5"/>
    <x v="0"/>
    <x v="1"/>
    <x v="3"/>
    <x v="9"/>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4"/>
    <x v="4"/>
    <n v="10"/>
    <x v="0"/>
    <x v="0"/>
    <x v="1"/>
    <n v="55000000"/>
    <n v="5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x v="0"/>
    <n v="24620"/>
    <x v="1"/>
    <x v="3"/>
    <x v="1"/>
    <m/>
  </r>
  <r>
    <x v="5"/>
    <n v="37"/>
    <x v="4"/>
    <x v="5"/>
    <x v="2"/>
    <x v="2"/>
    <x v="3"/>
    <x v="5"/>
    <x v="0"/>
    <s v="Cartografía"/>
    <x v="0"/>
    <n v="81151600"/>
    <s v="Prestación de servicios para  realizar la evaluación y procesamiento de las  imágenes adquiridas o gestionadas por el IGAC."/>
    <x v="3"/>
    <x v="3"/>
    <n v="11"/>
    <x v="0"/>
    <x v="0"/>
    <x v="1"/>
    <n v="57060806"/>
    <n v="57060806"/>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x v="0"/>
    <s v="24500_x000a_24501"/>
    <x v="2"/>
    <x v="3"/>
    <x v="1"/>
    <m/>
  </r>
  <r>
    <x v="5"/>
    <n v="23"/>
    <x v="4"/>
    <x v="5"/>
    <x v="0"/>
    <x v="1"/>
    <x v="3"/>
    <x v="5"/>
    <x v="0"/>
    <s v="Cartografía"/>
    <x v="0"/>
    <n v="81151600"/>
    <s v="Prestación de servicio para realizar la revisión y reparación de los componentes eléctricos y electrónicos de las estaciones magna-eco para su instalación en campo"/>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184"/>
    <d v="2021-02-04T00:00:00"/>
    <n v="2671483"/>
    <n v="28495819"/>
    <n v="28495819"/>
    <x v="1"/>
    <s v="YIMMY FERNEY LONDOÑO HERNANDEZ"/>
    <n v="2921248"/>
    <x v="0"/>
    <n v="24369"/>
    <x v="1"/>
    <x v="3"/>
    <x v="1"/>
    <n v="45"/>
  </r>
  <r>
    <x v="5"/>
    <n v="43"/>
    <x v="4"/>
    <x v="5"/>
    <x v="0"/>
    <x v="1"/>
    <x v="3"/>
    <x v="15"/>
    <x v="0"/>
    <s v="Cartografía"/>
    <x v="0"/>
    <n v="81151600"/>
    <s v="Prestación de servicios profesionales para la evaluación del control y seguimiento al funcionamiento y modernización efectiva de la red geodésica nacional."/>
    <x v="3"/>
    <x v="3"/>
    <n v="11"/>
    <x v="0"/>
    <x v="0"/>
    <x v="1"/>
    <n v="45532762"/>
    <n v="45532762"/>
    <x v="0"/>
    <x v="1"/>
    <x v="0"/>
    <x v="0"/>
    <x v="7"/>
    <s v="Subdirección de Geografía y Cartografía "/>
    <x v="5"/>
    <s v="Subdirector de Geografía y Cartografía "/>
    <x v="7"/>
    <x v="13"/>
    <s v="Densificar el marco de referencia terrestre"/>
    <s v="Datos Rinex de las estaciones permanentes generados"/>
    <n v="320"/>
    <d v="2021-03-10T00:00:00"/>
    <n v="4263522"/>
    <n v="40503459"/>
    <n v="40503459"/>
    <x v="1"/>
    <s v="JUAN PABLO NARVAEZ SALAMANCA"/>
    <n v="5029303"/>
    <x v="0"/>
    <n v="24576"/>
    <x v="1"/>
    <x v="3"/>
    <x v="1"/>
    <m/>
  </r>
  <r>
    <x v="5"/>
    <n v="74"/>
    <x v="4"/>
    <x v="5"/>
    <x v="0"/>
    <x v="1"/>
    <x v="3"/>
    <x v="13"/>
    <x v="0"/>
    <s v="Cartografía"/>
    <x v="0"/>
    <n v="81151600"/>
    <s v="Contratar el servicio anual de rastreo y seguimiento satelital para los equipos de localización satelital SPOT GEN3"/>
    <x v="8"/>
    <x v="8"/>
    <n v="45"/>
    <x v="1"/>
    <x v="1"/>
    <x v="0"/>
    <n v="18000000"/>
    <n v="18000000"/>
    <x v="0"/>
    <x v="1"/>
    <x v="0"/>
    <x v="0"/>
    <x v="8"/>
    <s v="Subdirección de Geografia y Cartografia "/>
    <x v="4"/>
    <s v="Subdirector de Geografia y Cartografia "/>
    <x v="7"/>
    <x v="12"/>
    <s v="Generar insumos y/o productos cartográficos"/>
    <s v="Cartografía escalas Medianas generada (1:10,000, 1:25,000)"/>
    <n v="559"/>
    <d v="2021-04-22T00:00:00"/>
    <n v="11774115"/>
    <n v="11774115"/>
    <n v="11774115"/>
    <x v="1"/>
    <s v="GLOBALSAT COLOMBIA TELECOMUNICACIONES LTDA"/>
    <n v="6225885"/>
    <x v="0"/>
    <n v="24730"/>
    <x v="1"/>
    <x v="3"/>
    <x v="1"/>
    <m/>
  </r>
  <r>
    <x v="6"/>
    <n v="1"/>
    <x v="4"/>
    <x v="5"/>
    <x v="0"/>
    <x v="1"/>
    <x v="3"/>
    <x v="5"/>
    <x v="0"/>
    <s v="Placa de acero inoxidable"/>
    <x v="0"/>
    <n v="30102205"/>
    <s v="Adquisición de placas metálicas para materialización de puntos geodésicos."/>
    <x v="8"/>
    <x v="8"/>
    <n v="3"/>
    <x v="0"/>
    <x v="1"/>
    <x v="0"/>
    <n v="10000000"/>
    <n v="10000000"/>
    <x v="0"/>
    <x v="1"/>
    <x v="0"/>
    <x v="0"/>
    <x v="7"/>
    <s v="Subdirección de Geografía y Cartografía "/>
    <x v="5"/>
    <s v="Subdirector de Geografía y Cartografía "/>
    <x v="7"/>
    <x v="13"/>
    <s v="Densificar el marco de referencia terrestre"/>
    <s v="Puntos Geodésicos Materializados"/>
    <n v="544"/>
    <d v="2021-04-21T00:00:00"/>
    <n v="3659250"/>
    <n v="3659250"/>
    <n v="3659250"/>
    <x v="1"/>
    <s v="PROCESO DECLARADO DESIERTO"/>
    <n v="6340750"/>
    <x v="0"/>
    <m/>
    <x v="1"/>
    <x v="3"/>
    <x v="0"/>
    <n v="280"/>
  </r>
  <r>
    <x v="6"/>
    <n v="2"/>
    <x v="4"/>
    <x v="5"/>
    <x v="0"/>
    <x v="1"/>
    <x v="3"/>
    <x v="0"/>
    <x v="0"/>
    <s v="Placa de acero inoxidable"/>
    <x v="0"/>
    <n v="30102205"/>
    <s v="Adquisición de placas metálicas para materialización de puntos geodésicos."/>
    <x v="7"/>
    <x v="7"/>
    <n v="3"/>
    <x v="0"/>
    <x v="1"/>
    <x v="0"/>
    <n v="10000000"/>
    <n v="10000000"/>
    <x v="0"/>
    <x v="1"/>
    <x v="0"/>
    <x v="0"/>
    <x v="7"/>
    <s v="Subdirección de Geografía y Cartografía "/>
    <x v="5"/>
    <s v="Subdirector de Geografía y Cartografía "/>
    <x v="7"/>
    <x v="13"/>
    <s v="Densificar el marco de referencia terrestre"/>
    <s v="Puntos Geodésicos Materializados"/>
    <m/>
    <d v="2021-05-19T00:00:00"/>
    <n v="3659250"/>
    <n v="3659250"/>
    <n v="3659250"/>
    <x v="1"/>
    <s v="PROCESO DECLARADO DESIERTO"/>
    <n v="6340750"/>
    <x v="0"/>
    <m/>
    <x v="1"/>
    <x v="3"/>
    <x v="0"/>
    <m/>
  </r>
  <r>
    <x v="5"/>
    <n v="59"/>
    <x v="4"/>
    <x v="5"/>
    <x v="0"/>
    <x v="1"/>
    <x v="3"/>
    <x v="12"/>
    <x v="0"/>
    <s v="Cartografía"/>
    <x v="0"/>
    <n v="81151600"/>
    <s v="Prestación de servicios para la preparación de insumos, validación, y digitación de la información levantada en campo"/>
    <x v="4"/>
    <x v="4"/>
    <n v="315"/>
    <x v="1"/>
    <x v="0"/>
    <x v="1"/>
    <n v="57060806"/>
    <n v="57060806"/>
    <x v="0"/>
    <x v="1"/>
    <x v="0"/>
    <x v="0"/>
    <x v="7"/>
    <s v="Subdirección de Geografía y Cartografía "/>
    <x v="5"/>
    <s v="Subdirector de Geografía y Cartografía "/>
    <x v="7"/>
    <x v="13"/>
    <s v="Densificar el marco de referencia terrestre"/>
    <s v="Puntos Geodésicos Materializados"/>
    <n v="425"/>
    <d v="2021-03-08T00:00:00"/>
    <n v="2671483"/>
    <n v="26714830"/>
    <n v="26714830"/>
    <x v="1"/>
    <s v="JEISSON FERNANDO HERRERA GÓMEZ"/>
    <n v="30345976"/>
    <x v="0"/>
    <n v="24558"/>
    <x v="1"/>
    <x v="3"/>
    <x v="1"/>
    <m/>
  </r>
  <r>
    <x v="5"/>
    <n v="67"/>
    <x v="4"/>
    <x v="5"/>
    <x v="2"/>
    <x v="2"/>
    <x v="3"/>
    <x v="5"/>
    <x v="0"/>
    <s v="Fotogrametría"/>
    <x v="0"/>
    <n v="81151603"/>
    <s v="Prestación de servicios para apoyar el proceso de escaneo fotogramétrico  de rollos de aerofotografías análogas y compresión de imágenes."/>
    <x v="4"/>
    <x v="4"/>
    <n v="10"/>
    <x v="0"/>
    <x v="0"/>
    <x v="0"/>
    <n v="57060806"/>
    <n v="57060806"/>
    <x v="0"/>
    <x v="1"/>
    <x v="2"/>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x v="0"/>
    <s v="24614_x000a_24733"/>
    <x v="1"/>
    <x v="0"/>
    <x v="1"/>
    <m/>
  </r>
  <r>
    <x v="6"/>
    <n v="2"/>
    <x v="4"/>
    <x v="5"/>
    <x v="0"/>
    <x v="1"/>
    <x v="3"/>
    <x v="0"/>
    <x v="0"/>
    <s v="Cartografía"/>
    <x v="0"/>
    <n v="81151600"/>
    <s v="Adquisición de estaciones de funcionamiento continua, con sus respectivos accesorios, sistemas de comunicación y de alimentación, para el fortalecimiento de la Red Geodésica Nacional. "/>
    <x v="7"/>
    <x v="7"/>
    <n v="60"/>
    <x v="1"/>
    <x v="2"/>
    <x v="0"/>
    <n v="400000000"/>
    <n v="400000000"/>
    <x v="0"/>
    <x v="0"/>
    <x v="0"/>
    <x v="0"/>
    <x v="7"/>
    <s v="Subdirección de Geografía y Cartografía "/>
    <x v="4"/>
    <s v="Subdirector de Geografía y Cartografía "/>
    <x v="7"/>
    <x v="13"/>
    <s v="Densificar el marco de referencia terrestre"/>
    <s v="Datos Rinex de las estaciones permanentes generados"/>
    <m/>
    <d v="2021-05-21T00:00:00"/>
    <n v="366698967"/>
    <n v="366698967"/>
    <n v="366698967"/>
    <x v="1"/>
    <s v="INICIO PROCESO"/>
    <n v="33301033"/>
    <x v="0"/>
    <m/>
    <x v="1"/>
    <x v="3"/>
    <x v="1"/>
    <m/>
  </r>
  <r>
    <x v="5"/>
    <n v="69"/>
    <x v="4"/>
    <x v="5"/>
    <x v="0"/>
    <x v="1"/>
    <x v="3"/>
    <x v="5"/>
    <x v="0"/>
    <s v="Sistemas y equipo de apoyo para transporte aéreo"/>
    <x v="0"/>
    <n v="25191500"/>
    <s v="Servicio de mantenimiento preventivo y correctivo, incluidos los repuestos del dron ebee plus Rta/ppk"/>
    <x v="4"/>
    <x v="4"/>
    <n v="10"/>
    <x v="0"/>
    <x v="0"/>
    <x v="1"/>
    <n v="45000000"/>
    <n v="4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x v="0"/>
    <n v="24633"/>
    <x v="1"/>
    <x v="3"/>
    <x v="1"/>
    <m/>
  </r>
  <r>
    <x v="6"/>
    <n v="1"/>
    <x v="4"/>
    <x v="5"/>
    <x v="0"/>
    <x v="1"/>
    <x v="3"/>
    <x v="7"/>
    <x v="0"/>
    <s v="Cartografía"/>
    <x v="0"/>
    <n v="81151600"/>
    <s v="Capturar y/o adquirir imágenes para la producción cartográfica de proyectos específicos del IGAC"/>
    <x v="8"/>
    <x v="8"/>
    <n v="8"/>
    <x v="0"/>
    <x v="0"/>
    <x v="0"/>
    <n v="536446618"/>
    <n v="536446618"/>
    <x v="0"/>
    <x v="1"/>
    <x v="0"/>
    <x v="0"/>
    <x v="7"/>
    <s v="Subdirección de Geografía y Cartografía "/>
    <x v="4"/>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x v="0"/>
    <n v="24682"/>
    <x v="1"/>
    <x v="3"/>
    <x v="1"/>
    <m/>
  </r>
  <r>
    <x v="5"/>
    <n v="38"/>
    <x v="4"/>
    <x v="5"/>
    <x v="1"/>
    <x v="6"/>
    <x v="3"/>
    <x v="5"/>
    <x v="0"/>
    <s v="Cartografía"/>
    <x v="0"/>
    <n v="81151600"/>
    <s v="Prestación de servicios para la generación e integración de modelos digitales de elevación, de conformidad con las especificaciones técnicas y rendimientos establecidos."/>
    <x v="3"/>
    <x v="3"/>
    <n v="11"/>
    <x v="0"/>
    <x v="0"/>
    <x v="0"/>
    <n v="194381550"/>
    <n v="194381550"/>
    <x v="0"/>
    <x v="1"/>
    <x v="1"/>
    <x v="0"/>
    <x v="7"/>
    <s v="Subdirección de Geografía y Cartografía "/>
    <x v="5"/>
    <s v="Subdirector de Geografía y Cartografía "/>
    <x v="7"/>
    <x v="12"/>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x v="0"/>
    <s v="24441_x000a_24444_x000a_24446_x000a_24447_x000a_"/>
    <x v="6"/>
    <x v="3"/>
    <x v="1"/>
    <m/>
  </r>
  <r>
    <x v="5"/>
    <n v="27"/>
    <x v="4"/>
    <x v="5"/>
    <x v="0"/>
    <x v="1"/>
    <x v="3"/>
    <x v="5"/>
    <x v="0"/>
    <s v="Cartografía"/>
    <x v="0"/>
    <n v="81151600"/>
    <s v="Prestación de servicios para realizar la preparación, revisión y consolidación de datos de campo para el cálculo y ajuste de la línea de nivelación"/>
    <x v="3"/>
    <x v="3"/>
    <n v="315"/>
    <x v="1"/>
    <x v="0"/>
    <x v="0"/>
    <n v="106292560"/>
    <n v="106292560"/>
    <x v="0"/>
    <x v="1"/>
    <x v="0"/>
    <x v="0"/>
    <x v="7"/>
    <s v="Subdirección de Geografía y Cartografía "/>
    <x v="5"/>
    <s v="Subdirector de Geografía y Cartografía "/>
    <x v="7"/>
    <x v="13"/>
    <s v="Densificar el marco de referencia gravimétricos"/>
    <s v="Valores gravimétricos generados"/>
    <n v="252"/>
    <d v="2021-02-08T00:00:00"/>
    <n v="4976424"/>
    <n v="52252452"/>
    <n v="52252452"/>
    <x v="1"/>
    <s v="LEYDI JOHANNA MOISÉS SEPÚLVEDA"/>
    <n v="54040108"/>
    <x v="0"/>
    <n v="24428"/>
    <x v="1"/>
    <x v="3"/>
    <x v="1"/>
    <m/>
  </r>
  <r>
    <x v="5"/>
    <n v="72"/>
    <x v="4"/>
    <x v="5"/>
    <x v="4"/>
    <x v="4"/>
    <x v="3"/>
    <x v="7"/>
    <x v="0"/>
    <s v="Cartografía"/>
    <x v="0"/>
    <n v="81151600"/>
    <s v="Prestación de servicios profesionales para la toma de datos en campo de exploración, materialización , gnss, nivelación geodésica y gravimetría"/>
    <x v="8"/>
    <x v="8"/>
    <n v="260"/>
    <x v="1"/>
    <x v="0"/>
    <x v="1"/>
    <n v="156236600"/>
    <n v="156236600"/>
    <x v="0"/>
    <x v="1"/>
    <x v="4"/>
    <x v="0"/>
    <x v="7"/>
    <s v="Subdirección de Geografía y Cartografía "/>
    <x v="5"/>
    <s v="Subdirector de Geografía y Cartografía "/>
    <x v="7"/>
    <x v="13"/>
    <s v="Densificar el marco de referencia terrestre"/>
    <s v="Datos altimétricos generados"/>
    <n v="535"/>
    <d v="2021-04-20T00:00:00"/>
    <n v="3124732"/>
    <n v="25518645"/>
    <n v="102074580"/>
    <x v="1"/>
    <s v="JORGE ERNESTO CORRADINE ACOSTA _x000a_NATHALIA YEPES GOMEZ_x000a_JOSE IGNACIO DUARTE_x000a_JUAN DAVID GUTIERREZ_x000a_GERMAN DAVID HERNANDEZ ESTEPA"/>
    <n v="54162020"/>
    <x v="0"/>
    <s v="24684_x000a_24727_x000a_24732_x000a_24774"/>
    <x v="6"/>
    <x v="0"/>
    <x v="1"/>
    <m/>
  </r>
  <r>
    <x v="5"/>
    <n v="58"/>
    <x v="4"/>
    <x v="5"/>
    <x v="8"/>
    <x v="10"/>
    <x v="3"/>
    <x v="5"/>
    <x v="0"/>
    <s v="Cartografía"/>
    <x v="0"/>
    <n v="81151600"/>
    <s v="Prestación de servicios para elaborar mapas y demás insumos a diferentes escalas, de conformidad con las especificaciones técnicas y rendimientos establecidos"/>
    <x v="4"/>
    <x v="4"/>
    <n v="10"/>
    <x v="0"/>
    <x v="0"/>
    <x v="0"/>
    <n v="388763100"/>
    <n v="388763100"/>
    <x v="0"/>
    <x v="1"/>
    <x v="9"/>
    <x v="0"/>
    <x v="7"/>
    <s v="Subdirección de Geografía y Cartografía "/>
    <x v="5"/>
    <s v="Subdirector de Geografía y Cartografía "/>
    <x v="7"/>
    <x v="12"/>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1"/>
    <x v="0"/>
    <x v="1"/>
    <m/>
  </r>
  <r>
    <x v="5"/>
    <n v="2"/>
    <x v="4"/>
    <x v="5"/>
    <x v="0"/>
    <x v="1"/>
    <x v="3"/>
    <x v="9"/>
    <x v="0"/>
    <s v="Cartografía"/>
    <x v="0"/>
    <n v="81151600"/>
    <s v="Prestación de servicios para la  gestión e integración de productos y aplicaciones de la subdirección de geografía y cartografía "/>
    <x v="5"/>
    <x v="5"/>
    <n v="10"/>
    <x v="0"/>
    <x v="0"/>
    <x v="0"/>
    <n v="169086920"/>
    <n v="169086920"/>
    <x v="0"/>
    <x v="1"/>
    <x v="0"/>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x v="0"/>
    <n v="24202"/>
    <x v="1"/>
    <x v="3"/>
    <x v="1"/>
    <n v="280"/>
  </r>
  <r>
    <x v="5"/>
    <n v="79"/>
    <x v="4"/>
    <x v="5"/>
    <x v="0"/>
    <x v="1"/>
    <x v="3"/>
    <x v="2"/>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2"/>
    <x v="2"/>
    <n v="5"/>
    <x v="0"/>
    <x v="0"/>
    <x v="0"/>
    <n v="550000000"/>
    <n v="550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x v="0"/>
    <m/>
    <x v="1"/>
    <x v="3"/>
    <x v="1"/>
    <n v="150"/>
  </r>
  <r>
    <x v="5"/>
    <n v="34"/>
    <x v="4"/>
    <x v="5"/>
    <x v="0"/>
    <x v="1"/>
    <x v="3"/>
    <x v="10"/>
    <x v="0"/>
    <s v="Cartografía"/>
    <x v="0"/>
    <n v="81151600"/>
    <s v="Prestación de servicios para realizar apoyo a la gestión administrativa de los procesos y proyectos misionales de la Subdirección de Geografía y Cartografía"/>
    <x v="4"/>
    <x v="4"/>
    <n v="10"/>
    <x v="0"/>
    <x v="0"/>
    <x v="1"/>
    <n v="26714830"/>
    <n v="26714830"/>
    <x v="0"/>
    <x v="1"/>
    <x v="0"/>
    <x v="0"/>
    <x v="7"/>
    <s v="Subdirección de Geografía y Cartografía "/>
    <x v="5"/>
    <s v="Subdirector de Geografía y Cartografía "/>
    <x v="7"/>
    <x v="12"/>
    <s v="Generar insumos y/o productos cartográficos"/>
    <s v="Cartografía escalas Medianas generada (1:10,000, 1:25,000)"/>
    <n v="441"/>
    <d v="2021-03-11T00:00:00"/>
    <e v="#N/A"/>
    <e v="#N/A"/>
    <e v="#N/A"/>
    <x v="0"/>
    <s v="JULIE ALEXANDRA PARRA SANTA"/>
    <n v="0"/>
    <x v="0"/>
    <n v="24577"/>
    <x v="1"/>
    <x v="3"/>
    <x v="0"/>
    <m/>
  </r>
  <r>
    <x v="5"/>
    <m/>
    <x v="4"/>
    <x v="5"/>
    <x v="9"/>
    <x v="0"/>
    <x v="6"/>
    <x v="4"/>
    <x v="0"/>
    <s v="Cartografía"/>
    <x v="0"/>
    <n v="81151600"/>
    <s v="Prestación de servicios para la generación de cartografía básica, de conformidad con las especificaciones técnicas establecidas."/>
    <x v="2"/>
    <x v="2"/>
    <n v="5"/>
    <x v="0"/>
    <x v="0"/>
    <x v="2"/>
    <n v="163810620"/>
    <n v="163810620"/>
    <x v="0"/>
    <x v="1"/>
    <x v="1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8"/>
    <x v="0"/>
    <m/>
  </r>
  <r>
    <x v="5"/>
    <m/>
    <x v="4"/>
    <x v="5"/>
    <x v="0"/>
    <x v="0"/>
    <x v="0"/>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2"/>
    <x v="2"/>
    <n v="12"/>
    <x v="0"/>
    <x v="3"/>
    <x v="2"/>
    <n v="13671130281"/>
    <n v="13671130281"/>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4"/>
    <x v="0"/>
    <s v="Cartografía"/>
    <x v="0"/>
    <n v="81151600"/>
    <s v="Prestación de servicios para realizar el seguimiento y control de calidad de la producción cartográfica, de conformidad con las especificaciones técnicas y rendimientos establecidos."/>
    <x v="2"/>
    <x v="2"/>
    <n v="5"/>
    <x v="0"/>
    <x v="0"/>
    <x v="2"/>
    <n v="24882120"/>
    <n v="24882120"/>
    <x v="0"/>
    <x v="1"/>
    <x v="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2"/>
    <x v="2"/>
    <n v="6"/>
    <x v="0"/>
    <x v="0"/>
    <x v="2"/>
    <n v="59191704"/>
    <n v="5919170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15"/>
    <m/>
    <x v="0"/>
    <x v="0"/>
    <x v="0"/>
    <m/>
  </r>
  <r>
    <x v="5"/>
    <n v="57"/>
    <x v="4"/>
    <x v="5"/>
    <x v="0"/>
    <x v="1"/>
    <x v="3"/>
    <x v="5"/>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1"/>
    <x v="0"/>
    <x v="0"/>
    <x v="7"/>
    <s v="Subdirección de Geografía y Cartografía "/>
    <x v="4"/>
    <s v="Subdirector de Geografía y Cartografía "/>
    <x v="2"/>
    <x v="3"/>
    <s v="Gestionar técnicamente la operación del proyecto de catastro multipropósito, en lo correspondiente al IGAC"/>
    <s v="Sistema de Información Predial Actualizado_x000a_"/>
    <n v="516"/>
    <d v="2021-04-06T00:00:00"/>
    <n v="9865284"/>
    <n v="93720198"/>
    <n v="93720198"/>
    <x v="1"/>
    <s v="JORGE MANUEL SANCHEZ OROZCO"/>
    <n v="9865284"/>
    <x v="0"/>
    <n v="24652"/>
    <x v="1"/>
    <x v="3"/>
    <x v="1"/>
    <m/>
  </r>
  <r>
    <x v="6"/>
    <n v="3"/>
    <x v="4"/>
    <x v="5"/>
    <x v="0"/>
    <x v="1"/>
    <x v="3"/>
    <x v="5"/>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3"/>
    <x v="2"/>
    <n v="9485236200"/>
    <n v="9485236200"/>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x v="0"/>
    <n v="24752"/>
    <x v="1"/>
    <x v="3"/>
    <x v="0"/>
    <m/>
  </r>
  <r>
    <x v="5"/>
    <n v="76"/>
    <x v="4"/>
    <x v="5"/>
    <x v="0"/>
    <x v="1"/>
    <x v="3"/>
    <x v="9"/>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3"/>
    <n v="12"/>
    <x v="0"/>
    <x v="3"/>
    <x v="2"/>
    <n v="9767257014"/>
    <n v="9767257014"/>
    <x v="3"/>
    <x v="3"/>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x v="0"/>
    <m/>
    <x v="1"/>
    <x v="3"/>
    <x v="0"/>
    <m/>
  </r>
  <r>
    <x v="4"/>
    <m/>
    <x v="3"/>
    <x v="6"/>
    <x v="0"/>
    <x v="0"/>
    <x v="0"/>
    <x v="2"/>
    <x v="0"/>
    <s v="Servicio de mantenimiento de energía de emergencia o de reserva"/>
    <x v="0"/>
    <n v="72151514"/>
    <s v="Mantenimiento preventivo y correctivo de UPS en las direcciones territoriales del IGAC"/>
    <x v="6"/>
    <x v="6"/>
    <n v="6"/>
    <x v="0"/>
    <x v="2"/>
    <x v="1"/>
    <n v="60000000"/>
    <n v="60000000"/>
    <x v="0"/>
    <x v="1"/>
    <x v="0"/>
    <x v="0"/>
    <x v="9"/>
    <s v="Oficina de Informática y Telecomunicaciones"/>
    <x v="4"/>
    <s v="Guillermo Gómez Gómez (Jefe OIT)"/>
    <x v="5"/>
    <x v="20"/>
    <s v="Implementar y soportar plataformas de TI"/>
    <s v="Índice de capacidad en la prestación de servicios de tecnología."/>
    <m/>
    <m/>
    <e v="#N/A"/>
    <e v="#N/A"/>
    <e v="#N/A"/>
    <x v="0"/>
    <m/>
    <n v="0"/>
    <x v="0"/>
    <m/>
    <x v="0"/>
    <x v="0"/>
    <x v="0"/>
    <m/>
  </r>
  <r>
    <x v="4"/>
    <m/>
    <x v="3"/>
    <x v="6"/>
    <x v="0"/>
    <x v="0"/>
    <x v="0"/>
    <x v="2"/>
    <x v="0"/>
    <s v="Servicios de implementación de aplicaciones"/>
    <x v="0"/>
    <n v="81111508"/>
    <s v="Prestación de servicios profesionales para soportar, mantener, analizar, diseñar, desarrollar e integrar componentes de software para el instituto."/>
    <x v="6"/>
    <x v="6"/>
    <n v="195"/>
    <x v="1"/>
    <x v="0"/>
    <x v="0"/>
    <n v="39811392"/>
    <n v="39811392"/>
    <x v="0"/>
    <x v="1"/>
    <x v="0"/>
    <x v="0"/>
    <x v="9"/>
    <s v="Oficina de Informática y Telecomunicaciones"/>
    <x v="4"/>
    <s v="Guillermo Gómez Gómez (Jefe OIT)"/>
    <x v="5"/>
    <x v="20"/>
    <s v="Implementar y soportar plataformas de TI"/>
    <s v="Índice de capacidad en la prestación de servicios de tecnología."/>
    <m/>
    <m/>
    <e v="#N/A"/>
    <e v="#N/A"/>
    <e v="#N/A"/>
    <x v="0"/>
    <m/>
    <n v="0"/>
    <x v="26"/>
    <m/>
    <x v="0"/>
    <x v="0"/>
    <x v="0"/>
    <m/>
  </r>
  <r>
    <x v="4"/>
    <n v="68"/>
    <x v="3"/>
    <x v="6"/>
    <x v="0"/>
    <x v="1"/>
    <x v="3"/>
    <x v="5"/>
    <x v="0"/>
    <s v="Servicios de implementación de aplicaciones"/>
    <x v="0"/>
    <n v="81111508"/>
    <s v="Prestación de servicios profesionales para el soporte, mantenimiento, análisis, diseño y desarrollo de los componentes de software en plataforma Oracle de los sistemas de la Institución."/>
    <x v="3"/>
    <x v="3"/>
    <n v="9"/>
    <x v="0"/>
    <x v="0"/>
    <x v="0"/>
    <n v="60151086"/>
    <n v="60151086"/>
    <x v="0"/>
    <x v="1"/>
    <x v="0"/>
    <x v="0"/>
    <x v="9"/>
    <s v="Oficina de Informática y Telecomunicaciones"/>
    <x v="4"/>
    <s v="José Luis Ariza Vargas (Jefe OIT)"/>
    <x v="5"/>
    <x v="20"/>
    <s v="Implementar y mantener sistemas de información, portales y aplicaciones"/>
    <s v="Índice de capacidad en la prestación de servicios de tecnología."/>
    <n v="336"/>
    <d v="2021-02-22T00:00:00"/>
    <n v="6683454"/>
    <n v="60151086"/>
    <n v="60151086"/>
    <x v="1"/>
    <s v="CLAUDIA MILENA TOVAR"/>
    <n v="0"/>
    <x v="0"/>
    <n v="24505"/>
    <x v="1"/>
    <x v="3"/>
    <x v="1"/>
    <n v="150"/>
  </r>
  <r>
    <x v="4"/>
    <n v="49"/>
    <x v="3"/>
    <x v="6"/>
    <x v="0"/>
    <x v="1"/>
    <x v="3"/>
    <x v="9"/>
    <x v="0"/>
    <s v="Servicios de soporte técnico o de mesa de ayuda"/>
    <x v="0"/>
    <n v="81111811"/>
    <s v="Prestación de servicios para realizar actividades de operación, soporte de solicitudes, incidentes,  requerimientos  y pruebas técnicas según los niveles de servicio establecidos."/>
    <x v="3"/>
    <x v="3"/>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4"/>
    <d v="2021-02-11T00:00:00"/>
    <n v="2941780"/>
    <n v="26476020"/>
    <n v="26476020"/>
    <x v="1"/>
    <s v="DARWIN JAVID GONZAÑEZ ORTEGA"/>
    <n v="0"/>
    <x v="0"/>
    <n v="24440"/>
    <x v="1"/>
    <x v="3"/>
    <x v="1"/>
    <n v="270"/>
  </r>
  <r>
    <x v="4"/>
    <n v="56"/>
    <x v="3"/>
    <x v="6"/>
    <x v="0"/>
    <x v="1"/>
    <x v="3"/>
    <x v="9"/>
    <x v="0"/>
    <s v="Servicios de implementación de aplicaciones"/>
    <x v="0"/>
    <n v="81111508"/>
    <s v="Prestación de servicios profesionales para  el soporte, mantenimiento, análisis, diseño  y desarrollo de los componentes web  para la operación del sistema catastral."/>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43"/>
    <d v="2021-02-15T00:00:00"/>
    <n v="7550277"/>
    <n v="67952493"/>
    <n v="67952493"/>
    <x v="1"/>
    <s v="FELIPE ANDRES CADENA MOLANO"/>
    <n v="0"/>
    <x v="0"/>
    <n v="24498"/>
    <x v="1"/>
    <x v="3"/>
    <x v="1"/>
    <n v="270"/>
  </r>
  <r>
    <x v="4"/>
    <n v="70"/>
    <x v="3"/>
    <x v="6"/>
    <x v="0"/>
    <x v="1"/>
    <x v="3"/>
    <x v="9"/>
    <x v="0"/>
    <s v="Servicios de implementación de aplicaciones"/>
    <x v="0"/>
    <n v="81111508"/>
    <s v="Prestación de servicios profesionales para llevar a cabo la administración y monitoreo de servicios de ti y plataformas basadas en software libre adoptadas por la entidad."/>
    <x v="3"/>
    <x v="3"/>
    <n v="9"/>
    <x v="0"/>
    <x v="0"/>
    <x v="0"/>
    <n v="26476020"/>
    <n v="26476020"/>
    <x v="0"/>
    <x v="1"/>
    <x v="0"/>
    <x v="0"/>
    <x v="4"/>
    <s v="Informática y Telecomunicaciones"/>
    <x v="4"/>
    <s v="Jefe Oficina de Informática y Telecomunicaciones"/>
    <x v="5"/>
    <x v="20"/>
    <s v="Implementar y soportar plataforma de TI"/>
    <s v="Índice de capacidad en la prestación de servicios de tecnología."/>
    <n v="408"/>
    <d v="2021-02-25T00:00:00"/>
    <n v="2941780"/>
    <n v="26476020"/>
    <n v="26476020"/>
    <x v="1"/>
    <s v="FERNANDO DAVID VILLANUEVA"/>
    <n v="0"/>
    <x v="0"/>
    <n v="24549"/>
    <x v="1"/>
    <x v="3"/>
    <x v="1"/>
    <n v="270"/>
  </r>
  <r>
    <x v="4"/>
    <n v="34"/>
    <x v="3"/>
    <x v="6"/>
    <x v="0"/>
    <x v="1"/>
    <x v="3"/>
    <x v="9"/>
    <x v="0"/>
    <s v="Servicios de implementación de aplicaciones"/>
    <x v="0"/>
    <n v="81111508"/>
    <s v="Prestación de servicios profesionales para desarrollar actividades referentes a la gestión y aseguramiento del cumplimiento de la estrategia de gobierno digital."/>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65"/>
    <d v="2021-01-26T00:00:00"/>
    <n v="7550277"/>
    <n v="67952493"/>
    <n v="67952493"/>
    <x v="1"/>
    <s v="GUILLERMO ANTONIO GOMEZ BOLAÑOZ"/>
    <n v="0"/>
    <x v="0"/>
    <n v="24352"/>
    <x v="1"/>
    <x v="3"/>
    <x v="1"/>
    <n v="270"/>
  </r>
  <r>
    <x v="4"/>
    <n v="43"/>
    <x v="3"/>
    <x v="6"/>
    <x v="0"/>
    <x v="1"/>
    <x v="3"/>
    <x v="9"/>
    <x v="0"/>
    <s v="Servicios de implementación de aplicaciones"/>
    <x v="0"/>
    <n v="81111508"/>
    <s v="Prestación de servicios profesionales para llevar a cabo la operación, monitoreo y soporte técnico a las infraestructuras tecnológicas asignadas por la oficina de informática y telecomunicaciones."/>
    <x v="3"/>
    <x v="3"/>
    <n v="9"/>
    <x v="0"/>
    <x v="0"/>
    <x v="0"/>
    <n v="51820134"/>
    <n v="51820134"/>
    <x v="0"/>
    <x v="1"/>
    <x v="0"/>
    <x v="0"/>
    <x v="4"/>
    <s v="Informática y Telecomunicaciones"/>
    <x v="4"/>
    <s v="Jefe Oficina de Informática y Telecomunicaciones"/>
    <x v="5"/>
    <x v="20"/>
    <s v="Implementar y soportar plataforma de TI"/>
    <s v="Índice de capacidad en la prestación de servicios de tecnología."/>
    <n v="295"/>
    <d v="2021-02-11T00:00:00"/>
    <n v="5757792"/>
    <n v="51820134"/>
    <n v="51820134"/>
    <x v="1"/>
    <s v="HERMES  RAMIREZ AROCA"/>
    <n v="0"/>
    <x v="0"/>
    <n v="24464"/>
    <x v="1"/>
    <x v="3"/>
    <x v="1"/>
    <n v="330"/>
  </r>
  <r>
    <x v="4"/>
    <n v="41"/>
    <x v="3"/>
    <x v="6"/>
    <x v="0"/>
    <x v="1"/>
    <x v="3"/>
    <x v="9"/>
    <x v="0"/>
    <s v="Servicios de implementación de aplicaciones"/>
    <x v="0"/>
    <n v="81111508"/>
    <s v="Prestación de servicios profesionales para implementar, mantener, proponer y aplicar mejoras al sistema de gestión de seguridad de la información del igac"/>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262"/>
    <d v="2021-02-11T00:00:00"/>
    <n v="7550277"/>
    <n v="67952493"/>
    <n v="67952493"/>
    <x v="1"/>
    <s v="ISIS JOHANNA GOMEZ PERALTA"/>
    <n v="0"/>
    <x v="0"/>
    <n v="24483"/>
    <x v="1"/>
    <x v="3"/>
    <x v="1"/>
    <n v="270"/>
  </r>
  <r>
    <x v="4"/>
    <n v="36"/>
    <x v="3"/>
    <x v="6"/>
    <x v="0"/>
    <x v="1"/>
    <x v="3"/>
    <x v="9"/>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57"/>
    <d v="2021-01-26T00:00:00"/>
    <n v="7550277"/>
    <n v="67952493"/>
    <n v="67952493"/>
    <x v="1"/>
    <s v="JAIME ENRIQUE CARDENAS"/>
    <n v="0"/>
    <x v="0"/>
    <n v="24346"/>
    <x v="1"/>
    <x v="3"/>
    <x v="1"/>
    <n v="270"/>
  </r>
  <r>
    <x v="4"/>
    <n v="69"/>
    <x v="3"/>
    <x v="6"/>
    <x v="0"/>
    <x v="1"/>
    <x v="3"/>
    <x v="9"/>
    <x v="0"/>
    <s v="Servicios de implementación de aplicaciones"/>
    <x v="0"/>
    <n v="81111508"/>
    <s v="Prestación de servicios profesionales para gestionar, administrar y operar la infraestructura tecnológica de las plataformas Windows, virtualización y almacenamiento de la entidad."/>
    <x v="3"/>
    <x v="3"/>
    <n v="9"/>
    <x v="0"/>
    <x v="0"/>
    <x v="0"/>
    <n v="67952493"/>
    <n v="67952493"/>
    <x v="0"/>
    <x v="1"/>
    <x v="0"/>
    <x v="0"/>
    <x v="4"/>
    <s v="Informática y Telecomunicaciones"/>
    <x v="4"/>
    <s v="Jefe Oficina de Informática y Telecomunicaciones"/>
    <x v="5"/>
    <x v="20"/>
    <s v="Implementar y soportar plataforma de TI"/>
    <s v="Índice de capacidad en la prestación de servicios de tecnología."/>
    <n v="369"/>
    <d v="2021-03-30T00:00:00"/>
    <n v="7550277"/>
    <n v="67952493"/>
    <n v="67952493"/>
    <x v="1"/>
    <s v="JAMES YESID JARAMILLO"/>
    <n v="0"/>
    <x v="0"/>
    <n v="24640"/>
    <x v="1"/>
    <x v="3"/>
    <x v="1"/>
    <n v="270"/>
  </r>
  <r>
    <x v="4"/>
    <n v="76"/>
    <x v="3"/>
    <x v="6"/>
    <x v="0"/>
    <x v="1"/>
    <x v="3"/>
    <x v="12"/>
    <x v="0"/>
    <s v="Servicios de implementación de aplicaciones"/>
    <x v="0"/>
    <n v="81111508"/>
    <s v="Prestación de servicios profesionales para elaborar las historias de usuarios y prototipado de las funcionalidades requeridas por el instituto."/>
    <x v="4"/>
    <x v="4"/>
    <n v="9"/>
    <x v="0"/>
    <x v="0"/>
    <x v="0"/>
    <n v="51820137"/>
    <n v="51820137"/>
    <x v="0"/>
    <x v="1"/>
    <x v="0"/>
    <x v="0"/>
    <x v="9"/>
    <s v="Oficina de Informática y Telecomunicaciones"/>
    <x v="4"/>
    <s v="José Luis Ariza Vargas (Jefe OIT)"/>
    <x v="5"/>
    <x v="20"/>
    <s v="Implementar y mantener sistemas de información, portales y aplicaciones"/>
    <s v="Índice de capacidad en la prestación de servicios de tecnología."/>
    <n v="467"/>
    <d v="2021-03-15T00:00:00"/>
    <n v="5757793"/>
    <n v="51820137"/>
    <n v="51820137"/>
    <x v="1"/>
    <s v="JENNIFER PAOLA RODRIGUEZ RINCON"/>
    <n v="0"/>
    <x v="0"/>
    <n v="24605"/>
    <x v="1"/>
    <x v="3"/>
    <x v="1"/>
    <n v="300"/>
  </r>
  <r>
    <x v="4"/>
    <n v="63"/>
    <x v="3"/>
    <x v="6"/>
    <x v="0"/>
    <x v="1"/>
    <x v="3"/>
    <x v="9"/>
    <x v="0"/>
    <s v="Servicios de implementación de aplicaciones"/>
    <x v="0"/>
    <n v="81111508"/>
    <s v="Prestación de servicios profesionales para realizar la gestión de la seguridad informática y Perimetral de los sistemas de la entidad."/>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327"/>
    <d v="2021-02-19T00:00:00"/>
    <n v="7550277"/>
    <n v="67952493"/>
    <n v="67952493"/>
    <x v="1"/>
    <s v="JORGE SANDOVAL GONZALEZ"/>
    <n v="0"/>
    <x v="0"/>
    <n v="24488"/>
    <x v="1"/>
    <x v="3"/>
    <x v="1"/>
    <n v="270"/>
  </r>
  <r>
    <x v="4"/>
    <n v="73"/>
    <x v="3"/>
    <x v="6"/>
    <x v="0"/>
    <x v="1"/>
    <x v="3"/>
    <x v="12"/>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4"/>
    <x v="4"/>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31"/>
    <d v="2021-03-08T00:00:00"/>
    <n v="2941780"/>
    <n v="26476020"/>
    <n v="26476020"/>
    <x v="1"/>
    <s v="KATHERINE ANDREA CEPEDA ZUÑIGA"/>
    <n v="0"/>
    <x v="0"/>
    <n v="24561"/>
    <x v="1"/>
    <x v="3"/>
    <x v="1"/>
    <n v="270"/>
  </r>
  <r>
    <x v="4"/>
    <n v="74"/>
    <x v="3"/>
    <x v="6"/>
    <x v="0"/>
    <x v="1"/>
    <x v="3"/>
    <x v="12"/>
    <x v="0"/>
    <s v="Servicios de implementación de aplicaciones"/>
    <x v="0"/>
    <n v="81111508"/>
    <s v="Prestación de servicios de apoyo para ejecutar actividades de soporte técnico de primer nivel en la mesa de servicio del Sistema Nacional de Catastro."/>
    <x v="4"/>
    <x v="4"/>
    <n v="5"/>
    <x v="0"/>
    <x v="0"/>
    <x v="0"/>
    <n v="13357415"/>
    <n v="13357415"/>
    <x v="0"/>
    <x v="1"/>
    <x v="0"/>
    <x v="0"/>
    <x v="1"/>
    <s v="Oficina de Informática y Telecomunicaciones"/>
    <x v="4"/>
    <s v="José Luis Ariza Vargas (Jefe OIT)"/>
    <x v="2"/>
    <x v="3"/>
    <s v="Ejecutar procesos de actualización catastral a nivel nacional"/>
    <s v="Predios actualizados catastralmente"/>
    <n v="429"/>
    <d v="2021-03-08T00:00:00"/>
    <n v="2671483"/>
    <n v="13357415"/>
    <n v="13357415"/>
    <x v="1"/>
    <s v="LEIDY PAOLA ABRIL CANTOR"/>
    <n v="0"/>
    <x v="0"/>
    <n v="24559"/>
    <x v="1"/>
    <x v="3"/>
    <x v="0"/>
    <n v="270"/>
  </r>
  <r>
    <x v="4"/>
    <n v="67"/>
    <x v="3"/>
    <x v="6"/>
    <x v="0"/>
    <x v="1"/>
    <x v="3"/>
    <x v="9"/>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0"/>
    <n v="51820134"/>
    <n v="51820134"/>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38"/>
    <d v="2021-02-22T00:00:00"/>
    <n v="5757793"/>
    <n v="51820134"/>
    <n v="51820134"/>
    <x v="1"/>
    <s v="LUIS FERNANADO ALEXANDER BARROS"/>
    <n v="0"/>
    <x v="0"/>
    <n v="24525"/>
    <x v="1"/>
    <x v="3"/>
    <x v="1"/>
    <n v="150"/>
  </r>
  <r>
    <x v="4"/>
    <n v="75"/>
    <x v="3"/>
    <x v="6"/>
    <x v="0"/>
    <x v="1"/>
    <x v="3"/>
    <x v="12"/>
    <x v="0"/>
    <s v="Servicios de implementación de aplicaciones"/>
    <x v="0"/>
    <n v="81111508"/>
    <s v="Prestación de servicios profesionales para realizar actividades de soporte técnico de segundo nivel en la mesa de servicio del Sistema Nacional de Catastro."/>
    <x v="4"/>
    <x v="4"/>
    <n v="5"/>
    <x v="0"/>
    <x v="0"/>
    <x v="0"/>
    <n v="24882120"/>
    <n v="24882120"/>
    <x v="0"/>
    <x v="1"/>
    <x v="0"/>
    <x v="0"/>
    <x v="1"/>
    <s v="Oficina de Informática y Telecomunicaciones"/>
    <x v="4"/>
    <s v="José Luis Ariza Vargas (Jefe OIT)"/>
    <x v="2"/>
    <x v="3"/>
    <s v="Ejecutar procesos de actualización catastral a nivel nacional"/>
    <s v="Predios actualizados catastralmente"/>
    <n v="431"/>
    <d v="2021-03-08T00:00:00"/>
    <n v="4976424"/>
    <n v="24882120"/>
    <n v="24882120"/>
    <x v="1"/>
    <s v="MARCELA PATRICIA HERRAN ALVAREZ"/>
    <n v="0"/>
    <x v="0"/>
    <n v="24561"/>
    <x v="1"/>
    <x v="3"/>
    <x v="1"/>
    <n v="300"/>
  </r>
  <r>
    <x v="4"/>
    <n v="66"/>
    <x v="3"/>
    <x v="6"/>
    <x v="0"/>
    <x v="1"/>
    <x v="3"/>
    <x v="9"/>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37"/>
    <d v="2021-02-22T00:00:00"/>
    <n v="7550277"/>
    <n v="67952493"/>
    <n v="67952493"/>
    <x v="1"/>
    <s v="VIRGILIO SANTANDER SOCARRAS"/>
    <n v="0"/>
    <x v="0"/>
    <m/>
    <x v="1"/>
    <x v="3"/>
    <x v="1"/>
    <n v="270"/>
  </r>
  <r>
    <x v="4"/>
    <n v="88"/>
    <x v="3"/>
    <x v="6"/>
    <x v="0"/>
    <x v="1"/>
    <x v="3"/>
    <x v="10"/>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4"/>
    <x v="4"/>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484"/>
    <d v="2021-03-17T00:00:00"/>
    <n v="2671483"/>
    <n v="24043347"/>
    <n v="24043347"/>
    <x v="1"/>
    <s v="JOSE GREGORIO MATEUS MALAGON"/>
    <n v="2"/>
    <x v="0"/>
    <n v="24618"/>
    <x v="1"/>
    <x v="3"/>
    <x v="1"/>
    <n v="230"/>
  </r>
  <r>
    <x v="4"/>
    <n v="59"/>
    <x v="3"/>
    <x v="6"/>
    <x v="0"/>
    <x v="1"/>
    <x v="3"/>
    <x v="9"/>
    <x v="0"/>
    <s v="Servicios de implementación de aplicaciones"/>
    <x v="0"/>
    <n v="81111508"/>
    <s v="Prestación de servicios  para realizar actividades de administración, soporte y monitoreo de las plataformas basadas en software libre adoptadas por la entidad."/>
    <x v="3"/>
    <x v="3"/>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330"/>
    <d v="2021-02-17T00:00:00"/>
    <n v="2671483"/>
    <n v="24043347"/>
    <n v="24043347"/>
    <x v="1"/>
    <s v="JULIAN DAVID TETE MILES"/>
    <n v="2"/>
    <x v="0"/>
    <n v="24490"/>
    <x v="1"/>
    <x v="3"/>
    <x v="1"/>
    <n v="269"/>
  </r>
  <r>
    <x v="4"/>
    <n v="46"/>
    <x v="3"/>
    <x v="6"/>
    <x v="0"/>
    <x v="1"/>
    <x v="3"/>
    <x v="9"/>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3"/>
    <x v="3"/>
    <n v="9"/>
    <x v="0"/>
    <x v="0"/>
    <x v="0"/>
    <n v="24043349"/>
    <n v="24043349"/>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6"/>
    <d v="2021-02-11T00:00:00"/>
    <n v="2671483"/>
    <n v="24043347"/>
    <n v="24043347"/>
    <x v="1"/>
    <s v="MIGUEL ANGEL TORRES ROMERO"/>
    <n v="2"/>
    <x v="0"/>
    <n v="24448"/>
    <x v="1"/>
    <x v="3"/>
    <x v="1"/>
    <n v="270"/>
  </r>
  <r>
    <x v="4"/>
    <n v="53"/>
    <x v="3"/>
    <x v="6"/>
    <x v="0"/>
    <x v="1"/>
    <x v="3"/>
    <x v="9"/>
    <x v="0"/>
    <s v="Servicios de implementación de aplicaciones"/>
    <x v="0"/>
    <n v="81111508"/>
    <s v="Prestación de Servicios Profesionales para realizar actividades de operación, soporte, mantenimiento y monitoreo a las plataformas tecnológicas."/>
    <x v="3"/>
    <x v="3"/>
    <n v="9"/>
    <x v="0"/>
    <x v="0"/>
    <x v="0"/>
    <n v="38371701"/>
    <n v="38371701"/>
    <x v="0"/>
    <x v="1"/>
    <x v="0"/>
    <x v="0"/>
    <x v="4"/>
    <s v="Informática y Telecomunicaciones"/>
    <x v="4"/>
    <s v="Jefe Oficina de Informática y Telecomunicaciones"/>
    <x v="5"/>
    <x v="20"/>
    <s v="Implementar y soportar plataforma de TI"/>
    <s v="Índice de capacidad en la prestación de servicios de tecnología."/>
    <n v="277"/>
    <d v="2021-02-11T00:00:00"/>
    <n v="4263522"/>
    <n v="38371698"/>
    <n v="38371698"/>
    <x v="1"/>
    <s v="JUAN CARLOS BEJARANO BAYONA"/>
    <n v="3"/>
    <x v="0"/>
    <n v="24442"/>
    <x v="1"/>
    <x v="3"/>
    <x v="1"/>
    <n v="270"/>
  </r>
  <r>
    <x v="4"/>
    <n v="60"/>
    <x v="3"/>
    <x v="6"/>
    <x v="0"/>
    <x v="1"/>
    <x v="3"/>
    <x v="9"/>
    <x v="0"/>
    <s v="Servicios de implementación de aplicaciones"/>
    <x v="0"/>
    <n v="81111508"/>
    <s v="Prestación de servicios profesionales para realizar el mantenimiento de la red regulada y el cableado estructurado de la entidad a nivel nacional."/>
    <x v="3"/>
    <x v="3"/>
    <n v="9"/>
    <x v="0"/>
    <x v="0"/>
    <x v="0"/>
    <n v="32762127"/>
    <n v="32762127"/>
    <x v="0"/>
    <x v="1"/>
    <x v="0"/>
    <x v="0"/>
    <x v="4"/>
    <s v="Informática y Telecomunicaciones"/>
    <x v="4"/>
    <s v="Jefe Oficina de Informática y Telecomunicaciones"/>
    <x v="5"/>
    <x v="20"/>
    <s v="Implementar y soportar plataforma de TI"/>
    <s v="Índice de capacidad en la prestación de servicios de tecnología."/>
    <n v="334"/>
    <d v="2021-02-17T00:00:00"/>
    <n v="3640236"/>
    <n v="32762124"/>
    <n v="32762124"/>
    <x v="1"/>
    <s v="RUBEN DARIO MARTINEZ MELLIZO"/>
    <n v="3"/>
    <x v="0"/>
    <n v="24493"/>
    <x v="1"/>
    <x v="3"/>
    <x v="1"/>
    <n v="270"/>
  </r>
  <r>
    <x v="4"/>
    <n v="98"/>
    <x v="3"/>
    <x v="6"/>
    <x v="0"/>
    <x v="1"/>
    <x v="3"/>
    <x v="0"/>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0"/>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55"/>
    <x v="0"/>
    <n v="24744"/>
    <x v="1"/>
    <x v="3"/>
    <x v="1"/>
    <n v="210"/>
  </r>
  <r>
    <x v="4"/>
    <n v="64"/>
    <x v="3"/>
    <x v="6"/>
    <x v="0"/>
    <x v="1"/>
    <x v="3"/>
    <x v="9"/>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3"/>
    <x v="3"/>
    <n v="9"/>
    <x v="0"/>
    <x v="0"/>
    <x v="0"/>
    <n v="44787820"/>
    <n v="44787820"/>
    <x v="0"/>
    <x v="1"/>
    <x v="0"/>
    <x v="0"/>
    <x v="4"/>
    <s v="Informática y Telecomunicaciones"/>
    <x v="4"/>
    <s v="Jefe Oficina de Informática y Telecomunicaciones"/>
    <x v="5"/>
    <x v="20"/>
    <s v="Implementar y soportar plataforma de TI"/>
    <s v="Índice de capacidad en la prestación de servicios de tecnología."/>
    <n v="339"/>
    <d v="2021-02-19T00:00:00"/>
    <n v="4976424"/>
    <n v="44787816"/>
    <n v="44787816"/>
    <x v="1"/>
    <s v="DIEGO FERNANDO CAICEDO"/>
    <n v="4"/>
    <x v="0"/>
    <n v="24497"/>
    <x v="1"/>
    <x v="3"/>
    <x v="1"/>
    <n v="290"/>
  </r>
  <r>
    <x v="4"/>
    <n v="52"/>
    <x v="3"/>
    <x v="6"/>
    <x v="0"/>
    <x v="1"/>
    <x v="3"/>
    <x v="9"/>
    <x v="0"/>
    <s v="Servicios de implementación de aplicaciones"/>
    <x v="0"/>
    <n v="81111508"/>
    <s v="Prestación de servicios profesionales  para realizar actividades de  operación, soporte  y desarrollo relacionados con la  gestión del Sistema Nacional de Catastro."/>
    <x v="3"/>
    <x v="3"/>
    <n v="11"/>
    <x v="0"/>
    <x v="0"/>
    <x v="0"/>
    <n v="46898746"/>
    <n v="46898746"/>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3"/>
    <d v="2021-02-11T00:00:00"/>
    <n v="4263522"/>
    <n v="46898742"/>
    <n v="46898742"/>
    <x v="1"/>
    <s v="JONATHAN HORTS RODRIGUEZ QUIROGA"/>
    <n v="4"/>
    <x v="0"/>
    <n v="24439"/>
    <x v="1"/>
    <x v="3"/>
    <x v="1"/>
    <n v="270"/>
  </r>
  <r>
    <x v="4"/>
    <n v="77"/>
    <x v="3"/>
    <x v="6"/>
    <x v="0"/>
    <x v="1"/>
    <x v="3"/>
    <x v="12"/>
    <x v="0"/>
    <s v="Servicios de implementación de aplicaciones"/>
    <x v="0"/>
    <n v="81111508"/>
    <s v="Prestación de servicios profesionales para documentar, diseñar e implementar los flujos de información requeridos en el marco de la implementación de la política de catastro multipropósito."/>
    <x v="4"/>
    <x v="4"/>
    <n v="9"/>
    <x v="0"/>
    <x v="0"/>
    <x v="0"/>
    <n v="78371788"/>
    <n v="78371788"/>
    <x v="0"/>
    <x v="1"/>
    <x v="0"/>
    <x v="0"/>
    <x v="4"/>
    <s v="Informática y Telecomunicaciones"/>
    <x v="4"/>
    <s v="Jefe Oficina de Informática y Telecomunicaciones"/>
    <x v="5"/>
    <x v="20"/>
    <s v="Implementar y soportar plataforma de TI"/>
    <s v="Índice de capacidad en la prestación de servicios de tecnología."/>
    <n v="452"/>
    <d v="2021-03-15T00:00:00"/>
    <n v="8707976"/>
    <n v="78371784"/>
    <n v="78371784"/>
    <x v="1"/>
    <s v="LUISA FERNANDA CAMACHO"/>
    <n v="4"/>
    <x v="0"/>
    <n v="24586"/>
    <x v="1"/>
    <x v="3"/>
    <x v="1"/>
    <n v="300"/>
  </r>
  <r>
    <x v="4"/>
    <n v="57"/>
    <x v="3"/>
    <x v="6"/>
    <x v="0"/>
    <x v="1"/>
    <x v="3"/>
    <x v="9"/>
    <x v="0"/>
    <s v="Servicios de implementación de aplicaciones"/>
    <x v="0"/>
    <n v="81111508"/>
    <s v="Prestación de servicios profesionales para gestionar la infraestructura tecnológica, plataforma de inteligencia de negocios y bases de datos de la entidad."/>
    <x v="3"/>
    <x v="3"/>
    <n v="9"/>
    <x v="0"/>
    <x v="0"/>
    <x v="0"/>
    <n v="88787560"/>
    <n v="88787560"/>
    <x v="0"/>
    <x v="1"/>
    <x v="0"/>
    <x v="0"/>
    <x v="4"/>
    <s v="Informática y Telecomunicaciones"/>
    <x v="4"/>
    <s v="Jefe Oficina de Informática y Telecomunicaciones"/>
    <x v="5"/>
    <x v="20"/>
    <s v="Implementar y soportar plataforma de TI"/>
    <s v="Índice de capacidad en la prestación de servicios de tecnología."/>
    <n v="293"/>
    <d v="2021-02-16T00:00:00"/>
    <n v="9865284"/>
    <n v="88787556"/>
    <n v="88787556"/>
    <x v="1"/>
    <s v="NESTOR ALONSO ESPITIA DIAZ"/>
    <n v="4"/>
    <x v="0"/>
    <n v="24461"/>
    <x v="1"/>
    <x v="3"/>
    <x v="1"/>
    <n v="315"/>
  </r>
  <r>
    <x v="4"/>
    <n v="37"/>
    <x v="3"/>
    <x v="6"/>
    <x v="0"/>
    <x v="1"/>
    <x v="3"/>
    <x v="9"/>
    <x v="0"/>
    <s v="Servicios de implementación de aplicaciones"/>
    <x v="0"/>
    <n v="81111508"/>
    <s v="Prestación de servicios profesionales para orientar y realizar la gestión de la infraestructura tecnológica y seguridad informática que soportan los sistemas de la entidad."/>
    <x v="3"/>
    <x v="3"/>
    <n v="9"/>
    <x v="0"/>
    <x v="0"/>
    <x v="0"/>
    <n v="99203332"/>
    <n v="99203332"/>
    <x v="0"/>
    <x v="1"/>
    <x v="0"/>
    <x v="0"/>
    <x v="4"/>
    <s v="Informática y Telecomunicaciones"/>
    <x v="4"/>
    <s v="Jefe Oficina de Informática y Telecomunicaciones"/>
    <x v="5"/>
    <x v="20"/>
    <s v="Implementar y soportar plataforma de TI"/>
    <s v="Índice de capacidad en la prestación de servicios de tecnología."/>
    <n v="154"/>
    <d v="2021-01-28T00:00:00"/>
    <n v="11022592"/>
    <n v="99203328"/>
    <n v="99203328"/>
    <x v="1"/>
    <s v="WILMER ESPITIA MUÑOZ"/>
    <n v="4"/>
    <x v="0"/>
    <n v="24332"/>
    <x v="1"/>
    <x v="3"/>
    <x v="1"/>
    <n v="270"/>
  </r>
  <r>
    <x v="4"/>
    <n v="50"/>
    <x v="3"/>
    <x v="6"/>
    <x v="2"/>
    <x v="2"/>
    <x v="3"/>
    <x v="9"/>
    <x v="0"/>
    <s v="Servicios de implementación de aplicaciones"/>
    <x v="0"/>
    <n v="81111508"/>
    <s v="Prestación de servicios de apoyo para ejecutar actividades de soporte técnico en la mesa de servicio del Sistema Nacional Catastro."/>
    <x v="3"/>
    <x v="3"/>
    <n v="11"/>
    <x v="0"/>
    <x v="0"/>
    <x v="0"/>
    <n v="58772631"/>
    <n v="58772631"/>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x v="0"/>
    <s v="24435_x000a_24437"/>
    <x v="2"/>
    <x v="3"/>
    <x v="1"/>
    <n v="270"/>
  </r>
  <r>
    <x v="4"/>
    <n v="38"/>
    <x v="3"/>
    <x v="6"/>
    <x v="2"/>
    <x v="2"/>
    <x v="3"/>
    <x v="9"/>
    <x v="0"/>
    <s v="Servicios de implementación de aplicaciones"/>
    <x v="0"/>
    <n v="81111508"/>
    <s v="Prestación de servicios profesionales para  soportar, mantener  y desarrollar componentes de software de los sistemas de información de la entidad."/>
    <x v="3"/>
    <x v="3"/>
    <n v="9"/>
    <x v="0"/>
    <x v="0"/>
    <x v="0"/>
    <n v="156743575"/>
    <n v="156743575"/>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38"/>
    <d v="2021-01-28T00:00:00"/>
    <n v="8707976"/>
    <n v="78371784"/>
    <n v="156743568"/>
    <x v="1"/>
    <s v="GERMAN CAMACHO _x000a_SANDRA VILLARUEL"/>
    <n v="7"/>
    <x v="0"/>
    <s v="24334_x000a_24335"/>
    <x v="2"/>
    <x v="3"/>
    <x v="1"/>
    <n v="330"/>
  </r>
  <r>
    <x v="4"/>
    <n v="35"/>
    <x v="3"/>
    <x v="6"/>
    <x v="0"/>
    <x v="1"/>
    <x v="3"/>
    <x v="9"/>
    <x v="0"/>
    <s v="Servicios de implementación de aplicaciones"/>
    <x v="0"/>
    <n v="81111508"/>
    <s v="Prestación de servicios profesionales para orientar y realizar las actividades de soporte técnico de las plataformas de la oficina de informática y telecomunicaciones"/>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162"/>
    <d v="2021-01-26T00:00:00"/>
    <n v="6683453"/>
    <n v="60151077"/>
    <n v="60151077"/>
    <x v="1"/>
    <s v="HENRY MAURICIO ROJAS PINEDA"/>
    <n v="7"/>
    <x v="0"/>
    <n v="24348"/>
    <x v="1"/>
    <x v="3"/>
    <x v="1"/>
    <n v="330"/>
  </r>
  <r>
    <x v="4"/>
    <n v="48"/>
    <x v="3"/>
    <x v="6"/>
    <x v="4"/>
    <x v="4"/>
    <x v="3"/>
    <x v="9"/>
    <x v="0"/>
    <s v="Servicios de soporte técnico o de mesa de ayuda"/>
    <x v="0"/>
    <n v="81111811"/>
    <s v="Prestación de servicios para realizar actividades de  operación, soporte  de solicitudes, incidentes y requerimientos  según los niveles de servicio establecidos."/>
    <x v="3"/>
    <x v="3"/>
    <n v="9"/>
    <x v="0"/>
    <x v="0"/>
    <x v="0"/>
    <n v="120216744"/>
    <n v="120216744"/>
    <x v="0"/>
    <x v="1"/>
    <x v="4"/>
    <x v="0"/>
    <x v="4"/>
    <s v="Informática y Telecomunicaciones"/>
    <x v="4"/>
    <s v="Jefe Oficina de Informática y Telecomunicaciones"/>
    <x v="5"/>
    <x v="20"/>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x v="0"/>
    <s v="24419_x000a_24422_x000a_24423_x000a_24424_x000a_24425"/>
    <x v="4"/>
    <x v="3"/>
    <x v="1"/>
    <n v="315"/>
  </r>
  <r>
    <x v="4"/>
    <n v="51"/>
    <x v="3"/>
    <x v="6"/>
    <x v="0"/>
    <x v="1"/>
    <x v="3"/>
    <x v="9"/>
    <x v="0"/>
    <s v="Servicios de implementación de aplicaciones"/>
    <x v="0"/>
    <n v="81111508"/>
    <s v="Prestación de servicios profesionales para desarrollar, administrar y dar soporte a los componentes de los portales web y micro sitios de la entidad."/>
    <x v="3"/>
    <x v="3"/>
    <n v="9"/>
    <x v="0"/>
    <x v="0"/>
    <x v="0"/>
    <n v="51820134"/>
    <n v="51820134"/>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5"/>
    <d v="2021-02-11T00:00:00"/>
    <n v="5757793"/>
    <n v="51628211"/>
    <n v="51628211"/>
    <x v="1"/>
    <s v="JOSE  LUIS SANABRIA CASIANO"/>
    <n v="191923"/>
    <x v="0"/>
    <n v="24443"/>
    <x v="1"/>
    <x v="3"/>
    <x v="1"/>
    <n v="330"/>
  </r>
  <r>
    <x v="4"/>
    <n v="40"/>
    <x v="3"/>
    <x v="6"/>
    <x v="0"/>
    <x v="1"/>
    <x v="3"/>
    <x v="9"/>
    <x v="0"/>
    <s v="Servicios de implementación de aplicaciones"/>
    <x v="0"/>
    <n v="81111508"/>
    <s v="Prestación de servicios profesionales para gestionar, administrar y monitorear la red regulada y el cableado estructurado de la entidad a nivel nacional."/>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269"/>
    <d v="2021-02-11T00:00:00"/>
    <n v="6683454"/>
    <n v="59928304"/>
    <n v="59928304"/>
    <x v="1"/>
    <s v="LEONARDO LIZARAZO SIERRA"/>
    <n v="222780"/>
    <x v="0"/>
    <n v="24452"/>
    <x v="1"/>
    <x v="3"/>
    <x v="1"/>
    <n v="330"/>
  </r>
  <r>
    <x v="4"/>
    <n v="54"/>
    <x v="3"/>
    <x v="6"/>
    <x v="2"/>
    <x v="2"/>
    <x v="3"/>
    <x v="9"/>
    <x v="0"/>
    <s v="Servicios de implementación de aplicaciones"/>
    <x v="0"/>
    <n v="81111508"/>
    <s v="Prestación de servicios profesionales para analizar y desarrollar componentes de software en plataforma ORACLE."/>
    <x v="3"/>
    <x v="3"/>
    <n v="9"/>
    <x v="0"/>
    <x v="0"/>
    <x v="0"/>
    <n v="120302167"/>
    <n v="120302167"/>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292"/>
    <d v="2021-02-12T00:00:00"/>
    <n v="6683454"/>
    <n v="59928304"/>
    <n v="119856608"/>
    <x v="1"/>
    <s v="JAIME VERA_x000a_WILSON NIÑO"/>
    <n v="445559"/>
    <x v="0"/>
    <s v="24459_x000a_24460"/>
    <x v="2"/>
    <x v="3"/>
    <x v="1"/>
    <n v="310"/>
  </r>
  <r>
    <x v="4"/>
    <n v="92"/>
    <x v="3"/>
    <x v="6"/>
    <x v="0"/>
    <x v="1"/>
    <x v="3"/>
    <x v="13"/>
    <x v="0"/>
    <s v="Servicios de implementación de aplicaciones"/>
    <x v="0"/>
    <n v="81111508"/>
    <s v="Prestación de servicios profesionales para configurar, administrar, gestionar, monitorear y soportar las bases de datos de la entidad."/>
    <x v="8"/>
    <x v="8"/>
    <n v="255"/>
    <x v="1"/>
    <x v="0"/>
    <x v="0"/>
    <n v="74017796"/>
    <n v="74017796"/>
    <x v="0"/>
    <x v="1"/>
    <x v="0"/>
    <x v="0"/>
    <x v="9"/>
    <s v="Oficina de Informática y Telecomunicaciones"/>
    <x v="4"/>
    <s v="José Luis Ariza Vargas (Jefe OIT)"/>
    <x v="5"/>
    <x v="20"/>
    <s v="Establecer la estratégia y gobierno de TI"/>
    <s v="Índice de capacidad en la prestación de servicios de tecnología."/>
    <n v="531"/>
    <d v="2021-04-15T00:00:00"/>
    <n v="8707976"/>
    <n v="73146998"/>
    <n v="73146998"/>
    <x v="1"/>
    <s v="LUIS ALEXANDER DUARTE PAREJA"/>
    <n v="870798"/>
    <x v="0"/>
    <n v="24675"/>
    <x v="1"/>
    <x v="3"/>
    <x v="1"/>
    <m/>
  </r>
  <r>
    <x v="4"/>
    <n v="1"/>
    <x v="3"/>
    <x v="6"/>
    <x v="0"/>
    <x v="1"/>
    <x v="3"/>
    <x v="0"/>
    <x v="0"/>
    <s v="Servicios de alquiler o arrendamiento de licencias de software de computador"/>
    <x v="0"/>
    <n v="81112500"/>
    <s v="Adquisición de productos y servicios Microsoft"/>
    <x v="2"/>
    <x v="2"/>
    <n v="12"/>
    <x v="0"/>
    <x v="5"/>
    <x v="1"/>
    <n v="1454161872.5999999"/>
    <n v="1454161872.5999999"/>
    <x v="0"/>
    <x v="0"/>
    <x v="0"/>
    <x v="0"/>
    <x v="9"/>
    <s v="Oficina de Informática y Telecomunicaciones"/>
    <x v="4"/>
    <s v="José Luis Ariza Vargas (Jefe OIT)"/>
    <x v="5"/>
    <x v="20"/>
    <s v="Implementar y soportar plataformas de TI"/>
    <s v="Índice de capacidad en la prestación de servicios de tecnología."/>
    <m/>
    <d v="2021-07-27T00:00:00"/>
    <n v="1452467450.0899999"/>
    <n v="1452467450.0899999"/>
    <n v="1452467450.0899999"/>
    <x v="1"/>
    <s v="INICIO PROCESO"/>
    <n v="1694422.5099999905"/>
    <x v="0"/>
    <m/>
    <x v="0"/>
    <x v="0"/>
    <x v="0"/>
    <n v="315"/>
  </r>
  <r>
    <x v="4"/>
    <n v="99"/>
    <x v="3"/>
    <x v="6"/>
    <x v="0"/>
    <x v="1"/>
    <x v="3"/>
    <x v="2"/>
    <x v="0"/>
    <s v="Ingeniería de software o hardware"/>
    <x v="0"/>
    <n v="81111500"/>
    <s v="Contratar los servicios de soporte técnicoproactivo, reactivo, de configuración, actualización, afinamiento y parametrización para productos ORACLE con los que cuenta el IGAC."/>
    <x v="6"/>
    <x v="6"/>
    <n v="3"/>
    <x v="0"/>
    <x v="5"/>
    <x v="1"/>
    <n v="162242850"/>
    <n v="162242850"/>
    <x v="0"/>
    <x v="4"/>
    <x v="0"/>
    <x v="0"/>
    <x v="9"/>
    <s v="Oficina de Informática y Telecomunicaciones"/>
    <x v="4"/>
    <s v="Guillermo Gómez Gómez (Jefe OIT)"/>
    <x v="9"/>
    <x v="20"/>
    <s v="Implementar y mantener sistemas de información, portales y aplicaciones"/>
    <s v="Índice de capacidad en la prestación de servicios de tecnología."/>
    <m/>
    <d v="2021-07-13T00:00:00"/>
    <n v="159265998.68000001"/>
    <n v="159265998.68000001"/>
    <n v="159265998.68000001"/>
    <x v="1"/>
    <s v="INICIO PROCESO"/>
    <n v="2976851.3199999928"/>
    <x v="0"/>
    <m/>
    <x v="1"/>
    <x v="3"/>
    <x v="0"/>
    <m/>
  </r>
  <r>
    <x v="4"/>
    <n v="47"/>
    <x v="3"/>
    <x v="6"/>
    <x v="0"/>
    <x v="1"/>
    <x v="3"/>
    <x v="9"/>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3"/>
    <x v="3"/>
    <n v="11"/>
    <x v="0"/>
    <x v="0"/>
    <x v="0"/>
    <n v="63335720"/>
    <n v="63335720"/>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9"/>
    <d v="2021-02-11T00:00:00"/>
    <n v="5757793"/>
    <n v="60072974"/>
    <n v="60072974"/>
    <x v="1"/>
    <s v="EDISON ANDRES MONDRAGON"/>
    <n v="3262746"/>
    <x v="0"/>
    <n v="24445"/>
    <x v="1"/>
    <x v="3"/>
    <x v="1"/>
    <n v="270"/>
  </r>
  <r>
    <x v="4"/>
    <n v="44"/>
    <x v="3"/>
    <x v="6"/>
    <x v="0"/>
    <x v="1"/>
    <x v="3"/>
    <x v="9"/>
    <x v="0"/>
    <s v="Servicios de implementación de aplicaciones"/>
    <x v="0"/>
    <n v="81111508"/>
    <s v="Prestación de servicios profesionales para diseñar, construir y mantener  nuevas funcionalidades   en PL/SQL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89"/>
    <d v="2021-02-11T00:00:00"/>
    <n v="7550277"/>
    <n v="79277908"/>
    <n v="79277908"/>
    <x v="1"/>
    <s v="DAVID ANDRES MURCIA CASTRO"/>
    <n v="3775139"/>
    <x v="0"/>
    <n v="24463"/>
    <x v="1"/>
    <x v="3"/>
    <x v="1"/>
    <n v="270"/>
  </r>
  <r>
    <x v="4"/>
    <n v="42"/>
    <x v="3"/>
    <x v="6"/>
    <x v="0"/>
    <x v="1"/>
    <x v="3"/>
    <x v="9"/>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97"/>
    <d v="2021-02-11T00:00:00"/>
    <n v="7550277"/>
    <n v="79277908"/>
    <n v="79277908"/>
    <x v="1"/>
    <s v="JENIFER PAOLA ESPINDOLA"/>
    <n v="3775139"/>
    <x v="0"/>
    <n v="24466"/>
    <x v="1"/>
    <x v="3"/>
    <x v="1"/>
    <n v="270"/>
  </r>
  <r>
    <x v="4"/>
    <n v="97"/>
    <x v="3"/>
    <x v="6"/>
    <x v="0"/>
    <x v="1"/>
    <x v="3"/>
    <x v="0"/>
    <x v="0"/>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1"/>
    <x v="0"/>
    <x v="0"/>
    <x v="9"/>
    <s v="Oficina de Informática y Telecomunicaciones"/>
    <x v="4"/>
    <s v="José Luis Ariza Vargas (Jefe OIT)"/>
    <x v="9"/>
    <x v="20"/>
    <s v="Implementar y mantener sistemas de información, portales y aplicaciones"/>
    <s v="Índice de capacidad en la prestación de servicios de tecnología."/>
    <n v="592"/>
    <d v="2021-05-18T00:00:00"/>
    <n v="8707976"/>
    <n v="65309819.999999993"/>
    <n v="65309819.999999993"/>
    <x v="1"/>
    <s v="DARZEE YULI TORRES MORALES"/>
    <n v="4353988.0000000075"/>
    <x v="0"/>
    <n v="24751"/>
    <x v="1"/>
    <x v="3"/>
    <x v="1"/>
    <n v="210"/>
  </r>
  <r>
    <x v="4"/>
    <n v="45"/>
    <x v="3"/>
    <x v="6"/>
    <x v="2"/>
    <x v="2"/>
    <x v="3"/>
    <x v="9"/>
    <x v="0"/>
    <s v="Servicios de implementación de aplicaciones"/>
    <x v="0"/>
    <n v="81111508"/>
    <s v="Prestación de servicios profesionales para realizar actividades de soporte técnico y temático de los sistemas de información para la operación del Sistema Nacional de Catastro."/>
    <x v="3"/>
    <x v="3"/>
    <n v="11"/>
    <x v="0"/>
    <x v="0"/>
    <x v="0"/>
    <n v="109481337"/>
    <n v="109481337"/>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x v="0"/>
    <s v="24433_x000a_24436"/>
    <x v="2"/>
    <x v="3"/>
    <x v="1"/>
    <n v="330"/>
  </r>
  <r>
    <x v="4"/>
    <n v="65"/>
    <x v="3"/>
    <x v="6"/>
    <x v="0"/>
    <x v="1"/>
    <x v="3"/>
    <x v="9"/>
    <x v="0"/>
    <s v="Servicios de implementación de aplicaciones"/>
    <x v="0"/>
    <n v="81111508"/>
    <s v="Prestación de servicios profesionales para orientar y ejecutar  las tareas de análisis y diseño en la construcción de los sistemas de información para la operación del Sistema Nacional de Catastro."/>
    <x v="3"/>
    <x v="3"/>
    <n v="11"/>
    <x v="0"/>
    <x v="0"/>
    <x v="0"/>
    <n v="73517991"/>
    <n v="7351799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6"/>
    <d v="2021-02-19T00:00:00"/>
    <n v="6683454"/>
    <n v="67948449"/>
    <n v="67948449"/>
    <x v="1"/>
    <s v="ANGEL VIVIANA GUZMAN CHACON"/>
    <n v="5569542"/>
    <x v="0"/>
    <n v="24503"/>
    <x v="1"/>
    <x v="3"/>
    <x v="1"/>
    <n v="285"/>
  </r>
  <r>
    <x v="4"/>
    <n v="55"/>
    <x v="3"/>
    <x v="6"/>
    <x v="0"/>
    <x v="1"/>
    <x v="3"/>
    <x v="9"/>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3"/>
    <x v="3"/>
    <n v="11"/>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1"/>
    <d v="2021-02-15T00:00:00"/>
    <n v="8707976"/>
    <n v="89111621"/>
    <n v="89111621"/>
    <x v="1"/>
    <s v="CLARA INES PEREZ CACERES"/>
    <n v="6676120"/>
    <x v="0"/>
    <n v="24496"/>
    <x v="1"/>
    <x v="3"/>
    <x v="1"/>
    <n v="270"/>
  </r>
  <r>
    <x v="4"/>
    <n v="61"/>
    <x v="3"/>
    <x v="6"/>
    <x v="0"/>
    <x v="1"/>
    <x v="3"/>
    <x v="9"/>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3"/>
    <x v="3"/>
    <n v="11"/>
    <x v="0"/>
    <x v="0"/>
    <x v="0"/>
    <n v="108518129"/>
    <n v="108518129"/>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0"/>
    <d v="2021-02-17T00:00:00"/>
    <n v="9865284"/>
    <n v="100297054"/>
    <n v="100297054"/>
    <x v="1"/>
    <s v="LUIS ALBERTO MORENO VEGA"/>
    <n v="8221075"/>
    <x v="0"/>
    <n v="24495"/>
    <x v="1"/>
    <x v="3"/>
    <x v="1"/>
    <n v="270"/>
  </r>
  <r>
    <x v="4"/>
    <n v="72"/>
    <x v="3"/>
    <x v="6"/>
    <x v="0"/>
    <x v="1"/>
    <x v="3"/>
    <x v="12"/>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418"/>
    <d v="2021-03-04T00:00:00"/>
    <n v="8707976"/>
    <n v="85628431"/>
    <n v="85628431"/>
    <x v="1"/>
    <s v="LEIDY NATHALY GONZALEZ DIAZ"/>
    <n v="10159310"/>
    <x v="0"/>
    <n v="24553"/>
    <x v="1"/>
    <x v="3"/>
    <x v="1"/>
    <n v="270"/>
  </r>
  <r>
    <x v="4"/>
    <n v="71"/>
    <x v="3"/>
    <x v="6"/>
    <x v="0"/>
    <x v="1"/>
    <x v="3"/>
    <x v="12"/>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
    <m/>
    <d v="2021-03-09T00:00:00"/>
    <n v="8707976"/>
    <n v="84177101"/>
    <n v="84177101"/>
    <x v="1"/>
    <s v="JUAN CARLOS MENDEZ MELO"/>
    <n v="11610640"/>
    <x v="0"/>
    <n v="24555"/>
    <x v="1"/>
    <x v="3"/>
    <x v="1"/>
    <n v="270"/>
  </r>
  <r>
    <x v="4"/>
    <m/>
    <x v="3"/>
    <x v="6"/>
    <x v="0"/>
    <x v="0"/>
    <x v="0"/>
    <x v="3"/>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10"/>
    <x v="0"/>
    <x v="0"/>
    <x v="2"/>
    <n v="86657050"/>
    <n v="86657050"/>
    <x v="0"/>
    <x v="4"/>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60"/>
    <n v="751362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70"/>
    <n v="7513627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80"/>
    <n v="7513628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90"/>
    <n v="7513629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300"/>
    <n v="7513630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3"/>
    <x v="0"/>
    <x v="4"/>
    <x v="18"/>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2"/>
    <x v="0"/>
    <n v="5"/>
    <x v="0"/>
    <x v="0"/>
    <x v="2"/>
    <n v="130619640"/>
    <n v="130619640"/>
    <x v="0"/>
    <x v="1"/>
    <x v="3"/>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5"/>
    <x v="0"/>
    <m/>
  </r>
  <r>
    <x v="4"/>
    <m/>
    <x v="3"/>
    <x v="6"/>
    <x v="0"/>
    <x v="0"/>
    <x v="0"/>
    <x v="17"/>
    <x v="0"/>
    <s v="Gerencia de proyectos"/>
    <x v="2"/>
    <n v="80101600"/>
    <s v="Prestacion de servicios profesionales para ejercer la gerencia técnica del proyecto de software requerido por la entidad para el cumplimiento de los objetivos del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7"/>
    <x v="0"/>
    <s v="Servicios de implementación de aplicaciones"/>
    <x v="2"/>
    <n v="81111508"/>
    <s v="Prestación de servicios profesionales para soportar, analizar, diseñar e implementar la arquitectura de sistemas de información de la entidad y para la operación y cumplimiento de los objetivos de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2"/>
    <x v="0"/>
    <x v="2"/>
    <x v="17"/>
    <x v="0"/>
    <s v="Servicios de implementación de aplicaciones"/>
    <x v="2"/>
    <n v="81111508"/>
    <s v="Prestación de servicios profesionales para realizar la gestión del proceso administrativo y su evolucion para  la gerencia del  proyecto que permita  el mantenimiento y la construccion de los sistemas de información catastral con enfoque multipropósito. "/>
    <x v="0"/>
    <x v="1"/>
    <n v="4"/>
    <x v="0"/>
    <x v="0"/>
    <x v="2"/>
    <n v="69663808"/>
    <n v="69663808"/>
    <x v="0"/>
    <x v="1"/>
    <x v="2"/>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2"/>
    <x v="0"/>
    <m/>
  </r>
  <r>
    <x v="4"/>
    <m/>
    <x v="3"/>
    <x v="6"/>
    <x v="1"/>
    <x v="0"/>
    <x v="1"/>
    <x v="17"/>
    <x v="0"/>
    <s v="Servicios de implementación de aplicaciones"/>
    <x v="2"/>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x v="0"/>
    <x v="1"/>
    <n v="4"/>
    <x v="0"/>
    <x v="0"/>
    <x v="2"/>
    <n v="139327616"/>
    <n v="139327616"/>
    <x v="0"/>
    <x v="1"/>
    <x v="1"/>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1"/>
    <x v="0"/>
    <m/>
  </r>
  <r>
    <x v="4"/>
    <m/>
    <x v="3"/>
    <x v="6"/>
    <x v="0"/>
    <x v="0"/>
    <x v="0"/>
    <x v="7"/>
    <x v="0"/>
    <s v="Cartografía"/>
    <x v="0"/>
    <n v="81151600"/>
    <s v="Renovar los servicios de software update support y Oracle premie support for systems"/>
    <x v="2"/>
    <x v="0"/>
    <n v="12"/>
    <x v="0"/>
    <x v="3"/>
    <x v="2"/>
    <n v="2200000000"/>
    <n v="2200000000"/>
    <x v="3"/>
    <x v="3"/>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
    <x v="10"/>
    <n v="12"/>
    <x v="0"/>
    <x v="3"/>
    <x v="2"/>
    <n v="3100000000"/>
    <n v="3100000000"/>
    <x v="2"/>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
    <x v="10"/>
    <n v="12"/>
    <x v="0"/>
    <x v="3"/>
    <x v="2"/>
    <n v="3387012400"/>
    <n v="33870124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
    <n v="4"/>
    <x v="0"/>
    <x v="3"/>
    <x v="2"/>
    <n v="5000000000"/>
    <n v="5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
    <n v="3"/>
    <x v="0"/>
    <x v="3"/>
    <x v="2"/>
    <n v="4208000000"/>
    <n v="4208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
    <n v="3"/>
    <x v="0"/>
    <x v="3"/>
    <x v="2"/>
    <n v="4000000000"/>
    <n v="4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n v="78"/>
    <x v="3"/>
    <x v="6"/>
    <x v="0"/>
    <x v="1"/>
    <x v="3"/>
    <x v="9"/>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x v="0"/>
    <n v="24627"/>
    <x v="1"/>
    <x v="3"/>
    <x v="1"/>
    <n v="240"/>
  </r>
  <r>
    <x v="4"/>
    <n v="81"/>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x v="0"/>
    <n v="24615"/>
    <x v="1"/>
    <x v="3"/>
    <x v="1"/>
    <n v="270"/>
  </r>
  <r>
    <x v="4"/>
    <n v="79"/>
    <x v="3"/>
    <x v="6"/>
    <x v="0"/>
    <x v="1"/>
    <x v="3"/>
    <x v="9"/>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x v="0"/>
    <n v="24610"/>
    <x v="1"/>
    <x v="3"/>
    <x v="1"/>
    <n v="240"/>
  </r>
  <r>
    <x v="4"/>
    <n v="80"/>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x v="0"/>
    <n v="24628"/>
    <x v="1"/>
    <x v="3"/>
    <x v="1"/>
    <m/>
  </r>
  <r>
    <x v="4"/>
    <n v="100"/>
    <x v="3"/>
    <x v="6"/>
    <x v="0"/>
    <x v="1"/>
    <x v="3"/>
    <x v="17"/>
    <x v="0"/>
    <s v="Servicios de implementación de aplicaciones"/>
    <x v="2"/>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2"/>
    <x v="2"/>
    <n v="6"/>
    <x v="0"/>
    <x v="0"/>
    <x v="0"/>
    <n v="66135552"/>
    <n v="66135552"/>
    <x v="0"/>
    <x v="1"/>
    <x v="0"/>
    <x v="0"/>
    <x v="9"/>
    <s v="Oficina de Informática y Telecomunicaciones"/>
    <x v="4"/>
    <s v="Guillermo Gómez Gómez (Jefe OIT)"/>
    <x v="5"/>
    <x v="20"/>
    <s v="Implementar el sistema de gestión de seguridad de la información "/>
    <s v="Índice de capacidad en la prestación de servicios de tecnología."/>
    <m/>
    <d v="2021-07-23T00:00:00"/>
    <n v="11022592"/>
    <n v="58787157.333333336"/>
    <n v="58787157.333333336"/>
    <x v="1"/>
    <s v="ORLANDO  BENEVIDES SANTACRUZ"/>
    <n v="7348394.6666666642"/>
    <x v="0"/>
    <m/>
    <x v="1"/>
    <x v="3"/>
    <x v="1"/>
    <m/>
  </r>
  <r>
    <x v="4"/>
    <n v="24"/>
    <x v="3"/>
    <x v="6"/>
    <x v="0"/>
    <x v="1"/>
    <x v="3"/>
    <x v="9"/>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1"/>
    <x v="0"/>
    <x v="2"/>
    <n v="116150000"/>
    <n v="116150000"/>
    <x v="0"/>
    <x v="1"/>
    <x v="0"/>
    <x v="0"/>
    <x v="10"/>
    <s v="Informática y Telecomunicaciones"/>
    <x v="4"/>
    <s v="Jefe Oficina de Informática y Telecomunicaciones"/>
    <x v="2"/>
    <x v="3"/>
    <s v="Gestionar técnicamente la operación del proyecto de catastro multipropósito, en lo correspondiente al IGAC"/>
    <s v="Sistema de Información Predial Actualizado_x000a_"/>
    <n v="345"/>
    <d v="2021-01-10T00:00:00"/>
    <n v="9865284"/>
    <n v="103585482"/>
    <n v="103585482"/>
    <x v="1"/>
    <s v="ELIECER VANEGAS MURCIA"/>
    <n v="12564518"/>
    <x v="0"/>
    <n v="24502"/>
    <x v="1"/>
    <x v="3"/>
    <x v="1"/>
    <n v="330"/>
  </r>
  <r>
    <x v="4"/>
    <n v="29"/>
    <x v="3"/>
    <x v="4"/>
    <x v="0"/>
    <x v="1"/>
    <x v="3"/>
    <x v="9"/>
    <x v="0"/>
    <s v="Servicios secretariales o de administración de oficinas  "/>
    <x v="0"/>
    <n v="80161501"/>
    <s v="Prestación de servicios profesionales en el área penal, actuando en representación y defensa del IGAC a nivel Nacional."/>
    <x v="5"/>
    <x v="5"/>
    <n v="11"/>
    <x v="0"/>
    <x v="0"/>
    <x v="0"/>
    <n v="83053047"/>
    <n v="83053047"/>
    <x v="0"/>
    <x v="1"/>
    <x v="0"/>
    <x v="1"/>
    <x v="11"/>
    <s v="Oficina Asesora Jurídica"/>
    <x v="4"/>
    <s v="Jefe Oficina Asesora Jurídica"/>
    <x v="6"/>
    <x v="10"/>
    <s v="N/A"/>
    <s v="N/A"/>
    <n v="117"/>
    <d v="2021-01-26T00:00:00"/>
    <n v="7550277"/>
    <n v="83053047"/>
    <n v="83053047"/>
    <x v="1"/>
    <s v="ALDEMAR GUARNIZO GARCÍA"/>
    <n v="0"/>
    <x v="0"/>
    <n v="24262"/>
    <x v="1"/>
    <x v="3"/>
    <x v="1"/>
    <n v="270"/>
  </r>
  <r>
    <x v="4"/>
    <n v="11"/>
    <x v="3"/>
    <x v="4"/>
    <x v="0"/>
    <x v="1"/>
    <x v="3"/>
    <x v="9"/>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0"/>
    <x v="0"/>
    <x v="0"/>
    <n v="269654000"/>
    <n v="269654000"/>
    <x v="0"/>
    <x v="1"/>
    <x v="0"/>
    <x v="1"/>
    <x v="11"/>
    <s v="Oficina Asesora Jurídica"/>
    <x v="4"/>
    <s v="Jefe Oficina Asesora Jurídica"/>
    <x v="6"/>
    <x v="10"/>
    <s v="N/A"/>
    <s v="N/A"/>
    <n v="36"/>
    <d v="2021-01-14T00:00:00"/>
    <n v="24514000"/>
    <n v="269654000"/>
    <n v="269654000"/>
    <x v="1"/>
    <s v="CARLOS EDUARDO MEDELLIN BECERRA"/>
    <n v="0"/>
    <x v="0"/>
    <n v="24197"/>
    <x v="1"/>
    <x v="3"/>
    <x v="2"/>
    <n v="330"/>
  </r>
  <r>
    <x v="4"/>
    <n v="27"/>
    <x v="3"/>
    <x v="4"/>
    <x v="0"/>
    <x v="1"/>
    <x v="3"/>
    <x v="9"/>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0"/>
    <x v="0"/>
    <x v="0"/>
    <n v="73517994"/>
    <n v="73517994"/>
    <x v="0"/>
    <x v="1"/>
    <x v="0"/>
    <x v="0"/>
    <x v="4"/>
    <s v="Oficina Asesora Jurídica"/>
    <x v="4"/>
    <s v="Jefe Oficina Asesora de Planeación"/>
    <x v="5"/>
    <x v="11"/>
    <s v="Realizar el seguimiento de los planes de acción anual"/>
    <s v="Documentos de planeación realizados_x000a__x000a_Documentos de planeación con seguimientos realizados_x000a_"/>
    <n v="127"/>
    <d v="2021-01-26T00:00:00"/>
    <n v="6683454"/>
    <n v="73517994"/>
    <n v="73517994"/>
    <x v="1"/>
    <s v="ESTEFANÍA DUQUE RINCÓN"/>
    <n v="0"/>
    <x v="0"/>
    <n v="24270"/>
    <x v="1"/>
    <x v="3"/>
    <x v="1"/>
    <n v="270"/>
  </r>
  <r>
    <x v="4"/>
    <n v="26"/>
    <x v="3"/>
    <x v="4"/>
    <x v="0"/>
    <x v="1"/>
    <x v="3"/>
    <x v="9"/>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0"/>
    <x v="0"/>
    <x v="0"/>
    <n v="95787741"/>
    <n v="95787741"/>
    <x v="0"/>
    <x v="1"/>
    <x v="0"/>
    <x v="1"/>
    <x v="11"/>
    <s v="Oficina Asesora Jurídica"/>
    <x v="4"/>
    <s v="Jefe Oficina Asesora Jurídica"/>
    <x v="6"/>
    <x v="10"/>
    <s v="N/A"/>
    <s v="N/A"/>
    <n v="148"/>
    <d v="2021-01-26T00:00:00"/>
    <n v="8707975"/>
    <n v="95787736"/>
    <n v="95787736"/>
    <x v="1"/>
    <s v="DIANA KARIME VELEZ GONAZALE"/>
    <n v="5"/>
    <x v="0"/>
    <n v="24287"/>
    <x v="1"/>
    <x v="3"/>
    <x v="1"/>
    <n v="240"/>
  </r>
  <r>
    <x v="4"/>
    <n v="31"/>
    <x v="3"/>
    <x v="4"/>
    <x v="0"/>
    <x v="1"/>
    <x v="3"/>
    <x v="9"/>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0"/>
    <x v="0"/>
    <x v="0"/>
    <n v="95787741"/>
    <n v="95787741"/>
    <x v="0"/>
    <x v="1"/>
    <x v="0"/>
    <x v="1"/>
    <x v="11"/>
    <s v="Oficina Asesora Jurídica"/>
    <x v="4"/>
    <s v="Jefe Oficina Asesora Jurídica"/>
    <x v="6"/>
    <x v="10"/>
    <s v="N/A"/>
    <s v="N/A"/>
    <n v="147"/>
    <d v="2021-01-26T00:00:00"/>
    <n v="8707976"/>
    <n v="95787736"/>
    <n v="95787736"/>
    <x v="1"/>
    <s v="JULIO CESAR AMAYA MENDEZ"/>
    <n v="5"/>
    <x v="0"/>
    <n v="24286"/>
    <x v="1"/>
    <x v="3"/>
    <x v="1"/>
    <n v="270"/>
  </r>
  <r>
    <x v="4"/>
    <n v="32"/>
    <x v="3"/>
    <x v="4"/>
    <x v="0"/>
    <x v="1"/>
    <x v="3"/>
    <x v="9"/>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0"/>
    <x v="0"/>
    <x v="0"/>
    <n v="95787741"/>
    <n v="95787741"/>
    <x v="0"/>
    <x v="1"/>
    <x v="0"/>
    <x v="1"/>
    <x v="11"/>
    <s v="Oficina Asesora Jurídica"/>
    <x v="4"/>
    <s v="Jefe Oficina Asesora Jurídica"/>
    <x v="6"/>
    <x v="10"/>
    <s v="N/A"/>
    <s v="N/A"/>
    <n v="138"/>
    <d v="2021-01-26T00:00:00"/>
    <n v="8707976"/>
    <n v="95787736"/>
    <n v="95787736"/>
    <x v="1"/>
    <s v="LAURA VILLARRAGA ALBINO,"/>
    <n v="5"/>
    <x v="0"/>
    <n v="24271"/>
    <x v="1"/>
    <x v="3"/>
    <x v="1"/>
    <n v="330"/>
  </r>
  <r>
    <x v="4"/>
    <n v="28"/>
    <x v="3"/>
    <x v="4"/>
    <x v="0"/>
    <x v="1"/>
    <x v="3"/>
    <x v="9"/>
    <x v="0"/>
    <s v="Servicios secretariales o de administración de oficinas  "/>
    <x v="0"/>
    <n v="80161501"/>
    <s v="Prestación de servicios profesionales en los asuntos legales y contractuales que le sean asignados por la Oficina Asesora Jurídica."/>
    <x v="5"/>
    <x v="5"/>
    <n v="11"/>
    <x v="0"/>
    <x v="0"/>
    <x v="1"/>
    <n v="121248517"/>
    <n v="121248517"/>
    <x v="0"/>
    <x v="1"/>
    <x v="0"/>
    <x v="1"/>
    <x v="11"/>
    <s v="Oficina Asesora Jurídica"/>
    <x v="4"/>
    <s v="Jefe Oficina Asesora Jurídica"/>
    <x v="6"/>
    <x v="10"/>
    <s v="N/A"/>
    <s v="N/A"/>
    <n v="125"/>
    <d v="2021-01-26T00:00:00"/>
    <n v="11022592"/>
    <n v="121248512"/>
    <n v="121248512"/>
    <x v="1"/>
    <s v="LUZ ÁNGELA VILLALBA PACHÓ"/>
    <n v="5"/>
    <x v="0"/>
    <n v="24263"/>
    <x v="1"/>
    <x v="3"/>
    <x v="1"/>
    <n v="270"/>
  </r>
  <r>
    <x v="4"/>
    <n v="30"/>
    <x v="3"/>
    <x v="4"/>
    <x v="0"/>
    <x v="1"/>
    <x v="3"/>
    <x v="9"/>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0"/>
    <x v="0"/>
    <x v="0"/>
    <n v="60678706"/>
    <n v="60678706"/>
    <x v="0"/>
    <x v="1"/>
    <x v="0"/>
    <x v="1"/>
    <x v="11"/>
    <s v="Oficina Asesora Jurídica"/>
    <x v="4"/>
    <s v="Jefe Oficina Asesora Jurídica"/>
    <x v="6"/>
    <x v="10"/>
    <s v="N/A"/>
    <s v="N/A"/>
    <n v="146"/>
    <d v="2021-01-26T00:00:00"/>
    <n v="7550277"/>
    <n v="60402216"/>
    <n v="60402216"/>
    <x v="1"/>
    <s v="SANDRA MAGALLY SALGADO LEYV"/>
    <n v="276490"/>
    <x v="0"/>
    <n v="24285"/>
    <x v="1"/>
    <x v="3"/>
    <x v="1"/>
    <n v="270"/>
  </r>
  <r>
    <x v="4"/>
    <n v="33"/>
    <x v="3"/>
    <x v="4"/>
    <x v="2"/>
    <x v="2"/>
    <x v="3"/>
    <x v="9"/>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0"/>
    <x v="0"/>
    <x v="0"/>
    <n v="121357412"/>
    <n v="121357412"/>
    <x v="0"/>
    <x v="1"/>
    <x v="2"/>
    <x v="1"/>
    <x v="11"/>
    <s v="Oficina Asesora Jurídica"/>
    <x v="4"/>
    <s v="Jefe Oficina Asesora Jurídica"/>
    <x v="6"/>
    <x v="10"/>
    <s v="N/A"/>
    <s v="N/A"/>
    <n v="128"/>
    <d v="2021-01-26T00:00:00"/>
    <n v="7550277"/>
    <n v="60402216"/>
    <n v="120804432"/>
    <x v="1"/>
    <s v="ENIRQUE LESMES RODRIGUEZ_x000a_CAROLINA CARDONA BUENO"/>
    <n v="552980"/>
    <x v="0"/>
    <s v="24267_x000a_24268"/>
    <x v="2"/>
    <x v="3"/>
    <x v="1"/>
    <n v="270"/>
  </r>
  <r>
    <x v="7"/>
    <m/>
    <x v="3"/>
    <x v="7"/>
    <x v="0"/>
    <x v="7"/>
    <x v="0"/>
    <x v="9"/>
    <x v="0"/>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1"/>
    <x v="0"/>
    <x v="0"/>
    <x v="4"/>
    <s v="Oficina Asesora de Planeación"/>
    <x v="4"/>
    <s v="Jefe Oficina Asesora de Planeación"/>
    <x v="5"/>
    <x v="9"/>
    <s v="Ejecutar el programa de auditoria"/>
    <s v="Sistema de Gestión implementado_x000a_"/>
    <m/>
    <m/>
    <e v="#N/A"/>
    <e v="#N/A"/>
    <e v="#N/A"/>
    <x v="0"/>
    <m/>
    <n v="0"/>
    <x v="0"/>
    <m/>
    <x v="7"/>
    <x v="0"/>
    <x v="0"/>
    <m/>
  </r>
  <r>
    <x v="4"/>
    <n v="18"/>
    <x v="3"/>
    <x v="7"/>
    <x v="0"/>
    <x v="1"/>
    <x v="3"/>
    <x v="9"/>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0"/>
    <n v="83053047"/>
    <n v="83053047"/>
    <x v="0"/>
    <x v="1"/>
    <x v="0"/>
    <x v="0"/>
    <x v="4"/>
    <s v="Oficina Asesora de Planeación"/>
    <x v="4"/>
    <s v="Jefe Oficina Asesora de Planeación"/>
    <x v="5"/>
    <x v="9"/>
    <s v="Actualizar e implementar los planes de trabajo y/o mejoramiento anual"/>
    <s v="Sistema de Gestión implementado_x000a_"/>
    <n v="95"/>
    <d v="2021-01-19T00:00:00"/>
    <n v="7550277"/>
    <n v="83053047"/>
    <n v="83053047"/>
    <x v="1"/>
    <s v="DAVID LEONARDO CARO PEDREROS"/>
    <n v="0"/>
    <x v="0"/>
    <n v="24295"/>
    <x v="1"/>
    <x v="3"/>
    <x v="1"/>
    <n v="11"/>
  </r>
  <r>
    <x v="4"/>
    <n v="21"/>
    <x v="3"/>
    <x v="7"/>
    <x v="3"/>
    <x v="3"/>
    <x v="3"/>
    <x v="9"/>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0"/>
    <n v="249159141"/>
    <n v="249159141"/>
    <x v="0"/>
    <x v="1"/>
    <x v="3"/>
    <x v="0"/>
    <x v="4"/>
    <s v="Oficina Asesora de Planeación"/>
    <x v="4"/>
    <s v="Jefe Oficina Asesora de Planeación"/>
    <x v="5"/>
    <x v="1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x v="0"/>
    <s v="24304_x000a_24305_x000a_24306"/>
    <x v="3"/>
    <x v="3"/>
    <x v="0"/>
    <n v="330"/>
  </r>
  <r>
    <x v="4"/>
    <n v="94"/>
    <x v="3"/>
    <x v="7"/>
    <x v="0"/>
    <x v="1"/>
    <x v="3"/>
    <x v="5"/>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1"/>
    <x v="0"/>
    <x v="0"/>
    <x v="4"/>
    <s v="Oficina Asesora de Planeación"/>
    <x v="4"/>
    <s v="Jefe Oficina Asesora de Planeación"/>
    <x v="5"/>
    <x v="11"/>
    <s v="Actualizar planes institucionales"/>
    <s v="Documentos de planeación realizados_x000a__x000a_Documentos de planeación con seguimientos realizados_x000a_"/>
    <n v="571"/>
    <d v="2021-04-15T00:00:00"/>
    <n v="7550277"/>
    <n v="60402216"/>
    <n v="60402216"/>
    <x v="1"/>
    <s v="NATALIA MARIA PINEDA BETANCOURT"/>
    <n v="0"/>
    <x v="0"/>
    <n v="24704"/>
    <x v="1"/>
    <x v="3"/>
    <x v="1"/>
    <m/>
  </r>
  <r>
    <x v="4"/>
    <n v="13"/>
    <x v="3"/>
    <x v="7"/>
    <x v="1"/>
    <x v="6"/>
    <x v="3"/>
    <x v="9"/>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1"/>
    <n v="332212188"/>
    <n v="332212188"/>
    <x v="0"/>
    <x v="1"/>
    <x v="1"/>
    <x v="0"/>
    <x v="4"/>
    <s v="Oficina Asesora de Planeación"/>
    <x v="4"/>
    <s v="Jefe Oficina Asesora de Planeación"/>
    <x v="5"/>
    <x v="1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x v="0"/>
    <s v="24296_x000a_24297_x000a_24299_x000a_24302"/>
    <x v="6"/>
    <x v="3"/>
    <x v="1"/>
    <m/>
  </r>
  <r>
    <x v="4"/>
    <n v="16"/>
    <x v="3"/>
    <x v="7"/>
    <x v="0"/>
    <x v="1"/>
    <x v="3"/>
    <x v="9"/>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0"/>
    <n v="108518128"/>
    <n v="108518128"/>
    <x v="0"/>
    <x v="1"/>
    <x v="0"/>
    <x v="0"/>
    <x v="4"/>
    <s v="Oficina Asesora de Planeación"/>
    <x v="4"/>
    <s v="Jefe Oficina Asesora de Planeación"/>
    <x v="5"/>
    <x v="9"/>
    <s v="Actualizar e implementar los planes de trabajo y/o mejoramiento anual"/>
    <s v="Sistema de Gestión implementado_x000a_"/>
    <n v="92"/>
    <d v="2021-01-19T00:00:00"/>
    <n v="9865284"/>
    <n v="108518124"/>
    <n v="108518124"/>
    <x v="1"/>
    <s v="CARLOS RAFAEL GONZÁLEZ CONTRERAS"/>
    <n v="4"/>
    <x v="0"/>
    <n v="24288"/>
    <x v="1"/>
    <x v="3"/>
    <x v="1"/>
    <n v="330"/>
  </r>
  <r>
    <x v="4"/>
    <n v="17"/>
    <x v="3"/>
    <x v="7"/>
    <x v="0"/>
    <x v="1"/>
    <x v="3"/>
    <x v="9"/>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3"/>
    <x v="3"/>
    <n v="11"/>
    <x v="0"/>
    <x v="0"/>
    <x v="0"/>
    <n v="54740668"/>
    <n v="54740668"/>
    <x v="0"/>
    <x v="1"/>
    <x v="0"/>
    <x v="0"/>
    <x v="4"/>
    <s v="Oficina Asesora de Planeación"/>
    <x v="4"/>
    <s v="Jefe Oficina Asesora de Planeación"/>
    <x v="5"/>
    <x v="11"/>
    <s v="Realizar el seguimiento de los planes de acción anual"/>
    <s v="Documentos de planeación con seguimientos realizados"/>
    <n v="93"/>
    <d v="2021-01-19T00:00:00"/>
    <n v="4976424"/>
    <n v="54740664"/>
    <n v="54740664"/>
    <x v="1"/>
    <s v="DANIEL FERNANDO GALLEGO MORENO"/>
    <n v="4"/>
    <x v="0"/>
    <n v="24294"/>
    <x v="1"/>
    <x v="3"/>
    <x v="1"/>
    <n v="345"/>
  </r>
  <r>
    <x v="4"/>
    <n v="22"/>
    <x v="3"/>
    <x v="7"/>
    <x v="0"/>
    <x v="1"/>
    <x v="3"/>
    <x v="9"/>
    <x v="0"/>
    <s v="Servicios de auditoría"/>
    <x v="0"/>
    <n v="84111600"/>
    <s v="Prestación de servicios profesionales para realizar las actividades del sistema de gestión ambiental del instituto en el marco del modelo de planeación y gestión vigente para la nación "/>
    <x v="5"/>
    <x v="5"/>
    <n v="11"/>
    <x v="0"/>
    <x v="0"/>
    <x v="0"/>
    <n v="73517991"/>
    <n v="73517991"/>
    <x v="0"/>
    <x v="1"/>
    <x v="0"/>
    <x v="0"/>
    <x v="4"/>
    <s v="Oficina Asesora de Planeación"/>
    <x v="4"/>
    <s v="Jefe Oficina Asesora de Planeación"/>
    <x v="5"/>
    <x v="9"/>
    <s v="Actualizar e implementar los planes de trabajo y/o mejoramiento anual"/>
    <s v="Sistema de Gestión implementado_x000a_"/>
    <n v="94"/>
    <d v="2021-01-19T00:00:00"/>
    <n v="6683453"/>
    <n v="73517983"/>
    <n v="73517983"/>
    <x v="1"/>
    <s v="DANIEL ALEJANDRO VELASQUEZ PIRA"/>
    <n v="8"/>
    <x v="0"/>
    <n v="24260"/>
    <x v="1"/>
    <x v="3"/>
    <x v="1"/>
    <n v="330"/>
  </r>
  <r>
    <x v="4"/>
    <n v="15"/>
    <x v="3"/>
    <x v="7"/>
    <x v="0"/>
    <x v="1"/>
    <x v="3"/>
    <x v="5"/>
    <x v="0"/>
    <s v="Servicios secretariales o de administración de oficinas  "/>
    <x v="0"/>
    <n v="80161501"/>
    <s v="Prestación de servicios profesionales para apoyar la implementación del Modelo Integrado de Planeación y Gestión en el Instituto, con énfasis en la actualización documental."/>
    <x v="3"/>
    <x v="3"/>
    <n v="11"/>
    <x v="0"/>
    <x v="0"/>
    <x v="0"/>
    <n v="46898742"/>
    <n v="46898742"/>
    <x v="0"/>
    <x v="1"/>
    <x v="0"/>
    <x v="0"/>
    <x v="4"/>
    <s v="Oficina Asesora de Planeación"/>
    <x v="4"/>
    <s v="Jefe Oficina Asesora de Planeación"/>
    <x v="5"/>
    <x v="9"/>
    <s v="Actualizar e implementar los planes de trabajo y/o mejoramiento anual"/>
    <s v="Sistema de Gestión implementado_x000a_"/>
    <n v="100"/>
    <d v="2021-01-19T00:00:00"/>
    <n v="4263522"/>
    <n v="46472390"/>
    <n v="46472390"/>
    <x v="1"/>
    <s v="LAURA ISABEL GONZALEZ"/>
    <n v="426352"/>
    <x v="0"/>
    <n v="24340"/>
    <x v="1"/>
    <x v="3"/>
    <x v="1"/>
    <n v="330"/>
  </r>
  <r>
    <x v="4"/>
    <n v="19"/>
    <x v="3"/>
    <x v="7"/>
    <x v="0"/>
    <x v="1"/>
    <x v="3"/>
    <x v="9"/>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1"/>
    <n v="83053047"/>
    <n v="83053047"/>
    <x v="0"/>
    <x v="1"/>
    <x v="0"/>
    <x v="0"/>
    <x v="4"/>
    <s v="Oficina Asesora de Planeación"/>
    <x v="4"/>
    <s v="Jefe Oficina Asesora de Planeación"/>
    <x v="5"/>
    <x v="11"/>
    <s v="Actualizar planes institucionales"/>
    <s v="Documentos de planeación realizados_x000a__x000a_Documentos de planeación con seguimientos realizados_x000a_"/>
    <n v="98"/>
    <d v="2021-01-19T00:00:00"/>
    <n v="7550277"/>
    <n v="79277909"/>
    <n v="79277909"/>
    <x v="1"/>
    <s v="DIANA XIMENA SIERRA MÉNDEZ"/>
    <n v="3775138"/>
    <x v="0"/>
    <n v="24429"/>
    <x v="1"/>
    <x v="3"/>
    <x v="1"/>
    <n v="11"/>
  </r>
  <r>
    <x v="4"/>
    <n v="93"/>
    <x v="3"/>
    <x v="7"/>
    <x v="0"/>
    <x v="1"/>
    <x v="3"/>
    <x v="10"/>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4"/>
    <x v="4"/>
    <n v="285"/>
    <x v="1"/>
    <x v="0"/>
    <x v="1"/>
    <n v="63492813"/>
    <n v="63492813"/>
    <x v="0"/>
    <x v="0"/>
    <x v="0"/>
    <x v="0"/>
    <x v="12"/>
    <s v="Oficina Asesora de Planeación"/>
    <x v="4"/>
    <s v="Jefe Oficina Asesora de Planeación"/>
    <x v="5"/>
    <x v="1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x v="0"/>
    <n v="24693"/>
    <x v="1"/>
    <x v="3"/>
    <x v="1"/>
    <m/>
  </r>
  <r>
    <x v="4"/>
    <m/>
    <x v="3"/>
    <x v="7"/>
    <x v="0"/>
    <x v="0"/>
    <x v="0"/>
    <x v="4"/>
    <x v="0"/>
    <s v="Servicios de asesoramiento sobre tecnologías de la información"/>
    <x v="0"/>
    <n v="80101507"/>
    <s v="Análisis y asesoría en el modelamiento BPMN 2.0, optimización, instalación, parametrización, diseño y soporte de los procesos de la Entidad en la plataforma BPMS Bizagi."/>
    <x v="10"/>
    <x v="10"/>
    <n v="3"/>
    <x v="0"/>
    <x v="0"/>
    <x v="2"/>
    <n v="1001900000"/>
    <n v="1001900000"/>
    <x v="0"/>
    <x v="1"/>
    <x v="0"/>
    <x v="0"/>
    <x v="12"/>
    <s v="Oficina Asesora de Planeación "/>
    <x v="4"/>
    <s v="Jefe Oficina Asesora de Planeación"/>
    <x v="2"/>
    <x v="3"/>
    <s v="Fortalecer al IGAC para la implementación del sistema de administración de tierras"/>
    <s v="Sistema de Información Predial Actualizado_x000a_"/>
    <m/>
    <m/>
    <e v="#N/A"/>
    <e v="#N/A"/>
    <e v="#N/A"/>
    <x v="0"/>
    <m/>
    <n v="0"/>
    <x v="0"/>
    <m/>
    <x v="0"/>
    <x v="0"/>
    <x v="0"/>
    <m/>
  </r>
  <r>
    <x v="4"/>
    <n v="23"/>
    <x v="3"/>
    <x v="7"/>
    <x v="0"/>
    <x v="1"/>
    <x v="3"/>
    <x v="9"/>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1"/>
    <x v="0"/>
    <x v="0"/>
    <x v="12"/>
    <s v="Oficina Asesora de Planeación "/>
    <x v="4"/>
    <s v="Jefe Oficina Asesora de Planeación"/>
    <x v="2"/>
    <x v="3"/>
    <s v="Fortalecer al IGAC para la implementación del sistema de administración de tierras"/>
    <s v="Sistema de Información Predial Actualizado_x000a_"/>
    <n v="267"/>
    <d v="2021-01-27T00:00:00"/>
    <n v="13337208"/>
    <n v="140040684"/>
    <n v="140040684"/>
    <x v="1"/>
    <s v="MARIA JULIANA MARTINZ GONZALEZ"/>
    <n v="6668609"/>
    <x v="0"/>
    <n v="24432"/>
    <x v="1"/>
    <x v="3"/>
    <x v="1"/>
    <n v="240"/>
  </r>
  <r>
    <x v="7"/>
    <n v="41"/>
    <x v="5"/>
    <x v="8"/>
    <x v="0"/>
    <x v="1"/>
    <x v="3"/>
    <x v="14"/>
    <x v="0"/>
    <s v="Alquiler y arrendamiento de propiedades o edificaciones"/>
    <x v="0"/>
    <n v="80131500"/>
    <s v="Arrendamiento de bien inmueble para el funcionamiento de la dirección territorial casanare del instituto geográfico agustín codazzi-igac."/>
    <x v="5"/>
    <x v="5"/>
    <n v="11"/>
    <x v="0"/>
    <x v="0"/>
    <x v="1"/>
    <n v="162316000"/>
    <n v="162316000"/>
    <x v="0"/>
    <x v="1"/>
    <x v="0"/>
    <x v="0"/>
    <x v="13"/>
    <s v="DT Casanare"/>
    <x v="6"/>
    <s v="HERMES SALCEDO RODRIGUEZ"/>
    <x v="10"/>
    <x v="21"/>
    <s v="Realizar actividades preliminares"/>
    <s v="Sedes adecuadas"/>
    <n v="70"/>
    <d v="2021-01-19T00:00:00"/>
    <n v="14756000"/>
    <n v="162316000"/>
    <n v="162316000"/>
    <x v="1"/>
    <s v="INMOBILIARIA ROYALS COMPANY SAS"/>
    <n v="0"/>
    <x v="0"/>
    <n v="24234"/>
    <x v="1"/>
    <x v="3"/>
    <x v="1"/>
    <n v="330"/>
  </r>
  <r>
    <x v="7"/>
    <n v="17"/>
    <x v="5"/>
    <x v="8"/>
    <x v="0"/>
    <x v="1"/>
    <x v="3"/>
    <x v="9"/>
    <x v="0"/>
    <s v="Servicios secretariales o de administración de oficinas  "/>
    <x v="0"/>
    <n v="80161501"/>
    <s v="Prestación de servicios para apoyar las actividades relacionadas con la organización de expedientes disciplinarios"/>
    <x v="5"/>
    <x v="5"/>
    <n v="11"/>
    <x v="0"/>
    <x v="0"/>
    <x v="0"/>
    <n v="29367360"/>
    <n v="29367360"/>
    <x v="0"/>
    <x v="0"/>
    <x v="0"/>
    <x v="1"/>
    <x v="14"/>
    <s v="Secretaría General - GIT Control Disciplinario"/>
    <x v="4"/>
    <s v="Coordinador GIT Control Disciplinario"/>
    <x v="6"/>
    <x v="10"/>
    <s v="N/A"/>
    <s v="N/A"/>
    <n v="18"/>
    <d v="2021-01-08T00:00:00"/>
    <n v="2669760"/>
    <n v="29367360"/>
    <n v="29367360"/>
    <x v="1"/>
    <s v="LISSETH TATIANA BOBADILLA BOJACA"/>
    <n v="0"/>
    <x v="0"/>
    <n v="24176"/>
    <x v="1"/>
    <x v="3"/>
    <x v="0"/>
    <m/>
  </r>
  <r>
    <x v="7"/>
    <n v="18"/>
    <x v="5"/>
    <x v="8"/>
    <x v="0"/>
    <x v="1"/>
    <x v="3"/>
    <x v="9"/>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0"/>
    <x v="0"/>
    <x v="0"/>
    <n v="34372048"/>
    <n v="34372048"/>
    <x v="0"/>
    <x v="0"/>
    <x v="0"/>
    <x v="1"/>
    <x v="14"/>
    <s v="Secretaría General - GIT Control Disciplinario"/>
    <x v="4"/>
    <s v="Coordinador GIT Control Disciplinario"/>
    <x v="6"/>
    <x v="10"/>
    <s v="N/A"/>
    <s v="N/A"/>
    <n v="17"/>
    <d v="2021-01-07T00:00:00"/>
    <n v="3124731"/>
    <n v="34372041"/>
    <n v="34372041"/>
    <x v="1"/>
    <s v="SERGIO  CALDERON HERNANDEZ"/>
    <n v="7"/>
    <x v="0"/>
    <n v="24175"/>
    <x v="1"/>
    <x v="3"/>
    <x v="2"/>
    <n v="11"/>
  </r>
  <r>
    <x v="7"/>
    <n v="16"/>
    <x v="5"/>
    <x v="8"/>
    <x v="0"/>
    <x v="1"/>
    <x v="3"/>
    <x v="9"/>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0"/>
    <x v="0"/>
    <x v="0"/>
    <n v="73517991"/>
    <n v="73517991"/>
    <x v="0"/>
    <x v="0"/>
    <x v="0"/>
    <x v="1"/>
    <x v="14"/>
    <s v="Secretaría General - GIT Control Disciplinario"/>
    <x v="4"/>
    <s v="Coordinador GIT Control Disciplinario"/>
    <x v="6"/>
    <x v="10"/>
    <s v="N/A"/>
    <s v="N/A"/>
    <n v="16"/>
    <d v="2021-01-25T00:00:00"/>
    <n v="6683453"/>
    <n v="73517983"/>
    <n v="73517983"/>
    <x v="1"/>
    <s v="NINI YOHANA MARROQUIN COLLAZOS"/>
    <n v="8"/>
    <x v="0"/>
    <n v="24240"/>
    <x v="1"/>
    <x v="3"/>
    <x v="2"/>
    <n v="11"/>
  </r>
  <r>
    <x v="7"/>
    <n v="15"/>
    <x v="5"/>
    <x v="8"/>
    <x v="0"/>
    <x v="1"/>
    <x v="3"/>
    <x v="9"/>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0"/>
    <x v="0"/>
    <x v="0"/>
    <n v="83053047"/>
    <n v="83053047"/>
    <x v="0"/>
    <x v="0"/>
    <x v="0"/>
    <x v="1"/>
    <x v="14"/>
    <s v="Secretaría General - GIT Control Disciplinario"/>
    <x v="4"/>
    <s v="Coordinador GIT Control Disciplinario"/>
    <x v="6"/>
    <x v="10"/>
    <s v="N/A"/>
    <s v="N/A"/>
    <n v="15"/>
    <d v="2021-01-07T00:00:00"/>
    <n v="7550276"/>
    <n v="83053036"/>
    <n v="83053036"/>
    <x v="1"/>
    <s v="LUIS ALFREDO AGUDELO FLOREZ"/>
    <n v="11"/>
    <x v="0"/>
    <n v="24174"/>
    <x v="1"/>
    <x v="3"/>
    <x v="2"/>
    <n v="11"/>
  </r>
  <r>
    <x v="7"/>
    <n v="12"/>
    <x v="5"/>
    <x v="8"/>
    <x v="3"/>
    <x v="3"/>
    <x v="3"/>
    <x v="9"/>
    <x v="0"/>
    <s v="Servicios secretariales o de administración de oficinas  "/>
    <x v="0"/>
    <n v="80161501"/>
    <s v="Prestación de servicios profesionales para brindar apoyo jurídico en la evaluación, sustanciación y  revisión de los procesos disciplinarios que se adelantan en el IGAC."/>
    <x v="5"/>
    <x v="5"/>
    <n v="11"/>
    <x v="0"/>
    <x v="0"/>
    <x v="1"/>
    <n v="220553972"/>
    <n v="220553972"/>
    <x v="0"/>
    <x v="0"/>
    <x v="3"/>
    <x v="1"/>
    <x v="14"/>
    <s v="Secretaría General - GIT Control Disciplinario"/>
    <x v="4"/>
    <s v="Coordinador GIT Control Disciplinario"/>
    <x v="6"/>
    <x v="10"/>
    <s v="N/A"/>
    <s v="N/A"/>
    <n v="12"/>
    <d v="2021-01-07T00:00:00"/>
    <n v="6683453"/>
    <n v="73517983"/>
    <n v="220553949"/>
    <x v="1"/>
    <s v="GABRIEL ANTONIO MORATO RODRIGUEZ_x000a_NELSON ORLANDO YAZO MARTINEZ_x000a_YESSICA JULIETH MAHECHA TOVAR_x000a_"/>
    <n v="23"/>
    <x v="0"/>
    <s v="24166_x000a_24171_x000a_24173_x000a_"/>
    <x v="3"/>
    <x v="3"/>
    <x v="2"/>
    <n v="11"/>
  </r>
  <r>
    <x v="7"/>
    <n v="74"/>
    <x v="5"/>
    <x v="8"/>
    <x v="0"/>
    <x v="1"/>
    <x v="3"/>
    <x v="12"/>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8"/>
    <x v="8"/>
    <n v="7"/>
    <x v="0"/>
    <x v="0"/>
    <x v="0"/>
    <n v="46784176"/>
    <n v="46784176"/>
    <x v="0"/>
    <x v="5"/>
    <x v="0"/>
    <x v="1"/>
    <x v="14"/>
    <s v="Secretaría General - GIT Control Disciplinario"/>
    <x v="4"/>
    <s v="Coordinador GIT Control Disciplinario"/>
    <x v="6"/>
    <x v="10"/>
    <s v="N/A"/>
    <s v="N/A"/>
    <n v="561"/>
    <d v="2021-04-29T00:00:00"/>
    <n v="5757793"/>
    <n v="40304551"/>
    <n v="40304551"/>
    <x v="1"/>
    <s v="ANA MARIA VILLA ROJAS"/>
    <n v="6479625"/>
    <x v="0"/>
    <n v="24696"/>
    <x v="1"/>
    <x v="3"/>
    <x v="1"/>
    <n v="270"/>
  </r>
  <r>
    <x v="7"/>
    <n v="13"/>
    <x v="5"/>
    <x v="8"/>
    <x v="0"/>
    <x v="1"/>
    <x v="3"/>
    <x v="9"/>
    <x v="0"/>
    <s v="Servicios secretariales o de administración de oficinas  "/>
    <x v="0"/>
    <n v="80161501"/>
    <s v="Prestación de servicios profesionales para tramitar, impulsar y sustanciar cada una de las actuaciones de los procesos disciplinarios a nivel nacional."/>
    <x v="5"/>
    <x v="5"/>
    <n v="11"/>
    <x v="0"/>
    <x v="0"/>
    <x v="0"/>
    <n v="147035981"/>
    <n v="147035981"/>
    <x v="0"/>
    <x v="0"/>
    <x v="0"/>
    <x v="1"/>
    <x v="14"/>
    <s v="Secretaría General - GIT Control Disciplinario"/>
    <x v="4"/>
    <s v="Coordinador GIT Control Disciplinario"/>
    <x v="6"/>
    <x v="10"/>
    <s v="N/A"/>
    <s v="N/A"/>
    <n v="13"/>
    <d v="2021-01-08T00:00:00"/>
    <n v="6683453"/>
    <n v="73517983"/>
    <n v="73517983"/>
    <x v="1"/>
    <s v="DORIS  ROJAS URRUEGO"/>
    <n v="73517998"/>
    <x v="0"/>
    <n v="24182"/>
    <x v="1"/>
    <x v="3"/>
    <x v="0"/>
    <m/>
  </r>
  <r>
    <x v="7"/>
    <m/>
    <x v="5"/>
    <x v="8"/>
    <x v="0"/>
    <x v="0"/>
    <x v="0"/>
    <x v="2"/>
    <x v="0"/>
    <s v="Tóner para impresoras o fax"/>
    <x v="0"/>
    <n v="44103103"/>
    <s v="Adquisición de consumibles de impresión a nivel nacional "/>
    <x v="2"/>
    <x v="2"/>
    <n v="1"/>
    <x v="0"/>
    <x v="5"/>
    <x v="0"/>
    <n v="265600000"/>
    <n v="265600000"/>
    <x v="0"/>
    <x v="0"/>
    <x v="0"/>
    <x v="1"/>
    <x v="15"/>
    <s v="Secretaría General - GIT Gestión Contractual"/>
    <x v="4"/>
    <s v="Coordinador GIT Gestión Contractual"/>
    <x v="6"/>
    <x v="10"/>
    <s v="N/A"/>
    <s v="N/A"/>
    <m/>
    <m/>
    <e v="#N/A"/>
    <e v="#N/A"/>
    <e v="#N/A"/>
    <x v="0"/>
    <m/>
    <n v="0"/>
    <x v="0"/>
    <m/>
    <x v="0"/>
    <x v="0"/>
    <x v="0"/>
    <m/>
  </r>
  <r>
    <x v="7"/>
    <n v="2"/>
    <x v="5"/>
    <x v="8"/>
    <x v="2"/>
    <x v="2"/>
    <x v="3"/>
    <x v="9"/>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0"/>
    <x v="0"/>
    <x v="0"/>
    <n v="161268052"/>
    <n v="161268052"/>
    <x v="0"/>
    <x v="0"/>
    <x v="2"/>
    <x v="1"/>
    <x v="15"/>
    <s v="Secretaría General - GIT Gestión Contractual"/>
    <x v="4"/>
    <s v="Coordinador GIT Gestión Contractual"/>
    <x v="6"/>
    <x v="10"/>
    <s v="N/A"/>
    <s v="N/A"/>
    <n v="4"/>
    <d v="2021-01-07T00:00:00"/>
    <n v="7330366"/>
    <n v="80634026"/>
    <n v="161268052"/>
    <x v="1"/>
    <s v="ADRIANA PAOLA ALVAREZ MORENO_x000a_ORLANDO  RAMIREZ OLAYA"/>
    <n v="0"/>
    <x v="0"/>
    <s v="24163_x000a_24170"/>
    <x v="2"/>
    <x v="3"/>
    <x v="2"/>
    <n v="11"/>
  </r>
  <r>
    <x v="7"/>
    <n v="10"/>
    <x v="5"/>
    <x v="8"/>
    <x v="0"/>
    <x v="1"/>
    <x v="3"/>
    <x v="9"/>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0"/>
    <x v="0"/>
    <x v="0"/>
    <n v="41110377"/>
    <n v="41110377"/>
    <x v="0"/>
    <x v="0"/>
    <x v="0"/>
    <x v="1"/>
    <x v="15"/>
    <s v="Secretaría General - GIT Gestión Contractual"/>
    <x v="4"/>
    <s v="Coordinador GIT Gestión Contractual"/>
    <x v="6"/>
    <x v="10"/>
    <s v="N/A"/>
    <s v="N/A"/>
    <n v="10"/>
    <d v="2021-01-07T00:00:00"/>
    <n v="3737307"/>
    <n v="41110377"/>
    <n v="41110377"/>
    <x v="1"/>
    <s v="CRISTIAN CAMILO ROJAS MORALES"/>
    <n v="0"/>
    <x v="0"/>
    <n v="24154"/>
    <x v="1"/>
    <x v="3"/>
    <x v="2"/>
    <n v="11"/>
  </r>
  <r>
    <x v="7"/>
    <n v="9"/>
    <x v="5"/>
    <x v="8"/>
    <x v="3"/>
    <x v="3"/>
    <x v="3"/>
    <x v="9"/>
    <x v="0"/>
    <s v="Servicios secretariales o de administración de oficinas  "/>
    <x v="0"/>
    <n v="80161501"/>
    <s v="Prestación de servicios personales para adelantar actividades relacionadas con el ingreso, egreso y baja de bienes del IGAV. "/>
    <x v="5"/>
    <x v="5"/>
    <n v="11"/>
    <x v="0"/>
    <x v="0"/>
    <x v="0"/>
    <n v="85591209"/>
    <n v="85591209"/>
    <x v="0"/>
    <x v="0"/>
    <x v="3"/>
    <x v="1"/>
    <x v="15"/>
    <s v="Secretaría General - GIT Gestión Contractual"/>
    <x v="4"/>
    <s v="Coordinador GIT Gestión Contractual"/>
    <x v="6"/>
    <x v="10"/>
    <s v="N/A"/>
    <s v="N/A"/>
    <n v="9"/>
    <d v="2021-01-07T00:00:00"/>
    <n v="2593673"/>
    <n v="28530403"/>
    <n v="85591209"/>
    <x v="1"/>
    <s v="DANNY ADALBERTO GUARNIZO MOLINA_x000a_DANIELA FERNANDA CASAS SIERRA_x000a_WILLIAM  SANCHEZ SANDOVAL_x000a_"/>
    <n v="0"/>
    <x v="0"/>
    <s v="24152_x000a_24156_x000a_24158_x000a_"/>
    <x v="3"/>
    <x v="3"/>
    <x v="2"/>
    <n v="11"/>
  </r>
  <r>
    <x v="7"/>
    <n v="7"/>
    <x v="5"/>
    <x v="8"/>
    <x v="0"/>
    <x v="1"/>
    <x v="3"/>
    <x v="9"/>
    <x v="0"/>
    <s v="Servicios secretariales o de administración de oficinas  "/>
    <x v="0"/>
    <n v="80161501"/>
    <s v="Prestación de servicios profesionales para realizar contratación directa"/>
    <x v="5"/>
    <x v="5"/>
    <n v="5"/>
    <x v="0"/>
    <x v="0"/>
    <x v="0"/>
    <n v="24157400"/>
    <n v="24157400"/>
    <x v="0"/>
    <x v="0"/>
    <x v="0"/>
    <x v="1"/>
    <x v="15"/>
    <s v="Secretaría General - GIT Gestión Contractual"/>
    <x v="4"/>
    <s v="Coordinador GIT Gestión Contractual"/>
    <x v="6"/>
    <x v="10"/>
    <s v="N/A"/>
    <s v="N/A"/>
    <n v="7"/>
    <d v="2021-01-08T00:00:00"/>
    <n v="4831480"/>
    <n v="24157400"/>
    <n v="24157400"/>
    <x v="1"/>
    <s v="ERIKA PAOLA SERRANO RICAURTE"/>
    <n v="0"/>
    <x v="0"/>
    <n v="24177"/>
    <x v="1"/>
    <x v="3"/>
    <x v="1"/>
    <n v="5"/>
  </r>
  <r>
    <x v="7"/>
    <n v="78"/>
    <x v="5"/>
    <x v="8"/>
    <x v="0"/>
    <x v="1"/>
    <x v="3"/>
    <x v="1"/>
    <x v="0"/>
    <s v="Servicios secretariales o de administración de oficinas  "/>
    <x v="0"/>
    <n v="80161501"/>
    <s v="Prestación de servicios profesionales para realizar contratación directa"/>
    <x v="6"/>
    <x v="6"/>
    <n v="204"/>
    <x v="1"/>
    <x v="0"/>
    <x v="0"/>
    <n v="33839683"/>
    <n v="33839683"/>
    <x v="0"/>
    <x v="0"/>
    <x v="0"/>
    <x v="1"/>
    <x v="15"/>
    <s v="Secretaría General - GIT Gestión Contractual"/>
    <x v="4"/>
    <s v="Coordinador GIT Gestión Contractual"/>
    <x v="6"/>
    <x v="10"/>
    <s v="N/A"/>
    <s v="N/A"/>
    <m/>
    <d v="2021-06-04T00:00:00"/>
    <n v="4976424"/>
    <n v="33839683"/>
    <n v="33839683"/>
    <x v="1"/>
    <s v="ERIKA PAOLA SERRANO RICAURTE"/>
    <n v="0"/>
    <x v="0"/>
    <n v="24757"/>
    <x v="0"/>
    <x v="0"/>
    <x v="1"/>
    <n v="204"/>
  </r>
  <r>
    <x v="7"/>
    <n v="1"/>
    <x v="5"/>
    <x v="8"/>
    <x v="2"/>
    <x v="2"/>
    <x v="3"/>
    <x v="9"/>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0"/>
    <x v="0"/>
    <x v="1"/>
    <n v="209000000"/>
    <n v="209000000"/>
    <x v="0"/>
    <x v="0"/>
    <x v="2"/>
    <x v="1"/>
    <x v="15"/>
    <s v="Secretaría General - GIT Gestión Contractual"/>
    <x v="4"/>
    <s v="Coordinador GIT Gestión Contractual"/>
    <x v="6"/>
    <x v="10"/>
    <s v="N/A"/>
    <s v="N/A"/>
    <n v="1"/>
    <d v="2021-01-07T00:00:00"/>
    <n v="9500000"/>
    <n v="104500000"/>
    <n v="209000000"/>
    <x v="1"/>
    <s v="GINNA PAOLA GARCIA BOHORQUEZ_x000a_BRENDA VIVIANA JIMENEZ DIAZ"/>
    <n v="0"/>
    <x v="0"/>
    <s v="24165_x000a_24169"/>
    <x v="2"/>
    <x v="3"/>
    <x v="1"/>
    <n v="11"/>
  </r>
  <r>
    <x v="7"/>
    <n v="4"/>
    <x v="5"/>
    <x v="8"/>
    <x v="0"/>
    <x v="1"/>
    <x v="3"/>
    <x v="9"/>
    <x v="0"/>
    <s v="Servicios secretariales o de administración de oficinas  "/>
    <x v="0"/>
    <n v="80161501"/>
    <s v="Prestación de servicios profesionales para realizar actividades relacionadas con el plan de compras y elaboración de informes."/>
    <x v="5"/>
    <x v="5"/>
    <n v="11"/>
    <x v="0"/>
    <x v="0"/>
    <x v="1"/>
    <n v="80634026"/>
    <n v="80634026"/>
    <x v="0"/>
    <x v="0"/>
    <x v="0"/>
    <x v="1"/>
    <x v="15"/>
    <s v="Secretaría General - GIT Gestión Contractual"/>
    <x v="4"/>
    <s v="Coordinador GIT Gestión Contractual"/>
    <x v="6"/>
    <x v="10"/>
    <s v="N/A"/>
    <s v="N/A"/>
    <n v="5"/>
    <d v="2021-01-07T00:00:00"/>
    <n v="7330366"/>
    <n v="80634026"/>
    <n v="80634026"/>
    <x v="1"/>
    <s v="HECTOR MAURICIO CUBIDES GARZON"/>
    <n v="0"/>
    <x v="0"/>
    <n v="24161"/>
    <x v="1"/>
    <x v="3"/>
    <x v="2"/>
    <n v="11"/>
  </r>
  <r>
    <x v="7"/>
    <n v="6"/>
    <x v="5"/>
    <x v="8"/>
    <x v="1"/>
    <x v="6"/>
    <x v="3"/>
    <x v="9"/>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0"/>
    <x v="0"/>
    <x v="1"/>
    <n v="283746760"/>
    <n v="283746760"/>
    <x v="0"/>
    <x v="0"/>
    <x v="1"/>
    <x v="1"/>
    <x v="15"/>
    <s v="Secretaría General - GIT Gestión Contractual"/>
    <x v="4"/>
    <s v="Coordinador GIT Gestión Contractual"/>
    <x v="6"/>
    <x v="10"/>
    <s v="N/A"/>
    <s v="N/A"/>
    <n v="2"/>
    <d v="2021-01-07T00:00:00"/>
    <n v="6448790"/>
    <n v="70936690"/>
    <n v="283746760"/>
    <x v="1"/>
    <s v="JAVIER ENRIQUE GUTIERREZ ROCHA_x000a_JUAN MANUEL CORDOBA MARTINEZ_x000a_MARIA MERCEDES GONZALEZ VARGAS_x000a_VIVIANA DEL PILAR RAMIREZ ROZO_x000a_"/>
    <n v="0"/>
    <x v="0"/>
    <s v="24153_x000a_24155_x000a_24157_x000a_24159_x000a_"/>
    <x v="6"/>
    <x v="3"/>
    <x v="2"/>
    <n v="4"/>
  </r>
  <r>
    <x v="7"/>
    <n v="11"/>
    <x v="5"/>
    <x v="8"/>
    <x v="0"/>
    <x v="1"/>
    <x v="3"/>
    <x v="9"/>
    <x v="0"/>
    <s v="Servicios secretariales o de administración de oficinas  "/>
    <x v="0"/>
    <n v="80161501"/>
    <s v="Prestación de servicios profesionales para adelantar la revisión de los procesos de contratación que ingresan al área para asignación posterior."/>
    <x v="5"/>
    <x v="5"/>
    <n v="11"/>
    <x v="0"/>
    <x v="0"/>
    <x v="0"/>
    <n v="31417067"/>
    <n v="31417067"/>
    <x v="0"/>
    <x v="0"/>
    <x v="0"/>
    <x v="1"/>
    <x v="15"/>
    <s v="Secretaría General - GIT Gestión Contractual"/>
    <x v="4"/>
    <s v="Coordinador GIT Gestión Contractual"/>
    <x v="6"/>
    <x v="10"/>
    <s v="N/A"/>
    <s v="N/A"/>
    <n v="3"/>
    <d v="2021-01-07T00:00:00"/>
    <n v="2856097"/>
    <n v="31417067"/>
    <n v="31417067"/>
    <x v="1"/>
    <s v="KARIME ESPERANZA ARENAS DOMINGUEZ"/>
    <n v="0"/>
    <x v="0"/>
    <n v="24162"/>
    <x v="1"/>
    <x v="3"/>
    <x v="2"/>
    <n v="11"/>
  </r>
  <r>
    <x v="7"/>
    <n v="5"/>
    <x v="5"/>
    <x v="8"/>
    <x v="0"/>
    <x v="1"/>
    <x v="3"/>
    <x v="9"/>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0"/>
    <x v="0"/>
    <x v="0"/>
    <n v="80634026"/>
    <n v="80634026"/>
    <x v="0"/>
    <x v="0"/>
    <x v="0"/>
    <x v="1"/>
    <x v="15"/>
    <s v="Secretaría General - GIT Gestión Contractual"/>
    <x v="4"/>
    <s v="Coordinador GIT Gestión Contractual"/>
    <x v="6"/>
    <x v="10"/>
    <s v="N/A"/>
    <s v="N/A"/>
    <n v="6"/>
    <d v="2021-01-07T00:00:00"/>
    <n v="7330366"/>
    <n v="80634026"/>
    <n v="80634026"/>
    <x v="1"/>
    <s v="MARIA VICTORIA MOLINA MELO"/>
    <n v="0"/>
    <x v="0"/>
    <n v="24160"/>
    <x v="1"/>
    <x v="3"/>
    <x v="1"/>
    <n v="11"/>
  </r>
  <r>
    <x v="8"/>
    <s v="6-7-8-9-10-11-12-13-14-15-16-17-18"/>
    <x v="5"/>
    <x v="8"/>
    <x v="0"/>
    <x v="1"/>
    <x v="3"/>
    <x v="19"/>
    <x v="0"/>
    <s v="Suministros de escritorio"/>
    <x v="0"/>
    <n v="44121600"/>
    <s v="Adquisición de elementos de papelería e insumos"/>
    <x v="8"/>
    <x v="8"/>
    <n v="1"/>
    <x v="0"/>
    <x v="5"/>
    <x v="0"/>
    <n v="8531146"/>
    <n v="8531146"/>
    <x v="0"/>
    <x v="1"/>
    <x v="0"/>
    <x v="1"/>
    <x v="15"/>
    <s v="Secretaría General - GIT Gestión Contractual"/>
    <x v="4"/>
    <s v="Coordinador GIT Gestión Contractual"/>
    <x v="6"/>
    <x v="10"/>
    <s v="N/A"/>
    <s v="N/A"/>
    <n v="552"/>
    <d v="2021-04-27T00:00:00"/>
    <n v="8531146"/>
    <n v="8531146"/>
    <n v="8531146"/>
    <x v="1"/>
    <s v="PANAMERICANA LIBRERIA Y PAPELERIA SA"/>
    <n v="0"/>
    <x v="0"/>
    <n v="24694"/>
    <x v="1"/>
    <x v="3"/>
    <x v="0"/>
    <m/>
  </r>
  <r>
    <x v="7"/>
    <n v="3"/>
    <x v="5"/>
    <x v="8"/>
    <x v="0"/>
    <x v="1"/>
    <x v="3"/>
    <x v="9"/>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0"/>
    <x v="0"/>
    <x v="0"/>
    <n v="70936690"/>
    <n v="70936690"/>
    <x v="0"/>
    <x v="0"/>
    <x v="0"/>
    <x v="1"/>
    <x v="15"/>
    <s v="Secretaría General - GIT Gestión Contractual"/>
    <x v="4"/>
    <s v="Coordinador GIT Gestión Contractual"/>
    <x v="6"/>
    <x v="10"/>
    <s v="N/A"/>
    <s v="N/A"/>
    <n v="11"/>
    <d v="2021-01-07T00:00:00"/>
    <n v="6448790"/>
    <n v="70936690"/>
    <n v="70936690"/>
    <x v="1"/>
    <s v="WILDER ANDRES GONZALEZ ROJAS"/>
    <n v="0"/>
    <x v="0"/>
    <n v="24172"/>
    <x v="1"/>
    <x v="3"/>
    <x v="2"/>
    <n v="11"/>
  </r>
  <r>
    <x v="7"/>
    <n v="8"/>
    <x v="5"/>
    <x v="8"/>
    <x v="2"/>
    <x v="2"/>
    <x v="3"/>
    <x v="9"/>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0"/>
    <x v="0"/>
    <x v="0"/>
    <n v="58772630"/>
    <n v="58772630"/>
    <x v="0"/>
    <x v="0"/>
    <x v="2"/>
    <x v="1"/>
    <x v="15"/>
    <s v="Secretaría General - GIT Gestión Contractual"/>
    <x v="4"/>
    <s v="Coordinador GIT Gestión Contractual"/>
    <x v="6"/>
    <x v="10"/>
    <s v="N/A"/>
    <s v="N/A"/>
    <n v="8"/>
    <d v="2021-01-07T00:00:00"/>
    <n v="2671483"/>
    <n v="29386313"/>
    <n v="58772626"/>
    <x v="1"/>
    <s v="SANDRA YANETH CELEMIN_x000a_BIBIANA ANDREA CASAS SIERRA_x000a_"/>
    <n v="4"/>
    <x v="0"/>
    <s v="24164_x000a_24167_x000a_"/>
    <x v="2"/>
    <x v="3"/>
    <x v="2"/>
    <n v="2"/>
  </r>
  <r>
    <x v="7"/>
    <n v="61"/>
    <x v="5"/>
    <x v="8"/>
    <x v="0"/>
    <x v="1"/>
    <x v="3"/>
    <x v="10"/>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4"/>
    <x v="4"/>
    <n v="10"/>
    <x v="0"/>
    <x v="0"/>
    <x v="1"/>
    <n v="102877526"/>
    <n v="102877526"/>
    <x v="0"/>
    <x v="1"/>
    <x v="0"/>
    <x v="1"/>
    <x v="15"/>
    <s v="Secretaría General - GIT Gestión Contractual"/>
    <x v="4"/>
    <s v="Coordinador GIT Gestión Contractual"/>
    <x v="6"/>
    <x v="10"/>
    <s v="N/A"/>
    <s v="N/A"/>
    <n v="520"/>
    <d v="2021-04-12T00:00:00"/>
    <n v="11022592"/>
    <n v="95529131"/>
    <n v="95529131"/>
    <x v="1"/>
    <s v="BRENDA VIVIANA JIMENEZ DIAZ"/>
    <n v="7348395"/>
    <x v="0"/>
    <n v="24653"/>
    <x v="1"/>
    <x v="3"/>
    <x v="1"/>
    <m/>
  </r>
  <r>
    <x v="8"/>
    <n v="5"/>
    <x v="5"/>
    <x v="8"/>
    <x v="0"/>
    <x v="1"/>
    <x v="3"/>
    <x v="19"/>
    <x v="0"/>
    <s v="Papel de imprenta y papel de escribir"/>
    <x v="0"/>
    <n v="14111500"/>
    <s v="Adquisición de productos derivados del papel, cartón y corrugados en Colombia"/>
    <x v="8"/>
    <x v="8"/>
    <n v="1"/>
    <x v="0"/>
    <x v="5"/>
    <x v="0"/>
    <n v="230000000"/>
    <n v="230000000"/>
    <x v="0"/>
    <x v="1"/>
    <x v="0"/>
    <x v="1"/>
    <x v="15"/>
    <s v="Secretaría General - GIT Gestión Contractual"/>
    <x v="4"/>
    <s v="Coordinador GIT Gestión Contractual"/>
    <x v="6"/>
    <x v="10"/>
    <s v="N/A"/>
    <s v="N/A"/>
    <n v="583"/>
    <d v="2021-04-27T00:00:00"/>
    <n v="16879994.82"/>
    <n v="16879994.82"/>
    <n v="16879994.82"/>
    <x v="1"/>
    <s v="SUMIMAS SAS"/>
    <n v="213120005.18000001"/>
    <x v="0"/>
    <n v="24723"/>
    <x v="1"/>
    <x v="3"/>
    <x v="0"/>
    <m/>
  </r>
  <r>
    <x v="7"/>
    <n v="47"/>
    <x v="5"/>
    <x v="8"/>
    <x v="0"/>
    <x v="1"/>
    <x v="3"/>
    <x v="14"/>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0"/>
    <x v="4"/>
    <x v="0"/>
    <n v="0"/>
    <n v="0"/>
    <x v="0"/>
    <x v="0"/>
    <x v="0"/>
    <x v="1"/>
    <x v="15"/>
    <s v="Secretaría General - GIT Gestión Contractual"/>
    <x v="4"/>
    <s v="Coordinador GIT Gestión Contractual"/>
    <x v="6"/>
    <x v="10"/>
    <s v="N/A"/>
    <s v="N/A"/>
    <n v="82"/>
    <d v="2021-01-22T00:00:00"/>
    <e v="#N/A"/>
    <e v="#N/A"/>
    <e v="#N/A"/>
    <x v="0"/>
    <s v="INICIO PROCESO"/>
    <n v="0"/>
    <x v="0"/>
    <m/>
    <x v="1"/>
    <x v="3"/>
    <x v="0"/>
    <m/>
  </r>
  <r>
    <x v="7"/>
    <m/>
    <x v="5"/>
    <x v="8"/>
    <x v="0"/>
    <x v="7"/>
    <x v="0"/>
    <x v="12"/>
    <x v="0"/>
    <s v="Servicios de envío, recogida o entrega de correo"/>
    <x v="0"/>
    <n v="78102203"/>
    <s v="Prestación de Servicios de administración, curso y entrega de toda clase de  correspondencia y demás envíos postales. "/>
    <x v="2"/>
    <x v="2"/>
    <n v="9"/>
    <x v="0"/>
    <x v="0"/>
    <x v="0"/>
    <n v="898185726"/>
    <n v="898185726"/>
    <x v="0"/>
    <x v="5"/>
    <x v="0"/>
    <x v="1"/>
    <x v="16"/>
    <s v="Secretaría General - GIT Gestión Documental"/>
    <x v="4"/>
    <s v="Coordinador GIT Gestión Documental"/>
    <x v="6"/>
    <x v="10"/>
    <s v="N/A"/>
    <s v="N/A"/>
    <m/>
    <m/>
    <e v="#N/A"/>
    <e v="#N/A"/>
    <e v="#N/A"/>
    <x v="0"/>
    <m/>
    <n v="0"/>
    <x v="0"/>
    <m/>
    <x v="7"/>
    <x v="0"/>
    <x v="0"/>
    <m/>
  </r>
  <r>
    <x v="7"/>
    <n v="57"/>
    <x v="5"/>
    <x v="8"/>
    <x v="0"/>
    <x v="1"/>
    <x v="3"/>
    <x v="5"/>
    <x v="0"/>
    <s v="Servicios secretariales o de administración de oficinas  "/>
    <x v="0"/>
    <n v="80161501"/>
    <s v="prestación de servicios profesionales para la implementación y seguimiento del proceso de gestión documental conforme a los lineamienos dados por la entidad y el agn."/>
    <x v="3"/>
    <x v="3"/>
    <n v="11"/>
    <x v="0"/>
    <x v="0"/>
    <x v="1"/>
    <n v="51970000"/>
    <n v="51970000"/>
    <x v="0"/>
    <x v="1"/>
    <x v="0"/>
    <x v="0"/>
    <x v="6"/>
    <s v="Secretaria General- Gestión documental"/>
    <x v="4"/>
    <s v="Coordinador GIT Gestión Documental"/>
    <x v="11"/>
    <x v="22"/>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x v="0"/>
    <n v="24518"/>
    <x v="1"/>
    <x v="3"/>
    <x v="1"/>
    <n v="300"/>
  </r>
  <r>
    <x v="7"/>
    <n v="79"/>
    <x v="5"/>
    <x v="8"/>
    <x v="0"/>
    <x v="1"/>
    <x v="3"/>
    <x v="1"/>
    <x v="0"/>
    <s v="Mantenimiento y soporte de software"/>
    <x v="0"/>
    <n v="81112200"/>
    <s v="Prestación de servicios para el soporte tecnico, mantenimiento y actualización del Sistema de Gestión Documental -SIGAC sobre la plataforma BPM/FOREST."/>
    <x v="6"/>
    <x v="6"/>
    <n v="6"/>
    <x v="0"/>
    <x v="0"/>
    <x v="1"/>
    <n v="154403359"/>
    <n v="154403359"/>
    <x v="0"/>
    <x v="1"/>
    <x v="0"/>
    <x v="0"/>
    <x v="6"/>
    <s v="Secretaria General-GIT Gestión Documental"/>
    <x v="4"/>
    <s v="Coordinadora GIT Gestión Documental"/>
    <x v="11"/>
    <x v="7"/>
    <s v="Implementar las funcionalidades de la fase 2 del Sistema de Gestión de Documento Electrónico de Archivo  "/>
    <s v="Automatizar los procedimientos para la gestión de la información."/>
    <n v="627"/>
    <d v="2021-06-17T00:00:00"/>
    <n v="154403359"/>
    <n v="154403359"/>
    <n v="154403359"/>
    <x v="1"/>
    <s v="MACRO PROYECTOS S.A.S"/>
    <n v="0"/>
    <x v="0"/>
    <n v="24771"/>
    <x v="0"/>
    <x v="0"/>
    <x v="2"/>
    <n v="4"/>
  </r>
  <r>
    <x v="7"/>
    <n v="80"/>
    <x v="5"/>
    <x v="8"/>
    <x v="0"/>
    <x v="1"/>
    <x v="3"/>
    <x v="2"/>
    <x v="0"/>
    <s v="Servicios secretariales o de administración de oficinas  "/>
    <x v="0"/>
    <n v="80161501"/>
    <s v="Prestación de servicios profesionales para gestionar y apoyar el proceso de convalidación de las tablas de retención documental de la entidad."/>
    <x v="6"/>
    <x v="6"/>
    <n v="6"/>
    <x v="0"/>
    <x v="0"/>
    <x v="1"/>
    <n v="29894546"/>
    <n v="29894546"/>
    <x v="0"/>
    <x v="1"/>
    <x v="0"/>
    <x v="1"/>
    <x v="6"/>
    <s v="Secretaria General-GIT Gestión Documental"/>
    <x v="4"/>
    <s v="Coordinadora GIT Gestión Documental"/>
    <x v="6"/>
    <x v="10"/>
    <s v="N/A"/>
    <s v="N/A"/>
    <m/>
    <d v="2021-06-24T00:00:00"/>
    <n v="29894546"/>
    <n v="29894546"/>
    <n v="29894546"/>
    <x v="1"/>
    <s v="OLGA LUCIA QUINTERO "/>
    <n v="0"/>
    <x v="0"/>
    <m/>
    <x v="1"/>
    <x v="3"/>
    <x v="0"/>
    <m/>
  </r>
  <r>
    <x v="7"/>
    <n v="59"/>
    <x v="5"/>
    <x v="8"/>
    <x v="0"/>
    <x v="1"/>
    <x v="3"/>
    <x v="9"/>
    <x v="0"/>
    <s v="Servicios secretariales o de administración de oficinas  "/>
    <x v="0"/>
    <n v="80161501"/>
    <s v="Prestación de servicios profesionales para la implementación del sistema de gestión documental SIGAC a nivel nacional."/>
    <x v="3"/>
    <x v="3"/>
    <n v="10"/>
    <x v="0"/>
    <x v="0"/>
    <x v="1"/>
    <n v="36402363"/>
    <n v="36402363"/>
    <x v="0"/>
    <x v="1"/>
    <x v="0"/>
    <x v="0"/>
    <x v="6"/>
    <s v="Secretaria General- Gestión documental"/>
    <x v="4"/>
    <s v="Coordinador GIT Gestión Documental"/>
    <x v="11"/>
    <x v="7"/>
    <s v="Dar soporte a la fase 1 del Sistema de Gestión de Documento Electrónico de Archivo   "/>
    <s v="Automatizar los procedimientos para la gestión de la información."/>
    <n v="422"/>
    <d v="2021-02-24T00:00:00"/>
    <n v="3640236"/>
    <n v="36402360"/>
    <n v="36402360"/>
    <x v="1"/>
    <s v="PIEDAD  AMPARO MARTINEZ REDONDO"/>
    <n v="3"/>
    <x v="0"/>
    <n v="24556"/>
    <x v="1"/>
    <x v="3"/>
    <x v="1"/>
    <n v="300"/>
  </r>
  <r>
    <x v="7"/>
    <n v="40"/>
    <x v="5"/>
    <x v="8"/>
    <x v="0"/>
    <x v="1"/>
    <x v="3"/>
    <x v="9"/>
    <x v="0"/>
    <s v="Servicios secretariales o de administración de oficinas  "/>
    <x v="0"/>
    <n v="80161501"/>
    <s v="Prestación de servicios personales para el acompañamiento y seguimiento de las actividades del procesos de gestión documental de la entidad de acuerdo a las normas vigentes."/>
    <x v="5"/>
    <x v="5"/>
    <n v="9"/>
    <x v="0"/>
    <x v="0"/>
    <x v="1"/>
    <n v="24043349"/>
    <n v="24043349"/>
    <x v="0"/>
    <x v="1"/>
    <x v="0"/>
    <x v="0"/>
    <x v="6"/>
    <s v="Secretaria General- Gestión documental"/>
    <x v="4"/>
    <s v="Coordinador GIT Gestión Documental"/>
    <x v="11"/>
    <x v="22"/>
    <s v="Realizar los procesos de organización al acervo documental de  30 metros lineales."/>
    <s v="Aplicar los procesos archivísticos al acervo documental."/>
    <n v="59"/>
    <d v="2021-01-19T00:00:00"/>
    <n v="2593673"/>
    <n v="23343057"/>
    <n v="23343057"/>
    <x v="1"/>
    <s v="MARTHA LUCIA ROCHA AREVALO"/>
    <n v="700292"/>
    <x v="0"/>
    <n v="24222"/>
    <x v="1"/>
    <x v="3"/>
    <x v="1"/>
    <n v="270"/>
  </r>
  <r>
    <x v="7"/>
    <n v="39"/>
    <x v="5"/>
    <x v="8"/>
    <x v="3"/>
    <x v="3"/>
    <x v="3"/>
    <x v="9"/>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0"/>
    <x v="0"/>
    <x v="1"/>
    <n v="53527075"/>
    <n v="53527075"/>
    <x v="0"/>
    <x v="1"/>
    <x v="3"/>
    <x v="0"/>
    <x v="6"/>
    <s v="Secretaria General- Gestión documental"/>
    <x v="4"/>
    <s v="Coordinador GIT Gestión Documental"/>
    <x v="11"/>
    <x v="22"/>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x v="0"/>
    <s v="24208_x000a_24209_x000a_24210"/>
    <x v="3"/>
    <x v="3"/>
    <x v="1"/>
    <n v="270"/>
  </r>
  <r>
    <x v="7"/>
    <n v="48"/>
    <x v="5"/>
    <x v="8"/>
    <x v="0"/>
    <x v="1"/>
    <x v="3"/>
    <x v="5"/>
    <x v="0"/>
    <s v="Servicios secretariales o de administración de oficinas  "/>
    <x v="0"/>
    <n v="80161501"/>
    <s v="Prestación de servicios personales para apoyar la implementación del sistema de gestión documental de la entidad de acuerdo a las normas vigentes."/>
    <x v="3"/>
    <x v="3"/>
    <n v="11"/>
    <x v="0"/>
    <x v="0"/>
    <x v="0"/>
    <n v="29566233.890000001"/>
    <n v="29566233.890000001"/>
    <x v="0"/>
    <x v="1"/>
    <x v="0"/>
    <x v="1"/>
    <x v="16"/>
    <s v="Secretaría General - GIT Gestión Documental"/>
    <x v="4"/>
    <s v="Coordinador GIT Gestión Documental"/>
    <x v="6"/>
    <x v="10"/>
    <s v="N/A"/>
    <s v="N/A"/>
    <n v="235"/>
    <d v="2021-02-03T00:00:00"/>
    <n v="2593673"/>
    <n v="27406478"/>
    <n v="27406478"/>
    <x v="1"/>
    <s v="EDWIN DIDIER CASAS ARDILA"/>
    <n v="2159755.8900000006"/>
    <x v="0"/>
    <n v="24418"/>
    <x v="1"/>
    <x v="3"/>
    <x v="1"/>
    <n v="330"/>
  </r>
  <r>
    <x v="7"/>
    <n v="49"/>
    <x v="5"/>
    <x v="8"/>
    <x v="2"/>
    <x v="2"/>
    <x v="3"/>
    <x v="5"/>
    <x v="0"/>
    <s v="Servicios secretariales o de administración de oficinas  "/>
    <x v="0"/>
    <n v="80161501"/>
    <s v="Prestación de servicios personales para la aplicación de los procesos archvísticos  de acuerdo a las directrices de la entidad y las normas del archivo general de la nación. "/>
    <x v="3"/>
    <x v="3"/>
    <n v="11"/>
    <x v="0"/>
    <x v="0"/>
    <x v="0"/>
    <n v="43614654"/>
    <n v="43614653.780000001"/>
    <x v="0"/>
    <x v="1"/>
    <x v="2"/>
    <x v="1"/>
    <x v="16"/>
    <s v="Secretaría General - GIT Gestión Documental"/>
    <x v="4"/>
    <s v="Coordinador GIT Gestión Documental"/>
    <x v="6"/>
    <x v="10"/>
    <s v="N/A"/>
    <s v="N/A"/>
    <n v="196"/>
    <d v="2021-02-03T00:00:00"/>
    <n v="1924742"/>
    <n v="20402265"/>
    <n v="40804530"/>
    <x v="1"/>
    <s v="JENNY ALEXANDRA PEREZ GONZALEZ_x000a_RAFAEL ALIRIO GONZALEZ "/>
    <n v="2810123.7800000012"/>
    <x v="0"/>
    <s v="24380_x000a_24382"/>
    <x v="2"/>
    <x v="3"/>
    <x v="1"/>
    <n v="330"/>
  </r>
  <r>
    <x v="7"/>
    <m/>
    <x v="5"/>
    <x v="8"/>
    <x v="0"/>
    <x v="7"/>
    <x v="0"/>
    <x v="9"/>
    <x v="0"/>
    <s v="Software de servidor de autenticación"/>
    <x v="0"/>
    <n v="43233201"/>
    <s v="Adquisición certificados digitales acceso a SIIF"/>
    <x v="1"/>
    <x v="1"/>
    <n v="1"/>
    <x v="0"/>
    <x v="1"/>
    <x v="0"/>
    <n v="10000000"/>
    <n v="10000000"/>
    <x v="0"/>
    <x v="0"/>
    <x v="0"/>
    <x v="1"/>
    <x v="17"/>
    <s v="Secretaria General - GIT Gestión Financiera"/>
    <x v="4"/>
    <s v="Coordinador GIT Gestión Financiera"/>
    <x v="6"/>
    <x v="10"/>
    <s v="N/A"/>
    <s v="N/A"/>
    <m/>
    <m/>
    <e v="#N/A"/>
    <e v="#N/A"/>
    <e v="#N/A"/>
    <x v="0"/>
    <m/>
    <n v="0"/>
    <x v="0"/>
    <m/>
    <x v="7"/>
    <x v="0"/>
    <x v="0"/>
    <m/>
  </r>
  <r>
    <x v="7"/>
    <m/>
    <x v="5"/>
    <x v="8"/>
    <x v="0"/>
    <x v="0"/>
    <x v="0"/>
    <x v="4"/>
    <x v="0"/>
    <s v="Servicios secretariales o de administración de oficinas  "/>
    <x v="0"/>
    <n v="80161501"/>
    <s v="Prestación de servicios profesionales  para apoyar los temas tributarios, contables y financieros que se desarollen al interior de la entidad"/>
    <x v="6"/>
    <x v="6"/>
    <n v="195"/>
    <x v="1"/>
    <x v="0"/>
    <x v="0"/>
    <n v="57000000"/>
    <n v="57000000"/>
    <x v="0"/>
    <x v="0"/>
    <x v="0"/>
    <x v="1"/>
    <x v="18"/>
    <s v="Secretaría General - GIT Gestión Financiera"/>
    <x v="4"/>
    <s v="Coordinador GIT Gestión Financiera"/>
    <x v="6"/>
    <x v="10"/>
    <s v="N/A"/>
    <s v="N/A"/>
    <m/>
    <m/>
    <e v="#N/A"/>
    <e v="#N/A"/>
    <e v="#N/A"/>
    <x v="0"/>
    <m/>
    <n v="0"/>
    <x v="27"/>
    <m/>
    <x v="0"/>
    <x v="0"/>
    <x v="0"/>
    <m/>
  </r>
  <r>
    <x v="7"/>
    <n v="29"/>
    <x v="5"/>
    <x v="8"/>
    <x v="0"/>
    <x v="1"/>
    <x v="3"/>
    <x v="9"/>
    <x v="0"/>
    <s v="Servicios secretariales o de administración de oficinas  "/>
    <x v="0"/>
    <n v="80161501"/>
    <s v="Prestación de servicios profesionales especializados para apoyar los temas tributarios, contables y financieros del Instituto Geográfico Agustín Codazzi a nivel nacional"/>
    <x v="5"/>
    <x v="5"/>
    <n v="4"/>
    <x v="0"/>
    <x v="0"/>
    <x v="0"/>
    <n v="34831906"/>
    <n v="34831906"/>
    <x v="0"/>
    <x v="0"/>
    <x v="0"/>
    <x v="1"/>
    <x v="17"/>
    <s v="Secretaría General - GIT Gestión Financiera"/>
    <x v="4"/>
    <s v="Coordinador GIT Gestión Financiera"/>
    <x v="6"/>
    <x v="10"/>
    <s v="N/A"/>
    <s v="N/A"/>
    <n v="27"/>
    <d v="2021-01-12T00:00:00"/>
    <n v="8707976"/>
    <n v="34831904"/>
    <n v="34831904"/>
    <x v="1"/>
    <s v="CARLOS JULIO AGUILAR RUIZ"/>
    <n v="2"/>
    <x v="0"/>
    <n v="24186"/>
    <x v="1"/>
    <x v="3"/>
    <x v="2"/>
    <n v="11"/>
  </r>
  <r>
    <x v="7"/>
    <n v="30"/>
    <x v="5"/>
    <x v="8"/>
    <x v="0"/>
    <x v="1"/>
    <x v="3"/>
    <x v="9"/>
    <x v="0"/>
    <s v="Servicios secretariales o de administración de oficinas  "/>
    <x v="0"/>
    <n v="80161501"/>
    <s v="Prestación de servicios personales para apoyar la gestión de la tesorería del Instituto Geográfico Agustín Codazzi."/>
    <x v="5"/>
    <x v="5"/>
    <n v="11"/>
    <x v="0"/>
    <x v="0"/>
    <x v="0"/>
    <n v="29386316"/>
    <n v="29386316"/>
    <x v="0"/>
    <x v="0"/>
    <x v="0"/>
    <x v="1"/>
    <x v="17"/>
    <s v="Secretaría General - GIT Gestión Financiera"/>
    <x v="4"/>
    <s v="Coordinador GIT Gestión Financiera"/>
    <x v="6"/>
    <x v="10"/>
    <s v="N/A"/>
    <s v="N/A"/>
    <n v="34"/>
    <d v="2021-01-13T00:00:00"/>
    <n v="2671483"/>
    <n v="29386313"/>
    <n v="29386313"/>
    <x v="1"/>
    <s v="LEONARDO  SEGURA CAMELO"/>
    <n v="3"/>
    <x v="0"/>
    <n v="24188"/>
    <x v="1"/>
    <x v="3"/>
    <x v="0"/>
    <m/>
  </r>
  <r>
    <x v="7"/>
    <n v="24"/>
    <x v="5"/>
    <x v="8"/>
    <x v="0"/>
    <x v="1"/>
    <x v="3"/>
    <x v="9"/>
    <x v="0"/>
    <s v="Servicios secretariales o de administración de oficinas  "/>
    <x v="0"/>
    <n v="80161501"/>
    <s v="Prestación de servicios personales para la recepción, revisión y elaboración de las cuentas por pagar y obligaciones del instituto en el sistema SIIF Nación."/>
    <x v="5"/>
    <x v="5"/>
    <n v="11"/>
    <x v="0"/>
    <x v="0"/>
    <x v="1"/>
    <n v="29386316"/>
    <n v="29386316"/>
    <x v="0"/>
    <x v="0"/>
    <x v="0"/>
    <x v="1"/>
    <x v="17"/>
    <s v="Secretaría General - GIT Gestión Financiera"/>
    <x v="4"/>
    <s v="Coordinador GIT Gestión Financiera"/>
    <x v="6"/>
    <x v="10"/>
    <s v="N/A"/>
    <s v="N/A"/>
    <n v="33"/>
    <d v="2021-01-13T00:00:00"/>
    <n v="2671483"/>
    <n v="29386313"/>
    <n v="29386313"/>
    <x v="1"/>
    <s v="MIREYA  ARTUNDUAGA CALDERON"/>
    <n v="3"/>
    <x v="0"/>
    <n v="24190"/>
    <x v="1"/>
    <x v="3"/>
    <x v="0"/>
    <m/>
  </r>
  <r>
    <x v="7"/>
    <n v="26"/>
    <x v="5"/>
    <x v="8"/>
    <x v="0"/>
    <x v="1"/>
    <x v="3"/>
    <x v="9"/>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0"/>
    <x v="0"/>
    <x v="0"/>
    <n v="40042599"/>
    <n v="40042599"/>
    <x v="0"/>
    <x v="0"/>
    <x v="0"/>
    <x v="1"/>
    <x v="17"/>
    <s v="Secretaría General - GIT Gestión Financiera"/>
    <x v="4"/>
    <s v="Coordinador GIT Gestión Financiera"/>
    <x v="6"/>
    <x v="10"/>
    <s v="N/A"/>
    <s v="N/A"/>
    <n v="32"/>
    <d v="2021-01-13T00:00:00"/>
    <n v="3640236"/>
    <n v="40042596"/>
    <n v="40042596"/>
    <x v="1"/>
    <s v="YOLI ANDREA MARTINEZ MOLINA"/>
    <n v="3"/>
    <x v="0"/>
    <n v="24189"/>
    <x v="1"/>
    <x v="3"/>
    <x v="0"/>
    <m/>
  </r>
  <r>
    <x v="7"/>
    <n v="28"/>
    <x v="5"/>
    <x v="8"/>
    <x v="0"/>
    <x v="1"/>
    <x v="3"/>
    <x v="9"/>
    <x v="0"/>
    <s v="Servicios secretariales o de administración de oficinas  "/>
    <x v="0"/>
    <n v="80161501"/>
    <s v="Prestación de servicios profesionales para realizar las actividades relacionadas con el manejo del presupuesto del Instituto Geográfico Agustín Codazzi."/>
    <x v="5"/>
    <x v="5"/>
    <n v="11"/>
    <x v="0"/>
    <x v="0"/>
    <x v="0"/>
    <n v="73517991"/>
    <n v="73517991"/>
    <x v="0"/>
    <x v="0"/>
    <x v="0"/>
    <x v="1"/>
    <x v="17"/>
    <s v="Secretaría General - GIT Gestión Financiera"/>
    <x v="4"/>
    <s v="Coordinador GIT Gestión Financiera"/>
    <x v="6"/>
    <x v="10"/>
    <s v="N/A"/>
    <s v="N/A"/>
    <n v="28"/>
    <d v="2021-01-13T00:00:00"/>
    <n v="6683453"/>
    <n v="73517983"/>
    <n v="73517983"/>
    <x v="1"/>
    <s v="BRENDA LUCIA FONSECA ROJAS"/>
    <n v="8"/>
    <x v="0"/>
    <n v="24187"/>
    <x v="1"/>
    <x v="3"/>
    <x v="0"/>
    <m/>
  </r>
  <r>
    <x v="7"/>
    <n v="23"/>
    <x v="5"/>
    <x v="8"/>
    <x v="0"/>
    <x v="1"/>
    <x v="3"/>
    <x v="9"/>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0"/>
    <x v="0"/>
    <x v="0"/>
    <n v="63335720"/>
    <n v="63335720"/>
    <x v="0"/>
    <x v="0"/>
    <x v="0"/>
    <x v="1"/>
    <x v="17"/>
    <s v="Secretaría General - GIT Gestión Financiera"/>
    <x v="4"/>
    <s v="Coordinador GIT Gestión Financiera"/>
    <x v="6"/>
    <x v="10"/>
    <s v="N/A"/>
    <s v="N/A"/>
    <n v="26"/>
    <d v="2021-01-12T00:00:00"/>
    <n v="5757792"/>
    <n v="63335712"/>
    <n v="63335712"/>
    <x v="1"/>
    <s v="DIANA MARCELA SANDOVAL HERRERA"/>
    <n v="8"/>
    <x v="0"/>
    <n v="24185"/>
    <x v="1"/>
    <x v="3"/>
    <x v="1"/>
    <n v="330"/>
  </r>
  <r>
    <x v="7"/>
    <n v="27"/>
    <x v="5"/>
    <x v="8"/>
    <x v="2"/>
    <x v="2"/>
    <x v="3"/>
    <x v="9"/>
    <x v="0"/>
    <s v="Servicios secretariales o de administración de oficinas  "/>
    <x v="0"/>
    <n v="80161501"/>
    <s v="Prestación de servicios profesionales para realizar la gestión de la tesorería del Instituto Geográfico Agustín Codazzi."/>
    <x v="5"/>
    <x v="5"/>
    <n v="11"/>
    <x v="0"/>
    <x v="0"/>
    <x v="0"/>
    <n v="147035981"/>
    <n v="147035981"/>
    <x v="0"/>
    <x v="0"/>
    <x v="2"/>
    <x v="1"/>
    <x v="17"/>
    <s v="Secretaría General - GIT Gestión Financiera"/>
    <x v="4"/>
    <s v="Coordinador GIT Gestión Financiera"/>
    <x v="6"/>
    <x v="10"/>
    <s v="N/A"/>
    <s v="N/A"/>
    <n v="31"/>
    <d v="2021-01-13T00:00:00"/>
    <n v="6683453"/>
    <n v="73517983"/>
    <n v="147035966"/>
    <x v="1"/>
    <s v="ALICIA PAOLA GARCIA MUÑOZ_x000a_ANGELA  MORALES RONCANCIO_x000a_"/>
    <n v="15"/>
    <x v="0"/>
    <s v="24191_x000a_24194"/>
    <x v="2"/>
    <x v="3"/>
    <x v="0"/>
    <m/>
  </r>
  <r>
    <x v="7"/>
    <n v="25"/>
    <x v="5"/>
    <x v="8"/>
    <x v="0"/>
    <x v="1"/>
    <x v="3"/>
    <x v="9"/>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0"/>
    <x v="0"/>
    <x v="1"/>
    <n v="73517991"/>
    <n v="73517991"/>
    <x v="0"/>
    <x v="0"/>
    <x v="0"/>
    <x v="1"/>
    <x v="17"/>
    <s v="Secretaría General - GIT Gestión Financiera"/>
    <x v="4"/>
    <s v="Coordinador GIT Gestión Financiera"/>
    <x v="6"/>
    <x v="10"/>
    <s v="N/A"/>
    <s v="N/A"/>
    <n v="35"/>
    <d v="2021-01-13T00:00:00"/>
    <n v="6683454"/>
    <n v="73295212"/>
    <n v="73295212"/>
    <x v="1"/>
    <s v="EDGAR GERMAN CAICEDO GONZALEZ"/>
    <n v="222779"/>
    <x v="0"/>
    <n v="24192"/>
    <x v="1"/>
    <x v="3"/>
    <x v="0"/>
    <m/>
  </r>
  <r>
    <x v="7"/>
    <n v="75"/>
    <x v="5"/>
    <x v="8"/>
    <x v="0"/>
    <x v="1"/>
    <x v="3"/>
    <x v="13"/>
    <x v="0"/>
    <s v="Servicios secretariales o de administración de oficinas  "/>
    <x v="0"/>
    <n v="80161501"/>
    <s v="Prestación de servicios para apoyar en la gestión de procesos financieros, contables y de Tesoreria a cargo de la Secretaria General "/>
    <x v="8"/>
    <x v="8"/>
    <n v="8"/>
    <x v="0"/>
    <x v="0"/>
    <x v="0"/>
    <n v="42743728"/>
    <n v="42743728"/>
    <x v="0"/>
    <x v="5"/>
    <x v="0"/>
    <x v="1"/>
    <x v="19"/>
    <m/>
    <x v="4"/>
    <m/>
    <x v="6"/>
    <x v="10"/>
    <s v="N/A"/>
    <s v="N/A"/>
    <n v="576"/>
    <d v="2021-05-04T00:00:00"/>
    <n v="4263522"/>
    <n v="29844654"/>
    <n v="29844654"/>
    <x v="1"/>
    <s v="DAVID AUGUSTO ZABARAIN COGOLLO"/>
    <n v="12899074"/>
    <x v="0"/>
    <n v="24708"/>
    <x v="1"/>
    <x v="3"/>
    <x v="1"/>
    <n v="210"/>
  </r>
  <r>
    <x v="7"/>
    <m/>
    <x v="5"/>
    <x v="8"/>
    <x v="0"/>
    <x v="0"/>
    <x v="0"/>
    <x v="20"/>
    <x v="0"/>
    <s v="Máquinas clasificadoras"/>
    <x v="0"/>
    <n v="44102500"/>
    <s v="Realizar el mantenimiento y/o adecuación de los digiturnos que tiene el IGAC a nivel nacional"/>
    <x v="6"/>
    <x v="6"/>
    <n v="7"/>
    <x v="0"/>
    <x v="0"/>
    <x v="0"/>
    <n v="120000000"/>
    <n v="120000000"/>
    <x v="0"/>
    <x v="0"/>
    <x v="0"/>
    <x v="1"/>
    <x v="20"/>
    <s v="Secretaria General - GIT Servicio al Ciudadano"/>
    <x v="4"/>
    <s v="Coordinador GIT Servicio al Ciudadano"/>
    <x v="6"/>
    <x v="10"/>
    <s v="N/A"/>
    <s v="N/A"/>
    <m/>
    <m/>
    <e v="#N/A"/>
    <e v="#N/A"/>
    <e v="#N/A"/>
    <x v="0"/>
    <m/>
    <n v="0"/>
    <x v="0"/>
    <m/>
    <x v="0"/>
    <x v="0"/>
    <x v="0"/>
    <n v="30"/>
  </r>
  <r>
    <x v="7"/>
    <m/>
    <x v="5"/>
    <x v="8"/>
    <x v="0"/>
    <x v="0"/>
    <x v="0"/>
    <x v="1"/>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6"/>
    <x v="6"/>
    <n v="6"/>
    <x v="0"/>
    <x v="0"/>
    <x v="0"/>
    <n v="14000000"/>
    <n v="14000000"/>
    <x v="0"/>
    <x v="1"/>
    <x v="0"/>
    <x v="1"/>
    <x v="21"/>
    <s v="Secretaria General - GIT Talento Humano"/>
    <x v="4"/>
    <s v="Coordinador GIT Talento Humano"/>
    <x v="5"/>
    <x v="23"/>
    <s v="Desarrollar actividades de educación informal en competencias laborales y socioemocionales virtuales y presenciales"/>
    <s v="Personas Capacitadas"/>
    <m/>
    <m/>
    <e v="#N/A"/>
    <e v="#N/A"/>
    <e v="#N/A"/>
    <x v="0"/>
    <m/>
    <n v="0"/>
    <x v="28"/>
    <m/>
    <x v="0"/>
    <x v="0"/>
    <x v="0"/>
    <m/>
  </r>
  <r>
    <x v="7"/>
    <n v="45"/>
    <x v="5"/>
    <x v="8"/>
    <x v="0"/>
    <x v="1"/>
    <x v="3"/>
    <x v="14"/>
    <x v="0"/>
    <s v="Servicios secretariales o de administración de oficinas  "/>
    <x v="0"/>
    <n v="80161501"/>
    <s v="Prestación de servicios profesionales para apoyar la gestión de atención al ciudadano en Sede Central y a nivel nacional."/>
    <x v="5"/>
    <x v="5"/>
    <n v="11"/>
    <x v="0"/>
    <x v="0"/>
    <x v="0"/>
    <n v="40042596"/>
    <n v="40042596"/>
    <x v="0"/>
    <x v="1"/>
    <x v="0"/>
    <x v="1"/>
    <x v="22"/>
    <s v="Secretaría General - Grupo Interno de Trabajo Servicio al Ciudadano"/>
    <x v="4"/>
    <s v="Coordinador Grupo Interno de Trabajo Servicio al Ciudadano"/>
    <x v="6"/>
    <x v="10"/>
    <s v="N/A"/>
    <s v="N/A"/>
    <n v="81"/>
    <d v="2021-01-22T00:00:00"/>
    <n v="3640236"/>
    <n v="40042596"/>
    <n v="40042596"/>
    <x v="1"/>
    <s v="ANYI MARCELA LEON RUBIANO"/>
    <n v="0"/>
    <x v="0"/>
    <n v="24239"/>
    <x v="1"/>
    <x v="3"/>
    <x v="1"/>
    <n v="330"/>
  </r>
  <r>
    <x v="7"/>
    <n v="46"/>
    <x v="5"/>
    <x v="8"/>
    <x v="0"/>
    <x v="1"/>
    <x v="3"/>
    <x v="14"/>
    <x v="0"/>
    <s v="Servicios secretariales o de administración de oficinas  "/>
    <x v="0"/>
    <n v="80161501"/>
    <s v="Prestación de servicios profesionales para apoyar la gestión administrativa del servicio al ciudadano en Sede Central y a nivel nacional."/>
    <x v="5"/>
    <x v="5"/>
    <n v="11"/>
    <x v="0"/>
    <x v="0"/>
    <x v="0"/>
    <n v="29386313"/>
    <n v="29386313"/>
    <x v="0"/>
    <x v="1"/>
    <x v="0"/>
    <x v="1"/>
    <x v="22"/>
    <s v="Secretaría General - Grupo Interno de Trabajo Servicio al Ciudadano"/>
    <x v="4"/>
    <s v="Coordinador Grupo Interno de Trabajo Servicio al Ciudadano"/>
    <x v="6"/>
    <x v="10"/>
    <s v="N/A"/>
    <s v="N/A"/>
    <n v="86"/>
    <d v="2021-01-22T00:00:00"/>
    <n v="2671483"/>
    <n v="29386313"/>
    <n v="29386313"/>
    <x v="1"/>
    <s v="JUAN DAVID DIAZ BUENDIA"/>
    <n v="0"/>
    <x v="0"/>
    <n v="24241"/>
    <x v="1"/>
    <x v="3"/>
    <x v="1"/>
    <n v="330"/>
  </r>
  <r>
    <x v="7"/>
    <n v="44"/>
    <x v="5"/>
    <x v="8"/>
    <x v="0"/>
    <x v="1"/>
    <x v="3"/>
    <x v="9"/>
    <x v="0"/>
    <s v="Servicios secretariales o de administración de oficinas  "/>
    <x v="0"/>
    <n v="80161501"/>
    <s v="Prestación de servicios profesionales para apoyar la gestión del servicio al ciudadano en Sede Central y a nivel nacional."/>
    <x v="5"/>
    <x v="5"/>
    <n v="11"/>
    <x v="0"/>
    <x v="0"/>
    <x v="0"/>
    <n v="46898742"/>
    <n v="46898742"/>
    <x v="0"/>
    <x v="1"/>
    <x v="0"/>
    <x v="1"/>
    <x v="22"/>
    <s v="Secretaría General - Grupo Interno de Trabajo Servicio al Ciudadano"/>
    <x v="4"/>
    <s v="Coordinador Grupo Interno de Trabajo Servicio al Ciudadano"/>
    <x v="6"/>
    <x v="10"/>
    <s v="N/A"/>
    <s v="N/A"/>
    <n v="75"/>
    <d v="2021-01-20T00:00:00"/>
    <n v="4263522"/>
    <n v="46898742"/>
    <n v="46898742"/>
    <x v="1"/>
    <s v="KAROL VIVIANA MORALES ALZATE"/>
    <n v="0"/>
    <x v="0"/>
    <n v="24229"/>
    <x v="1"/>
    <x v="3"/>
    <x v="1"/>
    <n v="330"/>
  </r>
  <r>
    <x v="7"/>
    <n v="36"/>
    <x v="5"/>
    <x v="8"/>
    <x v="0"/>
    <x v="1"/>
    <x v="3"/>
    <x v="9"/>
    <x v="0"/>
    <s v="Servicios secretariales o de administración de oficinas  "/>
    <x v="0"/>
    <n v="80161501"/>
    <s v="Prestación de servicios profesionales para apoyar las estrategias, procesos, procedimientos y actividades del servicio al ciudadano en Sede Central y a nivel nacional."/>
    <x v="5"/>
    <x v="5"/>
    <n v="11"/>
    <x v="0"/>
    <x v="0"/>
    <x v="0"/>
    <n v="63335720"/>
    <n v="63335720"/>
    <x v="0"/>
    <x v="1"/>
    <x v="0"/>
    <x v="1"/>
    <x v="20"/>
    <s v="Secretaria General - GIT Servicio al Ciudadano"/>
    <x v="4"/>
    <s v="Coordinador GIT Servicio al Ciudadano"/>
    <x v="6"/>
    <x v="10"/>
    <s v="N/A"/>
    <s v="N/A"/>
    <n v="36"/>
    <d v="2021-01-15T00:00:00"/>
    <n v="5757792"/>
    <n v="63335712"/>
    <n v="63335712"/>
    <x v="1"/>
    <s v="SHADIA  GENE BELTRAN"/>
    <n v="8"/>
    <x v="0"/>
    <n v="24228"/>
    <x v="1"/>
    <x v="3"/>
    <x v="2"/>
    <n v="11"/>
  </r>
  <r>
    <x v="7"/>
    <n v="32"/>
    <x v="5"/>
    <x v="8"/>
    <x v="0"/>
    <x v="1"/>
    <x v="3"/>
    <x v="9"/>
    <x v="0"/>
    <s v="Servicios secretariales o de administración de oficinas  "/>
    <x v="0"/>
    <n v="80161501"/>
    <s v="Prestación de servicios profesionales para apoyar la gestión jurídica del servicio al ciudadano en Sede Central y a nivel nacional."/>
    <x v="5"/>
    <x v="5"/>
    <n v="11"/>
    <x v="0"/>
    <x v="0"/>
    <x v="1"/>
    <n v="66214619"/>
    <n v="66214619"/>
    <x v="0"/>
    <x v="1"/>
    <x v="0"/>
    <x v="1"/>
    <x v="22"/>
    <s v="Secretaría General - Grupo Interno de Trabajo Servicio al Ciudadano"/>
    <x v="4"/>
    <s v="Coordinador Grupo Interno de Trabajo Servicio al Ciudadano"/>
    <x v="6"/>
    <x v="10"/>
    <s v="N/A"/>
    <s v="N/A"/>
    <n v="38"/>
    <d v="2021-01-19T00:00:00"/>
    <n v="5757793"/>
    <n v="63335723"/>
    <n v="63335723"/>
    <x v="1"/>
    <s v="MARIA PATRICIA ALDANA OSPINA"/>
    <n v="2878896"/>
    <x v="0"/>
    <n v="24214"/>
    <x v="1"/>
    <x v="3"/>
    <x v="2"/>
    <n v="11"/>
  </r>
  <r>
    <x v="7"/>
    <n v="76"/>
    <x v="5"/>
    <x v="8"/>
    <x v="0"/>
    <x v="1"/>
    <x v="3"/>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0"/>
    <x v="0"/>
    <x v="0"/>
    <x v="23"/>
    <s v="Secretaria General "/>
    <x v="4"/>
    <s v="María del Pilar Gonzalez Moreno"/>
    <x v="5"/>
    <x v="23"/>
    <s v="Desarrollar, hacer seguimiento y evaluar el avance en el proceso de gestión del conocimiento en la entidad."/>
    <s v="Personas capacitadas"/>
    <n v="584"/>
    <d v="2021-05-12T00:00:00"/>
    <n v="5757793"/>
    <n v="34546758"/>
    <n v="34546758"/>
    <x v="1"/>
    <s v="CLAUDIA EDITH MEJIA MEJIA"/>
    <n v="0"/>
    <x v="0"/>
    <n v="24725"/>
    <x v="1"/>
    <x v="3"/>
    <x v="0"/>
    <m/>
  </r>
  <r>
    <x v="7"/>
    <n v="81"/>
    <x v="5"/>
    <x v="8"/>
    <x v="0"/>
    <x v="1"/>
    <x v="3"/>
    <x v="2"/>
    <x v="0"/>
    <s v="Centros o servicios móviles de atención de salud"/>
    <x v="0"/>
    <n v="85101508"/>
    <s v="Capacitar a los funcionarios en el manejo y operación técnica de las aeronaves no tripuladas tipo UAS, propiedad del IGAC"/>
    <x v="6"/>
    <x v="6"/>
    <n v="8"/>
    <x v="0"/>
    <x v="1"/>
    <x v="0"/>
    <n v="10000000"/>
    <n v="10000000"/>
    <x v="0"/>
    <x v="0"/>
    <x v="0"/>
    <x v="1"/>
    <x v="6"/>
    <s v="Secretaría General - GIT de Talento Humano"/>
    <x v="4"/>
    <s v="Coordinador GIT Talento Humano"/>
    <x v="5"/>
    <x v="23"/>
    <s v="Desarrollar actividades de educación informal en competencias laborales y socioemocionales virtuales y presenciales"/>
    <s v="Personas Capacitadas"/>
    <m/>
    <d v="2021-06-28T00:00:00"/>
    <n v="10000000"/>
    <n v="10000000"/>
    <n v="10000000"/>
    <x v="1"/>
    <s v="INICIO PROCESO"/>
    <n v="0"/>
    <x v="0"/>
    <m/>
    <x v="1"/>
    <x v="3"/>
    <x v="1"/>
    <n v="180"/>
  </r>
  <r>
    <x v="7"/>
    <n v="38"/>
    <x v="5"/>
    <x v="8"/>
    <x v="0"/>
    <x v="1"/>
    <x v="3"/>
    <x v="9"/>
    <x v="0"/>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1"/>
    <x v="0"/>
    <x v="1"/>
    <n v="123067779"/>
    <n v="123067779"/>
    <x v="0"/>
    <x v="1"/>
    <x v="0"/>
    <x v="2"/>
    <x v="19"/>
    <m/>
    <x v="7"/>
    <m/>
    <x v="12"/>
    <x v="24"/>
    <m/>
    <m/>
    <n v="40"/>
    <d v="2021-01-15T00:00:00"/>
    <n v="10701546"/>
    <n v="122354343"/>
    <n v="122354343"/>
    <x v="1"/>
    <s v="LINDA CRISTINA SANTOS MEJIA"/>
    <n v="713436"/>
    <x v="0"/>
    <n v="24199"/>
    <x v="1"/>
    <x v="3"/>
    <x v="0"/>
    <m/>
  </r>
  <r>
    <x v="7"/>
    <n v="52"/>
    <x v="5"/>
    <x v="8"/>
    <x v="0"/>
    <x v="1"/>
    <x v="3"/>
    <x v="9"/>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3"/>
    <x v="3"/>
    <n v="11"/>
    <x v="0"/>
    <x v="0"/>
    <x v="0"/>
    <n v="73517991"/>
    <n v="73517991"/>
    <x v="0"/>
    <x v="1"/>
    <x v="0"/>
    <x v="0"/>
    <x v="6"/>
    <s v="Secretaría General"/>
    <x v="4"/>
    <s v="Secretaria General"/>
    <x v="5"/>
    <x v="11"/>
    <s v="Realizar el seguimiento de los planes de acción anual"/>
    <s v="Documentos de planeación con seguimientos realizados"/>
    <n v="194"/>
    <d v="2021-02-08T00:00:00"/>
    <n v="6683454"/>
    <n v="71290173"/>
    <n v="71290173"/>
    <x v="1"/>
    <s v="JENNFER  ABRIL"/>
    <n v="2227818"/>
    <x v="0"/>
    <n v="24378"/>
    <x v="1"/>
    <x v="3"/>
    <x v="1"/>
    <n v="315"/>
  </r>
  <r>
    <x v="7"/>
    <n v="56"/>
    <x v="5"/>
    <x v="8"/>
    <x v="0"/>
    <x v="1"/>
    <x v="3"/>
    <x v="16"/>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0"/>
    <n v="83053047"/>
    <n v="83053047"/>
    <x v="0"/>
    <x v="1"/>
    <x v="0"/>
    <x v="1"/>
    <x v="6"/>
    <s v="Secretaría General"/>
    <x v="4"/>
    <s v="Secretaria General"/>
    <x v="6"/>
    <x v="10"/>
    <s v="N/A"/>
    <s v="N/A"/>
    <n v="265"/>
    <d v="2021-02-15T00:00:00"/>
    <n v="7550277"/>
    <n v="79277909"/>
    <n v="79277909"/>
    <x v="1"/>
    <s v="JULIAN ALEJANDRO CRUZ ALARCON"/>
    <n v="3775138"/>
    <x v="0"/>
    <n v="24430"/>
    <x v="1"/>
    <x v="3"/>
    <x v="1"/>
    <n v="315"/>
  </r>
  <r>
    <x v="7"/>
    <n v="51"/>
    <x v="5"/>
    <x v="8"/>
    <x v="0"/>
    <x v="1"/>
    <x v="3"/>
    <x v="9"/>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3"/>
    <x v="3"/>
    <n v="11"/>
    <x v="0"/>
    <x v="0"/>
    <x v="0"/>
    <n v="83053047"/>
    <n v="83053047"/>
    <x v="0"/>
    <x v="1"/>
    <x v="0"/>
    <x v="0"/>
    <x v="6"/>
    <s v="Secretaría General"/>
    <x v="4"/>
    <s v="Secretaria General"/>
    <x v="5"/>
    <x v="11"/>
    <s v="Realizar el seguimiento de los planes de acción anual"/>
    <s v="Documentos de planeación con seguimientos realizados"/>
    <n v="287"/>
    <d v="2021-02-15T00:00:00"/>
    <n v="7550277"/>
    <n v="79026233"/>
    <n v="79026233"/>
    <x v="1"/>
    <s v="HELVIN IVAN CIFUENTES GONZALEZ"/>
    <n v="4026814"/>
    <x v="0"/>
    <n v="24449"/>
    <x v="1"/>
    <x v="3"/>
    <x v="1"/>
    <n v="315"/>
  </r>
  <r>
    <x v="7"/>
    <n v="70"/>
    <x v="5"/>
    <x v="8"/>
    <x v="0"/>
    <x v="1"/>
    <x v="3"/>
    <x v="12"/>
    <x v="0"/>
    <s v="Servicios secretariales o de administración de oficinas  "/>
    <x v="0"/>
    <n v="80161501"/>
    <s v="Adquisición del seguro de casco avión y seguro vehículo aéreo no tripulado que ampare los bienes e intereses patrimoniales del IGAC"/>
    <x v="8"/>
    <x v="6"/>
    <n v="12"/>
    <x v="0"/>
    <x v="4"/>
    <x v="0"/>
    <n v="800000000"/>
    <n v="800000000"/>
    <x v="0"/>
    <x v="5"/>
    <x v="0"/>
    <x v="0"/>
    <x v="7"/>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x v="0"/>
    <m/>
    <x v="1"/>
    <x v="3"/>
    <x v="1"/>
    <m/>
  </r>
  <r>
    <x v="7"/>
    <n v="34"/>
    <x v="5"/>
    <x v="8"/>
    <x v="0"/>
    <x v="1"/>
    <x v="3"/>
    <x v="9"/>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1"/>
    <x v="0"/>
    <x v="2"/>
    <n v="116150000"/>
    <n v="116150000"/>
    <x v="0"/>
    <x v="1"/>
    <x v="0"/>
    <x v="0"/>
    <x v="6"/>
    <s v="Secretaría General"/>
    <x v="4"/>
    <s v="Secretaria General"/>
    <x v="2"/>
    <x v="3"/>
    <s v="Gestionar técnicamente la operación del proyecto de catastro multipropósito, en lo correspondiente al IGAC"/>
    <s v="Sistema de Información Predial Actualizado_x000a_"/>
    <n v="43"/>
    <d v="2021-01-14T00:00:00"/>
    <n v="9865284"/>
    <n v="113450770"/>
    <n v="113450770"/>
    <x v="1"/>
    <s v="CONSTANZA  BARROS PULIDO"/>
    <n v="2699230"/>
    <x v="0"/>
    <n v="24201"/>
    <x v="1"/>
    <x v="3"/>
    <x v="1"/>
    <n v="345"/>
  </r>
  <r>
    <x v="7"/>
    <n v="60"/>
    <x v="5"/>
    <x v="8"/>
    <x v="0"/>
    <x v="1"/>
    <x v="3"/>
    <x v="10"/>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4"/>
    <x v="4"/>
    <n v="10"/>
    <x v="0"/>
    <x v="0"/>
    <x v="2"/>
    <n v="144200000"/>
    <n v="144200000"/>
    <x v="0"/>
    <x v="1"/>
    <x v="0"/>
    <x v="0"/>
    <x v="6"/>
    <s v="Secretaria General"/>
    <x v="4"/>
    <s v="Maria del Pilar Gonzalez Moreno"/>
    <x v="2"/>
    <x v="3"/>
    <s v="Gestionar técnicamente la operación del proyecto de catastro multipropósito, en lo correspondiente al IGAC"/>
    <s v="Predios actualizados catastralmente "/>
    <n v="474"/>
    <d v="2021-03-16T00:00:00"/>
    <n v="14420000"/>
    <n v="136990000"/>
    <n v="136990000"/>
    <x v="1"/>
    <s v="YANETH EUGENIA BRAVO CASTRO"/>
    <n v="7210000"/>
    <x v="0"/>
    <n v="24609"/>
    <x v="1"/>
    <x v="3"/>
    <x v="0"/>
    <m/>
  </r>
  <r>
    <x v="4"/>
    <n v="82"/>
    <x v="5"/>
    <x v="8"/>
    <x v="0"/>
    <x v="1"/>
    <x v="3"/>
    <x v="16"/>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1"/>
    <x v="0"/>
    <x v="0"/>
    <x v="6"/>
    <s v="Secretaria General"/>
    <x v="4"/>
    <s v="Secretaria General"/>
    <x v="13"/>
    <x v="3"/>
    <s v="Gestionar técnicamente la operación del proyecto de catastro multipropósito, en lo correspondiente al IGAC"/>
    <s v="Sistema de Información predial actualizado"/>
    <n v="488"/>
    <d v="2021-03-16T00:00:00"/>
    <n v="9865284"/>
    <n v="93720198"/>
    <n v="93720198"/>
    <x v="1"/>
    <s v="MARIA CONSUELO BERNAL"/>
    <n v="9865284"/>
    <x v="0"/>
    <n v="24622"/>
    <x v="1"/>
    <x v="3"/>
    <x v="1"/>
    <n v="255"/>
  </r>
  <r>
    <x v="7"/>
    <n v="35"/>
    <x v="5"/>
    <x v="8"/>
    <x v="0"/>
    <x v="1"/>
    <x v="3"/>
    <x v="9"/>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1"/>
    <x v="0"/>
    <x v="2"/>
    <n v="201400000"/>
    <n v="201400000"/>
    <x v="0"/>
    <x v="1"/>
    <x v="0"/>
    <x v="0"/>
    <x v="6"/>
    <s v="Secretaría General"/>
    <x v="4"/>
    <s v="Secretaria General"/>
    <x v="2"/>
    <x v="3"/>
    <s v="Gestionar técnicamente la operación del proyecto de catastro multipropósito, en lo correspondiente al IGAC"/>
    <s v="Sistema de Información Predial Actualizado_x000a_"/>
    <n v="37"/>
    <d v="2021-01-14T00:00:00"/>
    <n v="16480000"/>
    <n v="189520000"/>
    <n v="189520000"/>
    <x v="1"/>
    <s v="ALEXANDER  AYALA RODRIGUEZ"/>
    <n v="11880000"/>
    <x v="0"/>
    <n v="24198"/>
    <x v="1"/>
    <x v="3"/>
    <x v="2"/>
    <n v="11"/>
  </r>
  <r>
    <x v="7"/>
    <n v="33"/>
    <x v="5"/>
    <x v="8"/>
    <x v="0"/>
    <x v="1"/>
    <x v="3"/>
    <x v="9"/>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1"/>
    <x v="0"/>
    <x v="2"/>
    <n v="167000000"/>
    <n v="167000000"/>
    <x v="0"/>
    <x v="1"/>
    <x v="0"/>
    <x v="0"/>
    <x v="6"/>
    <s v="Secretaría General"/>
    <x v="4"/>
    <s v="Secretaria General"/>
    <x v="2"/>
    <x v="3"/>
    <s v="Gestionar técnicamente la operación del proyecto de catastro multipropósito, en lo correspondiente al IGAC"/>
    <s v="Sistema de Información Predial Actualizado_x000a_"/>
    <n v="39"/>
    <d v="2021-01-14T00:00:00"/>
    <n v="12700000"/>
    <n v="144780000"/>
    <n v="144780000"/>
    <x v="1"/>
    <s v="LUIS EDDY ACERO CAMACHO"/>
    <n v="22220000"/>
    <x v="0"/>
    <n v="24200"/>
    <x v="1"/>
    <x v="3"/>
    <x v="1"/>
    <n v="345"/>
  </r>
  <r>
    <x v="7"/>
    <n v="71"/>
    <x v="5"/>
    <x v="8"/>
    <x v="0"/>
    <x v="1"/>
    <x v="3"/>
    <x v="12"/>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4"/>
    <x v="4"/>
    <n v="9"/>
    <x v="0"/>
    <x v="0"/>
    <x v="2"/>
    <n v="94300000"/>
    <n v="94300000"/>
    <x v="0"/>
    <x v="5"/>
    <x v="0"/>
    <x v="0"/>
    <x v="6"/>
    <s v="Secretaría General"/>
    <x v="4"/>
    <s v="Secretaria General"/>
    <x v="2"/>
    <x v="3"/>
    <s v="Gestionar técnicamente la operación del proyecto de catastro multipropósito, en lo correspondiente al IGAC"/>
    <s v="Sistema de Información Predial Actualizado_x000a_"/>
    <n v="547"/>
    <d v="2021-04-26T00:00:00"/>
    <n v="7550277"/>
    <n v="61157244"/>
    <n v="61157244"/>
    <x v="1"/>
    <s v="FABIAN ANDRE DACCARETT DELGADO"/>
    <n v="33142756"/>
    <x v="0"/>
    <n v="24690"/>
    <x v="1"/>
    <x v="3"/>
    <x v="1"/>
    <n v="240"/>
  </r>
  <r>
    <x v="7"/>
    <n v="77"/>
    <x v="5"/>
    <x v="8"/>
    <x v="0"/>
    <x v="1"/>
    <x v="3"/>
    <x v="0"/>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0"/>
    <x v="0"/>
    <x v="0"/>
    <x v="6"/>
    <s v="Secretaría General"/>
    <x v="4"/>
    <s v="Secretaria General"/>
    <x v="2"/>
    <x v="3"/>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x v="0"/>
    <m/>
    <x v="1"/>
    <x v="3"/>
    <x v="0"/>
    <m/>
  </r>
  <r>
    <x v="5"/>
    <n v="83"/>
    <x v="5"/>
    <x v="8"/>
    <x v="0"/>
    <x v="1"/>
    <x v="3"/>
    <x v="17"/>
    <x v="0"/>
    <s v="Investigación de mercados"/>
    <x v="2"/>
    <n v="80141500"/>
    <s v="Contrato de prestación de servicios para realizar el avalúo de las aeronaves del IGAC"/>
    <x v="2"/>
    <x v="2"/>
    <n v="1"/>
    <x v="0"/>
    <x v="1"/>
    <x v="0"/>
    <n v="18000000"/>
    <n v="18000000"/>
    <x v="0"/>
    <x v="1"/>
    <x v="0"/>
    <x v="1"/>
    <x v="24"/>
    <s v="Secretaría General - GIT servicios admnistrativos "/>
    <x v="4"/>
    <s v="Coordinador GIT servicios admnistrativos "/>
    <x v="6"/>
    <x v="10"/>
    <s v="N/A"/>
    <s v="N/A"/>
    <m/>
    <d v="2021-07-13T00:00:00"/>
    <n v="18000000"/>
    <n v="18000000"/>
    <n v="18000000"/>
    <x v="1"/>
    <s v="INICIO PROCESO"/>
    <n v="0"/>
    <x v="0"/>
    <m/>
    <x v="1"/>
    <x v="3"/>
    <x v="1"/>
    <n v="150"/>
  </r>
  <r>
    <x v="7"/>
    <n v="42"/>
    <x v="5"/>
    <x v="8"/>
    <x v="2"/>
    <x v="2"/>
    <x v="3"/>
    <x v="14"/>
    <x v="0"/>
    <s v="Servicios secretariales o de administración de oficinas  "/>
    <x v="0"/>
    <n v="80161501"/>
    <s v=" Prestación de servicios profesionales para recibir, programar y controlar solicitudes que deba tramitar el git de servicios administrativos."/>
    <x v="5"/>
    <x v="5"/>
    <n v="11"/>
    <x v="0"/>
    <x v="0"/>
    <x v="0"/>
    <n v="68744104"/>
    <n v="68744104"/>
    <x v="0"/>
    <x v="1"/>
    <x v="2"/>
    <x v="1"/>
    <x v="25"/>
    <s v="Secretaría General - Servicios Administrativos"/>
    <x v="4"/>
    <s v="N/A"/>
    <x v="6"/>
    <x v="10"/>
    <s v="N/A"/>
    <s v="N/A"/>
    <n v="87"/>
    <d v="2021-01-20T00:00:00"/>
    <n v="3124732"/>
    <n v="34372052"/>
    <n v="68744104"/>
    <x v="1"/>
    <s v="LIESEL STEFHANIE CASTIBLANCO ROMERO_x000a_ANDRES LEONARDO RACHE MOYANO"/>
    <n v="0"/>
    <x v="0"/>
    <s v="24242_x000a_24245"/>
    <x v="2"/>
    <x v="3"/>
    <x v="1"/>
    <n v="330"/>
  </r>
  <r>
    <x v="8"/>
    <n v="2"/>
    <x v="5"/>
    <x v="8"/>
    <x v="0"/>
    <x v="1"/>
    <x v="3"/>
    <x v="5"/>
    <x v="0"/>
    <s v="Servicio de abastecimiento de combustible para vehículos"/>
    <x v="0"/>
    <n v="78181701"/>
    <s v="Suministro de combustible para el funcionamiento de los vehículos del Instituto Geográfico Agustín Codazzi a nivel nacional"/>
    <x v="3"/>
    <x v="3"/>
    <n v="11"/>
    <x v="0"/>
    <x v="5"/>
    <x v="0"/>
    <n v="175709558"/>
    <n v="175709558"/>
    <x v="0"/>
    <x v="1"/>
    <x v="0"/>
    <x v="1"/>
    <x v="26"/>
    <s v="Secretaria General - GIT Servicios Administrativos"/>
    <x v="4"/>
    <s v="Coordinador GIT Servicios Administrativos"/>
    <x v="6"/>
    <x v="10"/>
    <s v="N/A"/>
    <s v="N/A"/>
    <n v="158"/>
    <d v="2021-02-03T00:00:00"/>
    <m/>
    <n v="175709558"/>
    <n v="175709558"/>
    <x v="1"/>
    <s v="ORGANIZACION TERPEL S.A."/>
    <n v="0"/>
    <x v="0"/>
    <n v="24342"/>
    <x v="1"/>
    <x v="3"/>
    <x v="1"/>
    <m/>
  </r>
  <r>
    <x v="7"/>
    <n v="37"/>
    <x v="5"/>
    <x v="8"/>
    <x v="0"/>
    <x v="1"/>
    <x v="3"/>
    <x v="9"/>
    <x v="0"/>
    <s v="Viajes en aviones comerciales"/>
    <x v="0"/>
    <n v="78111502"/>
    <s v="Suministro de tiquetes aéreos nacionales e internacionales para el Instituto Geográfico Agustín Codazzi."/>
    <x v="5"/>
    <x v="5"/>
    <n v="12"/>
    <x v="0"/>
    <x v="5"/>
    <x v="0"/>
    <n v="739850240"/>
    <n v="739850240"/>
    <x v="0"/>
    <x v="1"/>
    <x v="0"/>
    <x v="1"/>
    <x v="26"/>
    <s v="Secretaria General - GIT Servicios Administrativos"/>
    <x v="4"/>
    <s v="Coordinador GIT Servicios Administrativos"/>
    <x v="6"/>
    <x v="10"/>
    <s v="N/A"/>
    <s v="N/A"/>
    <n v="72"/>
    <d v="2021-01-15T00:00:00"/>
    <n v="0"/>
    <n v="739850240"/>
    <n v="739850240"/>
    <x v="1"/>
    <s v="SUBATOURS LTDA"/>
    <n v="0"/>
    <x v="0"/>
    <n v="24331"/>
    <x v="1"/>
    <x v="3"/>
    <x v="1"/>
    <n v="330"/>
  </r>
  <r>
    <x v="7"/>
    <n v="54"/>
    <x v="5"/>
    <x v="8"/>
    <x v="0"/>
    <x v="1"/>
    <x v="3"/>
    <x v="5"/>
    <x v="0"/>
    <s v="Transporte de personal"/>
    <x v="0"/>
    <n v="20102301"/>
    <s v="Servicio de Transporte Especial de Pasajeros y de carga a Nivel Nacional del Instituto Geográfico Agustín Codazzi. "/>
    <x v="3"/>
    <x v="3"/>
    <n v="11"/>
    <x v="0"/>
    <x v="5"/>
    <x v="0"/>
    <n v="1421305246"/>
    <n v="1421305246"/>
    <x v="0"/>
    <x v="1"/>
    <x v="0"/>
    <x v="1"/>
    <x v="26"/>
    <s v="Secretaria General - GIT Servicios Administrativos"/>
    <x v="4"/>
    <s v="Coordinador GIT Servicios Administrativos"/>
    <x v="6"/>
    <x v="10"/>
    <s v="N/A"/>
    <s v="N/A"/>
    <n v="210"/>
    <d v="2021-02-08T00:00:00"/>
    <n v="1421305246"/>
    <n v="1421305246"/>
    <n v="1421305246"/>
    <x v="1"/>
    <s v="UNION TEMPORAL UT G3 IGAC 2021"/>
    <n v="0"/>
    <x v="0"/>
    <n v="24738"/>
    <x v="1"/>
    <x v="3"/>
    <x v="1"/>
    <n v="320"/>
  </r>
  <r>
    <x v="7"/>
    <n v="68"/>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5"/>
    <x v="1"/>
    <n v="346300000"/>
    <n v="346300000"/>
    <x v="0"/>
    <x v="1"/>
    <x v="0"/>
    <x v="1"/>
    <x v="26"/>
    <s v="Secretaria General - GIT Servicios Administrativos"/>
    <x v="4"/>
    <s v="Coordinador GIT Servicios Administrativos"/>
    <x v="6"/>
    <x v="10"/>
    <s v="N/A"/>
    <s v="N/A"/>
    <n v="528"/>
    <d v="2021-04-14T00:00:00"/>
    <n v="0"/>
    <n v="346223527"/>
    <n v="346223527"/>
    <x v="1"/>
    <s v="UNION TEMPORAL AUTOMOTRIZ 2020_x000a_AUTO INVERSIONES COLOMBIA S.A AUTOINVERCOL_x000a_CENTRO INTEGRAL DE MANTENIMIENTO ATOCARS SAS_x000a_"/>
    <n v="76473"/>
    <x v="0"/>
    <s v="24711_x000a_24712_x000a_24713_x000a_24735"/>
    <x v="1"/>
    <x v="3"/>
    <x v="0"/>
    <m/>
  </r>
  <r>
    <x v="7"/>
    <n v="63"/>
    <x v="5"/>
    <x v="8"/>
    <x v="0"/>
    <x v="1"/>
    <x v="3"/>
    <x v="10"/>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4"/>
    <x v="4"/>
    <n v="9"/>
    <x v="0"/>
    <x v="0"/>
    <x v="0"/>
    <n v="40500000"/>
    <n v="40500000"/>
    <x v="0"/>
    <x v="5"/>
    <x v="0"/>
    <x v="1"/>
    <x v="27"/>
    <s v="Secretaria General - GIT servicios administrativos"/>
    <x v="4"/>
    <s v="Coordinador GIT GIT servicios administrativos"/>
    <x v="12"/>
    <x v="24"/>
    <m/>
    <m/>
    <n v="504"/>
    <d v="2021-03-25T00:00:00"/>
    <n v="4382339"/>
    <n v="39441051"/>
    <n v="39441051"/>
    <x v="1"/>
    <s v="ASTRID ANGELICA VELA MARTINEZ"/>
    <n v="1058949"/>
    <x v="0"/>
    <n v="24638"/>
    <x v="1"/>
    <x v="3"/>
    <x v="0"/>
    <m/>
  </r>
  <r>
    <x v="7"/>
    <n v="53"/>
    <x v="5"/>
    <x v="8"/>
    <x v="0"/>
    <x v="1"/>
    <x v="3"/>
    <x v="5"/>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3"/>
    <x v="3"/>
    <n v="11"/>
    <x v="0"/>
    <x v="0"/>
    <x v="1"/>
    <n v="80634026"/>
    <n v="80634026"/>
    <x v="0"/>
    <x v="1"/>
    <x v="0"/>
    <x v="0"/>
    <x v="25"/>
    <s v="Secretaría General - Servicios Administrativos"/>
    <x v="4"/>
    <s v="Coordinador(a) GIT Servicios Administrativos"/>
    <x v="14"/>
    <x v="25"/>
    <s v="Dotar de equipamentos las sedes"/>
    <s v="Sedes Mantenidas"/>
    <n v="192"/>
    <d v="2021-02-08T00:00:00"/>
    <n v="7330366"/>
    <n v="78190571"/>
    <n v="78190571"/>
    <x v="1"/>
    <s v="WILSON BENITES CORREA"/>
    <n v="2443455"/>
    <x v="0"/>
    <n v="24373"/>
    <x v="1"/>
    <x v="3"/>
    <x v="1"/>
    <n v="330"/>
  </r>
  <r>
    <x v="7"/>
    <n v="55"/>
    <x v="5"/>
    <x v="8"/>
    <x v="0"/>
    <x v="1"/>
    <x v="3"/>
    <x v="5"/>
    <x v="0"/>
    <s v="Servicios de mantenimiento y reparación de vehículos"/>
    <x v="0"/>
    <n v="78181500"/>
    <s v="Prestación de servicios para la revision tecnico mecanica de los vehiculos de propiedad del IGAC C "/>
    <x v="3"/>
    <x v="3"/>
    <n v="12"/>
    <x v="0"/>
    <x v="1"/>
    <x v="0"/>
    <n v="16000000"/>
    <n v="16000000"/>
    <x v="0"/>
    <x v="1"/>
    <x v="0"/>
    <x v="1"/>
    <x v="26"/>
    <s v="Secretaria General - GIT Servicios Administrativos"/>
    <x v="4"/>
    <s v="Coordinador GIT Servicios Administrativos"/>
    <x v="6"/>
    <x v="10"/>
    <s v="N/A"/>
    <s v="N/A"/>
    <n v="312"/>
    <d v="2021-02-15T00:00:00"/>
    <n v="0"/>
    <n v="13492673"/>
    <n v="13492673"/>
    <x v="1"/>
    <s v="INSPECCION TECNICA AUTOMOTRIZ INTECO SAS"/>
    <n v="2507327"/>
    <x v="0"/>
    <n v="24534"/>
    <x v="1"/>
    <x v="3"/>
    <x v="0"/>
    <m/>
  </r>
  <r>
    <x v="7"/>
    <n v="50"/>
    <x v="5"/>
    <x v="8"/>
    <x v="0"/>
    <x v="1"/>
    <x v="3"/>
    <x v="5"/>
    <x v="0"/>
    <s v="Servicios secretariales o de administración de oficinas  "/>
    <x v="0"/>
    <n v="80161501"/>
    <s v="Prestación de servicios personales  para apoyar los asuntos  y las supervisiones que sean designadas en cabeza de los funcionarios del GIT de Servicios Administrativos"/>
    <x v="3"/>
    <x v="3"/>
    <n v="11"/>
    <x v="0"/>
    <x v="0"/>
    <x v="0"/>
    <n v="34372052"/>
    <n v="34372052"/>
    <x v="0"/>
    <x v="1"/>
    <x v="0"/>
    <x v="1"/>
    <x v="25"/>
    <s v="Secretaría General - Servicios Administrativos"/>
    <x v="4"/>
    <s v="N/A"/>
    <x v="6"/>
    <x v="10"/>
    <s v="N/A"/>
    <s v="N/A"/>
    <n v="176"/>
    <d v="2021-02-03T00:00:00"/>
    <n v="2671483"/>
    <n v="29386313"/>
    <n v="29386313"/>
    <x v="1"/>
    <s v="SONIA BAUTISTA CIFUENTE"/>
    <n v="4985739"/>
    <x v="0"/>
    <n v="24377"/>
    <x v="1"/>
    <x v="3"/>
    <x v="1"/>
    <n v="330"/>
  </r>
  <r>
    <x v="7"/>
    <n v="82"/>
    <x v="5"/>
    <x v="8"/>
    <x v="0"/>
    <x v="1"/>
    <x v="3"/>
    <x v="2"/>
    <x v="0"/>
    <s v="Desinfección"/>
    <x v="0"/>
    <n v="76101500"/>
    <s v="Prestación de servicios para saneamiento básico de la sede central IGAC"/>
    <x v="6"/>
    <x v="6"/>
    <n v="7"/>
    <x v="0"/>
    <x v="1"/>
    <x v="0"/>
    <n v="15000000"/>
    <n v="15000000"/>
    <x v="0"/>
    <x v="0"/>
    <x v="0"/>
    <x v="1"/>
    <x v="21"/>
    <s v="sertvcios admnistrativos "/>
    <x v="4"/>
    <s v="Coordinador GIT Talento Humano"/>
    <x v="6"/>
    <x v="10"/>
    <s v="N/A"/>
    <s v="N/A"/>
    <m/>
    <d v="2021-07-13T00:00:00"/>
    <n v="9557750"/>
    <n v="9557750"/>
    <n v="9557750"/>
    <x v="1"/>
    <s v="INICIO PROCESO"/>
    <n v="5442250"/>
    <x v="0"/>
    <m/>
    <x v="1"/>
    <x v="3"/>
    <x v="1"/>
    <m/>
  </r>
  <r>
    <x v="7"/>
    <n v="67"/>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2"/>
    <x v="0"/>
    <n v="117600000"/>
    <n v="117600000"/>
    <x v="0"/>
    <x v="1"/>
    <x v="0"/>
    <x v="1"/>
    <x v="26"/>
    <s v="Secretaria General - GIT Servicios Administrativos"/>
    <x v="4"/>
    <s v="Coordinador GIT Servicios Administrativos"/>
    <x v="6"/>
    <x v="10"/>
    <s v="N/A"/>
    <s v="N/A"/>
    <n v="542"/>
    <d v="2021-04-14T00:00:00"/>
    <n v="109168733"/>
    <n v="109168733"/>
    <n v="109168733"/>
    <x v="1"/>
    <s v="COMPAÑIA OPERADORA DE CONTRATOS SAS"/>
    <n v="8431267"/>
    <x v="0"/>
    <n v="24763"/>
    <x v="1"/>
    <x v="3"/>
    <x v="0"/>
    <m/>
  </r>
  <r>
    <x v="7"/>
    <n v="73"/>
    <x v="5"/>
    <x v="8"/>
    <x v="0"/>
    <x v="1"/>
    <x v="3"/>
    <x v="21"/>
    <x v="0"/>
    <s v="Servicios de mantenimiento de ascensores"/>
    <x v="0"/>
    <n v="72101506"/>
    <s v="Prestación de servicios para el mantenimiento correctivo y preventivo ascensores sede central "/>
    <x v="8"/>
    <x v="8"/>
    <n v="8"/>
    <x v="0"/>
    <x v="0"/>
    <x v="0"/>
    <n v="60000000"/>
    <n v="60000000"/>
    <x v="0"/>
    <x v="5"/>
    <x v="0"/>
    <x v="0"/>
    <x v="21"/>
    <s v="Secretaria General - GIT Talento Humano"/>
    <x v="4"/>
    <s v="Coordinador GIT Talento Humano"/>
    <x v="10"/>
    <x v="25"/>
    <s v="Dotar de equipamientos las sedes"/>
    <s v="Sedes Mantenidas"/>
    <n v="555"/>
    <d v="2021-04-26T00:00:00"/>
    <n v="0"/>
    <n v="18329600"/>
    <n v="18329600"/>
    <x v="1"/>
    <s v="OTIS ELEVATOR COMPANY COLOMBIA SAS"/>
    <n v="41670400"/>
    <x v="0"/>
    <n v="24698"/>
    <x v="1"/>
    <x v="3"/>
    <x v="0"/>
    <m/>
  </r>
  <r>
    <x v="7"/>
    <m/>
    <x v="5"/>
    <x v="8"/>
    <x v="0"/>
    <x v="0"/>
    <x v="0"/>
    <x v="1"/>
    <x v="0"/>
    <s v="Batas protectoras"/>
    <x v="0"/>
    <n v="46181533"/>
    <s v="Adquisición de elementos de protección personal para el personal que desarrolla actividades a nivel territorial en el desarrollo de la misionalidad del IGAC. "/>
    <x v="6"/>
    <x v="6"/>
    <n v="16"/>
    <x v="0"/>
    <x v="5"/>
    <x v="0"/>
    <n v="40000000"/>
    <n v="40000000"/>
    <x v="0"/>
    <x v="0"/>
    <x v="0"/>
    <x v="1"/>
    <x v="21"/>
    <s v="Secretaria General - GIT Talento Humano"/>
    <x v="4"/>
    <s v="Coordinador GIT Talento Humano"/>
    <x v="6"/>
    <x v="10"/>
    <s v="N/A"/>
    <s v="N/A"/>
    <m/>
    <m/>
    <e v="#N/A"/>
    <e v="#N/A"/>
    <e v="#N/A"/>
    <x v="0"/>
    <m/>
    <n v="0"/>
    <x v="0"/>
    <m/>
    <x v="0"/>
    <x v="0"/>
    <x v="0"/>
    <m/>
  </r>
  <r>
    <x v="7"/>
    <m/>
    <x v="5"/>
    <x v="8"/>
    <x v="0"/>
    <x v="0"/>
    <x v="0"/>
    <x v="1"/>
    <x v="0"/>
    <s v="Servicios de compra de vestuario"/>
    <x v="0"/>
    <n v="91111703"/>
    <s v="Adquición de zapatos y elementos de vestuario de protección "/>
    <x v="6"/>
    <x v="6"/>
    <n v="16"/>
    <x v="0"/>
    <x v="5"/>
    <x v="0"/>
    <n v="20000000"/>
    <n v="20000000"/>
    <x v="0"/>
    <x v="0"/>
    <x v="0"/>
    <x v="1"/>
    <x v="21"/>
    <s v="Secretaria General - GIT Talento Humano"/>
    <x v="4"/>
    <s v="Coordinador GIT Talento Humano"/>
    <x v="6"/>
    <x v="10"/>
    <s v="N/A"/>
    <s v="N/A"/>
    <m/>
    <m/>
    <e v="#N/A"/>
    <e v="#N/A"/>
    <e v="#N/A"/>
    <x v="0"/>
    <m/>
    <n v="0"/>
    <x v="0"/>
    <m/>
    <x v="0"/>
    <x v="0"/>
    <x v="0"/>
    <m/>
  </r>
  <r>
    <x v="7"/>
    <m/>
    <x v="5"/>
    <x v="8"/>
    <x v="0"/>
    <x v="0"/>
    <x v="0"/>
    <x v="0"/>
    <x v="0"/>
    <s v="Centros o servicios móviles de atención de salud"/>
    <x v="0"/>
    <n v="85101508"/>
    <s v="Prestación de servicios para la realización de los exámenes ocupacionales para los funcionarios de la entidad a nivel nacional"/>
    <x v="6"/>
    <x v="6"/>
    <n v="7"/>
    <x v="0"/>
    <x v="2"/>
    <x v="0"/>
    <n v="80000000"/>
    <n v="80000000"/>
    <x v="0"/>
    <x v="0"/>
    <x v="0"/>
    <x v="1"/>
    <x v="21"/>
    <s v="Secretaria General - GIT Talento Humano"/>
    <x v="4"/>
    <s v="Coordinador GIT Talento Humano"/>
    <x v="6"/>
    <x v="10"/>
    <s v="N/A"/>
    <s v="N/A"/>
    <m/>
    <m/>
    <e v="#N/A"/>
    <e v="#N/A"/>
    <e v="#N/A"/>
    <x v="0"/>
    <m/>
    <n v="0"/>
    <x v="0"/>
    <m/>
    <x v="0"/>
    <x v="0"/>
    <x v="0"/>
    <n v="11"/>
  </r>
  <r>
    <x v="7"/>
    <n v="69"/>
    <x v="5"/>
    <x v="8"/>
    <x v="0"/>
    <x v="1"/>
    <x v="3"/>
    <x v="7"/>
    <x v="0"/>
    <s v="Publicidad en periódicos"/>
    <x v="0"/>
    <n v="82101504"/>
    <s v="Prestación de servicios para realizar la publicación de avisos en un diario de circulación nacional"/>
    <x v="8"/>
    <x v="8"/>
    <n v="9"/>
    <x v="0"/>
    <x v="1"/>
    <x v="0"/>
    <n v="7000000"/>
    <n v="7000000"/>
    <x v="0"/>
    <x v="5"/>
    <x v="0"/>
    <x v="1"/>
    <x v="21"/>
    <s v="Secretaria General - GIT Talento Humano"/>
    <x v="4"/>
    <s v="Coordinador GIT Talento Humano"/>
    <x v="6"/>
    <x v="10"/>
    <s v="N/A"/>
    <s v="N/A"/>
    <n v="538"/>
    <d v="2021-04-20T00:00:00"/>
    <e v="#N/A"/>
    <n v="7000000"/>
    <n v="7000000"/>
    <x v="1"/>
    <s v="BIG MEDIA PUBLICIDAD S.A.S"/>
    <n v="0"/>
    <x v="0"/>
    <n v="24719"/>
    <x v="1"/>
    <x v="3"/>
    <x v="1"/>
    <n v="270"/>
  </r>
  <r>
    <x v="7"/>
    <n v="64"/>
    <x v="5"/>
    <x v="8"/>
    <x v="0"/>
    <x v="1"/>
    <x v="3"/>
    <x v="12"/>
    <x v="0"/>
    <s v="Servicios secretariales o de administración de oficinas  "/>
    <x v="0"/>
    <n v="80161501"/>
    <s v="prestación de servicios personales para realizar actividades relacionadas con la elaboración de novedades administrativas de los funcionarios  de la entidad"/>
    <x v="4"/>
    <x v="4"/>
    <n v="4"/>
    <x v="0"/>
    <x v="0"/>
    <x v="0"/>
    <n v="10685932"/>
    <n v="10685932"/>
    <x v="0"/>
    <x v="5"/>
    <x v="0"/>
    <x v="1"/>
    <x v="21"/>
    <s v="Secretaria General - GIT Talento Humano"/>
    <x v="4"/>
    <s v="Coordinador GIT Talento Humano"/>
    <x v="12"/>
    <x v="24"/>
    <m/>
    <m/>
    <m/>
    <d v="2021-08-02T00:00:00"/>
    <n v="2671483"/>
    <n v="10685932"/>
    <n v="10685932"/>
    <x v="1"/>
    <s v="DAIRO JAVIER MARINEZ ACHURY "/>
    <n v="0"/>
    <x v="0"/>
    <n v="24703"/>
    <x v="1"/>
    <x v="3"/>
    <x v="1"/>
    <n v="120"/>
  </r>
  <r>
    <x v="8"/>
    <n v="39"/>
    <x v="5"/>
    <x v="8"/>
    <x v="0"/>
    <x v="1"/>
    <x v="3"/>
    <x v="2"/>
    <x v="0"/>
    <s v="Servicios de compra de vestuario"/>
    <x v="0"/>
    <n v="91111703"/>
    <s v="Adquisición de dotación de vestuario de calle para los funcionarios a nivel nacional "/>
    <x v="6"/>
    <x v="6"/>
    <n v="5"/>
    <x v="0"/>
    <x v="5"/>
    <x v="0"/>
    <n v="400000000"/>
    <n v="400000000"/>
    <x v="0"/>
    <x v="0"/>
    <x v="0"/>
    <x v="1"/>
    <x v="21"/>
    <s v="Secretaria General - GIT Talento Humano"/>
    <x v="4"/>
    <s v="Coordinador GIT Talento Humano"/>
    <x v="6"/>
    <x v="10"/>
    <s v="N/A"/>
    <s v="N/A"/>
    <m/>
    <d v="2021-07-02T00:00:00"/>
    <n v="400000000"/>
    <n v="400000000"/>
    <n v="400000000"/>
    <x v="1"/>
    <s v="INICIO PROCESO"/>
    <n v="0"/>
    <x v="0"/>
    <m/>
    <x v="0"/>
    <x v="0"/>
    <x v="0"/>
    <m/>
  </r>
  <r>
    <x v="7"/>
    <n v="22"/>
    <x v="5"/>
    <x v="8"/>
    <x v="0"/>
    <x v="1"/>
    <x v="3"/>
    <x v="9"/>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1"/>
    <x v="0"/>
    <x v="1"/>
    <n v="32845116"/>
    <n v="32845116"/>
    <x v="0"/>
    <x v="0"/>
    <x v="0"/>
    <x v="1"/>
    <x v="28"/>
    <s v="Secretaría General - GIT de Talento Humano"/>
    <x v="4"/>
    <s v="Coordinador GIT de Talento Humano"/>
    <x v="6"/>
    <x v="10"/>
    <s v="N/A"/>
    <s v="N/A"/>
    <n v="22"/>
    <d v="2021-01-08T00:00:00"/>
    <n v="2856097"/>
    <n v="32845116"/>
    <n v="32845116"/>
    <x v="1"/>
    <s v="MARIA FERNANDA CELY VARGAS"/>
    <n v="0"/>
    <x v="0"/>
    <n v="24183"/>
    <x v="1"/>
    <x v="3"/>
    <x v="0"/>
    <m/>
  </r>
  <r>
    <x v="7"/>
    <n v="21"/>
    <x v="5"/>
    <x v="8"/>
    <x v="1"/>
    <x v="6"/>
    <x v="3"/>
    <x v="9"/>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1"/>
    <x v="0"/>
    <x v="0"/>
    <n v="267858460"/>
    <n v="267858460"/>
    <x v="0"/>
    <x v="0"/>
    <x v="1"/>
    <x v="1"/>
    <x v="28"/>
    <s v="Secretaría General - GIT de Talento Humano"/>
    <x v="4"/>
    <s v="Coordinador GIT de Talento Humano"/>
    <x v="6"/>
    <x v="10"/>
    <s v="N/A"/>
    <s v="N/A"/>
    <n v="19"/>
    <d v="2021-01-08T00:00:00"/>
    <n v="5823010"/>
    <n v="66964615"/>
    <n v="267858460"/>
    <x v="1"/>
    <s v="NELSON ENRIQUE ARAQUE RODRIGUEZ_x000a_DIANA CRISTINA HENRIQUEZ RUIZ_x000a_DIANA MARLEN GÁMEZ BELLO_x000a_NATALIA MARIA CHAVEZ NAVARRETE_x000a_"/>
    <n v="0"/>
    <x v="0"/>
    <s v="24178_x000a_24179_x000a_24180_x000a_24181_x000a_"/>
    <x v="6"/>
    <x v="3"/>
    <x v="2"/>
    <n v="345"/>
  </r>
  <r>
    <x v="7"/>
    <n v="19"/>
    <x v="5"/>
    <x v="8"/>
    <x v="0"/>
    <x v="1"/>
    <x v="3"/>
    <x v="9"/>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1"/>
    <x v="0"/>
    <x v="0"/>
    <n v="92327704"/>
    <n v="92327704"/>
    <x v="0"/>
    <x v="0"/>
    <x v="0"/>
    <x v="1"/>
    <x v="28"/>
    <s v="Secretaría General - GIT de Talento Humano"/>
    <x v="4"/>
    <s v="Coordinador GIT de Talento Humano"/>
    <x v="6"/>
    <x v="10"/>
    <s v="N/A"/>
    <s v="N/A"/>
    <n v="20"/>
    <d v="2021-01-12T00:00:00"/>
    <n v="8028496"/>
    <n v="92327704"/>
    <n v="92327704"/>
    <x v="1"/>
    <s v="NYDIA MARCELA RIVERA RODRIGUEZ"/>
    <n v="0"/>
    <x v="0"/>
    <n v="24184"/>
    <x v="1"/>
    <x v="3"/>
    <x v="1"/>
    <n v="345"/>
  </r>
  <r>
    <x v="7"/>
    <n v="20"/>
    <x v="5"/>
    <x v="8"/>
    <x v="0"/>
    <x v="1"/>
    <x v="3"/>
    <x v="9"/>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1"/>
    <x v="0"/>
    <x v="1"/>
    <n v="92327704"/>
    <n v="92327704"/>
    <x v="0"/>
    <x v="0"/>
    <x v="0"/>
    <x v="1"/>
    <x v="28"/>
    <s v="Secretaría General - GIT de Talento Humano"/>
    <x v="4"/>
    <s v="Coordinador GIT de Talento Humano"/>
    <x v="6"/>
    <x v="10"/>
    <s v="N/A"/>
    <s v="N/A"/>
    <n v="21"/>
    <d v="2021-01-07T00:00:00"/>
    <n v="8028496"/>
    <n v="92327704"/>
    <n v="92327704"/>
    <x v="1"/>
    <s v="YENNY ZULEIMA CARREÑO CONTRERAS"/>
    <n v="0"/>
    <x v="0"/>
    <n v="24168"/>
    <x v="1"/>
    <x v="3"/>
    <x v="2"/>
    <n v="11"/>
  </r>
  <r>
    <x v="7"/>
    <n v="65"/>
    <x v="5"/>
    <x v="8"/>
    <x v="2"/>
    <x v="2"/>
    <x v="3"/>
    <x v="10"/>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4"/>
    <x v="4"/>
    <n v="4"/>
    <x v="0"/>
    <x v="0"/>
    <x v="0"/>
    <n v="34108176"/>
    <n v="34108176"/>
    <x v="0"/>
    <x v="5"/>
    <x v="2"/>
    <x v="1"/>
    <x v="21"/>
    <s v="Secretaria General - GIT Talento Humano"/>
    <x v="4"/>
    <s v="Coordinador GIT Talento Humano"/>
    <x v="12"/>
    <x v="24"/>
    <m/>
    <m/>
    <n v="511"/>
    <d v="2021-03-29T00:00:00"/>
    <n v="4263522"/>
    <n v="17054088"/>
    <n v="34108176"/>
    <x v="1"/>
    <s v="YESED ALEJANDRA RODRIGUEZ ROJAS_x000a_DIANAMARCELA RAMIREZ CASTILLO"/>
    <n v="0"/>
    <x v="0"/>
    <s v="24646_x000a_24648"/>
    <x v="2"/>
    <x v="3"/>
    <x v="1"/>
    <n v="120"/>
  </r>
  <r>
    <x v="8"/>
    <n v="1"/>
    <x v="5"/>
    <x v="8"/>
    <x v="0"/>
    <x v="1"/>
    <x v="3"/>
    <x v="0"/>
    <x v="0"/>
    <s v="Desfibrilador cardiovertidor implantable icd o desfibrilador para terapia de re sincronización cardíaca crt-d"/>
    <x v="0"/>
    <n v="42203505"/>
    <s v="Adquisición de desfibrilador para las direcciones territoriales"/>
    <x v="7"/>
    <x v="7"/>
    <n v="1"/>
    <x v="0"/>
    <x v="1"/>
    <x v="0"/>
    <n v="20000000"/>
    <n v="20000000"/>
    <x v="0"/>
    <x v="0"/>
    <x v="0"/>
    <x v="1"/>
    <x v="21"/>
    <s v="Secretaria General - GIT Talento Humano"/>
    <x v="4"/>
    <s v="Coordinador GIT Talento Humano"/>
    <x v="6"/>
    <x v="10"/>
    <s v="N/A"/>
    <s v="N/A"/>
    <n v="591"/>
    <d v="2021-05-19T00:00:00"/>
    <n v="12530700"/>
    <n v="12530700"/>
    <n v="12530700"/>
    <x v="1"/>
    <s v="HEALTHCORP SAS"/>
    <n v="7469300"/>
    <x v="0"/>
    <n v="24745"/>
    <x v="1"/>
    <x v="3"/>
    <x v="1"/>
    <m/>
  </r>
  <r>
    <x v="8"/>
    <s v="3--4"/>
    <x v="5"/>
    <x v="8"/>
    <x v="0"/>
    <x v="1"/>
    <x v="3"/>
    <x v="12"/>
    <x v="0"/>
    <s v="Ropa de seguridad"/>
    <x v="0"/>
    <n v="46181500"/>
    <s v="Adquisición de elementos de Protección Personal (EPP) para la protección de los colaboradores del IGAC a nivel nacional en el marco de la emergencia declarada&quot; COVD-19&quot;"/>
    <x v="4"/>
    <x v="4"/>
    <n v="1"/>
    <x v="0"/>
    <x v="5"/>
    <x v="0"/>
    <n v="100000000"/>
    <n v="100000000"/>
    <x v="0"/>
    <x v="5"/>
    <x v="0"/>
    <x v="1"/>
    <x v="21"/>
    <s v="Secretaria General - GIT Talento Humano"/>
    <x v="4"/>
    <s v="Coordinador GIT Talento Humano"/>
    <x v="6"/>
    <x v="10"/>
    <s v="N/A"/>
    <s v="N/A"/>
    <n v="487"/>
    <d v="2021-03-18T00:00:00"/>
    <e v="#N/A"/>
    <n v="84103190"/>
    <n v="84103190"/>
    <x v="1"/>
    <s v="BON SANTE SAS_x000a_LOGISTICA Y GESTION DE NEGOCIOS SAS"/>
    <n v="15896810"/>
    <x v="0"/>
    <s v="24621_x000a_24635"/>
    <x v="1"/>
    <x v="3"/>
    <x v="0"/>
    <m/>
  </r>
  <r>
    <x v="7"/>
    <n v="72"/>
    <x v="5"/>
    <x v="8"/>
    <x v="2"/>
    <x v="2"/>
    <x v="3"/>
    <x v="13"/>
    <x v="0"/>
    <s v="Servicios de capacitación vocacional científica"/>
    <x v="0"/>
    <n v="86101600"/>
    <s v="Prestación de servicios de apoyo a la Gestión para llevar a cabo los programas y proyectos del Plan Institucional de Capacitación de la entidad."/>
    <x v="8"/>
    <x v="8"/>
    <n v="8"/>
    <x v="0"/>
    <x v="0"/>
    <x v="0"/>
    <n v="374494211"/>
    <n v="374494211"/>
    <x v="0"/>
    <x v="1"/>
    <x v="2"/>
    <x v="0"/>
    <x v="6"/>
    <s v="Secretaría General - GIT de Talento Humano"/>
    <x v="4"/>
    <s v="Coordinador GIT Talento Humano"/>
    <x v="5"/>
    <x v="23"/>
    <s v="Desarrollar actividades de educación informal en competencias laborales y socioemocionales virtuales y presenciales"/>
    <s v="Personas Capacitadas"/>
    <n v="576"/>
    <d v="2021-04-26T00:00:00"/>
    <n v="0"/>
    <n v="320700000"/>
    <n v="320700000"/>
    <x v="1"/>
    <s v="UNIVERSIDAD NACIONAL _x000a_UNIVERSIDAD DISTRITAL"/>
    <n v="53794211"/>
    <x v="0"/>
    <s v="24709_x000a_24715"/>
    <x v="2"/>
    <x v="3"/>
    <x v="0"/>
    <m/>
  </r>
  <r>
    <x v="7"/>
    <n v="62"/>
    <x v="5"/>
    <x v="8"/>
    <x v="0"/>
    <x v="1"/>
    <x v="3"/>
    <x v="12"/>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4"/>
    <x v="4"/>
    <n v="9"/>
    <x v="0"/>
    <x v="0"/>
    <x v="0"/>
    <n v="250000000"/>
    <n v="250000000"/>
    <x v="0"/>
    <x v="5"/>
    <x v="0"/>
    <x v="1"/>
    <x v="21"/>
    <s v="Secretaria General - GIT Talento Humano"/>
    <x v="4"/>
    <s v="Coordinador GIT Talento Humano"/>
    <x v="6"/>
    <x v="10"/>
    <s v="N/A"/>
    <s v="N/A"/>
    <n v="499"/>
    <d v="2021-03-25T00:00:00"/>
    <n v="0"/>
    <n v="142694916"/>
    <n v="142694916"/>
    <x v="1"/>
    <s v="CAFAM"/>
    <n v="107305084"/>
    <x v="0"/>
    <n v="24632"/>
    <x v="1"/>
    <x v="3"/>
    <x v="0"/>
    <m/>
  </r>
  <r>
    <x v="8"/>
    <s v="19-20-21-22-23-24-25-26-27-28-29-30-31-32-33-34-35-36-37-38"/>
    <x v="5"/>
    <x v="8"/>
    <x v="0"/>
    <x v="1"/>
    <x v="3"/>
    <x v="0"/>
    <x v="0"/>
    <s v="Batas protectoras"/>
    <x v="0"/>
    <n v="46181533"/>
    <s v="Adquisición de elementos de seguridad industrial "/>
    <x v="7"/>
    <x v="7"/>
    <n v="11"/>
    <x v="0"/>
    <x v="5"/>
    <x v="0"/>
    <n v="400000000"/>
    <n v="400000000"/>
    <x v="0"/>
    <x v="0"/>
    <x v="0"/>
    <x v="1"/>
    <x v="21"/>
    <s v="Secretaria General - GIT Talento Humano"/>
    <x v="4"/>
    <s v="Coordinador GIT Talento Humano"/>
    <x v="6"/>
    <x v="10"/>
    <s v="N/A"/>
    <s v="N/A"/>
    <n v="603"/>
    <d v="2021-05-21T00:00:00"/>
    <n v="39174441"/>
    <n v="39174441"/>
    <n v="39174441"/>
    <x v="1"/>
    <s v="CENCOSUD_x000a_PANAMERICANA LIBRERIA Y PAPELERIA SA_x000a_PROVEER INSTITUCIONAL SAS_x000a_ALMACENES EXITO S A"/>
    <n v="360825559"/>
    <x v="0"/>
    <s v="24739_x000a_24740_x000a_24741_x000a_24742"/>
    <x v="1"/>
    <x v="3"/>
    <x v="0"/>
    <m/>
  </r>
  <r>
    <x v="7"/>
    <n v="66"/>
    <x v="5"/>
    <x v="8"/>
    <x v="2"/>
    <x v="2"/>
    <x v="3"/>
    <x v="12"/>
    <x v="0"/>
    <s v="Servicios secretariales o de administración de oficinas  "/>
    <x v="0"/>
    <n v="80161501"/>
    <s v="prestación de servicios personales para la actualización y el mantenimiento de la información generada desde el proc eso  de talento humano"/>
    <x v="4"/>
    <x v="4"/>
    <n v="4"/>
    <x v="0"/>
    <x v="0"/>
    <x v="0"/>
    <n v="16785720"/>
    <n v="16785720"/>
    <x v="0"/>
    <x v="5"/>
    <x v="2"/>
    <x v="1"/>
    <x v="19"/>
    <m/>
    <x v="7"/>
    <m/>
    <x v="12"/>
    <x v="24"/>
    <m/>
    <m/>
    <n v="562"/>
    <d v="2021-04-28T00:00:00"/>
    <e v="#N/A"/>
    <e v="#N/A"/>
    <e v="#N/A"/>
    <x v="0"/>
    <s v="GINA VANESSA CRUZ GARCIA_x000a_YEISON FABIÁN MORALES BOTACHE"/>
    <n v="0"/>
    <x v="0"/>
    <m/>
    <x v="2"/>
    <x v="3"/>
    <x v="1"/>
    <n v="12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
  <r>
    <x v="0"/>
    <m/>
    <x v="0"/>
    <x v="0"/>
    <x v="0"/>
    <x v="0"/>
    <x v="0"/>
    <x v="0"/>
    <x v="0"/>
    <x v="0"/>
    <x v="0"/>
    <x v="0"/>
    <x v="0"/>
    <s v="Servicios de sistemas de información geográfica (sig)"/>
    <x v="0"/>
    <n v="81101512"/>
    <s v="Adelantar la actualización catastral para la intervención de municipios priorizados, financiados con recursos del Banco Mundial."/>
    <x v="0"/>
    <x v="0"/>
    <n v="180"/>
    <x v="0"/>
    <x v="0"/>
    <x v="0"/>
    <n v="15100588991"/>
    <n v="15100588991"/>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n v="67"/>
    <x v="1"/>
    <x v="0"/>
    <x v="0"/>
    <x v="0"/>
    <x v="1"/>
    <x v="1"/>
    <x v="1"/>
    <x v="1"/>
    <x v="1"/>
    <x v="1"/>
    <x v="1"/>
    <s v="Servicios secretariales o de administración de oficinas  "/>
    <x v="0"/>
    <n v="80161501"/>
    <s v="Prestación de servicios personales para realizar actividades de apoyo operativo  del proceso de actualización catastral  multipropósito de Arauquita - Arauca"/>
    <x v="1"/>
    <x v="1"/>
    <n v="180"/>
    <x v="0"/>
    <x v="1"/>
    <x v="1"/>
    <n v="20414916"/>
    <n v="20414916"/>
    <x v="1"/>
    <x v="1"/>
    <x v="1"/>
    <x v="0"/>
    <s v="Subdirección de Catastro"/>
    <s v="Subdirección de Catastro"/>
    <x v="1"/>
    <s v="Subdirectora de Catastro"/>
    <x v="0"/>
    <x v="0"/>
    <s v="Ejecutar procesos de actualización catastral a nivel nacional"/>
    <s v="Predios actualizados catastralmente"/>
    <n v="590"/>
    <d v="2021-05-18T00:00:00"/>
    <n v="1701243"/>
    <n v="10207458"/>
    <n v="20414916"/>
    <x v="1"/>
    <s v="DIANA CAROLINA HERNANDEZ_x000a_YARLY JOHANNA MARIN TINEO"/>
    <n v="0"/>
    <n v="0"/>
    <s v="24731_x000a_24743"/>
    <x v="1"/>
    <x v="0"/>
    <x v="1"/>
    <m/>
    <x v="0"/>
  </r>
  <r>
    <x v="1"/>
    <n v="51"/>
    <x v="1"/>
    <x v="0"/>
    <x v="0"/>
    <x v="0"/>
    <x v="1"/>
    <x v="1"/>
    <x v="0"/>
    <x v="2"/>
    <x v="1"/>
    <x v="2"/>
    <x v="1"/>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1"/>
    <x v="1"/>
    <x v="2"/>
    <n v="18748392"/>
    <n v="18748392"/>
    <x v="1"/>
    <x v="1"/>
    <x v="0"/>
    <x v="0"/>
    <s v="Subdirección de Catastro"/>
    <s v="DT Casanare"/>
    <x v="2"/>
    <s v="HERMES SALCEDO RODRIGUEZ"/>
    <x v="0"/>
    <x v="0"/>
    <s v="Ejecutar procesos de conservación catastral a nivel nacional"/>
    <s v="Mutaciones realizadas"/>
    <n v="512"/>
    <d v="2021-03-30T00:00:00"/>
    <n v="3124732"/>
    <n v="18748392"/>
    <n v="18748392"/>
    <x v="1"/>
    <s v="HONOFRE QUINTERO CABICHE"/>
    <n v="0"/>
    <n v="0"/>
    <n v="24645"/>
    <x v="1"/>
    <x v="1"/>
    <x v="1"/>
    <m/>
    <x v="0"/>
  </r>
  <r>
    <x v="1"/>
    <n v="53"/>
    <x v="1"/>
    <x v="0"/>
    <x v="0"/>
    <x v="0"/>
    <x v="1"/>
    <x v="1"/>
    <x v="0"/>
    <x v="2"/>
    <x v="1"/>
    <x v="2"/>
    <x v="1"/>
    <s v="Servicios secretariales o de administración de oficinas  "/>
    <x v="0"/>
    <n v="80161501"/>
    <s v="Prestación de servicios de apoyo a la gestión en ventanilla para atencion al usuario presencial y virtual en los procesos catastrales de la dirección territorial casanare"/>
    <x v="2"/>
    <x v="2"/>
    <n v="6"/>
    <x v="1"/>
    <x v="1"/>
    <x v="2"/>
    <n v="12589290"/>
    <n v="12589290"/>
    <x v="1"/>
    <x v="1"/>
    <x v="0"/>
    <x v="0"/>
    <s v="Subdirección de Catastro"/>
    <s v="DT Casanare"/>
    <x v="2"/>
    <s v="HERMES SALCEDO RODRIGUEZ"/>
    <x v="0"/>
    <x v="0"/>
    <s v="Ejecutar procesos de conservación catastral a nivel nacional"/>
    <s v="Mutaciones realizadas"/>
    <n v="508"/>
    <d v="2021-03-30T00:00:00"/>
    <n v="2098215"/>
    <n v="12589290"/>
    <n v="12589290"/>
    <x v="1"/>
    <s v="JOSE LEONIDAS VEGA PEREZ_x000a_"/>
    <n v="0"/>
    <n v="0"/>
    <n v="24641"/>
    <x v="1"/>
    <x v="1"/>
    <x v="1"/>
    <m/>
    <x v="0"/>
  </r>
  <r>
    <x v="1"/>
    <n v="62"/>
    <x v="1"/>
    <x v="0"/>
    <x v="0"/>
    <x v="0"/>
    <x v="1"/>
    <x v="1"/>
    <x v="0"/>
    <x v="2"/>
    <x v="1"/>
    <x v="3"/>
    <x v="1"/>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0"/>
    <x v="1"/>
    <x v="2"/>
    <n v="15623660"/>
    <n v="15623660"/>
    <x v="1"/>
    <x v="1"/>
    <x v="0"/>
    <x v="0"/>
    <s v="Subdirección de Catastro"/>
    <s v="DT Casanare"/>
    <x v="2"/>
    <s v="HERMES SALCEDO RODRIGUEZ"/>
    <x v="0"/>
    <x v="0"/>
    <s v="Ejecutar procesos de conservación catastral a nivel nacional"/>
    <s v="Mutaciones realizadas"/>
    <n v="548"/>
    <d v="2021-04-23T00:00:00"/>
    <n v="3124732"/>
    <n v="15623660"/>
    <n v="15623660"/>
    <x v="1"/>
    <s v="LILIANA  ALFONSO CHAVITA"/>
    <n v="0"/>
    <n v="0"/>
    <n v="24692"/>
    <x v="1"/>
    <x v="1"/>
    <x v="1"/>
    <m/>
    <x v="0"/>
  </r>
  <r>
    <x v="1"/>
    <n v="52"/>
    <x v="1"/>
    <x v="0"/>
    <x v="0"/>
    <x v="0"/>
    <x v="1"/>
    <x v="1"/>
    <x v="0"/>
    <x v="2"/>
    <x v="1"/>
    <x v="2"/>
    <x v="1"/>
    <s v="Servicios secretariales o de administración de oficinas  "/>
    <x v="0"/>
    <n v="80161501"/>
    <s v="Prestación de servicios de apoyo a la gestión desarrollada en procesos catastrales de la dirección territorial casanare "/>
    <x v="2"/>
    <x v="2"/>
    <n v="6"/>
    <x v="1"/>
    <x v="1"/>
    <x v="2"/>
    <n v="10207458"/>
    <n v="10207458"/>
    <x v="1"/>
    <x v="1"/>
    <x v="0"/>
    <x v="0"/>
    <s v="Subdirección de Catastro"/>
    <s v="DT Casanare"/>
    <x v="2"/>
    <s v="HERMES SALCEDO RODRIGUEZ"/>
    <x v="0"/>
    <x v="0"/>
    <s v="Ejecutar procesos de conservación catastral a nivel nacional"/>
    <s v="Mutaciones realizadas"/>
    <n v="513"/>
    <d v="2021-03-30T00:00:00"/>
    <n v="1701243"/>
    <n v="10207458"/>
    <n v="10207458"/>
    <x v="1"/>
    <s v="YULY MARICELA ROJAS PACAGUI_x000a_"/>
    <n v="0"/>
    <n v="0"/>
    <n v="24650"/>
    <x v="1"/>
    <x v="1"/>
    <x v="1"/>
    <n v="180"/>
    <x v="0"/>
  </r>
  <r>
    <x v="1"/>
    <n v="68"/>
    <x v="1"/>
    <x v="0"/>
    <x v="0"/>
    <x v="0"/>
    <x v="1"/>
    <x v="1"/>
    <x v="0"/>
    <x v="2"/>
    <x v="1"/>
    <x v="4"/>
    <x v="1"/>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1"/>
    <x v="1"/>
    <n v="225"/>
    <x v="0"/>
    <x v="1"/>
    <x v="1"/>
    <n v="20036123"/>
    <n v="20036122.5"/>
    <x v="1"/>
    <x v="2"/>
    <x v="0"/>
    <x v="0"/>
    <s v="Subdirección de Catastro"/>
    <s v="DT Casanare"/>
    <x v="2"/>
    <s v="HERMES SALCEDO RODRIGUEZ"/>
    <x v="0"/>
    <x v="0"/>
    <s v="Ejecutar procesos de conservación catastral a nivel nacional"/>
    <s v="Mutaciones realizadas"/>
    <n v="604"/>
    <d v="2021-05-27T00:00:00"/>
    <n v="2671483"/>
    <n v="18700381"/>
    <n v="18700381"/>
    <x v="1"/>
    <s v="OSCAR FABIAN VILLARRAGA MALLUNGO"/>
    <n v="1335741.5"/>
    <n v="0"/>
    <n v="24748"/>
    <x v="1"/>
    <x v="1"/>
    <x v="1"/>
    <n v="285"/>
    <x v="0"/>
  </r>
  <r>
    <x v="1"/>
    <n v="59"/>
    <x v="1"/>
    <x v="0"/>
    <x v="0"/>
    <x v="0"/>
    <x v="1"/>
    <x v="1"/>
    <x v="0"/>
    <x v="2"/>
    <x v="1"/>
    <x v="5"/>
    <x v="1"/>
    <s v="Servicios secretariales o de administración de oficinas  "/>
    <x v="0"/>
    <n v="80161501"/>
    <s v="Prestación de servicios profesionales para realizar las socializaciones requeridas en el proceso de actualización catastral multipropósito de Arauquita - Arauca"/>
    <x v="3"/>
    <x v="3"/>
    <n v="240"/>
    <x v="0"/>
    <x v="1"/>
    <x v="1"/>
    <n v="29121888"/>
    <n v="29121888"/>
    <x v="1"/>
    <x v="1"/>
    <x v="0"/>
    <x v="0"/>
    <s v="Subdirección de Catastro"/>
    <s v="Subdirección de Catastro"/>
    <x v="1"/>
    <s v="Subdirectora de Catastro"/>
    <x v="0"/>
    <x v="0"/>
    <s v="Ejecutar procesos de actualización catastral a nivel nacional"/>
    <s v="Predios actualizados catastralmente"/>
    <n v="526"/>
    <d v="2021-04-14T00:00:00"/>
    <n v="3640236"/>
    <n v="27301770"/>
    <n v="27301770"/>
    <x v="1"/>
    <s v="YECNNY PATRICIA CASTELLANOS GONZALEZ"/>
    <n v="1820118"/>
    <n v="0"/>
    <n v="24668"/>
    <x v="1"/>
    <x v="1"/>
    <x v="1"/>
    <m/>
    <x v="0"/>
  </r>
  <r>
    <x v="1"/>
    <n v="58"/>
    <x v="1"/>
    <x v="0"/>
    <x v="0"/>
    <x v="0"/>
    <x v="1"/>
    <x v="1"/>
    <x v="0"/>
    <x v="2"/>
    <x v="1"/>
    <x v="5"/>
    <x v="1"/>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0"/>
    <x v="1"/>
    <x v="1"/>
    <n v="69663808"/>
    <n v="69663808"/>
    <x v="1"/>
    <x v="1"/>
    <x v="0"/>
    <x v="0"/>
    <s v="Subdirección de Catastro"/>
    <s v="Subdirección de Catastro"/>
    <x v="1"/>
    <s v="Subdirectora de Catastro"/>
    <x v="0"/>
    <x v="0"/>
    <s v="Ejecutar procesos de actualización catastral a nivel nacional"/>
    <s v="Predios actualizados catastralmente"/>
    <n v="523"/>
    <d v="2021-04-12T00:00:00"/>
    <n v="8707976"/>
    <n v="66761149"/>
    <n v="66761149"/>
    <x v="1"/>
    <s v="ELMO ADOLFO SANCHEZ CALDERON"/>
    <n v="2902659"/>
    <n v="0"/>
    <n v="24665"/>
    <x v="1"/>
    <x v="1"/>
    <x v="1"/>
    <m/>
    <x v="0"/>
  </r>
  <r>
    <x v="1"/>
    <n v="70"/>
    <x v="1"/>
    <x v="0"/>
    <x v="0"/>
    <x v="0"/>
    <x v="1"/>
    <x v="1"/>
    <x v="0"/>
    <x v="2"/>
    <x v="1"/>
    <x v="4"/>
    <x v="1"/>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1"/>
    <x v="1"/>
    <n v="210"/>
    <x v="0"/>
    <x v="1"/>
    <x v="2"/>
    <n v="19827500"/>
    <n v="19827500"/>
    <x v="1"/>
    <x v="2"/>
    <x v="0"/>
    <x v="0"/>
    <s v="Subdirección de Catastro"/>
    <s v="DT Casanare"/>
    <x v="2"/>
    <s v="HERMES SALCEDO RODRIGUEZ"/>
    <x v="0"/>
    <x v="0"/>
    <s v="Atender las solicitudes en materia de Política de Restitución de Tierras y Ley de Víctimas"/>
    <s v="Solicitudes Atendidas"/>
    <n v="616"/>
    <d v="2021-06-04T00:00:00"/>
    <n v="2832500"/>
    <n v="14162500"/>
    <n v="14162500"/>
    <x v="1"/>
    <s v="LUISA FERNANDA LONDOÑO ORTIZ"/>
    <n v="5665000"/>
    <n v="0"/>
    <n v="24761"/>
    <x v="1"/>
    <x v="1"/>
    <x v="1"/>
    <s v="Día(s)"/>
    <x v="0"/>
  </r>
  <r>
    <x v="1"/>
    <n v="66"/>
    <x v="1"/>
    <x v="0"/>
    <x v="0"/>
    <x v="0"/>
    <x v="1"/>
    <x v="1"/>
    <x v="2"/>
    <x v="3"/>
    <x v="0"/>
    <x v="1"/>
    <x v="1"/>
    <s v="Servicios secretariales o de administración de oficinas  "/>
    <x v="0"/>
    <n v="80161501"/>
    <s v="Prestación de servicios personales para realizar actividades de reconocimiento predial en el proceso de actualización catastral multipropósito de Arauquita - Arauca"/>
    <x v="1"/>
    <x v="1"/>
    <n v="180"/>
    <x v="0"/>
    <x v="1"/>
    <x v="1"/>
    <n v="112490352"/>
    <n v="112490352"/>
    <x v="1"/>
    <x v="1"/>
    <x v="2"/>
    <x v="0"/>
    <s v="Subdirección de Catastro"/>
    <s v="Subdirección de Catastro"/>
    <x v="1"/>
    <s v="Subdirectora de Catastro"/>
    <x v="0"/>
    <x v="0"/>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18748392"/>
    <n v="0"/>
    <s v="24721_x000a_24724_x000a_24749_x000a_24752_x000a_24756"/>
    <x v="2"/>
    <x v="0"/>
    <x v="0"/>
    <m/>
    <x v="0"/>
  </r>
  <r>
    <x v="1"/>
    <m/>
    <x v="0"/>
    <x v="1"/>
    <x v="0"/>
    <x v="0"/>
    <x v="1"/>
    <x v="1"/>
    <x v="0"/>
    <x v="0"/>
    <x v="0"/>
    <x v="6"/>
    <x v="1"/>
    <s v="Servicios secretariales o de administración de oficinas  "/>
    <x v="0"/>
    <n v="80161501"/>
    <s v="Prestación de servicios técnicos de apoyo al seguimiento, planeación y gestión del reconocimiento predial  en el proceso de actualización catastral multipropósito de Arauquita - Arauca"/>
    <x v="4"/>
    <x v="4"/>
    <n v="180"/>
    <x v="0"/>
    <x v="1"/>
    <x v="1"/>
    <n v="21630000"/>
    <n v="21630000"/>
    <x v="1"/>
    <x v="1"/>
    <x v="0"/>
    <x v="0"/>
    <s v="Subdirección de Catastro"/>
    <s v="Subdirección de Catastro"/>
    <x v="1"/>
    <s v="Subdirectora de Catastro"/>
    <x v="0"/>
    <x v="0"/>
    <s v="Ejecutar procesos de actualización catastral a nivel nacional"/>
    <s v="Predios actualizados catastralmente"/>
    <m/>
    <d v="2021-08-30T00:00:00"/>
    <n v="3605000"/>
    <n v="14420000"/>
    <n v="0"/>
    <x v="1"/>
    <s v="DESIDERIO RINCON"/>
    <n v="21630000"/>
    <n v="0"/>
    <m/>
    <x v="1"/>
    <x v="1"/>
    <x v="1"/>
    <n v="120"/>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Arauquita - Arauca."/>
    <x v="0"/>
    <x v="0"/>
    <n v="4"/>
    <x v="1"/>
    <x v="1"/>
    <x v="3"/>
    <n v="11330000"/>
    <n v="11330000"/>
    <x v="1"/>
    <x v="1"/>
    <x v="0"/>
    <x v="0"/>
    <s v="Subdirección de Catastro"/>
    <s v="Dirección Territorial Casanare"/>
    <x v="3"/>
    <s v="HERMES SALCEDO RODRIGUEZ"/>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profesionales para el seguimiento y control de las actividades del proyecto de gestión catastral multiproposito en el municipio de Arauquita - Arauca."/>
    <x v="0"/>
    <x v="0"/>
    <n v="4"/>
    <x v="1"/>
    <x v="1"/>
    <x v="3"/>
    <n v="34831904"/>
    <n v="34831904"/>
    <x v="1"/>
    <x v="1"/>
    <x v="0"/>
    <x v="0"/>
    <s v="Subdirección de Catastro"/>
    <s v="Dirección Territorial Casanare"/>
    <x v="3"/>
    <s v="HERMES SALCEDO RODRIGUEZ"/>
    <x v="0"/>
    <x v="0"/>
    <s v="Ejecutar procesos de actualización catastral a nivel nacional"/>
    <s v="Predios actualizados catastralmente"/>
    <m/>
    <m/>
    <e v="#N/A"/>
    <e v="#N/A"/>
    <e v="#N/A"/>
    <x v="0"/>
    <m/>
    <n v="0"/>
    <n v="8707976"/>
    <m/>
    <x v="0"/>
    <x v="0"/>
    <x v="0"/>
    <m/>
    <x v="0"/>
  </r>
  <r>
    <x v="1"/>
    <m/>
    <x v="1"/>
    <x v="0"/>
    <x v="0"/>
    <x v="0"/>
    <x v="1"/>
    <x v="1"/>
    <x v="0"/>
    <x v="0"/>
    <x v="0"/>
    <x v="6"/>
    <x v="1"/>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4"/>
    <x v="4"/>
    <n v="180"/>
    <x v="0"/>
    <x v="1"/>
    <x v="1"/>
    <n v="16028898"/>
    <n v="16028898"/>
    <x v="1"/>
    <x v="1"/>
    <x v="0"/>
    <x v="0"/>
    <s v="Subdirección de Catastro"/>
    <s v="Subdirección de Catastro"/>
    <x v="1"/>
    <s v="Subdirectora de Catastro"/>
    <x v="0"/>
    <x v="0"/>
    <s v="Ejecutar procesos de actualización catastral a nivel nacional"/>
    <s v="Predios actualizados catastralmente"/>
    <m/>
    <m/>
    <e v="#N/A"/>
    <e v="#N/A"/>
    <e v="#N/A"/>
    <x v="0"/>
    <m/>
    <n v="0"/>
    <n v="8014449"/>
    <m/>
    <x v="0"/>
    <x v="0"/>
    <x v="0"/>
    <m/>
    <x v="0"/>
  </r>
  <r>
    <x v="1"/>
    <m/>
    <x v="1"/>
    <x v="0"/>
    <x v="0"/>
    <x v="0"/>
    <x v="1"/>
    <x v="1"/>
    <x v="0"/>
    <x v="0"/>
    <x v="0"/>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4"/>
    <x v="4"/>
    <n v="180"/>
    <x v="0"/>
    <x v="1"/>
    <x v="1"/>
    <n v="29858544"/>
    <n v="29858544"/>
    <x v="1"/>
    <x v="1"/>
    <x v="0"/>
    <x v="0"/>
    <s v="Subdirección de Catastro"/>
    <s v="Subdirección de Catastro"/>
    <x v="1"/>
    <s v="Subdirectora de Catastro"/>
    <x v="0"/>
    <x v="0"/>
    <s v="Ejecutar procesos de actualización catastral a nivel nacional"/>
    <s v="Predios actualizados catastralmente"/>
    <m/>
    <m/>
    <e v="#N/A"/>
    <e v="#N/A"/>
    <e v="#N/A"/>
    <x v="0"/>
    <m/>
    <n v="0"/>
    <n v="14929271.999999998"/>
    <m/>
    <x v="0"/>
    <x v="0"/>
    <x v="0"/>
    <m/>
    <x v="0"/>
  </r>
  <r>
    <x v="1"/>
    <m/>
    <x v="1"/>
    <x v="0"/>
    <x v="0"/>
    <x v="0"/>
    <x v="1"/>
    <x v="1"/>
    <x v="0"/>
    <x v="0"/>
    <x v="0"/>
    <x v="6"/>
    <x v="1"/>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4"/>
    <x v="4"/>
    <n v="180"/>
    <x v="0"/>
    <x v="1"/>
    <x v="1"/>
    <n v="34546758"/>
    <n v="34546758"/>
    <x v="1"/>
    <x v="1"/>
    <x v="0"/>
    <x v="0"/>
    <s v="Subdirección de Catastro"/>
    <s v="Subdirección de Catastro"/>
    <x v="1"/>
    <s v="Subdirectora de Catastro"/>
    <x v="0"/>
    <x v="0"/>
    <s v="Ejecutar procesos de actualización catastral a nivel nacional"/>
    <s v="Predios actualizados catastralmente"/>
    <m/>
    <m/>
    <e v="#N/A"/>
    <e v="#N/A"/>
    <e v="#N/A"/>
    <x v="0"/>
    <m/>
    <n v="0"/>
    <n v="17273379"/>
    <m/>
    <x v="0"/>
    <x v="0"/>
    <x v="0"/>
    <m/>
    <x v="0"/>
  </r>
  <r>
    <x v="1"/>
    <n v="55"/>
    <x v="1"/>
    <x v="0"/>
    <x v="0"/>
    <x v="0"/>
    <x v="1"/>
    <x v="2"/>
    <x v="3"/>
    <x v="3"/>
    <x v="1"/>
    <x v="5"/>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0"/>
    <x v="1"/>
    <x v="1"/>
    <n v="339762465"/>
    <n v="339762465"/>
    <x v="1"/>
    <x v="1"/>
    <x v="3"/>
    <x v="0"/>
    <s v="Subdirección de Catastro"/>
    <s v="Subdirección de Catastro"/>
    <x v="1"/>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2"/>
    <x v="1"/>
    <x v="0"/>
    <m/>
    <x v="0"/>
  </r>
  <r>
    <x v="1"/>
    <n v="20"/>
    <x v="1"/>
    <x v="0"/>
    <x v="0"/>
    <x v="0"/>
    <x v="1"/>
    <x v="3"/>
    <x v="0"/>
    <x v="2"/>
    <x v="1"/>
    <x v="8"/>
    <x v="1"/>
    <s v="Servicios de sistemas de información geográfica (sig)"/>
    <x v="0"/>
    <n v="81101512"/>
    <s v="Prestación de servicios profesionales para el desarrollo del componente tecnológico requerido de los procesos de gestión catastral desarrollados por el IGAC"/>
    <x v="5"/>
    <x v="5"/>
    <n v="11"/>
    <x v="1"/>
    <x v="1"/>
    <x v="1"/>
    <n v="108518124"/>
    <n v="108518124"/>
    <x v="2"/>
    <x v="2"/>
    <x v="0"/>
    <x v="0"/>
    <s v="Subdirección de Catastro"/>
    <s v="Subdirección de Catastro"/>
    <x v="1"/>
    <s v="Subdirectora de Catastro"/>
    <x v="0"/>
    <x v="0"/>
    <s v="Ejecutar procesos de actualización catastral a nivel nacional"/>
    <s v="Predios actualizados catastralmente"/>
    <n v="104"/>
    <d v="2021-01-25T00:00:00"/>
    <n v="9865284"/>
    <n v="108518124"/>
    <n v="108518124"/>
    <x v="1"/>
    <s v="ALDEMAR  GUZMAN YARA"/>
    <n v="0"/>
    <n v="0"/>
    <n v="24252"/>
    <x v="1"/>
    <x v="1"/>
    <x v="1"/>
    <m/>
    <x v="0"/>
  </r>
  <r>
    <x v="0"/>
    <m/>
    <x v="0"/>
    <x v="2"/>
    <x v="0"/>
    <x v="0"/>
    <x v="0"/>
    <x v="0"/>
    <x v="0"/>
    <x v="2"/>
    <x v="1"/>
    <x v="0"/>
    <x v="1"/>
    <s v="Servicios de sistemas de información geográfica (sig)"/>
    <x v="0"/>
    <n v="81101512"/>
    <s v="Prestación de servicios para la actualización y elaboración de productos a partir de la información catastral en su componente alfanumérico de los municipios jurisdicción del IGAC."/>
    <x v="0"/>
    <x v="0"/>
    <n v="4"/>
    <x v="1"/>
    <x v="1"/>
    <x v="2"/>
    <n v="10685932"/>
    <n v="10685932"/>
    <x v="1"/>
    <x v="1"/>
    <x v="0"/>
    <x v="0"/>
    <s v="Subdirección de Catastro"/>
    <s v="Subdirección de Catastro"/>
    <x v="4"/>
    <s v="Subdirección de Catastro"/>
    <x v="0"/>
    <x v="0"/>
    <s v="Estandarizar las coberturas de información del proceso de catastro"/>
    <s v="Sistema de Información predial actualizado"/>
    <m/>
    <d v="2021-08-26T00:00:00"/>
    <n v="2671483"/>
    <n v="10685932"/>
    <n v="10685932"/>
    <x v="1"/>
    <s v="ALEJANDRO ORTIZ BARON"/>
    <n v="0"/>
    <n v="0"/>
    <m/>
    <x v="1"/>
    <x v="1"/>
    <x v="1"/>
    <n v="120"/>
    <x v="0"/>
  </r>
  <r>
    <x v="1"/>
    <n v="2"/>
    <x v="1"/>
    <x v="0"/>
    <x v="0"/>
    <x v="0"/>
    <x v="1"/>
    <x v="3"/>
    <x v="0"/>
    <x v="2"/>
    <x v="1"/>
    <x v="9"/>
    <x v="1"/>
    <s v="Servicios secretariales o de administración de oficinas  "/>
    <x v="0"/>
    <n v="80161501"/>
    <s v="Prestación de servicios profesionales para apoyar desde el componente social, el desarrollo de los proyectos programados para la gestión catastral."/>
    <x v="5"/>
    <x v="5"/>
    <n v="11"/>
    <x v="1"/>
    <x v="1"/>
    <x v="2"/>
    <n v="121248517"/>
    <n v="121248517"/>
    <x v="1"/>
    <x v="1"/>
    <x v="0"/>
    <x v="0"/>
    <s v="Subdirección de Catastro"/>
    <s v="Subdirección de Catastro"/>
    <x v="1"/>
    <s v="Subdirectora de Catastro"/>
    <x v="0"/>
    <x v="0"/>
    <s v="Ejecutar procesos de actualización catastral a nivel nacional"/>
    <s v="Predios actualizados catastralmente"/>
    <n v="45"/>
    <d v="2021-01-18T00:00:00"/>
    <n v="11022592"/>
    <n v="121248517"/>
    <n v="121248517"/>
    <x v="1"/>
    <s v="ANA MARIA SANTOFIMIO MAHECHA"/>
    <n v="0"/>
    <n v="0"/>
    <n v="24205"/>
    <x v="1"/>
    <x v="1"/>
    <x v="2"/>
    <n v="230"/>
    <x v="0"/>
  </r>
  <r>
    <x v="0"/>
    <m/>
    <x v="0"/>
    <x v="3"/>
    <x v="0"/>
    <x v="0"/>
    <x v="0"/>
    <x v="0"/>
    <x v="0"/>
    <x v="2"/>
    <x v="1"/>
    <x v="0"/>
    <x v="1"/>
    <s v="Servicios secretariales o de administración de oficinas  "/>
    <x v="0"/>
    <n v="80161501"/>
    <s v="Prestación de servicios de apoyo a la gestión desarrollada en el proyecto de actualización catastral con enfoque multipropósito."/>
    <x v="0"/>
    <x v="0"/>
    <n v="4"/>
    <x v="1"/>
    <x v="1"/>
    <x v="2"/>
    <n v="10685932"/>
    <n v="10685932"/>
    <x v="1"/>
    <x v="1"/>
    <x v="0"/>
    <x v="0"/>
    <s v="Subdirección de Catastro"/>
    <s v="Subdirección de Catastro"/>
    <x v="0"/>
    <s v="Director Territorial"/>
    <x v="0"/>
    <x v="0"/>
    <s v="Ejecutar procesos de actualización catastral a nivel nacional"/>
    <s v="Predios actualizados catastralmente"/>
    <m/>
    <d v="2021-08-25T00:00:00"/>
    <n v="2671483"/>
    <n v="10685932"/>
    <n v="10685932"/>
    <x v="1"/>
    <s v="ANA MILENA BUSTOS PEREA"/>
    <n v="0"/>
    <n v="0"/>
    <m/>
    <x v="1"/>
    <x v="1"/>
    <x v="1"/>
    <n v="120"/>
    <x v="0"/>
  </r>
  <r>
    <x v="1"/>
    <n v="83"/>
    <x v="1"/>
    <x v="0"/>
    <x v="0"/>
    <x v="0"/>
    <x v="1"/>
    <x v="4"/>
    <x v="0"/>
    <x v="2"/>
    <x v="1"/>
    <x v="6"/>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CARLOS ALBERTO MARTÍNEZ CRUZ"/>
    <n v="0"/>
    <n v="0"/>
    <m/>
    <x v="1"/>
    <x v="1"/>
    <x v="2"/>
    <n v="6"/>
    <x v="0"/>
  </r>
  <r>
    <x v="0"/>
    <m/>
    <x v="0"/>
    <x v="4"/>
    <x v="0"/>
    <x v="0"/>
    <x v="0"/>
    <x v="0"/>
    <x v="1"/>
    <x v="1"/>
    <x v="1"/>
    <x v="0"/>
    <x v="1"/>
    <s v="Servicios de sistemas de información geográfica (sig)"/>
    <x v="0"/>
    <n v="81101512"/>
    <s v="Prestación de servicios profesionales para la consolidación y análisis de la información catastral en su componente geográfico de los municipios jurisdicción del IGAC. "/>
    <x v="0"/>
    <x v="0"/>
    <n v="4"/>
    <x v="1"/>
    <x v="1"/>
    <x v="2"/>
    <n v="46062344"/>
    <n v="46062344"/>
    <x v="1"/>
    <x v="1"/>
    <x v="1"/>
    <x v="0"/>
    <s v="Subdirección de Catastro"/>
    <s v="Subdirección de Catastro"/>
    <x v="4"/>
    <s v="Subdirección de Catastro"/>
    <x v="0"/>
    <x v="0"/>
    <s v="Estandarizar las coberturas de información del proceso de catastro"/>
    <s v="Sistema de Información predial actualizado"/>
    <m/>
    <d v="2021-08-26T00:00:00"/>
    <n v="5757793"/>
    <n v="23031172"/>
    <n v="46062344"/>
    <x v="1"/>
    <s v="CLAUDIA ALEJANDRA BELTRAN FERNANDEZ_x000a_ SONIA ELIZABETH ERASO"/>
    <n v="0"/>
    <n v="0"/>
    <m/>
    <x v="3"/>
    <x v="1"/>
    <x v="1"/>
    <n v="120"/>
    <x v="0"/>
  </r>
  <r>
    <x v="1"/>
    <n v="73"/>
    <x v="1"/>
    <x v="0"/>
    <x v="0"/>
    <x v="0"/>
    <x v="1"/>
    <x v="3"/>
    <x v="0"/>
    <x v="2"/>
    <x v="1"/>
    <x v="6"/>
    <x v="1"/>
    <s v="Servicios secretariales o de administración de oficinas  "/>
    <x v="0"/>
    <n v="80161501"/>
    <s v="Arrendamiento  de bien inmueble para funcionamiento de sede operativa del contrato 02-2021 actualización catastral con enfoque multipropósito del munincipio de arauquita"/>
    <x v="4"/>
    <x v="4"/>
    <n v="225"/>
    <x v="0"/>
    <x v="1"/>
    <x v="1"/>
    <n v="11250000"/>
    <n v="11250000"/>
    <x v="1"/>
    <x v="2"/>
    <x v="0"/>
    <x v="0"/>
    <s v="Subdirección de Catastro"/>
    <s v="DT Casanare"/>
    <x v="2"/>
    <s v="HERMES SALCEDO RODRIGUEZ"/>
    <x v="0"/>
    <x v="0"/>
    <s v="Ejecutar procesos de actualización catastral a nivel nacional"/>
    <s v="Predios actualizados catastralmente"/>
    <n v="619"/>
    <d v="2021-06-11T00:00:00"/>
    <n v="11250000"/>
    <n v="11250000"/>
    <n v="11250000"/>
    <x v="1"/>
    <s v="COMITE DE GANADEROS DE ARAUQUITA"/>
    <n v="0"/>
    <n v="0"/>
    <n v="24764"/>
    <x v="1"/>
    <x v="1"/>
    <x v="1"/>
    <n v="195"/>
    <x v="0"/>
  </r>
  <r>
    <x v="1"/>
    <n v="80"/>
    <x v="1"/>
    <x v="0"/>
    <x v="0"/>
    <x v="0"/>
    <x v="1"/>
    <x v="3"/>
    <x v="0"/>
    <x v="2"/>
    <x v="1"/>
    <x v="10"/>
    <x v="1"/>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4"/>
    <x v="4"/>
    <n v="120"/>
    <x v="0"/>
    <x v="1"/>
    <x v="2"/>
    <n v="12498928"/>
    <n v="12498928"/>
    <x v="1"/>
    <x v="1"/>
    <x v="0"/>
    <x v="0"/>
    <s v="Subdirección de Catastro"/>
    <s v="Subdirección de Catastro"/>
    <x v="1"/>
    <s v="Subdirectora de Catastro"/>
    <x v="0"/>
    <x v="0"/>
    <s v="Ejecutar procesos de actualización catastral a nivel nacional"/>
    <s v="Predios actualizados catastralmente"/>
    <n v="639"/>
    <d v="2021-07-01T00:00:00"/>
    <n v="3124732"/>
    <n v="12498928"/>
    <n v="12498928"/>
    <x v="1"/>
    <s v="CRISTIAN ENRIQUE PALACIOS AMEZQUITA"/>
    <n v="0"/>
    <n v="0"/>
    <n v="24779"/>
    <x v="1"/>
    <x v="1"/>
    <x v="1"/>
    <n v="120"/>
    <x v="0"/>
  </r>
  <r>
    <x v="0"/>
    <m/>
    <x v="0"/>
    <x v="5"/>
    <x v="0"/>
    <x v="0"/>
    <x v="0"/>
    <x v="0"/>
    <x v="0"/>
    <x v="2"/>
    <x v="1"/>
    <x v="0"/>
    <x v="1"/>
    <s v="Servicios de sistemas de información geográfica (sig)"/>
    <x v="0"/>
    <n v="81101512"/>
    <s v="Prestación de servicios profesionales para la consolidación, análisis y trazabilidad de la información catastral en su componente alfanumérico de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26T00:00:00"/>
    <n v="4976424"/>
    <n v="19905696"/>
    <n v="19905696"/>
    <x v="1"/>
    <s v="DIEGO FERNANDO GRISALES RAMIREZ"/>
    <n v="0"/>
    <n v="0"/>
    <m/>
    <x v="1"/>
    <x v="1"/>
    <x v="1"/>
    <n v="120"/>
    <x v="0"/>
  </r>
  <r>
    <x v="0"/>
    <m/>
    <x v="0"/>
    <x v="6"/>
    <x v="0"/>
    <x v="0"/>
    <x v="1"/>
    <x v="4"/>
    <x v="0"/>
    <x v="2"/>
    <x v="1"/>
    <x v="6"/>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4"/>
    <x v="4"/>
    <n v="240"/>
    <x v="1"/>
    <x v="1"/>
    <x v="0"/>
    <n v="714000000"/>
    <n v="714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734"/>
    <d v="2021-08-17T00:00:00"/>
    <n v="714000000"/>
    <n v="714000000"/>
    <n v="714000000"/>
    <x v="1"/>
    <s v="FEDERACION DE CONSEJOS COMUNITARIOS DEL VALLE Y OTRAS ORGANIZACIONES DE COLOMBIA"/>
    <n v="0"/>
    <n v="0"/>
    <n v="24827"/>
    <x v="1"/>
    <x v="1"/>
    <x v="1"/>
    <m/>
    <x v="0"/>
  </r>
  <r>
    <x v="1"/>
    <n v="76"/>
    <x v="1"/>
    <x v="0"/>
    <x v="0"/>
    <x v="0"/>
    <x v="1"/>
    <x v="3"/>
    <x v="0"/>
    <x v="2"/>
    <x v="1"/>
    <x v="10"/>
    <x v="1"/>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4"/>
    <x v="4"/>
    <n v="150"/>
    <x v="0"/>
    <x v="1"/>
    <x v="2"/>
    <n v="18025000"/>
    <n v="18025000"/>
    <x v="1"/>
    <x v="1"/>
    <x v="0"/>
    <x v="0"/>
    <s v="Subdirección de Catastro"/>
    <s v="Subdirección de Catastro"/>
    <x v="1"/>
    <s v="Subdirectora de Catastro"/>
    <x v="0"/>
    <x v="0"/>
    <s v="Ejecutar procesos de actualización catastral a nivel nacional"/>
    <s v="Predios actualizados catastralmente"/>
    <n v="630"/>
    <d v="2021-06-24T00:00:00"/>
    <n v="3605000"/>
    <n v="18025000"/>
    <n v="18025000"/>
    <x v="1"/>
    <s v="FREDY LEONARDO SOLORZANO VASQUEZ"/>
    <n v="0"/>
    <n v="0"/>
    <n v="24772"/>
    <x v="1"/>
    <x v="1"/>
    <x v="1"/>
    <n v="150"/>
    <x v="0"/>
  </r>
  <r>
    <x v="1"/>
    <n v="10"/>
    <x v="1"/>
    <x v="0"/>
    <x v="0"/>
    <x v="0"/>
    <x v="1"/>
    <x v="3"/>
    <x v="0"/>
    <x v="2"/>
    <x v="1"/>
    <x v="9"/>
    <x v="1"/>
    <s v="Servicios secretariales o de administración de oficinas  "/>
    <x v="0"/>
    <n v="80161501"/>
    <s v="Prestación de servicios profesionales para el desarrollo de procesos estadísticos en el marco de la gestión catastral a cargo del IGAC."/>
    <x v="5"/>
    <x v="5"/>
    <n v="11"/>
    <x v="1"/>
    <x v="1"/>
    <x v="2"/>
    <n v="164285000"/>
    <n v="164285000"/>
    <x v="1"/>
    <x v="1"/>
    <x v="0"/>
    <x v="0"/>
    <s v="Subdirección de Catastro"/>
    <s v="Subdirección de Catastro"/>
    <x v="1"/>
    <s v="Subdirectora de Catastro"/>
    <x v="0"/>
    <x v="0"/>
    <s v="Ejecutar procesos de actualización catastral a nivel nacional"/>
    <s v="Predios actualizados catastralmente"/>
    <n v="57"/>
    <d v="2021-01-20T00:00:00"/>
    <n v="14935000"/>
    <n v="164285000"/>
    <n v="164285000"/>
    <x v="1"/>
    <s v="GABRIEL ANTONIO VALLEJO HERNANDEZ"/>
    <n v="0"/>
    <n v="0"/>
    <n v="24220"/>
    <x v="1"/>
    <x v="1"/>
    <x v="1"/>
    <m/>
    <x v="0"/>
  </r>
  <r>
    <x v="1"/>
    <n v="82"/>
    <x v="1"/>
    <x v="0"/>
    <x v="0"/>
    <x v="0"/>
    <x v="1"/>
    <x v="3"/>
    <x v="0"/>
    <x v="2"/>
    <x v="1"/>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4"/>
    <x v="4"/>
    <n v="165"/>
    <x v="0"/>
    <x v="1"/>
    <x v="2"/>
    <n v="27370332"/>
    <n v="27370332"/>
    <x v="1"/>
    <x v="2"/>
    <x v="0"/>
    <x v="0"/>
    <s v="Subdirección de Catastro"/>
    <s v="Subdirección de Catastro"/>
    <x v="1"/>
    <s v="Subdirectora de Catastro"/>
    <x v="0"/>
    <x v="0"/>
    <s v="Ejecutar procesos de actualización catastral a nivel nacional"/>
    <s v="Predios actualizados catastralmente"/>
    <n v="641"/>
    <d v="2021-07-02T00:00:00"/>
    <n v="4976424"/>
    <n v="27370331.999999996"/>
    <n v="27370331.999999996"/>
    <x v="1"/>
    <s v="GUILLERMO JOSE ROMERO CHARRY"/>
    <n v="0"/>
    <n v="0"/>
    <n v="24782"/>
    <x v="1"/>
    <x v="1"/>
    <x v="1"/>
    <n v="165"/>
    <x v="0"/>
  </r>
  <r>
    <x v="1"/>
    <n v="49"/>
    <x v="1"/>
    <x v="0"/>
    <x v="0"/>
    <x v="0"/>
    <x v="1"/>
    <x v="3"/>
    <x v="0"/>
    <x v="2"/>
    <x v="1"/>
    <x v="2"/>
    <x v="1"/>
    <s v="Publicidad en periódicos"/>
    <x v="0"/>
    <n v="82101504"/>
    <s v="Prestación de servicios para la publicación de los actos administrativos de la entidad en el diario oficial"/>
    <x v="2"/>
    <x v="2"/>
    <n v="9"/>
    <x v="1"/>
    <x v="1"/>
    <x v="2"/>
    <n v="30000000"/>
    <n v="30000000"/>
    <x v="1"/>
    <x v="1"/>
    <x v="0"/>
    <x v="0"/>
    <s v="Subdirección de Catastro"/>
    <s v="Subdirección de Catastro"/>
    <x v="1"/>
    <s v="Subdirectora de Catastro"/>
    <x v="0"/>
    <x v="0"/>
    <s v="Ejecutar procesos de actualización catastral a nivel nacional"/>
    <s v="Predios actualizados catastralmente"/>
    <n v="491"/>
    <d v="2021-03-19T00:00:00"/>
    <n v="0"/>
    <n v="30000000"/>
    <n v="30000000"/>
    <x v="1"/>
    <s v="IMPRENTA NACIONAL"/>
    <n v="0"/>
    <n v="0"/>
    <n v="24626"/>
    <x v="1"/>
    <x v="1"/>
    <x v="1"/>
    <m/>
    <x v="0"/>
  </r>
  <r>
    <x v="1"/>
    <n v="84"/>
    <x v="1"/>
    <x v="0"/>
    <x v="0"/>
    <x v="0"/>
    <x v="1"/>
    <x v="4"/>
    <x v="0"/>
    <x v="2"/>
    <x v="1"/>
    <x v="6"/>
    <x v="0"/>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IRMA AMPARO GONZÁLEZ SIERRA"/>
    <n v="0"/>
    <n v="0"/>
    <m/>
    <x v="1"/>
    <x v="1"/>
    <x v="1"/>
    <n v="180"/>
    <x v="0"/>
  </r>
  <r>
    <x v="1"/>
    <n v="91"/>
    <x v="1"/>
    <x v="0"/>
    <x v="0"/>
    <x v="0"/>
    <x v="1"/>
    <x v="3"/>
    <x v="0"/>
    <x v="2"/>
    <x v="1"/>
    <x v="4"/>
    <x v="1"/>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87"/>
    <d v="2021-07-23T00:00:00"/>
    <n v="2671483"/>
    <n v="13357415"/>
    <n v="13357415"/>
    <x v="1"/>
    <s v="JAVIER ANDRES RINCON LOPEZ "/>
    <n v="0"/>
    <n v="0"/>
    <n v="24803"/>
    <x v="0"/>
    <x v="0"/>
    <x v="2"/>
    <n v="150"/>
    <x v="0"/>
  </r>
  <r>
    <x v="1"/>
    <n v="75"/>
    <x v="1"/>
    <x v="0"/>
    <x v="0"/>
    <x v="0"/>
    <x v="1"/>
    <x v="3"/>
    <x v="0"/>
    <x v="2"/>
    <x v="1"/>
    <x v="4"/>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4"/>
    <x v="4"/>
    <n v="150"/>
    <x v="0"/>
    <x v="1"/>
    <x v="2"/>
    <n v="24882120"/>
    <n v="24882120"/>
    <x v="1"/>
    <x v="2"/>
    <x v="0"/>
    <x v="0"/>
    <s v="Subdirección de Catastro"/>
    <s v="Subdirección de Catastro"/>
    <x v="1"/>
    <s v="Subdirectora de Catastro"/>
    <x v="0"/>
    <x v="0"/>
    <s v="Ejecutar procesos de actualización catastral a nivel nacional"/>
    <s v="Predios actualizados catastralmente"/>
    <n v="629"/>
    <d v="2021-06-24T00:00:00"/>
    <n v="4976424"/>
    <n v="24882120"/>
    <n v="24882120"/>
    <x v="1"/>
    <s v="JUAN CAMILO MADERA CALAO"/>
    <n v="0"/>
    <n v="0"/>
    <n v="24770"/>
    <x v="1"/>
    <x v="1"/>
    <x v="1"/>
    <n v="150"/>
    <x v="0"/>
  </r>
  <r>
    <x v="1"/>
    <n v="86"/>
    <x v="1"/>
    <x v="0"/>
    <x v="0"/>
    <x v="0"/>
    <x v="1"/>
    <x v="3"/>
    <x v="0"/>
    <x v="2"/>
    <x v="1"/>
    <x v="4"/>
    <x v="1"/>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73"/>
    <d v="2021-07-12T00:00:00"/>
    <n v="2671483"/>
    <n v="13357415"/>
    <n v="13357415"/>
    <x v="1"/>
    <s v="JULIETH ANDREA GARCIA HERNANDEZ"/>
    <n v="0"/>
    <n v="0"/>
    <n v="24796"/>
    <x v="0"/>
    <x v="0"/>
    <x v="0"/>
    <n v="291"/>
    <x v="0"/>
  </r>
  <r>
    <x v="1"/>
    <n v="23"/>
    <x v="1"/>
    <x v="0"/>
    <x v="0"/>
    <x v="0"/>
    <x v="1"/>
    <x v="3"/>
    <x v="0"/>
    <x v="2"/>
    <x v="1"/>
    <x v="9"/>
    <x v="1"/>
    <s v="Servicios secretariales o de administración de oficinas  "/>
    <x v="0"/>
    <n v="80161501"/>
    <s v="Prestación de servicios profesionales para adelantar el control de calidad de los avalúos asignados, así como la elaboración de avalúos comerciales e IVP."/>
    <x v="5"/>
    <x v="5"/>
    <n v="11"/>
    <x v="1"/>
    <x v="1"/>
    <x v="2"/>
    <n v="83053047"/>
    <n v="83053047"/>
    <x v="1"/>
    <x v="1"/>
    <x v="0"/>
    <x v="0"/>
    <s v="Subdirección de Catastro"/>
    <s v="Subdirección de Catastro"/>
    <x v="1"/>
    <s v="Subdirectora de Catastro"/>
    <x v="0"/>
    <x v="1"/>
    <s v="Realizar avalúos IVP"/>
    <s v="Avalúos realizados"/>
    <n v="110"/>
    <d v="2021-01-27T00:00:00"/>
    <n v="7550277"/>
    <n v="83053047"/>
    <n v="83053047"/>
    <x v="1"/>
    <s v="JULIO CESAR DIAZ"/>
    <n v="0"/>
    <n v="0"/>
    <n v="24255"/>
    <x v="1"/>
    <x v="1"/>
    <x v="1"/>
    <m/>
    <x v="0"/>
  </r>
  <r>
    <x v="1"/>
    <n v="26"/>
    <x v="1"/>
    <x v="0"/>
    <x v="0"/>
    <x v="0"/>
    <x v="1"/>
    <x v="3"/>
    <x v="0"/>
    <x v="2"/>
    <x v="1"/>
    <x v="11"/>
    <x v="1"/>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71"/>
    <d v="2021-02-04T00:00:00"/>
    <n v="7550277"/>
    <n v="81794668"/>
    <n v="81794668"/>
    <x v="1"/>
    <s v="LAURA FERNANDA PARRA PINZON"/>
    <n v="0"/>
    <n v="0"/>
    <n v="24356"/>
    <x v="1"/>
    <x v="1"/>
    <x v="1"/>
    <m/>
    <x v="0"/>
  </r>
  <r>
    <x v="1"/>
    <n v="13"/>
    <x v="1"/>
    <x v="0"/>
    <x v="0"/>
    <x v="0"/>
    <x v="1"/>
    <x v="3"/>
    <x v="0"/>
    <x v="2"/>
    <x v="1"/>
    <x v="11"/>
    <x v="1"/>
    <s v="Servicios de formación profesional en derecho"/>
    <x v="0"/>
    <n v="86101713"/>
    <s v="Prestación de servicios profesionales para apoyar el desarrollo de los proyectos programados en el marco de la habilitación de gestores catastrales."/>
    <x v="6"/>
    <x v="6"/>
    <n v="325"/>
    <x v="0"/>
    <x v="1"/>
    <x v="2"/>
    <n v="144486420"/>
    <n v="144486420"/>
    <x v="1"/>
    <x v="1"/>
    <x v="0"/>
    <x v="0"/>
    <s v="Subdirección de Catastro"/>
    <s v="Subdirección de Catastro"/>
    <x v="1"/>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1"/>
    <x v="1"/>
    <x v="1"/>
    <m/>
    <x v="0"/>
  </r>
  <r>
    <x v="1"/>
    <n v="79"/>
    <x v="1"/>
    <x v="0"/>
    <x v="0"/>
    <x v="0"/>
    <x v="1"/>
    <x v="3"/>
    <x v="3"/>
    <x v="3"/>
    <x v="1"/>
    <x v="4"/>
    <x v="1"/>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4"/>
    <x v="4"/>
    <n v="120"/>
    <x v="0"/>
    <x v="1"/>
    <x v="2"/>
    <n v="62494640"/>
    <n v="62494640"/>
    <x v="1"/>
    <x v="2"/>
    <x v="3"/>
    <x v="0"/>
    <s v="Subdirección de Catastro"/>
    <s v="Subdirección de Catastro"/>
    <x v="1"/>
    <s v="Subdirectora de Catastro"/>
    <x v="0"/>
    <x v="0"/>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n v="0"/>
    <s v="24777_x000a_24778_x000a_24780_x000a_24783_x000a_24784"/>
    <x v="2"/>
    <x v="1"/>
    <x v="0"/>
    <n v="120"/>
    <x v="0"/>
  </r>
  <r>
    <x v="1"/>
    <n v="43"/>
    <x v="1"/>
    <x v="0"/>
    <x v="0"/>
    <x v="0"/>
    <x v="1"/>
    <x v="3"/>
    <x v="3"/>
    <x v="3"/>
    <x v="1"/>
    <x v="12"/>
    <x v="1"/>
    <s v="Servicios secretariales o de administración de oficinas  "/>
    <x v="0"/>
    <n v="80161501"/>
    <s v="Prestación de servicios profesionales para adelantar los avalúos comerciales que le sean asignados a nivel nacional."/>
    <x v="2"/>
    <x v="2"/>
    <n v="300"/>
    <x v="0"/>
    <x v="1"/>
    <x v="1"/>
    <n v="300000000"/>
    <n v="300000000"/>
    <x v="1"/>
    <x v="1"/>
    <x v="3"/>
    <x v="0"/>
    <s v="Subdirección de Catastro"/>
    <s v="Subdirección de Catastro"/>
    <x v="1"/>
    <s v="Subdirectora de Catastro"/>
    <x v="0"/>
    <x v="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2"/>
    <x v="1"/>
    <x v="1"/>
    <m/>
    <x v="0"/>
  </r>
  <r>
    <x v="0"/>
    <m/>
    <x v="0"/>
    <x v="7"/>
    <x v="0"/>
    <x v="0"/>
    <x v="0"/>
    <x v="0"/>
    <x v="0"/>
    <x v="2"/>
    <x v="1"/>
    <x v="0"/>
    <x v="1"/>
    <s v="Servicios secretariales o de administración de oficinas  "/>
    <x v="0"/>
    <n v="80161501"/>
    <s v="Prestación de servicios para realizar actividades de gestión derivada de los contratos que tiene a cargo la Dirección de Gestión Catastral en materia de Avalúos"/>
    <x v="0"/>
    <x v="0"/>
    <n v="4"/>
    <x v="1"/>
    <x v="1"/>
    <x v="3"/>
    <n v="10685932"/>
    <n v="10685932"/>
    <x v="1"/>
    <x v="2"/>
    <x v="0"/>
    <x v="0"/>
    <s v="Subdirección de Catastro"/>
    <s v="Subdirección de Catastro"/>
    <x v="0"/>
    <s v="Director Territorial"/>
    <x v="0"/>
    <x v="2"/>
    <s v="Realizar avalúos comerciales, de acuerdo a las solicitudes recibidas."/>
    <s v="Avalúos realizados"/>
    <m/>
    <d v="2021-08-26T00:00:00"/>
    <n v="2671483"/>
    <n v="10685932"/>
    <n v="10685932"/>
    <x v="1"/>
    <s v="NANCY AMPARO VEGA RUIZ"/>
    <n v="0"/>
    <n v="0"/>
    <m/>
    <x v="1"/>
    <x v="1"/>
    <x v="1"/>
    <n v="120"/>
    <x v="0"/>
  </r>
  <r>
    <x v="0"/>
    <m/>
    <x v="0"/>
    <x v="8"/>
    <x v="0"/>
    <x v="0"/>
    <x v="0"/>
    <x v="0"/>
    <x v="0"/>
    <x v="2"/>
    <x v="1"/>
    <x v="0"/>
    <x v="1"/>
    <s v="Servicios de sistemas de información geográfica (sig)"/>
    <x v="0"/>
    <n v="81101512"/>
    <s v="Prestación de servicios profesionales para apoyar las actividades que correspondan en la administración de la información catastral en su componente geográfico mediante el uso de tecnologías de sistemas de información geográfica en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30T00:00:00"/>
    <n v="4976424"/>
    <n v="19905696"/>
    <n v="19905696"/>
    <x v="1"/>
    <s v="NANCY YOLANDA LOPEZ FORERO"/>
    <n v="0"/>
    <n v="0"/>
    <m/>
    <x v="1"/>
    <x v="1"/>
    <x v="1"/>
    <n v="120"/>
    <x v="0"/>
  </r>
  <r>
    <x v="1"/>
    <n v="5"/>
    <x v="1"/>
    <x v="0"/>
    <x v="0"/>
    <x v="0"/>
    <x v="1"/>
    <x v="3"/>
    <x v="0"/>
    <x v="2"/>
    <x v="1"/>
    <x v="9"/>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1"/>
    <x v="1"/>
    <x v="2"/>
    <n v="83053047"/>
    <n v="83053047"/>
    <x v="1"/>
    <x v="1"/>
    <x v="0"/>
    <x v="0"/>
    <s v="Subdirección de Catastro"/>
    <s v="Subdirección de Catastro"/>
    <x v="1"/>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1"/>
    <x v="1"/>
    <x v="2"/>
    <n v="215"/>
    <x v="0"/>
  </r>
  <r>
    <x v="1"/>
    <n v="29"/>
    <x v="1"/>
    <x v="0"/>
    <x v="0"/>
    <x v="0"/>
    <x v="1"/>
    <x v="4"/>
    <x v="0"/>
    <x v="2"/>
    <x v="1"/>
    <x v="11"/>
    <x v="0"/>
    <s v="Servicios de sistemas de información geográfica (sig)"/>
    <x v="0"/>
    <n v="81101512"/>
    <s v="Adelantar los procesos de actualización catastral de 4 municipios del departamento de Boyacá financiados con recursos del Banco Interamericano de Desarrollo"/>
    <x v="6"/>
    <x v="6"/>
    <n v="8"/>
    <x v="1"/>
    <x v="0"/>
    <x v="0"/>
    <n v="2901108715"/>
    <n v="2901108715"/>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1"/>
    <x v="1"/>
    <x v="1"/>
    <m/>
    <x v="0"/>
  </r>
  <r>
    <x v="1"/>
    <n v="31"/>
    <x v="1"/>
    <x v="0"/>
    <x v="0"/>
    <x v="0"/>
    <x v="1"/>
    <x v="4"/>
    <x v="0"/>
    <x v="2"/>
    <x v="1"/>
    <x v="11"/>
    <x v="0"/>
    <s v="Servicios de sistemas de información geográfica (sig)"/>
    <x v="0"/>
    <n v="81101512"/>
    <s v="Adelantar los procesos de actualización catastral de 4 municipios del departamento de Boyacá financiados con recursos del Banco Mundial -BM"/>
    <x v="6"/>
    <x v="6"/>
    <n v="8"/>
    <x v="1"/>
    <x v="0"/>
    <x v="0"/>
    <n v="4875235099"/>
    <n v="4875235099"/>
    <x v="1"/>
    <x v="1"/>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1"/>
    <x v="1"/>
    <x v="1"/>
    <m/>
    <x v="0"/>
  </r>
  <r>
    <x v="1"/>
    <n v="78"/>
    <x v="1"/>
    <x v="0"/>
    <x v="0"/>
    <x v="0"/>
    <x v="1"/>
    <x v="3"/>
    <x v="0"/>
    <x v="2"/>
    <x v="1"/>
    <x v="4"/>
    <x v="1"/>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4"/>
    <x v="4"/>
    <n v="150"/>
    <x v="0"/>
    <x v="1"/>
    <x v="2"/>
    <n v="18025000"/>
    <n v="18025000"/>
    <x v="1"/>
    <x v="2"/>
    <x v="0"/>
    <x v="0"/>
    <s v="Subdirección de Catastro"/>
    <s v="Subdirección de Catastro"/>
    <x v="1"/>
    <s v="Subdirectora de Catastro"/>
    <x v="0"/>
    <x v="0"/>
    <s v="Ejecutar procesos de actualización catastral a nivel nacional"/>
    <s v="Predios actualizados catastralmente"/>
    <n v="637"/>
    <d v="2021-07-01T00:00:00"/>
    <n v="3605000"/>
    <n v="18025000"/>
    <n v="18025000"/>
    <x v="1"/>
    <s v="YESMY  BATISTA PALOMINO"/>
    <n v="0"/>
    <n v="0"/>
    <n v="24776"/>
    <x v="1"/>
    <x v="1"/>
    <x v="1"/>
    <n v="150"/>
    <x v="0"/>
  </r>
  <r>
    <x v="1"/>
    <n v="22"/>
    <x v="1"/>
    <x v="0"/>
    <x v="0"/>
    <x v="0"/>
    <x v="1"/>
    <x v="3"/>
    <x v="0"/>
    <x v="2"/>
    <x v="1"/>
    <x v="11"/>
    <x v="1"/>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6"/>
    <x v="6"/>
    <n v="325"/>
    <x v="0"/>
    <x v="1"/>
    <x v="2"/>
    <n v="53911260"/>
    <n v="53911260"/>
    <x v="1"/>
    <x v="1"/>
    <x v="0"/>
    <x v="0"/>
    <s v="Subdirección de Catastro"/>
    <s v="Subdirección de Catastro"/>
    <x v="1"/>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1"/>
    <x v="1"/>
    <x v="1"/>
    <m/>
    <x v="0"/>
  </r>
  <r>
    <x v="1"/>
    <n v="12"/>
    <x v="1"/>
    <x v="0"/>
    <x v="0"/>
    <x v="0"/>
    <x v="1"/>
    <x v="3"/>
    <x v="4"/>
    <x v="4"/>
    <x v="1"/>
    <x v="11"/>
    <x v="1"/>
    <s v="Servicios de sistemas de información geográfica (sig)"/>
    <x v="0"/>
    <n v="81101512"/>
    <s v="Prestación de servicios profesionales para apoyar la gestión requerida para la habilitación de gestores catastrales."/>
    <x v="6"/>
    <x v="6"/>
    <n v="325"/>
    <x v="0"/>
    <x v="1"/>
    <x v="2"/>
    <n v="187128273"/>
    <n v="187128273"/>
    <x v="1"/>
    <x v="1"/>
    <x v="4"/>
    <x v="0"/>
    <s v="Subdirección de Catastro"/>
    <s v="Subdirección de Catastro"/>
    <x v="1"/>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4"/>
    <x v="1"/>
    <x v="1"/>
    <m/>
    <x v="0"/>
  </r>
  <r>
    <x v="1"/>
    <n v="33"/>
    <x v="1"/>
    <x v="0"/>
    <x v="0"/>
    <x v="0"/>
    <x v="1"/>
    <x v="3"/>
    <x v="0"/>
    <x v="2"/>
    <x v="1"/>
    <x v="11"/>
    <x v="1"/>
    <s v="Servicios secretariales o de administración de oficinas  "/>
    <x v="0"/>
    <n v="80161501"/>
    <s v="Prestación de servicios para la generación de productos de la información alfanumérica catastral en el marco del Proyecto de &quot;Actualización y gestión catastral Nacional&quot;"/>
    <x v="6"/>
    <x v="6"/>
    <n v="6"/>
    <x v="1"/>
    <x v="1"/>
    <x v="2"/>
    <n v="16028900"/>
    <n v="16028900"/>
    <x v="1"/>
    <x v="1"/>
    <x v="0"/>
    <x v="0"/>
    <s v="Subdirección de Catastro"/>
    <s v="Subdirección de Catastro"/>
    <x v="1"/>
    <s v="Subdirectora de Catastro"/>
    <x v="0"/>
    <x v="0"/>
    <s v="Estandarizar las coberturas de información del proceso de catastro"/>
    <s v="Sistema de Información predial actualizado"/>
    <n v="259"/>
    <d v="2021-02-09T00:00:00"/>
    <n v="2671483"/>
    <n v="16028898"/>
    <n v="16028898"/>
    <x v="1"/>
    <s v="ALEJANDRO ORTIZ BARON"/>
    <n v="2"/>
    <n v="0"/>
    <n v="24438"/>
    <x v="1"/>
    <x v="1"/>
    <x v="1"/>
    <m/>
    <x v="0"/>
  </r>
  <r>
    <x v="1"/>
    <n v="9"/>
    <x v="1"/>
    <x v="0"/>
    <x v="0"/>
    <x v="0"/>
    <x v="1"/>
    <x v="3"/>
    <x v="5"/>
    <x v="5"/>
    <x v="1"/>
    <x v="9"/>
    <x v="1"/>
    <s v="Servicios secretariales o de administración de oficinas  "/>
    <x v="0"/>
    <n v="80161501"/>
    <s v="Prestación de servicios de apoyo orientados a la gestión y enrutamiento de la información derivada de los procesos catastrales."/>
    <x v="5"/>
    <x v="5"/>
    <n v="11"/>
    <x v="1"/>
    <x v="1"/>
    <x v="2"/>
    <n v="92321463"/>
    <n v="92321463"/>
    <x v="1"/>
    <x v="1"/>
    <x v="5"/>
    <x v="0"/>
    <s v="Subdirección de Catastro"/>
    <s v="Subdirección de Catastro"/>
    <x v="1"/>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5"/>
    <x v="1"/>
    <x v="1"/>
    <n v="210"/>
    <x v="0"/>
  </r>
  <r>
    <x v="1"/>
    <n v="36"/>
    <x v="1"/>
    <x v="0"/>
    <x v="0"/>
    <x v="0"/>
    <x v="1"/>
    <x v="3"/>
    <x v="0"/>
    <x v="2"/>
    <x v="1"/>
    <x v="11"/>
    <x v="1"/>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1"/>
    <x v="1"/>
    <x v="1"/>
    <m/>
    <x v="0"/>
  </r>
  <r>
    <x v="1"/>
    <n v="39"/>
    <x v="1"/>
    <x v="0"/>
    <x v="0"/>
    <x v="0"/>
    <x v="1"/>
    <x v="3"/>
    <x v="0"/>
    <x v="2"/>
    <x v="1"/>
    <x v="11"/>
    <x v="1"/>
    <s v="Servicios de sistemas de información geográfica (sig)"/>
    <x v="0"/>
    <n v="81101512"/>
    <s v="Prestación de servicios profesionales para gestionar, controlar y hacer seguimiento de la información  alfanumérica y gráfica de los procesos catastrales."/>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316"/>
    <d v="2021-02-16T00:00:00"/>
    <n v="4976424"/>
    <n v="29858544"/>
    <n v="29858544"/>
    <x v="1"/>
    <s v="NANCY YOLANDA LÓPEZ FORERO"/>
    <n v="3"/>
    <n v="0"/>
    <n v="24477"/>
    <x v="1"/>
    <x v="1"/>
    <x v="1"/>
    <m/>
    <x v="0"/>
  </r>
  <r>
    <x v="1"/>
    <n v="21"/>
    <x v="1"/>
    <x v="0"/>
    <x v="0"/>
    <x v="0"/>
    <x v="1"/>
    <x v="3"/>
    <x v="0"/>
    <x v="2"/>
    <x v="1"/>
    <x v="9"/>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1"/>
    <x v="1"/>
    <x v="2"/>
    <n v="54740669"/>
    <n v="54740669"/>
    <x v="1"/>
    <x v="1"/>
    <x v="0"/>
    <x v="0"/>
    <s v="Subdirección de Catastro"/>
    <s v="Subdirección de Catastro"/>
    <x v="1"/>
    <s v="Subdirectora de Catastro"/>
    <x v="0"/>
    <x v="0"/>
    <s v="Atender las solicitudes en materia de Política de Restitución de Tierras y Ley de Víctimas"/>
    <s v="Solicitudes Atendidas"/>
    <n v="124"/>
    <d v="2021-01-25T00:00:00"/>
    <n v="4976424"/>
    <n v="54740664"/>
    <n v="54740664"/>
    <x v="1"/>
    <s v="DANILO BERNAL DIAZ"/>
    <n v="5"/>
    <n v="0"/>
    <n v="24264"/>
    <x v="1"/>
    <x v="1"/>
    <x v="1"/>
    <m/>
    <x v="0"/>
  </r>
  <r>
    <x v="1"/>
    <n v="4"/>
    <x v="1"/>
    <x v="0"/>
    <x v="0"/>
    <x v="0"/>
    <x v="1"/>
    <x v="3"/>
    <x v="0"/>
    <x v="2"/>
    <x v="1"/>
    <x v="9"/>
    <x v="1"/>
    <s v="Servicios de formación profesional en derecho"/>
    <x v="0"/>
    <n v="86101713"/>
    <s v="Prestación de servicios profesionales para apoyar el componente jurídico en los proyectos de Gestión Catastral desarrollados por el IGAC"/>
    <x v="5"/>
    <x v="5"/>
    <n v="11"/>
    <x v="1"/>
    <x v="1"/>
    <x v="1"/>
    <n v="95787741"/>
    <n v="95787741"/>
    <x v="1"/>
    <x v="1"/>
    <x v="0"/>
    <x v="0"/>
    <s v="Subdirección de Catastro"/>
    <s v="Subdirección de Catastro"/>
    <x v="1"/>
    <s v="Subdirectora de Catastro"/>
    <x v="0"/>
    <x v="0"/>
    <s v="Ejecutar procesos de actualización catastral a nivel nacional"/>
    <s v="Predios actualizados catastralmente"/>
    <n v="48"/>
    <d v="2021-01-18T00:00:00"/>
    <n v="8707976"/>
    <n v="95787736"/>
    <n v="95787736"/>
    <x v="1"/>
    <s v="LIZZY KAROLAY RINCON CAMELO"/>
    <n v="5"/>
    <n v="0"/>
    <n v="24206"/>
    <x v="1"/>
    <x v="1"/>
    <x v="2"/>
    <n v="235"/>
    <x v="0"/>
  </r>
  <r>
    <x v="1"/>
    <n v="6"/>
    <x v="1"/>
    <x v="0"/>
    <x v="0"/>
    <x v="0"/>
    <x v="1"/>
    <x v="3"/>
    <x v="0"/>
    <x v="2"/>
    <x v="1"/>
    <x v="9"/>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1"/>
    <x v="1"/>
    <x v="1"/>
    <n v="108518129"/>
    <n v="108518129"/>
    <x v="1"/>
    <x v="1"/>
    <x v="0"/>
    <x v="0"/>
    <s v="Subdirección de Catastro"/>
    <s v="Subdirección de Catastro"/>
    <x v="1"/>
    <s v="Subdirectora de Catastro"/>
    <x v="0"/>
    <x v="0"/>
    <s v="Ejecutar procesos de actualización catastral a nivel nacional"/>
    <s v="Predios actualizados catastralmente"/>
    <n v="61"/>
    <d v="2021-01-19T00:00:00"/>
    <n v="9865284"/>
    <n v="108518124"/>
    <n v="108518124"/>
    <x v="1"/>
    <s v="MARYSOL  RUIZ CANO"/>
    <n v="5"/>
    <n v="0"/>
    <n v="24223"/>
    <x v="1"/>
    <x v="1"/>
    <x v="1"/>
    <n v="150"/>
    <x v="0"/>
  </r>
  <r>
    <x v="1"/>
    <n v="8"/>
    <x v="1"/>
    <x v="0"/>
    <x v="0"/>
    <x v="0"/>
    <x v="1"/>
    <x v="3"/>
    <x v="1"/>
    <x v="1"/>
    <x v="1"/>
    <x v="9"/>
    <x v="1"/>
    <s v="Servicios secretariales o de administración de oficinas  "/>
    <x v="0"/>
    <n v="80161501"/>
    <s v="Prestación de servicios para apoyar las actividades técnicas y operativas para la habilitación de gestores catastrales."/>
    <x v="5"/>
    <x v="5"/>
    <n v="11"/>
    <x v="1"/>
    <x v="1"/>
    <x v="2"/>
    <n v="58772631"/>
    <n v="58772631"/>
    <x v="1"/>
    <x v="1"/>
    <x v="1"/>
    <x v="0"/>
    <s v="Subdirección de Catastro"/>
    <s v="Subdirección de Catastro"/>
    <x v="1"/>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3"/>
    <x v="1"/>
    <x v="1"/>
    <m/>
    <x v="0"/>
  </r>
  <r>
    <x v="1"/>
    <n v="18"/>
    <x v="1"/>
    <x v="0"/>
    <x v="0"/>
    <x v="0"/>
    <x v="1"/>
    <x v="3"/>
    <x v="5"/>
    <x v="5"/>
    <x v="1"/>
    <x v="9"/>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1"/>
    <x v="1"/>
    <x v="2"/>
    <n v="434072513"/>
    <n v="434072513"/>
    <x v="1"/>
    <x v="1"/>
    <x v="5"/>
    <x v="0"/>
    <s v="Subdirección de Catastro"/>
    <s v="Subdirección de Catastro"/>
    <x v="1"/>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5"/>
    <x v="1"/>
    <x v="1"/>
    <m/>
    <x v="0"/>
  </r>
  <r>
    <x v="0"/>
    <m/>
    <x v="0"/>
    <x v="9"/>
    <x v="0"/>
    <x v="0"/>
    <x v="0"/>
    <x v="0"/>
    <x v="0"/>
    <x v="2"/>
    <x v="1"/>
    <x v="0"/>
    <x v="1"/>
    <s v="Servicios de sistemas de información geográfica (sig)"/>
    <x v="0"/>
    <n v="81101512"/>
    <s v="Prestación de servicios profesionales para establecer actividades de seguimiento, planeación y control de los proyectos de la Actualización y Gestión Catastral Nacional multipropósito adelantados por el IGAC. "/>
    <x v="0"/>
    <x v="0"/>
    <n v="4"/>
    <x v="1"/>
    <x v="1"/>
    <x v="3"/>
    <n v="57978064"/>
    <n v="57978064"/>
    <x v="1"/>
    <x v="2"/>
    <x v="0"/>
    <x v="0"/>
    <s v="Subdirección de Catastro"/>
    <s v="Subdirección de Catastro"/>
    <x v="0"/>
    <s v="Director Territorial"/>
    <x v="0"/>
    <x v="0"/>
    <s v="Ejecutar procesos de actualización catastral a nivel nacional"/>
    <s v="Predios actualizados catastralmente"/>
    <m/>
    <d v="2021-08-26T00:00:00"/>
    <n v="14494081"/>
    <n v="57976324"/>
    <n v="57976324"/>
    <x v="1"/>
    <s v="ARIMAN LOPEZ MURILLO"/>
    <n v="1740"/>
    <n v="0"/>
    <m/>
    <x v="1"/>
    <x v="1"/>
    <x v="1"/>
    <n v="120"/>
    <x v="0"/>
  </r>
  <r>
    <x v="1"/>
    <n v="7"/>
    <x v="1"/>
    <x v="0"/>
    <x v="0"/>
    <x v="0"/>
    <x v="1"/>
    <x v="3"/>
    <x v="0"/>
    <x v="2"/>
    <x v="1"/>
    <x v="9"/>
    <x v="1"/>
    <s v="Servicios de formación profesional en derecho"/>
    <x v="0"/>
    <n v="86101713"/>
    <s v="Prestación de servicios profesionales para el desarrollo del componente social requerido de los procesos de gestión catastral desarrollados por el IGAC"/>
    <x v="5"/>
    <x v="5"/>
    <n v="11"/>
    <x v="1"/>
    <x v="1"/>
    <x v="1"/>
    <n v="63335720"/>
    <n v="63335720"/>
    <x v="1"/>
    <x v="1"/>
    <x v="0"/>
    <x v="0"/>
    <s v="Subdirección de Catastro"/>
    <s v="Subdirección de Catastro"/>
    <x v="1"/>
    <s v="Subdirectora de Catastro"/>
    <x v="0"/>
    <x v="0"/>
    <s v="Ejecutar procesos de actualización catastral a nivel nacional"/>
    <s v="Predios actualizados catastralmente"/>
    <n v="54"/>
    <d v="2021-01-19T00:00:00"/>
    <n v="5757793"/>
    <n v="63143797"/>
    <n v="63143797"/>
    <x v="1"/>
    <s v="GERMAN ANDRES HERRERA SIERRA"/>
    <n v="191923"/>
    <n v="0"/>
    <n v="24213"/>
    <x v="1"/>
    <x v="1"/>
    <x v="1"/>
    <n v="7"/>
    <x v="0"/>
  </r>
  <r>
    <x v="1"/>
    <n v="11"/>
    <x v="1"/>
    <x v="0"/>
    <x v="0"/>
    <x v="0"/>
    <x v="1"/>
    <x v="3"/>
    <x v="0"/>
    <x v="2"/>
    <x v="1"/>
    <x v="9"/>
    <x v="1"/>
    <s v="Servicios secretariales o de administración de oficinas  "/>
    <x v="0"/>
    <n v="80161501"/>
    <s v="Prestación de servicios profesionales para la atención, control y seguimiento a las peticiones presentadas en el área asignada."/>
    <x v="5"/>
    <x v="5"/>
    <n v="11"/>
    <x v="1"/>
    <x v="1"/>
    <x v="2"/>
    <n v="63335720"/>
    <n v="63335720"/>
    <x v="1"/>
    <x v="1"/>
    <x v="0"/>
    <x v="0"/>
    <s v="Subdirección de Catastro"/>
    <s v="Subdirección de Catastro"/>
    <x v="1"/>
    <s v="Subdirectora de Catastro"/>
    <x v="0"/>
    <x v="0"/>
    <s v="Ejecutar procesos de actualización catastral a nivel nacional"/>
    <s v="Predios actualizados catastralmente"/>
    <n v="68"/>
    <d v="2021-01-20T00:00:00"/>
    <n v="5757793"/>
    <n v="63143797"/>
    <n v="63143797"/>
    <x v="1"/>
    <s v="MARTHA YANET DIAZ AYALA"/>
    <n v="191923"/>
    <n v="0"/>
    <n v="24225"/>
    <x v="1"/>
    <x v="1"/>
    <x v="1"/>
    <m/>
    <x v="0"/>
  </r>
  <r>
    <x v="1"/>
    <n v="35"/>
    <x v="1"/>
    <x v="0"/>
    <x v="0"/>
    <x v="0"/>
    <x v="1"/>
    <x v="3"/>
    <x v="1"/>
    <x v="1"/>
    <x v="1"/>
    <x v="11"/>
    <x v="1"/>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6"/>
    <x v="6"/>
    <n v="6"/>
    <x v="1"/>
    <x v="1"/>
    <x v="2"/>
    <n v="69093513"/>
    <n v="69093513"/>
    <x v="1"/>
    <x v="1"/>
    <x v="1"/>
    <x v="0"/>
    <s v="Subdirección de Catastro"/>
    <s v="Subdirección de Catastro"/>
    <x v="1"/>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3"/>
    <x v="1"/>
    <x v="1"/>
    <m/>
    <x v="0"/>
  </r>
  <r>
    <x v="1"/>
    <n v="24"/>
    <x v="1"/>
    <x v="0"/>
    <x v="0"/>
    <x v="0"/>
    <x v="1"/>
    <x v="3"/>
    <x v="5"/>
    <x v="5"/>
    <x v="1"/>
    <x v="9"/>
    <x v="1"/>
    <s v="Servicios de sistemas de información geográfica (sig)"/>
    <x v="0"/>
    <n v="81101512"/>
    <s v="Prestación de servicios profesionales para adelantar los avalúos comerciales asignados, de acuerdo a la programación establecida. "/>
    <x v="5"/>
    <x v="5"/>
    <n v="11"/>
    <x v="1"/>
    <x v="1"/>
    <x v="1"/>
    <n v="253342879"/>
    <n v="253342879"/>
    <x v="1"/>
    <x v="1"/>
    <x v="5"/>
    <x v="0"/>
    <s v="Subdirección de Catastro"/>
    <s v="Subdirección de Catastro"/>
    <x v="1"/>
    <s v="Subdirectora de Catastro"/>
    <x v="0"/>
    <x v="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5"/>
    <x v="1"/>
    <x v="1"/>
    <m/>
    <x v="0"/>
  </r>
  <r>
    <x v="1"/>
    <n v="48"/>
    <x v="1"/>
    <x v="0"/>
    <x v="0"/>
    <x v="0"/>
    <x v="1"/>
    <x v="3"/>
    <x v="0"/>
    <x v="2"/>
    <x v="1"/>
    <x v="12"/>
    <x v="1"/>
    <s v="Servicios secretariales o de administración de oficinas  "/>
    <x v="0"/>
    <n v="80161501"/>
    <s v="Prestación de servicios profesionales para el procesamiento, análisis y generación de productos geográficos que apoyen el proceso de actualización catastral"/>
    <x v="2"/>
    <x v="2"/>
    <n v="285"/>
    <x v="0"/>
    <x v="1"/>
    <x v="1"/>
    <n v="25379089"/>
    <n v="25379089"/>
    <x v="1"/>
    <x v="1"/>
    <x v="0"/>
    <x v="0"/>
    <s v="Subdirección de Catastro"/>
    <s v="Subdirección de Catastro"/>
    <x v="1"/>
    <s v="Subdirectora de Catastro"/>
    <x v="0"/>
    <x v="0"/>
    <s v="Ejecutar procesos de actualización catastral a nivel nacional"/>
    <s v="Predios actualizados catastralmente"/>
    <n v="470"/>
    <d v="2021-03-18T00:00:00"/>
    <n v="2671483"/>
    <n v="24577644"/>
    <n v="24577644"/>
    <x v="1"/>
    <s v="LAURA ALEJANDRA MARTINEZ CONDE"/>
    <n v="801445"/>
    <n v="0"/>
    <n v="24681"/>
    <x v="1"/>
    <x v="1"/>
    <x v="1"/>
    <m/>
    <x v="0"/>
  </r>
  <r>
    <x v="1"/>
    <n v="17"/>
    <x v="1"/>
    <x v="0"/>
    <x v="0"/>
    <x v="0"/>
    <x v="1"/>
    <x v="3"/>
    <x v="0"/>
    <x v="2"/>
    <x v="1"/>
    <x v="11"/>
    <x v="1"/>
    <s v="Servicios secretariales o de administración de oficinas  "/>
    <x v="0"/>
    <n v="80161501"/>
    <s v="Prestación de servicios profesionales para la programación, control y seguimiento presupuestal y financiero del proyecto de inversión &quot;Actualización y gestión catastral Nacional&quot;"/>
    <x v="6"/>
    <x v="6"/>
    <n v="325"/>
    <x v="0"/>
    <x v="1"/>
    <x v="2"/>
    <n v="72404085"/>
    <n v="72404085"/>
    <x v="1"/>
    <x v="1"/>
    <x v="0"/>
    <x v="0"/>
    <s v="Subdirección de Catastro"/>
    <s v="Subdirección de Catastro"/>
    <x v="1"/>
    <s v="Subdirectora de Catastro"/>
    <x v="0"/>
    <x v="0"/>
    <s v="Ejecutar procesos de actualización catastral a nivel nacional"/>
    <s v="Predios actualizados catastralmente"/>
    <n v="115"/>
    <d v="2021-02-04T00:00:00"/>
    <n v="6683454"/>
    <n v="71290176"/>
    <n v="71290176"/>
    <x v="1"/>
    <s v="LEIDY ANDREA GUZMAN_x000a_CAMELO"/>
    <n v="1113909"/>
    <n v="0"/>
    <n v="24367"/>
    <x v="1"/>
    <x v="1"/>
    <x v="1"/>
    <m/>
    <x v="0"/>
  </r>
  <r>
    <x v="1"/>
    <n v="38"/>
    <x v="1"/>
    <x v="0"/>
    <x v="0"/>
    <x v="0"/>
    <x v="1"/>
    <x v="3"/>
    <x v="0"/>
    <x v="2"/>
    <x v="1"/>
    <x v="11"/>
    <x v="1"/>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6"/>
    <x v="6"/>
    <n v="325"/>
    <x v="0"/>
    <x v="1"/>
    <x v="2"/>
    <n v="28941066"/>
    <n v="28941066"/>
    <x v="1"/>
    <x v="1"/>
    <x v="0"/>
    <x v="0"/>
    <s v="Subdirección de Catastro"/>
    <s v="Subdirección de Catastro"/>
    <x v="1"/>
    <s v="Subdirectora de Catastro"/>
    <x v="0"/>
    <x v="1"/>
    <s v="Realizar avalúos IVP"/>
    <s v="Avalúos realizados"/>
    <n v="332"/>
    <d v="2021-02-16T00:00:00"/>
    <n v="2671483"/>
    <n v="27694374"/>
    <n v="27694374"/>
    <x v="1"/>
    <s v="WILSON JAVIER NUÑEZ BARRERA"/>
    <n v="1246692"/>
    <n v="0"/>
    <n v="24492"/>
    <x v="1"/>
    <x v="1"/>
    <x v="1"/>
    <m/>
    <x v="0"/>
  </r>
  <r>
    <x v="1"/>
    <n v="14"/>
    <x v="1"/>
    <x v="0"/>
    <x v="0"/>
    <x v="0"/>
    <x v="1"/>
    <x v="3"/>
    <x v="0"/>
    <x v="2"/>
    <x v="1"/>
    <x v="11"/>
    <x v="1"/>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93"/>
    <d v="2021-02-03T00:00:00"/>
    <n v="7550277"/>
    <n v="80536288"/>
    <n v="80536288"/>
    <x v="1"/>
    <s v="ADRIANA MARIA MARTINEZ BUSTOS"/>
    <n v="1258380"/>
    <n v="0"/>
    <n v="24376"/>
    <x v="1"/>
    <x v="1"/>
    <x v="1"/>
    <m/>
    <x v="0"/>
  </r>
  <r>
    <x v="1"/>
    <n v="30"/>
    <x v="1"/>
    <x v="0"/>
    <x v="0"/>
    <x v="0"/>
    <x v="1"/>
    <x v="3"/>
    <x v="0"/>
    <x v="2"/>
    <x v="1"/>
    <x v="11"/>
    <x v="1"/>
    <s v="Servicios secretariales o de administración de oficinas  "/>
    <x v="0"/>
    <n v="80161501"/>
    <s v="Prestación de servicios profesionales para apoyar los análisis estadísticos requeridos para los procesos de gestión catastral con enfoque multipropósito."/>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215"/>
    <d v="2021-02-10T00:00:00"/>
    <n v="7550277"/>
    <n v="80536288"/>
    <n v="80536288"/>
    <x v="1"/>
    <s v="SANTIAGO ANDRES BARRAGAN LOPEZ"/>
    <n v="1258380"/>
    <n v="0"/>
    <n v="24398"/>
    <x v="1"/>
    <x v="1"/>
    <x v="1"/>
    <m/>
    <x v="0"/>
  </r>
  <r>
    <x v="1"/>
    <n v="27"/>
    <x v="1"/>
    <x v="0"/>
    <x v="0"/>
    <x v="0"/>
    <x v="1"/>
    <x v="3"/>
    <x v="0"/>
    <x v="2"/>
    <x v="1"/>
    <x v="11"/>
    <x v="1"/>
    <s v="Servicios secretariales o de administración de oficinas  "/>
    <x v="0"/>
    <n v="80161501"/>
    <s v="Prestación de servicios profesionales para adelantar los análisis estadísticos requeridos para el desarrollo de los procesos de catastro multipropósito."/>
    <x v="6"/>
    <x v="6"/>
    <n v="325"/>
    <x v="0"/>
    <x v="1"/>
    <x v="2"/>
    <n v="106873910"/>
    <n v="106873910"/>
    <x v="1"/>
    <x v="1"/>
    <x v="0"/>
    <x v="0"/>
    <s v="Subdirección de Catastro"/>
    <s v="Subdirección de Catastro"/>
    <x v="1"/>
    <s v="Subdirectora de Catastro"/>
    <x v="0"/>
    <x v="0"/>
    <s v="Ejecutar procesos de actualización catastral a nivel nacional"/>
    <s v="Predios actualizados catastralmente"/>
    <n v="180"/>
    <d v="2021-02-04T00:00:00"/>
    <n v="9865284"/>
    <n v="105229696"/>
    <n v="105229696"/>
    <x v="1"/>
    <s v="BRAYAN ARTURO CAMARGO LOZANO"/>
    <n v="1644214"/>
    <n v="0"/>
    <n v="24366"/>
    <x v="1"/>
    <x v="1"/>
    <x v="1"/>
    <m/>
    <x v="0"/>
  </r>
  <r>
    <x v="1"/>
    <n v="28"/>
    <x v="1"/>
    <x v="0"/>
    <x v="0"/>
    <x v="0"/>
    <x v="1"/>
    <x v="3"/>
    <x v="0"/>
    <x v="2"/>
    <x v="1"/>
    <x v="11"/>
    <x v="1"/>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6"/>
    <x v="6"/>
    <n v="325"/>
    <x v="0"/>
    <x v="1"/>
    <x v="1"/>
    <n v="106873910"/>
    <n v="106873910"/>
    <x v="1"/>
    <x v="1"/>
    <x v="0"/>
    <x v="0"/>
    <s v="Subdirección de Catastro"/>
    <s v="Subdirección de Catastro"/>
    <x v="1"/>
    <s v="Subdirectora de Catastro"/>
    <x v="0"/>
    <x v="0"/>
    <s v="Ejecutar procesos de actualización catastral a nivel nacional"/>
    <s v="Predios actualizados catastralmente"/>
    <n v="177"/>
    <d v="2021-02-04T00:00:00"/>
    <n v="9865284"/>
    <n v="105229696"/>
    <n v="105229696"/>
    <x v="1"/>
    <s v="ELENA ROCÍO VERÁSTEGUI NIÑO"/>
    <n v="1644214"/>
    <n v="0"/>
    <n v="24361"/>
    <x v="1"/>
    <x v="1"/>
    <x v="1"/>
    <m/>
    <x v="0"/>
  </r>
  <r>
    <x v="1"/>
    <n v="81"/>
    <x v="1"/>
    <x v="0"/>
    <x v="0"/>
    <x v="0"/>
    <x v="1"/>
    <x v="3"/>
    <x v="0"/>
    <x v="2"/>
    <x v="1"/>
    <x v="6"/>
    <x v="1"/>
    <s v="Servicios secretariales o de administración de oficinas  "/>
    <x v="0"/>
    <n v="80161501"/>
    <s v="Prestación de servicios profesionales para realizar las socializaciones requeridas en el proceso de actualización catastral multiproposito de El Guamo y Córdoba (Bolivar)  y Río Blanco (Tolima)"/>
    <x v="4"/>
    <x v="4"/>
    <n v="195"/>
    <x v="0"/>
    <x v="1"/>
    <x v="2"/>
    <n v="23661534"/>
    <n v="23661534"/>
    <x v="1"/>
    <x v="2"/>
    <x v="0"/>
    <x v="0"/>
    <s v="Subdirección de Catastro"/>
    <s v="Subdirección de Catastro"/>
    <x v="1"/>
    <s v="Subdirectora de Catastro"/>
    <x v="0"/>
    <x v="0"/>
    <s v="Ejecutar procesos de actualización catastral a nivel nacional"/>
    <s v="Predios actualizados catastralmente"/>
    <n v="640"/>
    <d v="2021-07-01T00:00:00"/>
    <n v="3640236"/>
    <n v="21841416"/>
    <n v="21841416"/>
    <x v="1"/>
    <s v="NORELIS DEL CARMEN ANAYA PEREZ"/>
    <n v="1820118"/>
    <n v="0"/>
    <n v="24781"/>
    <x v="1"/>
    <x v="1"/>
    <x v="1"/>
    <n v="180"/>
    <x v="0"/>
  </r>
  <r>
    <x v="1"/>
    <n v="32"/>
    <x v="1"/>
    <x v="0"/>
    <x v="0"/>
    <x v="0"/>
    <x v="1"/>
    <x v="3"/>
    <x v="0"/>
    <x v="2"/>
    <x v="1"/>
    <x v="11"/>
    <x v="1"/>
    <s v="Servicios de sistemas de información geográfica (sig)"/>
    <x v="0"/>
    <n v="81101512"/>
    <s v="Prestación de servicios profesionales para el seguimiento y control de los proyectos de gestión catastral con enforque multipropósito."/>
    <x v="6"/>
    <x v="6"/>
    <n v="325"/>
    <x v="0"/>
    <x v="1"/>
    <x v="1"/>
    <n v="131948917"/>
    <n v="131948917"/>
    <x v="1"/>
    <x v="1"/>
    <x v="0"/>
    <x v="0"/>
    <s v="Subdirección de Catastro"/>
    <s v="Subdirección de Catastro"/>
    <x v="1"/>
    <s v="Subdirectora de Catastro"/>
    <x v="0"/>
    <x v="0"/>
    <s v="Ejecutar procesos de actualización catastral a nivel nacional"/>
    <s v="Predios actualizados catastralmente"/>
    <n v="183"/>
    <d v="2021-02-05T00:00:00"/>
    <n v="12179900"/>
    <n v="129918933"/>
    <n v="129918933"/>
    <x v="1"/>
    <s v="AVIER ENRIQUE ZULUAGA GONZALEZ"/>
    <n v="2029984"/>
    <n v="0"/>
    <n v="24371"/>
    <x v="1"/>
    <x v="1"/>
    <x v="1"/>
    <m/>
    <x v="0"/>
  </r>
  <r>
    <x v="1"/>
    <n v="46"/>
    <x v="1"/>
    <x v="0"/>
    <x v="0"/>
    <x v="0"/>
    <x v="1"/>
    <x v="3"/>
    <x v="0"/>
    <x v="2"/>
    <x v="1"/>
    <x v="2"/>
    <x v="1"/>
    <s v="Servicios secretariales o de administración de oficinas  "/>
    <x v="0"/>
    <n v="80161501"/>
    <s v="Prestación de servicios para apoyar la atención y trámite de las solicitudes de avalúos y de requerimientos de información relacionados con  la ejecución de avalúos."/>
    <x v="2"/>
    <x v="2"/>
    <n v="300"/>
    <x v="0"/>
    <x v="1"/>
    <x v="1"/>
    <n v="28941066"/>
    <n v="28941066"/>
    <x v="1"/>
    <x v="1"/>
    <x v="0"/>
    <x v="0"/>
    <s v="Subdirección de Catastro"/>
    <s v="Subdirección de Catastro"/>
    <x v="1"/>
    <s v="Subdirectora de Catastro"/>
    <x v="0"/>
    <x v="1"/>
    <s v="Realizar avalúos comerciales, de acuerdo a las solicitudes recibidas."/>
    <s v="Avalúos realizados"/>
    <n v="433"/>
    <d v="2021-03-08T00:00:00"/>
    <n v="2671483"/>
    <n v="26269583"/>
    <n v="26269583"/>
    <x v="1"/>
    <s v="MARIA NIRIAM URREA"/>
    <n v="2671483"/>
    <n v="0"/>
    <n v="24562"/>
    <x v="1"/>
    <x v="1"/>
    <x v="1"/>
    <m/>
    <x v="0"/>
  </r>
  <r>
    <x v="1"/>
    <n v="40"/>
    <x v="1"/>
    <x v="0"/>
    <x v="0"/>
    <x v="0"/>
    <x v="1"/>
    <x v="3"/>
    <x v="1"/>
    <x v="1"/>
    <x v="1"/>
    <x v="11"/>
    <x v="1"/>
    <s v="Servicios secretariales o de administración de oficinas  "/>
    <x v="0"/>
    <n v="80161501"/>
    <s v="Prestación de servicios profesionales para actuar como auxiliares de la justicia y en la ejecución de avalúos IVP, de acuerdo a los procesos que le sean asignados."/>
    <x v="6"/>
    <x v="6"/>
    <n v="325"/>
    <x v="0"/>
    <x v="1"/>
    <x v="2"/>
    <n v="63738567"/>
    <n v="63738567"/>
    <x v="1"/>
    <x v="1"/>
    <x v="1"/>
    <x v="0"/>
    <s v="Subdirección de Catastro"/>
    <s v="Subdirección de Catastro"/>
    <x v="1"/>
    <s v="Subdirectora de Catastro"/>
    <x v="0"/>
    <x v="1"/>
    <s v="Realizar avalúos IVP"/>
    <s v="Avalúos realizados"/>
    <n v="342"/>
    <d v="2021-02-16T00:00:00"/>
    <n v="2941780"/>
    <n v="30398393"/>
    <n v="60796786"/>
    <x v="1"/>
    <s v="STEFANNYE BUITRAGO MARULANDA _x000a_YEISON ALEJANDRO SÁNCHEZ GONZALEZ"/>
    <n v="2941781"/>
    <n v="0"/>
    <s v="24504_x000a_24507"/>
    <x v="3"/>
    <x v="1"/>
    <x v="1"/>
    <m/>
    <x v="0"/>
  </r>
  <r>
    <x v="1"/>
    <n v="92"/>
    <x v="1"/>
    <x v="0"/>
    <x v="0"/>
    <x v="0"/>
    <x v="1"/>
    <x v="4"/>
    <x v="0"/>
    <x v="2"/>
    <x v="1"/>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4"/>
    <n v="0"/>
    <m/>
    <x v="1"/>
    <x v="1"/>
    <x v="1"/>
    <n v="155"/>
    <x v="0"/>
  </r>
  <r>
    <x v="1"/>
    <n v="44"/>
    <x v="1"/>
    <x v="0"/>
    <x v="0"/>
    <x v="0"/>
    <x v="1"/>
    <x v="3"/>
    <x v="0"/>
    <x v="2"/>
    <x v="1"/>
    <x v="13"/>
    <x v="1"/>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0"/>
    <x v="1"/>
    <x v="1"/>
    <n v="113450766"/>
    <n v="113450766"/>
    <x v="1"/>
    <x v="1"/>
    <x v="0"/>
    <x v="0"/>
    <s v="Subdirección de Catastro"/>
    <s v="Subdirección de Catastro"/>
    <x v="1"/>
    <s v="Subdirectora de Catastro"/>
    <x v="0"/>
    <x v="0"/>
    <s v="Ejecutar procesos de actualización catastral a nivel nacional"/>
    <s v="Predios actualizados catastralmente"/>
    <n v="445"/>
    <d v="2021-02-25T00:00:00"/>
    <n v="12179900"/>
    <n v="109619100"/>
    <n v="109619100"/>
    <x v="1"/>
    <s v="CLAUDIA CECILIA PUENTES RIAÑO"/>
    <n v="3831666"/>
    <n v="0"/>
    <m/>
    <x v="1"/>
    <x v="1"/>
    <x v="1"/>
    <m/>
    <x v="0"/>
  </r>
  <r>
    <x v="1"/>
    <n v="34"/>
    <x v="1"/>
    <x v="0"/>
    <x v="0"/>
    <x v="0"/>
    <x v="1"/>
    <x v="3"/>
    <x v="1"/>
    <x v="1"/>
    <x v="1"/>
    <x v="11"/>
    <x v="1"/>
    <s v="Servicios secretariales o de administración de oficinas  "/>
    <x v="0"/>
    <n v="80161501"/>
    <s v="Prestación de servicios profesionales para adelantar la ejecución de los procesos de gestión catastral a cargo del IGAC, programados en la vigencia"/>
    <x v="6"/>
    <x v="6"/>
    <n v="325"/>
    <x v="0"/>
    <x v="1"/>
    <x v="1"/>
    <n v="213747820"/>
    <n v="213747820"/>
    <x v="1"/>
    <x v="1"/>
    <x v="1"/>
    <x v="0"/>
    <s v="Subdirección de Catastro"/>
    <s v="Subdirección de Catastro"/>
    <x v="1"/>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3"/>
    <x v="1"/>
    <x v="1"/>
    <m/>
    <x v="0"/>
  </r>
  <r>
    <x v="1"/>
    <n v="41"/>
    <x v="1"/>
    <x v="0"/>
    <x v="0"/>
    <x v="0"/>
    <x v="1"/>
    <x v="3"/>
    <x v="0"/>
    <x v="2"/>
    <x v="1"/>
    <x v="14"/>
    <x v="1"/>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6"/>
    <x v="6"/>
    <n v="325"/>
    <x v="0"/>
    <x v="1"/>
    <x v="2"/>
    <n v="81794668"/>
    <n v="81794668"/>
    <x v="1"/>
    <x v="2"/>
    <x v="0"/>
    <x v="0"/>
    <s v="Subdirección de Catastro"/>
    <s v="Subdirección de Catastro"/>
    <x v="1"/>
    <s v="Subdirectora de Catastro"/>
    <x v="0"/>
    <x v="0"/>
    <s v="Ejecutar procesos de actualización catastral a nivel nacional"/>
    <s v="Predios actualizados catastralmente"/>
    <n v="350"/>
    <d v="2021-02-19T00:00:00"/>
    <n v="7550277"/>
    <n v="77012825"/>
    <n v="77012825"/>
    <x v="1"/>
    <s v="DANIEL MUÑOZ CASTRO"/>
    <n v="4781843"/>
    <n v="0"/>
    <n v="24506"/>
    <x v="1"/>
    <x v="1"/>
    <x v="1"/>
    <m/>
    <x v="0"/>
  </r>
  <r>
    <x v="1"/>
    <n v="37"/>
    <x v="1"/>
    <x v="0"/>
    <x v="0"/>
    <x v="0"/>
    <x v="1"/>
    <x v="3"/>
    <x v="1"/>
    <x v="1"/>
    <x v="1"/>
    <x v="14"/>
    <x v="1"/>
    <s v="Servicios de sistemas de información geográfica (sig)"/>
    <x v="0"/>
    <n v="81101512"/>
    <s v="Prestación de servicios profesionales para la gestión, control y seguimiento a los procesos catastrales de formación, actualización y conservación catastral con enfoque multipropósito"/>
    <x v="6"/>
    <x v="6"/>
    <n v="325"/>
    <x v="0"/>
    <x v="1"/>
    <x v="2"/>
    <n v="124752182"/>
    <n v="124752182"/>
    <x v="1"/>
    <x v="2"/>
    <x v="1"/>
    <x v="0"/>
    <s v="Subdirección de Catastro"/>
    <s v="Subdirección de Catastro"/>
    <x v="1"/>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3"/>
    <x v="1"/>
    <x v="1"/>
    <m/>
    <x v="0"/>
  </r>
  <r>
    <x v="1"/>
    <n v="77"/>
    <x v="1"/>
    <x v="0"/>
    <x v="0"/>
    <x v="0"/>
    <x v="1"/>
    <x v="3"/>
    <x v="0"/>
    <x v="2"/>
    <x v="1"/>
    <x v="10"/>
    <x v="1"/>
    <s v="Servicios secretariales o de administración de oficinas  "/>
    <x v="0"/>
    <n v="80161501"/>
    <s v="Prestación de servicios profesionales para revisar y aprobar los estudios de zonas homogéneas físicas y geoeconómicas requeridos en los procesos de la gestión catastral."/>
    <x v="4"/>
    <x v="4"/>
    <n v="210"/>
    <x v="0"/>
    <x v="1"/>
    <x v="1"/>
    <n v="40304551"/>
    <n v="40304551"/>
    <x v="1"/>
    <x v="1"/>
    <x v="0"/>
    <x v="0"/>
    <s v="Subdirección de Catastro"/>
    <s v="Subdirección de Catastro"/>
    <x v="1"/>
    <s v="Subdirectora de Catastro"/>
    <x v="0"/>
    <x v="0"/>
    <s v="Ejecutar procesos de actualización catastral a nivel nacional"/>
    <s v="Predios actualizados catastralmente"/>
    <n v="632"/>
    <d v="2021-06-28T00:00:00"/>
    <n v="5757793"/>
    <n v="34546758"/>
    <n v="34546758"/>
    <x v="1"/>
    <s v="AMANDA TOVAR GONZALEZ"/>
    <n v="5757793"/>
    <n v="0"/>
    <n v="24773"/>
    <x v="1"/>
    <x v="1"/>
    <x v="1"/>
    <n v="180"/>
    <x v="0"/>
  </r>
  <r>
    <x v="1"/>
    <n v="19"/>
    <x v="1"/>
    <x v="0"/>
    <x v="0"/>
    <x v="0"/>
    <x v="1"/>
    <x v="3"/>
    <x v="1"/>
    <x v="1"/>
    <x v="1"/>
    <x v="11"/>
    <x v="1"/>
    <s v="Servicios de sistemas de información geográfica (sig)"/>
    <x v="0"/>
    <n v="81101512"/>
    <s v="Prestación de servicios profesionales para orientar y controlar, la operación de los proyectos de Gestión Catastral adelantados por el IGAC"/>
    <x v="6"/>
    <x v="6"/>
    <n v="325"/>
    <x v="0"/>
    <x v="1"/>
    <x v="1"/>
    <n v="188672813"/>
    <n v="188672813"/>
    <x v="1"/>
    <x v="1"/>
    <x v="1"/>
    <x v="0"/>
    <s v="Subdirección de Catastro"/>
    <s v="Subdirección de Catastro"/>
    <x v="1"/>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3"/>
    <x v="1"/>
    <x v="2"/>
    <m/>
    <x v="0"/>
  </r>
  <r>
    <x v="1"/>
    <n v="25"/>
    <x v="1"/>
    <x v="0"/>
    <x v="0"/>
    <x v="0"/>
    <x v="1"/>
    <x v="3"/>
    <x v="3"/>
    <x v="3"/>
    <x v="1"/>
    <x v="11"/>
    <x v="1"/>
    <s v="Servicios secretariales o de administración de oficinas  "/>
    <x v="0"/>
    <n v="80161501"/>
    <s v="Prestación de servicios profesionales para realizar el control de calidad y el apoyo técnico de los avalúos adelantados por el IGAC."/>
    <x v="6"/>
    <x v="6"/>
    <n v="325"/>
    <x v="0"/>
    <x v="1"/>
    <x v="1"/>
    <n v="408973338"/>
    <n v="408973338"/>
    <x v="1"/>
    <x v="1"/>
    <x v="3"/>
    <x v="0"/>
    <s v="Subdirección de Catastro"/>
    <s v="Subdirección de Catastro"/>
    <x v="1"/>
    <s v="Subdirectora de Catastro"/>
    <x v="0"/>
    <x v="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2"/>
    <x v="1"/>
    <x v="1"/>
    <m/>
    <x v="0"/>
  </r>
  <r>
    <x v="1"/>
    <n v="64"/>
    <x v="1"/>
    <x v="0"/>
    <x v="0"/>
    <x v="0"/>
    <x v="1"/>
    <x v="3"/>
    <x v="1"/>
    <x v="1"/>
    <x v="1"/>
    <x v="3"/>
    <x v="1"/>
    <s v="Servicios secretariales o de administración de oficinas  "/>
    <x v="0"/>
    <n v="80161501"/>
    <s v="Prestación de servicios  para identificar, localizar, editar, integrar,estructurar en GDB y validar, la cartografía básica y temática de Ordenamiento Territorial."/>
    <x v="3"/>
    <x v="3"/>
    <n v="240"/>
    <x v="0"/>
    <x v="1"/>
    <x v="1"/>
    <n v="58243776"/>
    <n v="58243776"/>
    <x v="1"/>
    <x v="1"/>
    <x v="1"/>
    <x v="0"/>
    <s v="Subdirección de Catastro"/>
    <s v="Subdirección de Catastro"/>
    <x v="1"/>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3"/>
    <x v="1"/>
    <x v="0"/>
    <m/>
    <x v="0"/>
  </r>
  <r>
    <x v="1"/>
    <n v="42"/>
    <x v="1"/>
    <x v="0"/>
    <x v="0"/>
    <x v="0"/>
    <x v="1"/>
    <x v="3"/>
    <x v="5"/>
    <x v="5"/>
    <x v="1"/>
    <x v="11"/>
    <x v="1"/>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6"/>
    <x v="6"/>
    <n v="325"/>
    <x v="0"/>
    <x v="1"/>
    <x v="1"/>
    <n v="127477133"/>
    <n v="127477133"/>
    <x v="1"/>
    <x v="1"/>
    <x v="5"/>
    <x v="0"/>
    <s v="Subdirección de Catastro"/>
    <s v="Subdirección de Catastro"/>
    <x v="1"/>
    <s v="Subdirectora de Catastro"/>
    <x v="0"/>
    <x v="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5"/>
    <x v="1"/>
    <x v="1"/>
    <m/>
    <x v="0"/>
  </r>
  <r>
    <x v="1"/>
    <n v="45"/>
    <x v="1"/>
    <x v="0"/>
    <x v="0"/>
    <x v="0"/>
    <x v="1"/>
    <x v="3"/>
    <x v="0"/>
    <x v="2"/>
    <x v="1"/>
    <x v="2"/>
    <x v="1"/>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0"/>
    <x v="1"/>
    <x v="1"/>
    <n v="62376091"/>
    <n v="62376091"/>
    <x v="1"/>
    <x v="1"/>
    <x v="0"/>
    <x v="0"/>
    <s v="Subdirección de Catastro"/>
    <s v="Subdirección de Catastro"/>
    <x v="1"/>
    <s v="Subdirectora de Catastro"/>
    <x v="0"/>
    <x v="0"/>
    <s v="Ejecutar procesos de actualización catastral a nivel nacional"/>
    <s v="Predios actualizados catastralmente"/>
    <n v="433"/>
    <d v="2021-03-04T00:00:00"/>
    <n v="5757793"/>
    <n v="54699033"/>
    <n v="54699033"/>
    <x v="1"/>
    <s v="SANDRA MILENA BELALCAZAR BENAVIDES"/>
    <n v="7677058"/>
    <n v="0"/>
    <n v="24580"/>
    <x v="1"/>
    <x v="1"/>
    <x v="1"/>
    <m/>
    <x v="0"/>
  </r>
  <r>
    <x v="1"/>
    <n v="1"/>
    <x v="1"/>
    <x v="0"/>
    <x v="0"/>
    <x v="0"/>
    <x v="1"/>
    <x v="4"/>
    <x v="0"/>
    <x v="2"/>
    <x v="1"/>
    <x v="9"/>
    <x v="0"/>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0"/>
    <x v="1"/>
    <x v="0"/>
    <n v="94300000"/>
    <n v="9430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1"/>
    <x v="1"/>
    <x v="1"/>
    <n v="210"/>
    <x v="0"/>
  </r>
  <r>
    <x v="1"/>
    <n v="74"/>
    <x v="1"/>
    <x v="0"/>
    <x v="0"/>
    <x v="0"/>
    <x v="1"/>
    <x v="3"/>
    <x v="0"/>
    <x v="2"/>
    <x v="1"/>
    <x v="6"/>
    <x v="1"/>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4"/>
    <x v="4"/>
    <n v="240"/>
    <x v="0"/>
    <x v="1"/>
    <x v="1"/>
    <n v="46062344"/>
    <n v="46062344"/>
    <x v="1"/>
    <x v="2"/>
    <x v="0"/>
    <x v="0"/>
    <s v="Subdirección de Catastro"/>
    <s v="Subdirección de Catastro"/>
    <x v="1"/>
    <s v="Subdirectora de Catastro"/>
    <x v="0"/>
    <x v="0"/>
    <s v="Ejecutar procesos de actualización catastral a nivel nacional"/>
    <s v="Predios actualizados catastralmente"/>
    <n v="625"/>
    <d v="2021-06-18T00:00:00"/>
    <n v="5757793"/>
    <n v="36466022.333333328"/>
    <n v="36466022.333333328"/>
    <x v="1"/>
    <s v="DIANA ERIKA RAMIREZ RAMIREZ"/>
    <n v="9596321.6666666698"/>
    <n v="0"/>
    <n v="24769"/>
    <x v="1"/>
    <x v="1"/>
    <x v="1"/>
    <n v="190"/>
    <x v="0"/>
  </r>
  <r>
    <x v="1"/>
    <n v="16"/>
    <x v="1"/>
    <x v="0"/>
    <x v="0"/>
    <x v="0"/>
    <x v="1"/>
    <x v="3"/>
    <x v="0"/>
    <x v="2"/>
    <x v="1"/>
    <x v="11"/>
    <x v="1"/>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6"/>
    <x v="6"/>
    <n v="325"/>
    <x v="0"/>
    <x v="1"/>
    <x v="2"/>
    <n v="131948917"/>
    <n v="131948917"/>
    <x v="1"/>
    <x v="1"/>
    <x v="0"/>
    <x v="0"/>
    <s v="Subdirección de Catastro"/>
    <s v="Subdirección de Catastro"/>
    <x v="1"/>
    <s v="Subdirectora de Catastro"/>
    <x v="0"/>
    <x v="0"/>
    <s v="Ejecutar procesos de actualización catastral a nivel nacional"/>
    <s v="Predios actualizados catastralmente"/>
    <n v="121"/>
    <d v="2021-01-22T00:00:00"/>
    <n v="12179900"/>
    <n v="121799000"/>
    <n v="121799000"/>
    <x v="1"/>
    <s v="MAGDA JOHANNA RAMIREZ PARDO"/>
    <n v="10149917"/>
    <n v="0"/>
    <n v="24370"/>
    <x v="1"/>
    <x v="1"/>
    <x v="1"/>
    <m/>
    <x v="0"/>
  </r>
  <r>
    <x v="0"/>
    <m/>
    <x v="0"/>
    <x v="10"/>
    <x v="0"/>
    <x v="0"/>
    <x v="1"/>
    <x v="3"/>
    <x v="0"/>
    <x v="2"/>
    <x v="1"/>
    <x v="6"/>
    <x v="1"/>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4"/>
    <x v="4"/>
    <n v="195"/>
    <x v="0"/>
    <x v="1"/>
    <x v="2"/>
    <n v="37425655"/>
    <n v="37425655"/>
    <x v="1"/>
    <x v="2"/>
    <x v="0"/>
    <x v="0"/>
    <s v="Subdirección de Catastro"/>
    <s v="Subdirección de Catastro"/>
    <x v="1"/>
    <s v="Subdirectora de Catastro"/>
    <x v="0"/>
    <x v="0"/>
    <s v="Ejecutar procesos de actualización catastral a nivel nacional"/>
    <s v="Predios actualizados catastralmente"/>
    <n v="720"/>
    <d v="2021-08-17T00:00:00"/>
    <n v="5757793"/>
    <n v="26869700.666666664"/>
    <n v="26869700.666666664"/>
    <x v="1"/>
    <s v="FELIX  ROMERO MERIÑO"/>
    <n v="10555954.3333333"/>
    <n v="0"/>
    <n v="24828"/>
    <x v="1"/>
    <x v="1"/>
    <x v="1"/>
    <n v="140"/>
    <x v="0"/>
  </r>
  <r>
    <x v="1"/>
    <n v="63"/>
    <x v="1"/>
    <x v="0"/>
    <x v="0"/>
    <x v="0"/>
    <x v="1"/>
    <x v="3"/>
    <x v="1"/>
    <x v="1"/>
    <x v="1"/>
    <x v="4"/>
    <x v="1"/>
    <s v="Servicios secretariales o de administración de oficinas  "/>
    <x v="0"/>
    <n v="80161501"/>
    <s v="Prestación de servicios  para identificar, localizar,revisar,analizar, consolidar documentos técnicos y cartografia tematica relacionada con zonificación de usos suelos y clasificación del suelo."/>
    <x v="1"/>
    <x v="1"/>
    <n v="240"/>
    <x v="0"/>
    <x v="1"/>
    <x v="1"/>
    <n v="106935264"/>
    <n v="106935264"/>
    <x v="1"/>
    <x v="1"/>
    <x v="1"/>
    <x v="0"/>
    <s v="Subdirección de Catastro"/>
    <s v="Subdirección de Catastro"/>
    <x v="1"/>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3"/>
    <x v="1"/>
    <x v="1"/>
    <m/>
    <x v="0"/>
  </r>
  <r>
    <x v="1"/>
    <n v="90"/>
    <x v="1"/>
    <x v="0"/>
    <x v="0"/>
    <x v="0"/>
    <x v="1"/>
    <x v="0"/>
    <x v="4"/>
    <x v="4"/>
    <x v="1"/>
    <x v="15"/>
    <x v="1"/>
    <s v="Servicios secretariales o de administración de oficinas  "/>
    <x v="0"/>
    <n v="80161501"/>
    <s v="Prestación de servicios profesionales para adelantar, desarrollar e implementar las metodologías de valoración predial requeridas para el desarrollo de los procesos de actualización catastral con enfoque multipropósito. "/>
    <x v="7"/>
    <x v="7"/>
    <n v="180"/>
    <x v="0"/>
    <x v="1"/>
    <x v="2"/>
    <n v="135904986"/>
    <n v="135904986"/>
    <x v="1"/>
    <x v="1"/>
    <x v="4"/>
    <x v="0"/>
    <s v="Subdirección de Catastro"/>
    <s v="Subdirección de Catastro"/>
    <x v="1"/>
    <s v="Subdirectora de Catastro"/>
    <x v="0"/>
    <x v="0"/>
    <s v="Ejecutar procesos de actualización catastral a nivel nacional"/>
    <s v="Predios actualizados catastralmente"/>
    <n v="678"/>
    <d v="2021-07-19T00:00:00"/>
    <n v="7550277"/>
    <n v="40268144"/>
    <n v="120804432"/>
    <x v="1"/>
    <s v="LUZ DARY RODRIGUEZ GARZON_x000a_JOSE GERMAN CASTELLANOS TORRES_x000a_JOSE VICENTE AHUMADA MORENO"/>
    <n v="15100554"/>
    <n v="0"/>
    <s v="24798_x000a_24799_x000a_24821"/>
    <x v="3"/>
    <x v="0"/>
    <x v="1"/>
    <n v="160"/>
    <x v="0"/>
  </r>
  <r>
    <x v="1"/>
    <m/>
    <x v="0"/>
    <x v="11"/>
    <x v="0"/>
    <x v="0"/>
    <x v="1"/>
    <x v="4"/>
    <x v="0"/>
    <x v="2"/>
    <x v="1"/>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9-01T00:00:00"/>
    <n v="5757793"/>
    <n v="23031172"/>
    <n v="23031172"/>
    <x v="1"/>
    <s v="LUIS ESTRELLA"/>
    <n v="15901568"/>
    <n v="0"/>
    <m/>
    <x v="1"/>
    <x v="1"/>
    <x v="1"/>
    <n v="120"/>
    <x v="0"/>
  </r>
  <r>
    <x v="2"/>
    <n v="1"/>
    <x v="1"/>
    <x v="0"/>
    <x v="0"/>
    <x v="0"/>
    <x v="1"/>
    <x v="3"/>
    <x v="0"/>
    <x v="2"/>
    <x v="1"/>
    <x v="2"/>
    <x v="1"/>
    <s v="Cintas métricas"/>
    <x v="0"/>
    <n v="27111801"/>
    <s v="Compra y calibración de cintas métricas (patrón) metálicas de 20 metros por un ente acreditado"/>
    <x v="2"/>
    <x v="2"/>
    <n v="1"/>
    <x v="1"/>
    <x v="2"/>
    <x v="2"/>
    <n v="40000000"/>
    <n v="40000000"/>
    <x v="1"/>
    <x v="1"/>
    <x v="0"/>
    <x v="0"/>
    <s v="Subdirección de Catastro"/>
    <s v="Subdirección de Catastro"/>
    <x v="1"/>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1"/>
    <x v="1"/>
    <x v="1"/>
    <m/>
    <x v="0"/>
  </r>
  <r>
    <x v="1"/>
    <n v="54"/>
    <x v="1"/>
    <x v="0"/>
    <x v="0"/>
    <x v="0"/>
    <x v="1"/>
    <x v="3"/>
    <x v="4"/>
    <x v="4"/>
    <x v="1"/>
    <x v="12"/>
    <x v="1"/>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0"/>
    <x v="1"/>
    <x v="1"/>
    <n v="226508310"/>
    <n v="226508310"/>
    <x v="1"/>
    <x v="1"/>
    <x v="4"/>
    <x v="0"/>
    <s v="Subdirección de Catastro"/>
    <s v="Subdirección de Catastro"/>
    <x v="1"/>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4"/>
    <x v="1"/>
    <x v="1"/>
    <m/>
    <x v="0"/>
  </r>
  <r>
    <x v="1"/>
    <n v="47"/>
    <x v="1"/>
    <x v="0"/>
    <x v="0"/>
    <x v="0"/>
    <x v="1"/>
    <x v="3"/>
    <x v="0"/>
    <x v="2"/>
    <x v="1"/>
    <x v="2"/>
    <x v="1"/>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0"/>
    <x v="1"/>
    <x v="1"/>
    <n v="86828186"/>
    <n v="86828186"/>
    <x v="1"/>
    <x v="1"/>
    <x v="0"/>
    <x v="0"/>
    <s v="Subdirección de Catastro"/>
    <s v="Subdirección de Catastro"/>
    <x v="1"/>
    <s v="Subdirectora de Catastro"/>
    <x v="0"/>
    <x v="0"/>
    <s v="Ejecutar procesos de actualización catastral a nivel nacional"/>
    <s v="Predios actualizados catastralmente"/>
    <n v="451"/>
    <d v="2021-03-15T00:00:00"/>
    <n v="7550277"/>
    <n v="64177355"/>
    <n v="64177355"/>
    <x v="1"/>
    <s v="KAREN ROSANA CÓRDOBA PÉROZO"/>
    <n v="22650831"/>
    <n v="0"/>
    <n v="24680"/>
    <x v="1"/>
    <x v="1"/>
    <x v="1"/>
    <m/>
    <x v="0"/>
  </r>
  <r>
    <x v="1"/>
    <n v="88"/>
    <x v="1"/>
    <x v="0"/>
    <x v="0"/>
    <x v="0"/>
    <x v="1"/>
    <x v="3"/>
    <x v="0"/>
    <x v="2"/>
    <x v="1"/>
    <x v="6"/>
    <x v="1"/>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4"/>
    <x v="4"/>
    <n v="240"/>
    <x v="0"/>
    <x v="1"/>
    <x v="1"/>
    <n v="69663808"/>
    <n v="69663808"/>
    <x v="1"/>
    <x v="1"/>
    <x v="0"/>
    <x v="0"/>
    <s v="Subdirección de Catastro"/>
    <s v="Subdirección de Catastro"/>
    <x v="1"/>
    <s v="Subdirectora de Catastro"/>
    <x v="0"/>
    <x v="0"/>
    <s v="Ejecutar procesos de actualización catastral a nivel nacional"/>
    <s v="Predios actualizados catastralmente"/>
    <n v="676"/>
    <d v="2021-07-16T00:00:00"/>
    <n v="8707976"/>
    <n v="46442538.666666664"/>
    <n v="46442538.666666664"/>
    <x v="1"/>
    <s v="MIGUEL JOSE PAZ MUÑOZ"/>
    <n v="23221269.333333299"/>
    <n v="0"/>
    <n v="24797"/>
    <x v="1"/>
    <x v="1"/>
    <x v="1"/>
    <n v="160"/>
    <x v="0"/>
  </r>
  <r>
    <x v="1"/>
    <n v="15"/>
    <x v="1"/>
    <x v="0"/>
    <x v="0"/>
    <x v="0"/>
    <x v="1"/>
    <x v="3"/>
    <x v="0"/>
    <x v="2"/>
    <x v="1"/>
    <x v="11"/>
    <x v="1"/>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6"/>
    <x v="6"/>
    <n v="325"/>
    <x v="0"/>
    <x v="1"/>
    <x v="2"/>
    <n v="144486420"/>
    <n v="144486420"/>
    <x v="1"/>
    <x v="1"/>
    <x v="0"/>
    <x v="0"/>
    <s v="Subdirección de Catastro"/>
    <s v="Subdirección de Catastro"/>
    <x v="1"/>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1"/>
    <x v="1"/>
    <x v="1"/>
    <m/>
    <x v="0"/>
  </r>
  <r>
    <x v="1"/>
    <n v="71"/>
    <x v="1"/>
    <x v="0"/>
    <x v="0"/>
    <x v="0"/>
    <x v="1"/>
    <x v="3"/>
    <x v="1"/>
    <x v="1"/>
    <x v="1"/>
    <x v="6"/>
    <x v="1"/>
    <s v="Servicios secretariales o de administración de oficinas  "/>
    <x v="0"/>
    <n v="80161501"/>
    <s v="Prestación de servicios profesionales encaminados a desarrollar el apoyo técnico y control de calidad de los avalúos de bienes inmuebles tanto urbanos como rurales a nivel nacional"/>
    <x v="4"/>
    <x v="4"/>
    <n v="255"/>
    <x v="0"/>
    <x v="1"/>
    <x v="1"/>
    <n v="128354709"/>
    <n v="128354709"/>
    <x v="1"/>
    <x v="1"/>
    <x v="1"/>
    <x v="0"/>
    <s v="Subdirección de Catastro"/>
    <s v="Subdirección de Catastro"/>
    <x v="1"/>
    <s v="Subdirectora de Catastro"/>
    <x v="0"/>
    <x v="1"/>
    <s v="Realizar avalúos comerciales, de acuerdo a las solicitudes recibidas."/>
    <s v="Avalúos realizados"/>
    <n v="620"/>
    <d v="2021-06-09T00:00:00"/>
    <n v="7550277"/>
    <n v="50335180"/>
    <n v="100670360"/>
    <x v="1"/>
    <s v="ISABEL QUINTERO PINILLA_x000a_JAIRO ALFONSO MORENO PADILLA"/>
    <n v="27684349"/>
    <n v="0"/>
    <s v="24766_x000a_24768"/>
    <x v="3"/>
    <x v="1"/>
    <x v="1"/>
    <m/>
    <x v="0"/>
  </r>
  <r>
    <x v="0"/>
    <m/>
    <x v="0"/>
    <x v="12"/>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OC."/>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8-08T00:00:00"/>
    <n v="12179900"/>
    <n v="60899500"/>
    <n v="60899500"/>
    <x v="1"/>
    <s v="ADRIANA TARAZONA"/>
    <n v="33701668"/>
    <n v="0"/>
    <m/>
    <x v="1"/>
    <x v="1"/>
    <x v="1"/>
    <n v="150"/>
    <x v="0"/>
  </r>
  <r>
    <x v="0"/>
    <m/>
    <x v="0"/>
    <x v="13"/>
    <x v="0"/>
    <x v="0"/>
    <x v="1"/>
    <x v="3"/>
    <x v="0"/>
    <x v="2"/>
    <x v="1"/>
    <x v="6"/>
    <x v="1"/>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4"/>
    <x v="4"/>
    <n v="240"/>
    <x v="0"/>
    <x v="1"/>
    <x v="1"/>
    <n v="97439200"/>
    <n v="97439200"/>
    <x v="1"/>
    <x v="1"/>
    <x v="0"/>
    <x v="0"/>
    <s v="Subdirección de Catastro"/>
    <s v="Subdirección de Catastro"/>
    <x v="1"/>
    <s v="Subdirectora de Catastro"/>
    <x v="0"/>
    <x v="0"/>
    <s v="Ejecutar procesos de actualización catastral a nivel nacional"/>
    <s v="Predios actualizados catastralmente"/>
    <n v="712"/>
    <d v="2021-08-06T00:00:00"/>
    <n v="12179900"/>
    <n v="58869516.666666672"/>
    <n v="58869516.666666672"/>
    <x v="1"/>
    <s v="DIANA MARCELA DURAN RAMIREZ"/>
    <n v="38569683.333333299"/>
    <n v="0"/>
    <n v="24820"/>
    <x v="1"/>
    <x v="1"/>
    <x v="1"/>
    <n v="145"/>
    <x v="0"/>
  </r>
  <r>
    <x v="1"/>
    <n v="50"/>
    <x v="1"/>
    <x v="0"/>
    <x v="0"/>
    <x v="0"/>
    <x v="1"/>
    <x v="3"/>
    <x v="4"/>
    <x v="4"/>
    <x v="1"/>
    <x v="2"/>
    <x v="1"/>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0"/>
    <x v="1"/>
    <x v="1"/>
    <n v="230579163"/>
    <n v="230579163"/>
    <x v="1"/>
    <x v="1"/>
    <x v="4"/>
    <x v="0"/>
    <s v="Subdirección de Catastro"/>
    <s v="Subdirección de Catastro"/>
    <x v="1"/>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4"/>
    <x v="1"/>
    <x v="1"/>
    <m/>
    <x v="0"/>
  </r>
  <r>
    <x v="1"/>
    <n v="69"/>
    <x v="1"/>
    <x v="0"/>
    <x v="0"/>
    <x v="0"/>
    <x v="1"/>
    <x v="4"/>
    <x v="0"/>
    <x v="2"/>
    <x v="1"/>
    <x v="2"/>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45"/>
    <x v="0"/>
    <x v="1"/>
    <x v="0"/>
    <n v="116150000"/>
    <n v="11615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m/>
    <d v="2021-06-03T00:00:00"/>
    <n v="9865284"/>
    <n v="69056988"/>
    <n v="69056988"/>
    <x v="1"/>
    <s v="NELSON ENRIQUE SILVA NIÑO"/>
    <n v="47093012"/>
    <n v="0"/>
    <m/>
    <x v="1"/>
    <x v="1"/>
    <x v="1"/>
    <m/>
    <x v="0"/>
  </r>
  <r>
    <x v="1"/>
    <n v="87"/>
    <x v="1"/>
    <x v="0"/>
    <x v="0"/>
    <x v="0"/>
    <x v="1"/>
    <x v="3"/>
    <x v="3"/>
    <x v="1"/>
    <x v="2"/>
    <x v="10"/>
    <x v="1"/>
    <s v="Servicios secretariales o de administración de oficinas  "/>
    <x v="0"/>
    <n v="80161501"/>
    <s v="Prestación de servicios profesionales para realizar avalúos comerciales, a nivel nacional de los bienes urbanos y rurales."/>
    <x v="4"/>
    <x v="4"/>
    <n v="210"/>
    <x v="0"/>
    <x v="1"/>
    <x v="1"/>
    <n v="200000000"/>
    <n v="200000000"/>
    <x v="1"/>
    <x v="1"/>
    <x v="3"/>
    <x v="0"/>
    <s v="Subdirección de Catastro"/>
    <s v="Subdirección de Catastro"/>
    <x v="1"/>
    <s v="Subdirectora de Catastro"/>
    <x v="0"/>
    <x v="1"/>
    <s v="Realizar avalúos comerciales, de acuerdo a las solicitudes recibidas."/>
    <s v="Avalúos realizados"/>
    <n v="667"/>
    <d v="2021-07-13T00:00:00"/>
    <n v="40000000"/>
    <n v="40000000"/>
    <n v="80000000"/>
    <x v="1"/>
    <s v="DIANA MARIA LOAIZA BARRAGAN_x000a_ JULIETH KATTERINE ROJAS"/>
    <n v="51428571.428571433"/>
    <n v="0"/>
    <n v="24794"/>
    <x v="3"/>
    <x v="2"/>
    <x v="1"/>
    <n v="150"/>
    <x v="0"/>
  </r>
  <r>
    <x v="1"/>
    <n v="57"/>
    <x v="1"/>
    <x v="0"/>
    <x v="0"/>
    <x v="0"/>
    <x v="1"/>
    <x v="3"/>
    <x v="3"/>
    <x v="3"/>
    <x v="1"/>
    <x v="5"/>
    <x v="1"/>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0"/>
    <x v="1"/>
    <x v="1"/>
    <n v="227115000"/>
    <n v="227115000"/>
    <x v="1"/>
    <x v="1"/>
    <x v="3"/>
    <x v="0"/>
    <s v="Subdirección de Catastro"/>
    <s v="Subdirección de Catastro"/>
    <x v="1"/>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2"/>
    <x v="1"/>
    <x v="1"/>
    <m/>
    <x v="0"/>
  </r>
  <r>
    <x v="1"/>
    <n v="85"/>
    <x v="1"/>
    <x v="0"/>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12T00:00:00"/>
    <n v="12179900"/>
    <n v="73079400"/>
    <n v="73079400"/>
    <x v="1"/>
    <s v="CARLOS ARTURO ROBLES"/>
    <n v="56997206"/>
    <n v="0"/>
    <m/>
    <x v="1"/>
    <x v="1"/>
    <x v="2"/>
    <n v="6"/>
    <x v="0"/>
  </r>
  <r>
    <x v="1"/>
    <n v="72"/>
    <x v="1"/>
    <x v="0"/>
    <x v="0"/>
    <x v="0"/>
    <x v="1"/>
    <x v="3"/>
    <x v="5"/>
    <x v="1"/>
    <x v="3"/>
    <x v="6"/>
    <x v="1"/>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4"/>
    <x v="4"/>
    <n v="255"/>
    <x v="0"/>
    <x v="1"/>
    <x v="1"/>
    <n v="100020520"/>
    <n v="100020520"/>
    <x v="1"/>
    <x v="1"/>
    <x v="5"/>
    <x v="0"/>
    <s v="Subdirección de Catastro"/>
    <s v="Subdirección de Catastro"/>
    <x v="1"/>
    <s v="Subdirectora de Catastro"/>
    <x v="0"/>
    <x v="1"/>
    <s v="Realizar avalúos comerciales, de acuerdo a las solicitudes recibidas."/>
    <s v="Avalúos realizados"/>
    <n v="618"/>
    <d v="2021-06-09T00:00:00"/>
    <n v="19611867"/>
    <n v="19611867"/>
    <n v="39223734"/>
    <x v="1"/>
    <s v=" LEIDY JOHANNA GARCIA SANABRIA_x000a_VIVIAN FERNANDA LONDOÑO GONZALEZ"/>
    <n v="60796786"/>
    <n v="0"/>
    <n v="24765"/>
    <x v="3"/>
    <x v="3"/>
    <x v="1"/>
    <m/>
    <x v="0"/>
  </r>
  <r>
    <x v="1"/>
    <n v="65"/>
    <x v="1"/>
    <x v="0"/>
    <x v="0"/>
    <x v="0"/>
    <x v="1"/>
    <x v="3"/>
    <x v="2"/>
    <x v="4"/>
    <x v="2"/>
    <x v="1"/>
    <x v="1"/>
    <s v="Servicios de sistemas de información geográfica (sig)"/>
    <x v="0"/>
    <n v="81101512"/>
    <s v="Prestación de servicios profesionales para elaborar los avalúos comerciales de bienes inmuebles tanto urbanos como rurales a nivel nacional, de acuerdo con los contratos suscritos por el IGAC"/>
    <x v="1"/>
    <x v="1"/>
    <n v="255"/>
    <x v="0"/>
    <x v="1"/>
    <x v="1"/>
    <n v="293647443"/>
    <n v="293647443"/>
    <x v="1"/>
    <x v="1"/>
    <x v="2"/>
    <x v="0"/>
    <s v="Subdirección de Catastro"/>
    <s v="Subdirección de Catastro"/>
    <x v="1"/>
    <s v="Subdirectora de Catastro"/>
    <x v="0"/>
    <x v="1"/>
    <s v="Realizar avalúos comerciales, de acuerdo a las solicitudes recibidas."/>
    <s v="Avalúos realizados"/>
    <n v="565"/>
    <d v="2021-04-28T00:00:00"/>
    <n v="5757793"/>
    <n v="40304551"/>
    <n v="40304551"/>
    <x v="1"/>
    <s v="HUGO ENRIQUE JIMENEZ CASTELLANOS_x000a_JULI MARCELA GUTIERREZ PACHECO_x000a_LUZ MERY PULIDO PELAEZ"/>
    <n v="69093516"/>
    <n v="0"/>
    <s v="24700_x000a_24760_x000a_24762"/>
    <x v="1"/>
    <x v="4"/>
    <x v="1"/>
    <m/>
    <x v="0"/>
  </r>
  <r>
    <x v="1"/>
    <n v="56"/>
    <x v="1"/>
    <x v="0"/>
    <x v="0"/>
    <x v="0"/>
    <x v="1"/>
    <x v="3"/>
    <x v="4"/>
    <x v="4"/>
    <x v="1"/>
    <x v="16"/>
    <x v="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0"/>
    <x v="1"/>
    <x v="1"/>
    <n v="230579163"/>
    <n v="230579163"/>
    <x v="1"/>
    <x v="1"/>
    <x v="4"/>
    <x v="0"/>
    <s v="Subdirección de Catastro"/>
    <s v="Subdirección de Catastro"/>
    <x v="1"/>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4"/>
    <x v="1"/>
    <x v="0"/>
    <m/>
    <x v="0"/>
  </r>
  <r>
    <x v="1"/>
    <n v="60"/>
    <x v="1"/>
    <x v="0"/>
    <x v="0"/>
    <x v="0"/>
    <x v="1"/>
    <x v="3"/>
    <x v="3"/>
    <x v="4"/>
    <x v="3"/>
    <x v="2"/>
    <x v="1"/>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0"/>
    <x v="1"/>
    <x v="1"/>
    <n v="331073098"/>
    <n v="331073098"/>
    <x v="1"/>
    <x v="1"/>
    <x v="3"/>
    <x v="0"/>
    <s v="Subdirección de Catastro"/>
    <s v="Subdirección de Catastro"/>
    <x v="1"/>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61218205"/>
    <n v="0"/>
    <s v="24679_x000a_24680_x000a_24681"/>
    <x v="4"/>
    <x v="3"/>
    <x v="1"/>
    <m/>
    <x v="0"/>
  </r>
  <r>
    <x v="1"/>
    <m/>
    <x v="1"/>
    <x v="0"/>
    <x v="0"/>
    <x v="0"/>
    <x v="1"/>
    <x v="4"/>
    <x v="6"/>
    <x v="0"/>
    <x v="4"/>
    <x v="6"/>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4"/>
    <x v="4"/>
    <n v="60"/>
    <x v="0"/>
    <x v="1"/>
    <x v="0"/>
    <n v="106935264"/>
    <n v="106935264"/>
    <x v="1"/>
    <x v="1"/>
    <x v="6"/>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5"/>
    <x v="0"/>
    <m/>
    <x v="0"/>
  </r>
  <r>
    <x v="1"/>
    <m/>
    <x v="1"/>
    <x v="0"/>
    <x v="0"/>
    <x v="0"/>
    <x v="1"/>
    <x v="4"/>
    <x v="0"/>
    <x v="0"/>
    <x v="0"/>
    <x v="6"/>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4"/>
    <x v="4"/>
    <n v="6"/>
    <x v="1"/>
    <x v="1"/>
    <x v="0"/>
    <n v="200000000"/>
    <n v="20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4"/>
    <x v="4"/>
    <n v="240"/>
    <x v="0"/>
    <x v="1"/>
    <x v="0"/>
    <n v="210000000"/>
    <n v="21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ahates y María La Baja en el  del Departamento de Bolívar, en conjunto con la Agencia Nacional de Tierras - ANT."/>
    <x v="4"/>
    <x v="4"/>
    <n v="9"/>
    <x v="1"/>
    <x v="1"/>
    <x v="0"/>
    <n v="1148985120"/>
    <n v="114898512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San Juan de Nepomuceno, Zambrano, Palmito, San Onofre y Mercaderes, en conjunto con la Agencia Nacional de Tierras - ANT."/>
    <x v="4"/>
    <x v="4"/>
    <n v="9"/>
    <x v="1"/>
    <x v="1"/>
    <x v="0"/>
    <n v="2114430486"/>
    <n v="211443048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0"/>
    <m/>
    <x v="0"/>
    <x v="0"/>
    <x v="0"/>
    <x v="0"/>
    <x v="0"/>
    <x v="0"/>
    <x v="0"/>
    <x v="0"/>
    <x v="0"/>
    <x v="7"/>
    <x v="1"/>
    <s v="Servicios secretariales o de administración de oficinas  "/>
    <x v="0"/>
    <n v="80161501"/>
    <s v="Prestación de servicios personales para realizar actividades de apoyo operativo del proceso de actualización catastral multipropósito en el municipio de San Carlos - Cordoba"/>
    <x v="0"/>
    <x v="0"/>
    <n v="4"/>
    <x v="1"/>
    <x v="1"/>
    <x v="3"/>
    <n v="6804972"/>
    <n v="6804972"/>
    <x v="1"/>
    <x v="1"/>
    <x v="0"/>
    <x v="0"/>
    <s v="Subdirección de Catastro"/>
    <s v="Dirección Territorial Córdoba"/>
    <x v="5"/>
    <s v="Cecilia Cogollo Altamiranda"/>
    <x v="0"/>
    <x v="0"/>
    <s v="Ejecutar procesos de actualización catastral a nivel nacional"/>
    <s v="Predios actualizados catastralmente"/>
    <m/>
    <m/>
    <e v="#N/A"/>
    <e v="#N/A"/>
    <e v="#N/A"/>
    <x v="0"/>
    <m/>
    <n v="0"/>
    <n v="1701243"/>
    <m/>
    <x v="0"/>
    <x v="0"/>
    <x v="0"/>
    <m/>
    <x v="0"/>
  </r>
  <r>
    <x v="0"/>
    <m/>
    <x v="0"/>
    <x v="0"/>
    <x v="0"/>
    <x v="0"/>
    <x v="0"/>
    <x v="0"/>
    <x v="0"/>
    <x v="0"/>
    <x v="0"/>
    <x v="7"/>
    <x v="1"/>
    <s v="Servicios secretariales o de administración de oficinas  "/>
    <x v="0"/>
    <n v="80161501"/>
    <s v="Prestación de servicios personales para realizar actividades de digitalización y generación de productos resultantes del proceso de actualización catastral multiproposito  en el municipio de San Carlos - Cordoba."/>
    <x v="0"/>
    <x v="0"/>
    <n v="4"/>
    <x v="1"/>
    <x v="1"/>
    <x v="3"/>
    <n v="10685932"/>
    <n v="10685932"/>
    <x v="1"/>
    <x v="1"/>
    <x v="0"/>
    <x v="0"/>
    <s v="Subdirección de Catastro"/>
    <s v="Dirección Territorial Córdoba"/>
    <x v="5"/>
    <s v="Cecilia Cogollo Altamiranda"/>
    <x v="0"/>
    <x v="0"/>
    <s v="Ejecutar procesos de actualización catastral a nivel nacional"/>
    <s v="Predios actualizados catastralmente"/>
    <m/>
    <m/>
    <e v="#N/A"/>
    <e v="#N/A"/>
    <e v="#N/A"/>
    <x v="0"/>
    <m/>
    <n v="0"/>
    <n v="2671483"/>
    <m/>
    <x v="0"/>
    <x v="0"/>
    <x v="0"/>
    <m/>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San Carlos - Cordoba"/>
    <x v="0"/>
    <x v="0"/>
    <n v="4"/>
    <x v="1"/>
    <x v="1"/>
    <x v="3"/>
    <n v="11330000"/>
    <n v="11330000"/>
    <x v="1"/>
    <x v="1"/>
    <x v="0"/>
    <x v="0"/>
    <s v="Subdirección de Catastro"/>
    <s v="Dirección Territorial Córdoba"/>
    <x v="5"/>
    <s v="Cecilia Cogollo Altamiranda"/>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San Carlos - Cordoba"/>
    <x v="0"/>
    <x v="0"/>
    <n v="4"/>
    <x v="1"/>
    <x v="1"/>
    <x v="3"/>
    <n v="14420000"/>
    <n v="14420000"/>
    <x v="1"/>
    <x v="1"/>
    <x v="0"/>
    <x v="0"/>
    <s v="Subdirección de Catastro"/>
    <s v="Dirección Territorial Córdoba"/>
    <x v="5"/>
    <s v="Cecilia Cogollo Altamiranda"/>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RioBlanco - Tolima"/>
    <x v="0"/>
    <x v="0"/>
    <n v="4"/>
    <x v="1"/>
    <x v="1"/>
    <x v="2"/>
    <n v="14420000"/>
    <n v="14420000"/>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profesionales para realizar las socializaciones requeridas en el proceso de actualización catastral multiproposito en el municipio de San Carlos - Cordoba"/>
    <x v="0"/>
    <x v="0"/>
    <n v="4"/>
    <x v="1"/>
    <x v="1"/>
    <x v="3"/>
    <n v="14560944"/>
    <n v="14560944"/>
    <x v="1"/>
    <x v="1"/>
    <x v="0"/>
    <x v="0"/>
    <s v="Subdirección de Catastro"/>
    <s v="Dirección Territorial Córdoba"/>
    <x v="5"/>
    <s v="Cecilia Cogollo Altamiranda"/>
    <x v="0"/>
    <x v="0"/>
    <s v="Ejecutar procesos de actualización catastral a nivel nacional"/>
    <s v="Predios actualizados catastralmente"/>
    <m/>
    <m/>
    <e v="#N/A"/>
    <e v="#N/A"/>
    <e v="#N/A"/>
    <x v="0"/>
    <m/>
    <n v="0"/>
    <n v="3640236"/>
    <m/>
    <x v="0"/>
    <x v="0"/>
    <x v="0"/>
    <m/>
    <x v="0"/>
  </r>
  <r>
    <x v="0"/>
    <m/>
    <x v="0"/>
    <x v="0"/>
    <x v="0"/>
    <x v="0"/>
    <x v="0"/>
    <x v="0"/>
    <x v="0"/>
    <x v="0"/>
    <x v="0"/>
    <x v="7"/>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en el municipio de San Carlos - Cordoba."/>
    <x v="0"/>
    <x v="0"/>
    <n v="4"/>
    <x v="1"/>
    <x v="1"/>
    <x v="3"/>
    <n v="19905696"/>
    <n v="19905696"/>
    <x v="1"/>
    <x v="1"/>
    <x v="0"/>
    <x v="0"/>
    <s v="Subdirección de Catastro"/>
    <s v="Dirección Territorial Córdoba"/>
    <x v="5"/>
    <s v="Cecilia Cogollo Altamiranda"/>
    <x v="0"/>
    <x v="0"/>
    <s v="Ejecutar procesos de actualización catastral a nivel nacional"/>
    <s v="Predios actualizados catastralmente"/>
    <m/>
    <m/>
    <e v="#N/A"/>
    <e v="#N/A"/>
    <e v="#N/A"/>
    <x v="0"/>
    <m/>
    <n v="0"/>
    <n v="4976424"/>
    <m/>
    <x v="0"/>
    <x v="0"/>
    <x v="0"/>
    <m/>
    <x v="0"/>
  </r>
  <r>
    <x v="0"/>
    <m/>
    <x v="0"/>
    <x v="0"/>
    <x v="0"/>
    <x v="0"/>
    <x v="0"/>
    <x v="0"/>
    <x v="0"/>
    <x v="0"/>
    <x v="0"/>
    <x v="7"/>
    <x v="1"/>
    <s v="Servicios secretariales o de administración de oficinas  "/>
    <x v="0"/>
    <n v="80161501"/>
    <s v="Prestación de servicios profesionales para el seguimiento y control de las actividades tecnicas de la etapa operativa del proyecto de gest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realizar las actividades de topografía urbano y rural para la atención de trámites en el proceso de actualizac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ara realizar el control calidad de los productos geográficos, alfanuméricos y documentales generados en los procesos de actualización multipropó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adelantar la implementación de la gestión catastral con enfoque multipropósito, el desarrollo de costeo de procesos de actualización y procesos para la implementación de estrategias."/>
    <x v="0"/>
    <x v="0"/>
    <n v="4"/>
    <x v="1"/>
    <x v="1"/>
    <x v="2"/>
    <n v="23031172"/>
    <n v="23031172"/>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5757793"/>
    <m/>
    <x v="0"/>
    <x v="0"/>
    <x v="0"/>
    <m/>
    <x v="0"/>
  </r>
  <r>
    <x v="0"/>
    <m/>
    <x v="0"/>
    <x v="0"/>
    <x v="0"/>
    <x v="0"/>
    <x v="0"/>
    <x v="0"/>
    <x v="4"/>
    <x v="0"/>
    <x v="2"/>
    <x v="7"/>
    <x v="1"/>
    <s v="Servicios secretariales o de administración de oficinas  "/>
    <x v="0"/>
    <n v="80161501"/>
    <s v="Prestación de servicios personales para realizar actividades de reconocimiento predial en el proceso de actualización catastra multiproposito en el municipio de San Carlos - Cordoba"/>
    <x v="0"/>
    <x v="0"/>
    <n v="4"/>
    <x v="1"/>
    <x v="1"/>
    <x v="3"/>
    <n v="37496784"/>
    <n v="37496784"/>
    <x v="1"/>
    <x v="1"/>
    <x v="4"/>
    <x v="0"/>
    <s v="Subdirección de Catastro"/>
    <s v="Dirección Territorial Córdoba"/>
    <x v="5"/>
    <s v="Cecilia Cogollo Altamiranda"/>
    <x v="0"/>
    <x v="0"/>
    <s v="Ejecutar procesos de actualización catastral a nivel nacional"/>
    <s v="Predios actualizados catastralmente"/>
    <m/>
    <m/>
    <e v="#N/A"/>
    <e v="#N/A"/>
    <e v="#N/A"/>
    <x v="0"/>
    <m/>
    <n v="0"/>
    <n v="9374196"/>
    <m/>
    <x v="0"/>
    <x v="2"/>
    <x v="0"/>
    <m/>
    <x v="0"/>
  </r>
  <r>
    <x v="0"/>
    <m/>
    <x v="0"/>
    <x v="0"/>
    <x v="0"/>
    <x v="0"/>
    <x v="0"/>
    <x v="0"/>
    <x v="0"/>
    <x v="0"/>
    <x v="0"/>
    <x v="0"/>
    <x v="1"/>
    <s v="Servicios de sistemas de información geográfica (sig)"/>
    <x v="0"/>
    <n v="81101512"/>
    <s v="Prestación de servicios profesionales para realizar el seguimiento, control y planeación de los proyectos de gestión catastral y procedimientos con enfoque multipropósito a cargo del IGAC"/>
    <x v="0"/>
    <x v="0"/>
    <n v="4"/>
    <x v="1"/>
    <x v="1"/>
    <x v="3"/>
    <n v="39461136"/>
    <n v="39461136"/>
    <x v="1"/>
    <x v="2"/>
    <x v="0"/>
    <x v="0"/>
    <s v="Subdirección de Catastro"/>
    <s v="Subdirección de Catastro"/>
    <x v="0"/>
    <s v="Director Territorial"/>
    <x v="0"/>
    <x v="0"/>
    <s v="Ejecutar procesos de actualización catastral a nivel nacional"/>
    <s v="Predios actualizados catastralmente"/>
    <m/>
    <m/>
    <e v="#N/A"/>
    <e v="#N/A"/>
    <e v="#N/A"/>
    <x v="0"/>
    <m/>
    <n v="0"/>
    <n v="9865284"/>
    <m/>
    <x v="0"/>
    <x v="0"/>
    <x v="0"/>
    <m/>
    <x v="0"/>
  </r>
  <r>
    <x v="0"/>
    <m/>
    <x v="0"/>
    <x v="0"/>
    <x v="0"/>
    <x v="0"/>
    <x v="0"/>
    <x v="0"/>
    <x v="5"/>
    <x v="0"/>
    <x v="5"/>
    <x v="7"/>
    <x v="1"/>
    <s v="Servicios secretariales o de administración de oficinas  "/>
    <x v="0"/>
    <n v="80161501"/>
    <s v="Prestación de servicios personales para realizar actividades de reconocimiento predial en el proceso de actualización catastra multiproposito en el municipio de Rioblanco - Tolima "/>
    <x v="0"/>
    <x v="0"/>
    <n v="4"/>
    <x v="1"/>
    <x v="1"/>
    <x v="2"/>
    <n v="49995712"/>
    <n v="49995712"/>
    <x v="1"/>
    <x v="1"/>
    <x v="5"/>
    <x v="0"/>
    <s v="Dirección de Gestión Catastral "/>
    <s v="Dirección de Gestión Catastral "/>
    <x v="1"/>
    <s v="Dirección de Gestión Catastral "/>
    <x v="0"/>
    <x v="0"/>
    <s v="Ejecutar procesos de actualización catastral a nivel nacional"/>
    <s v="Predios actualizados catastralmente"/>
    <m/>
    <m/>
    <e v="#N/A"/>
    <e v="#N/A"/>
    <e v="#N/A"/>
    <x v="0"/>
    <m/>
    <n v="0"/>
    <n v="12498928"/>
    <m/>
    <x v="0"/>
    <x v="6"/>
    <x v="0"/>
    <m/>
    <x v="0"/>
  </r>
  <r>
    <x v="1"/>
    <m/>
    <x v="1"/>
    <x v="0"/>
    <x v="0"/>
    <x v="0"/>
    <x v="1"/>
    <x v="3"/>
    <x v="0"/>
    <x v="0"/>
    <x v="0"/>
    <x v="6"/>
    <x v="1"/>
    <s v="Servicios secretariales o de administración de oficinas  "/>
    <x v="0"/>
    <n v="80161501"/>
    <s v="Prestación de servicios profesionales para apoyar la gestión de los procesos catastrales de formación, actualización y conservación catastral."/>
    <x v="4"/>
    <x v="4"/>
    <n v="240"/>
    <x v="0"/>
    <x v="1"/>
    <x v="1"/>
    <n v="29121888"/>
    <n v="29121888"/>
    <x v="1"/>
    <x v="1"/>
    <x v="0"/>
    <x v="0"/>
    <s v="Subdirección de Catastro"/>
    <s v="Subdirección de Catastro"/>
    <x v="1"/>
    <s v="Subdirectora de Catastro"/>
    <x v="0"/>
    <x v="0"/>
    <s v="Ejecutar procesos de actualización catastral a nivel nacional"/>
    <s v="Predios actualizados catastralmente"/>
    <m/>
    <m/>
    <e v="#N/A"/>
    <e v="#N/A"/>
    <e v="#N/A"/>
    <x v="0"/>
    <m/>
    <n v="0"/>
    <n v="10920708"/>
    <m/>
    <x v="0"/>
    <x v="0"/>
    <x v="0"/>
    <m/>
    <x v="0"/>
  </r>
  <r>
    <x v="1"/>
    <m/>
    <x v="1"/>
    <x v="0"/>
    <x v="0"/>
    <x v="0"/>
    <x v="1"/>
    <x v="4"/>
    <x v="0"/>
    <x v="0"/>
    <x v="0"/>
    <x v="6"/>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46062344"/>
    <n v="4606234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7273379"/>
    <m/>
    <x v="0"/>
    <x v="0"/>
    <x v="0"/>
    <m/>
    <x v="0"/>
  </r>
  <r>
    <x v="1"/>
    <m/>
    <x v="1"/>
    <x v="0"/>
    <x v="0"/>
    <x v="0"/>
    <x v="1"/>
    <x v="4"/>
    <x v="0"/>
    <x v="0"/>
    <x v="0"/>
    <x v="6"/>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88180736"/>
    <n v="8818073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3067776"/>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4"/>
    <x v="4"/>
    <n v="6"/>
    <x v="1"/>
    <x v="1"/>
    <x v="0"/>
    <n v="28988880"/>
    <n v="2898888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494440"/>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4"/>
    <x v="4"/>
    <n v="6"/>
    <x v="1"/>
    <x v="1"/>
    <x v="0"/>
    <n v="29858544"/>
    <n v="2985854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929272"/>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4"/>
    <x v="4"/>
    <n v="6"/>
    <x v="1"/>
    <x v="1"/>
    <x v="0"/>
    <n v="59191704"/>
    <n v="5919170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9595852"/>
    <m/>
    <x v="0"/>
    <x v="0"/>
    <x v="0"/>
    <m/>
    <x v="0"/>
  </r>
  <r>
    <x v="1"/>
    <m/>
    <x v="1"/>
    <x v="0"/>
    <x v="0"/>
    <x v="0"/>
    <x v="1"/>
    <x v="4"/>
    <x v="0"/>
    <x v="0"/>
    <x v="0"/>
    <x v="6"/>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15"/>
    <x v="0"/>
    <s v="Servicios de sistemas de información geográfica (sig)"/>
    <x v="0"/>
    <n v="81101512"/>
    <s v="Adelantar la actualización catastral de los municipios a ser intervenidos con recursos del Banco Mundial - BM, priorizados para el año 2021 en el marco del Crédito de Catastro Multipropósito"/>
    <x v="7"/>
    <x v="7"/>
    <n v="180"/>
    <x v="0"/>
    <x v="0"/>
    <x v="0"/>
    <n v="35008220003"/>
    <n v="3500822000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4 municipios priorizados en 2021 y financiados con recursos del Banco Mundial."/>
    <x v="7"/>
    <x v="7"/>
    <n v="180"/>
    <x v="0"/>
    <x v="0"/>
    <x v="0"/>
    <n v="13449700495"/>
    <n v="13449700495"/>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los municipios a ser intervenidos con recursos del Banco Interamericano de Desarrollo - BID, priorizados para el año 2021 en el marco del Crédito de Catastro Multipropósito"/>
    <x v="7"/>
    <x v="7"/>
    <n v="180"/>
    <x v="0"/>
    <x v="0"/>
    <x v="0"/>
    <n v="23610620573"/>
    <n v="2361062057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0"/>
    <x v="0"/>
    <x v="0"/>
    <x v="0"/>
    <x v="15"/>
    <x v="1"/>
    <s v="Servicios de sistemas de información geográfica (sig)"/>
    <x v="0"/>
    <n v="81101512"/>
    <s v="Realizar la actualización catastral con enfoque multipropósito en las áreas urbana y rural  en sus componentes fisico, jurídico y económico del municipio de Puerto Libertador, Córdoba."/>
    <x v="7"/>
    <x v="7"/>
    <n v="180"/>
    <x v="0"/>
    <x v="0"/>
    <x v="3"/>
    <n v="3847187767"/>
    <n v="3847187767"/>
    <x v="1"/>
    <x v="1"/>
    <x v="0"/>
    <x v="0"/>
    <s v="Subdirección de Catastro"/>
    <s v="Subdirección de Catastro"/>
    <x v="0"/>
    <s v="Subdirectora de Catastro"/>
    <x v="0"/>
    <x v="0"/>
    <s v="Ejecutar procesos de actualización catastral a nivel nacional"/>
    <s v="Predios actualizados catastralmente"/>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orales y Piendamó en el  del Departamento del Cauca, en conjunto con la Agencia Nacional de Tierras - ANT."/>
    <x v="4"/>
    <x v="4"/>
    <n v="9"/>
    <x v="1"/>
    <x v="0"/>
    <x v="0"/>
    <n v="884523002"/>
    <n v="884523002"/>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Cajibío, Piamonte, Sucre y Almaguer, en conjunto con la Agencia Nacional de Tierras - ANT."/>
    <x v="4"/>
    <x v="4"/>
    <n v="9"/>
    <x v="1"/>
    <x v="0"/>
    <x v="0"/>
    <n v="781026077"/>
    <n v="781026077"/>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4"/>
    <x v="4"/>
    <n v="240"/>
    <x v="0"/>
    <x v="0"/>
    <x v="0"/>
    <n v="7000000000"/>
    <n v="7000000000"/>
    <x v="1"/>
    <x v="2"/>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3"/>
    <n v="26"/>
    <x v="1"/>
    <x v="0"/>
    <x v="1"/>
    <x v="1"/>
    <x v="2"/>
    <x v="5"/>
    <x v="0"/>
    <x v="2"/>
    <x v="1"/>
    <x v="11"/>
    <x v="1"/>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6"/>
    <x v="6"/>
    <n v="7"/>
    <x v="1"/>
    <x v="1"/>
    <x v="2"/>
    <n v="21446236"/>
    <n v="21446236"/>
    <x v="1"/>
    <x v="1"/>
    <x v="0"/>
    <x v="0"/>
    <s v="Subdirección de Agrología"/>
    <s v="Subdirección de Agrología"/>
    <x v="0"/>
    <s v="Subdriector de Agrología"/>
    <x v="1"/>
    <x v="3"/>
    <s v="Estudio de suelos como insumo para el ordenamiento integral del territorio."/>
    <s v="Sistema de información agrologica actualizado"/>
    <n v="151"/>
    <d v="2021-02-01T00:00:00"/>
    <n v="3063748"/>
    <n v="21446236"/>
    <n v="21446236"/>
    <x v="1"/>
    <s v="GUERTHY ADRIANA MORENO SÁNCHEZ"/>
    <n v="0"/>
    <n v="0"/>
    <n v="24431"/>
    <x v="1"/>
    <x v="1"/>
    <x v="1"/>
    <n v="11"/>
    <x v="0"/>
  </r>
  <r>
    <x v="3"/>
    <n v="40"/>
    <x v="1"/>
    <x v="0"/>
    <x v="1"/>
    <x v="1"/>
    <x v="2"/>
    <x v="5"/>
    <x v="0"/>
    <x v="2"/>
    <x v="1"/>
    <x v="5"/>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1"/>
    <x v="1"/>
    <x v="1"/>
    <n v="14929272"/>
    <n v="14929272"/>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56"/>
    <d v="2021-04-28T00:00:00"/>
    <n v="4976424"/>
    <n v="14929272"/>
    <n v="14929272"/>
    <x v="1"/>
    <s v="JERSSON ANDRES MARTINEZ BERMUDEZ"/>
    <n v="0"/>
    <n v="0"/>
    <n v="24699"/>
    <x v="1"/>
    <x v="1"/>
    <x v="1"/>
    <n v="179"/>
    <x v="0"/>
  </r>
  <r>
    <x v="3"/>
    <n v="39"/>
    <x v="1"/>
    <x v="0"/>
    <x v="1"/>
    <x v="1"/>
    <x v="2"/>
    <x v="5"/>
    <x v="0"/>
    <x v="2"/>
    <x v="1"/>
    <x v="16"/>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1"/>
    <x v="1"/>
    <x v="1"/>
    <n v="12790566"/>
    <n v="1279056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67"/>
    <d v="2021-04-28T00:00:00"/>
    <n v="4263522"/>
    <n v="12790566"/>
    <n v="12790566"/>
    <x v="1"/>
    <s v="MIGUEL OCTAVIO BERNAL BOTIVA"/>
    <n v="0"/>
    <n v="0"/>
    <n v="24702"/>
    <x v="1"/>
    <x v="1"/>
    <x v="1"/>
    <n v="318"/>
    <x v="0"/>
  </r>
  <r>
    <x v="3"/>
    <n v="41"/>
    <x v="1"/>
    <x v="0"/>
    <x v="1"/>
    <x v="1"/>
    <x v="2"/>
    <x v="5"/>
    <x v="0"/>
    <x v="2"/>
    <x v="1"/>
    <x v="17"/>
    <x v="1"/>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7"/>
    <x v="7"/>
    <n v="2"/>
    <x v="1"/>
    <x v="1"/>
    <x v="1"/>
    <n v="19905696"/>
    <n v="1990569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4"/>
    <d v="2021-07-07T00:00:00"/>
    <n v="9952848"/>
    <n v="19905696"/>
    <n v="19905696"/>
    <x v="1"/>
    <s v="SEIRY SOLENY VARGAS TEJEDOR"/>
    <n v="0"/>
    <n v="0"/>
    <n v="24789"/>
    <x v="1"/>
    <x v="1"/>
    <x v="0"/>
    <n v="311"/>
    <x v="0"/>
  </r>
  <r>
    <x v="3"/>
    <n v="2"/>
    <x v="1"/>
    <x v="0"/>
    <x v="1"/>
    <x v="1"/>
    <x v="2"/>
    <x v="5"/>
    <x v="0"/>
    <x v="2"/>
    <x v="1"/>
    <x v="9"/>
    <x v="1"/>
    <s v="Servicios de formación profesional en ingeniería"/>
    <x v="0"/>
    <n v="86101610"/>
    <s v="Prestación de servicios profesionales para realizar actividades de apoyo a los procesos administrativos que adelanta la Subdirección de Agrología"/>
    <x v="5"/>
    <x v="5"/>
    <n v="7"/>
    <x v="1"/>
    <x v="1"/>
    <x v="2"/>
    <n v="21236040"/>
    <n v="21236040"/>
    <x v="1"/>
    <x v="1"/>
    <x v="0"/>
    <x v="0"/>
    <s v="Subdirección de Agrología"/>
    <s v="Subdirección de Agrología"/>
    <x v="6"/>
    <s v="Subdirector de Agrología "/>
    <x v="1"/>
    <x v="3"/>
    <s v="Estudio de suelos como insumo para el ordenamiento integral del territorio."/>
    <s v="Sistema de información agrologica actualizado"/>
    <n v="114"/>
    <d v="2021-01-22T00:00:00"/>
    <n v="3033256"/>
    <n v="21232792"/>
    <n v="21232792"/>
    <x v="1"/>
    <s v="VIVIANA ANDREA RUEDA CALDERÓN"/>
    <n v="3248"/>
    <n v="0"/>
    <n v="24308"/>
    <x v="1"/>
    <x v="1"/>
    <x v="1"/>
    <n v="300"/>
    <x v="0"/>
  </r>
  <r>
    <x v="3"/>
    <n v="18"/>
    <x v="1"/>
    <x v="0"/>
    <x v="1"/>
    <x v="1"/>
    <x v="2"/>
    <x v="5"/>
    <x v="1"/>
    <x v="1"/>
    <x v="1"/>
    <x v="9"/>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1"/>
    <x v="1"/>
    <x v="2"/>
    <n v="42472080"/>
    <n v="42472080"/>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3"/>
    <x v="1"/>
    <x v="1"/>
    <n v="325"/>
    <x v="0"/>
  </r>
  <r>
    <x v="3"/>
    <n v="8"/>
    <x v="1"/>
    <x v="0"/>
    <x v="1"/>
    <x v="1"/>
    <x v="2"/>
    <x v="5"/>
    <x v="4"/>
    <x v="4"/>
    <x v="1"/>
    <x v="11"/>
    <x v="1"/>
    <s v="Servicios de formación profesional en ingeniería"/>
    <x v="0"/>
    <n v="86101610"/>
    <s v="Prestación de servicios profesionales para realizar el levantamientos del suelo y diligenciamiento  de la base de datos de observaciones de suelos de los proyectos de la Subdirección de Agrología"/>
    <x v="6"/>
    <x v="6"/>
    <n v="7"/>
    <x v="1"/>
    <x v="1"/>
    <x v="2"/>
    <n v="63708120"/>
    <n v="63708120"/>
    <x v="1"/>
    <x v="1"/>
    <x v="4"/>
    <x v="0"/>
    <s v="Subdirección de Agrología"/>
    <s v="Subdirección de Agrología"/>
    <x v="0"/>
    <s v="Subdriector de Agrología"/>
    <x v="1"/>
    <x v="3"/>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4"/>
    <x v="1"/>
    <x v="1"/>
    <n v="11"/>
    <x v="0"/>
  </r>
  <r>
    <x v="3"/>
    <n v="4"/>
    <x v="1"/>
    <x v="0"/>
    <x v="1"/>
    <x v="1"/>
    <x v="2"/>
    <x v="5"/>
    <x v="0"/>
    <x v="2"/>
    <x v="1"/>
    <x v="9"/>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140"/>
    <d v="2021-01-22T00:00:00"/>
    <n v="1911592"/>
    <n v="13381144"/>
    <n v="13381144"/>
    <x v="1"/>
    <s v="VALENTINA ROJAS"/>
    <n v="92050"/>
    <n v="0"/>
    <n v="24338"/>
    <x v="1"/>
    <x v="1"/>
    <x v="1"/>
    <n v="90"/>
    <x v="0"/>
  </r>
  <r>
    <x v="3"/>
    <n v="6"/>
    <x v="1"/>
    <x v="0"/>
    <x v="1"/>
    <x v="1"/>
    <x v="2"/>
    <x v="5"/>
    <x v="0"/>
    <x v="2"/>
    <x v="1"/>
    <x v="9"/>
    <x v="1"/>
    <s v="Servicios de formación profesional en ingeniería"/>
    <x v="0"/>
    <n v="86101610"/>
    <s v="Prestación de servicios para el manejo de la información que genere la subdirección de agrología en el desarrollo de sus proyectos."/>
    <x v="5"/>
    <x v="5"/>
    <n v="7"/>
    <x v="1"/>
    <x v="1"/>
    <x v="2"/>
    <n v="18155711"/>
    <n v="18155711"/>
    <x v="1"/>
    <x v="1"/>
    <x v="0"/>
    <x v="0"/>
    <s v="Subdirección de Agrología"/>
    <s v="Subdirección de Agrología"/>
    <x v="6"/>
    <s v="Subdirector de Agrología "/>
    <x v="1"/>
    <x v="3"/>
    <s v="Estudio de suelos como insumo para el ordenamiento integral del territorio."/>
    <s v="Sistema de información agrologica actualizado"/>
    <n v="119"/>
    <d v="2021-01-22T00:00:00"/>
    <n v="2575938"/>
    <n v="18031566"/>
    <n v="18031566"/>
    <x v="1"/>
    <s v="ANDREA PILAR SINTURA HUERTA"/>
    <n v="124145"/>
    <n v="0"/>
    <n v="24309"/>
    <x v="1"/>
    <x v="1"/>
    <x v="1"/>
    <n v="330"/>
    <x v="0"/>
  </r>
  <r>
    <x v="3"/>
    <n v="23"/>
    <x v="1"/>
    <x v="0"/>
    <x v="1"/>
    <x v="1"/>
    <x v="2"/>
    <x v="5"/>
    <x v="0"/>
    <x v="2"/>
    <x v="1"/>
    <x v="9"/>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5"/>
    <d v="2021-01-22T00:00:00"/>
    <n v="2575938"/>
    <n v="18031566"/>
    <n v="18031566"/>
    <x v="1"/>
    <s v="JOHN JAIRO YATE ALAPE"/>
    <n v="124145"/>
    <n v="0"/>
    <n v="24350"/>
    <x v="1"/>
    <x v="1"/>
    <x v="1"/>
    <n v="11"/>
    <x v="0"/>
  </r>
  <r>
    <x v="3"/>
    <n v="20"/>
    <x v="1"/>
    <x v="0"/>
    <x v="1"/>
    <x v="1"/>
    <x v="2"/>
    <x v="5"/>
    <x v="0"/>
    <x v="2"/>
    <x v="1"/>
    <x v="9"/>
    <x v="1"/>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204"/>
    <d v="2021-01-22T00:00:00"/>
    <n v="2575938"/>
    <n v="18031566"/>
    <n v="18031566"/>
    <x v="1"/>
    <s v="SERGIO ANDRÉS ARENAS ENMOGA"/>
    <n v="124145"/>
    <n v="0"/>
    <n v="24392"/>
    <x v="1"/>
    <x v="1"/>
    <x v="2"/>
    <n v="300"/>
    <x v="0"/>
  </r>
  <r>
    <x v="3"/>
    <n v="5"/>
    <x v="1"/>
    <x v="0"/>
    <x v="1"/>
    <x v="1"/>
    <x v="2"/>
    <x v="5"/>
    <x v="0"/>
    <x v="2"/>
    <x v="1"/>
    <x v="9"/>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1"/>
    <x v="1"/>
    <x v="2"/>
    <n v="28975394"/>
    <n v="28975394"/>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112781"/>
    <n v="28789467"/>
    <n v="28789467"/>
    <x v="1"/>
    <s v="JOHANNA KATERINE CORDERO CASALLAS"/>
    <n v="185927"/>
    <n v="0"/>
    <n v="24434"/>
    <x v="1"/>
    <x v="1"/>
    <x v="1"/>
    <m/>
    <x v="0"/>
  </r>
  <r>
    <x v="3"/>
    <n v="16"/>
    <x v="1"/>
    <x v="0"/>
    <x v="1"/>
    <x v="1"/>
    <x v="2"/>
    <x v="5"/>
    <x v="0"/>
    <x v="2"/>
    <x v="1"/>
    <x v="12"/>
    <x v="1"/>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1"/>
    <x v="1"/>
    <x v="1"/>
    <n v="329"/>
    <x v="0"/>
  </r>
  <r>
    <x v="3"/>
    <n v="21"/>
    <x v="1"/>
    <x v="0"/>
    <x v="1"/>
    <x v="1"/>
    <x v="2"/>
    <x v="5"/>
    <x v="0"/>
    <x v="2"/>
    <x v="1"/>
    <x v="9"/>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1"/>
    <x v="1"/>
    <x v="2"/>
    <n v="28975394"/>
    <n v="28975394"/>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7"/>
    <d v="2021-01-22T00:00:00"/>
    <n v="4112781"/>
    <n v="28789467"/>
    <n v="28789467"/>
    <x v="1"/>
    <s v="VLADIMIR PAEZ FONSECA"/>
    <n v="185927"/>
    <n v="0"/>
    <n v="24336"/>
    <x v="1"/>
    <x v="1"/>
    <x v="1"/>
    <n v="320"/>
    <x v="0"/>
  </r>
  <r>
    <x v="3"/>
    <n v="15"/>
    <x v="1"/>
    <x v="0"/>
    <x v="1"/>
    <x v="1"/>
    <x v="2"/>
    <x v="5"/>
    <x v="0"/>
    <x v="2"/>
    <x v="1"/>
    <x v="9"/>
    <x v="1"/>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1"/>
    <x v="1"/>
    <x v="1"/>
    <n v="329"/>
    <x v="0"/>
  </r>
  <r>
    <x v="3"/>
    <n v="11"/>
    <x v="1"/>
    <x v="0"/>
    <x v="1"/>
    <x v="1"/>
    <x v="2"/>
    <x v="5"/>
    <x v="1"/>
    <x v="1"/>
    <x v="1"/>
    <x v="9"/>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1"/>
    <x v="1"/>
    <x v="2"/>
    <n v="36311422"/>
    <n v="36311422"/>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3"/>
    <x v="1"/>
    <x v="1"/>
    <n v="329"/>
    <x v="0"/>
  </r>
  <r>
    <x v="3"/>
    <n v="22"/>
    <x v="1"/>
    <x v="0"/>
    <x v="1"/>
    <x v="1"/>
    <x v="2"/>
    <x v="5"/>
    <x v="0"/>
    <x v="2"/>
    <x v="1"/>
    <x v="9"/>
    <x v="1"/>
    <s v="Servicios de formación profesional en ingeniería"/>
    <x v="0"/>
    <n v="86101610"/>
    <s v="Prestación de servicios personales para realizar la preparación y manejo de muestras de suelos, aguas, compost y tejido vegetal en el GIT Laboratorio Nacional de Suelos. "/>
    <x v="5"/>
    <x v="5"/>
    <n v="7"/>
    <x v="1"/>
    <x v="1"/>
    <x v="2"/>
    <n v="16296816"/>
    <n v="16296816"/>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2"/>
    <d v="2021-01-22T00:00:00"/>
    <n v="2004904"/>
    <n v="16039232"/>
    <n v="16039232"/>
    <x v="1"/>
    <s v="JUAN FELIPE RUEDA CALDERON"/>
    <n v="257584"/>
    <n v="0"/>
    <n v="24349"/>
    <x v="1"/>
    <x v="1"/>
    <x v="1"/>
    <n v="330"/>
    <x v="0"/>
  </r>
  <r>
    <x v="3"/>
    <n v="3"/>
    <x v="1"/>
    <x v="0"/>
    <x v="1"/>
    <x v="1"/>
    <x v="2"/>
    <x v="5"/>
    <x v="0"/>
    <x v="2"/>
    <x v="1"/>
    <x v="9"/>
    <x v="1"/>
    <s v="Servicios de formación profesional en ingeniería"/>
    <x v="0"/>
    <n v="86101610"/>
    <s v="Prestación de servicios personales para realizar la digitación y consolidación de la información agrológica, acorde con los estándares de control de calidad de la entidad."/>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226"/>
    <d v="2021-01-22T00:00:00"/>
    <n v="1873015"/>
    <n v="13111105"/>
    <n v="13111105"/>
    <x v="1"/>
    <s v="MARÍA PAULA ROJAS"/>
    <n v="362089"/>
    <n v="0"/>
    <n v="24420"/>
    <x v="1"/>
    <x v="1"/>
    <x v="1"/>
    <n v="90"/>
    <x v="0"/>
  </r>
  <r>
    <x v="3"/>
    <n v="13"/>
    <x v="1"/>
    <x v="0"/>
    <x v="1"/>
    <x v="1"/>
    <x v="2"/>
    <x v="5"/>
    <x v="1"/>
    <x v="1"/>
    <x v="1"/>
    <x v="9"/>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1"/>
    <x v="1"/>
    <x v="2"/>
    <n v="57950788"/>
    <n v="57950788"/>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3"/>
    <x v="1"/>
    <x v="1"/>
    <n v="330"/>
    <x v="0"/>
  </r>
  <r>
    <x v="3"/>
    <n v="19"/>
    <x v="1"/>
    <x v="0"/>
    <x v="1"/>
    <x v="1"/>
    <x v="2"/>
    <x v="5"/>
    <x v="4"/>
    <x v="4"/>
    <x v="1"/>
    <x v="9"/>
    <x v="1"/>
    <s v="Servicios de formación profesional en ingeniería"/>
    <x v="0"/>
    <n v="86101610"/>
    <s v="Prestación de servicios personales para la ejecución de análisis básicos y aplicación de controles de calidad en el GIT Laboratorio Nacional de Suelos."/>
    <x v="5"/>
    <x v="5"/>
    <n v="7"/>
    <x v="1"/>
    <x v="1"/>
    <x v="2"/>
    <n v="54467133"/>
    <n v="54467133"/>
    <x v="1"/>
    <x v="1"/>
    <x v="4"/>
    <x v="0"/>
    <s v="Subdirección de Agrología"/>
    <s v="Subdirección de Agrología"/>
    <x v="7"/>
    <s v="Subdirector de Agrología "/>
    <x v="1"/>
    <x v="4"/>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4"/>
    <x v="1"/>
    <x v="1"/>
    <n v="270"/>
    <x v="0"/>
  </r>
  <r>
    <x v="4"/>
    <s v="1 - 2  3"/>
    <x v="1"/>
    <x v="0"/>
    <x v="1"/>
    <x v="1"/>
    <x v="2"/>
    <x v="5"/>
    <x v="0"/>
    <x v="2"/>
    <x v="1"/>
    <x v="17"/>
    <x v="1"/>
    <s v="Gases naturales y gases mixtos"/>
    <x v="0"/>
    <n v="12142100"/>
    <s v="Suministro de Gases especiales para la ejecución de análisis para el Laboratorio Nacional de Suelos. "/>
    <x v="7"/>
    <x v="7"/>
    <n v="6"/>
    <x v="1"/>
    <x v="2"/>
    <x v="2"/>
    <n v="10000000"/>
    <n v="1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n v="683"/>
    <d v="2021-07-19T00:00:00"/>
    <n v="9559115.5"/>
    <n v="9559115.5"/>
    <n v="9559115.5"/>
    <x v="1"/>
    <s v="OXIGENOS DE COLOMBIA LTDA"/>
    <n v="440884.5"/>
    <n v="0"/>
    <n v="24812"/>
    <x v="1"/>
    <x v="1"/>
    <x v="1"/>
    <n v="30"/>
    <x v="0"/>
  </r>
  <r>
    <x v="3"/>
    <n v="25"/>
    <x v="1"/>
    <x v="0"/>
    <x v="1"/>
    <x v="1"/>
    <x v="2"/>
    <x v="5"/>
    <x v="1"/>
    <x v="1"/>
    <x v="1"/>
    <x v="9"/>
    <x v="1"/>
    <s v="Servicios de formación profesional en ingeniería"/>
    <x v="0"/>
    <n v="86101610"/>
    <s v="Prestación de servicios personales para realizar el lavado y alistamiento de la instrumentación requerida para la ejecución de análisis en el GIT Laboratorio Nacional de Suelos."/>
    <x v="5"/>
    <x v="5"/>
    <n v="7"/>
    <x v="1"/>
    <x v="1"/>
    <x v="2"/>
    <n v="28519428"/>
    <n v="28519428"/>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3"/>
    <x v="1"/>
    <x v="1"/>
    <n v="330"/>
    <x v="0"/>
  </r>
  <r>
    <x v="3"/>
    <n v="1"/>
    <x v="1"/>
    <x v="0"/>
    <x v="1"/>
    <x v="1"/>
    <x v="2"/>
    <x v="5"/>
    <x v="0"/>
    <x v="2"/>
    <x v="1"/>
    <x v="9"/>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1"/>
    <x v="1"/>
    <x v="2"/>
    <n v="51312562"/>
    <n v="51312562"/>
    <x v="1"/>
    <x v="1"/>
    <x v="0"/>
    <x v="0"/>
    <s v="Subdirección de Agrología"/>
    <s v="Subdirección de Agrología"/>
    <x v="6"/>
    <s v="Subdirector de Agrología "/>
    <x v="1"/>
    <x v="3"/>
    <s v="Estudio de suelos como insumo para el ordenamiento integral del territorio."/>
    <s v="Sistema de información agrologica actualizado"/>
    <n v="105"/>
    <d v="2021-01-22T00:00:00"/>
    <n v="7261336"/>
    <n v="50829352"/>
    <n v="50829352"/>
    <x v="1"/>
    <s v="ADRIANA CAROLINA RIVADENEIRA PISCIOTTI"/>
    <n v="483210"/>
    <n v="0"/>
    <n v="24307"/>
    <x v="1"/>
    <x v="1"/>
    <x v="1"/>
    <n v="315"/>
    <x v="0"/>
  </r>
  <r>
    <x v="3"/>
    <n v="24"/>
    <x v="1"/>
    <x v="0"/>
    <x v="1"/>
    <x v="1"/>
    <x v="2"/>
    <x v="5"/>
    <x v="0"/>
    <x v="2"/>
    <x v="1"/>
    <x v="9"/>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1"/>
    <x v="1"/>
    <x v="2"/>
    <n v="33820360"/>
    <n v="33820360"/>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9"/>
    <d v="2021-01-22T00:00:00"/>
    <n v="4738790"/>
    <n v="33171530"/>
    <n v="33171530"/>
    <x v="1"/>
    <s v="ELSA MATILDE GONZÁLEZ"/>
    <n v="648830"/>
    <n v="0"/>
    <n v="24337"/>
    <x v="1"/>
    <x v="1"/>
    <x v="1"/>
    <n v="330"/>
    <x v="0"/>
  </r>
  <r>
    <x v="3"/>
    <n v="12"/>
    <x v="1"/>
    <x v="0"/>
    <x v="1"/>
    <x v="1"/>
    <x v="2"/>
    <x v="5"/>
    <x v="0"/>
    <x v="2"/>
    <x v="1"/>
    <x v="9"/>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1"/>
    <x v="1"/>
    <x v="1"/>
    <n v="330"/>
    <x v="0"/>
  </r>
  <r>
    <x v="3"/>
    <n v="7"/>
    <x v="1"/>
    <x v="0"/>
    <x v="1"/>
    <x v="1"/>
    <x v="2"/>
    <x v="5"/>
    <x v="0"/>
    <x v="2"/>
    <x v="1"/>
    <x v="9"/>
    <x v="1"/>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1"/>
    <x v="1"/>
    <x v="2"/>
    <n v="33820360"/>
    <n v="33820360"/>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738790"/>
    <n v="33171530"/>
    <n v="33171530"/>
    <x v="1"/>
    <s v="JULIANA YAMILE CUY TORRES"/>
    <n v="648830"/>
    <n v="0"/>
    <n v="24434"/>
    <x v="1"/>
    <x v="1"/>
    <x v="1"/>
    <n v="11"/>
    <x v="0"/>
  </r>
  <r>
    <x v="3"/>
    <n v="17"/>
    <x v="1"/>
    <x v="0"/>
    <x v="1"/>
    <x v="1"/>
    <x v="2"/>
    <x v="5"/>
    <x v="0"/>
    <x v="2"/>
    <x v="1"/>
    <x v="9"/>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1"/>
    <x v="1"/>
    <x v="1"/>
    <n v="330"/>
    <x v="0"/>
  </r>
  <r>
    <x v="3"/>
    <n v="10"/>
    <x v="1"/>
    <x v="0"/>
    <x v="1"/>
    <x v="1"/>
    <x v="2"/>
    <x v="5"/>
    <x v="3"/>
    <x v="3"/>
    <x v="1"/>
    <x v="9"/>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1"/>
    <x v="1"/>
    <x v="2"/>
    <n v="144876970"/>
    <n v="144876970"/>
    <x v="1"/>
    <x v="1"/>
    <x v="3"/>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2"/>
    <x v="1"/>
    <x v="1"/>
    <n v="330"/>
    <x v="0"/>
  </r>
  <r>
    <x v="3"/>
    <n v="31"/>
    <x v="1"/>
    <x v="0"/>
    <x v="1"/>
    <x v="1"/>
    <x v="2"/>
    <x v="6"/>
    <x v="0"/>
    <x v="2"/>
    <x v="1"/>
    <x v="9"/>
    <x v="0"/>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6"/>
    <x v="6"/>
    <n v="11"/>
    <x v="1"/>
    <x v="1"/>
    <x v="0"/>
    <n v="47300000"/>
    <n v="47300000"/>
    <x v="1"/>
    <x v="1"/>
    <x v="0"/>
    <x v="0"/>
    <s v="Subdirección de Agrología"/>
    <s v="Subdirección de Agrología"/>
    <x v="0"/>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1"/>
    <x v="1"/>
    <x v="1"/>
    <n v="325"/>
    <x v="0"/>
  </r>
  <r>
    <x v="3"/>
    <n v="14"/>
    <x v="1"/>
    <x v="0"/>
    <x v="1"/>
    <x v="1"/>
    <x v="2"/>
    <x v="5"/>
    <x v="1"/>
    <x v="1"/>
    <x v="1"/>
    <x v="9"/>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1"/>
    <x v="1"/>
    <x v="2"/>
    <n v="67640720"/>
    <n v="67640720"/>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3"/>
    <x v="1"/>
    <x v="1"/>
    <n v="330"/>
    <x v="0"/>
  </r>
  <r>
    <x v="3"/>
    <n v="9"/>
    <x v="1"/>
    <x v="0"/>
    <x v="1"/>
    <x v="1"/>
    <x v="2"/>
    <x v="5"/>
    <x v="7"/>
    <x v="6"/>
    <x v="1"/>
    <x v="9"/>
    <x v="1"/>
    <s v="Servicios de formación profesional en ingeniería"/>
    <x v="0"/>
    <n v="86101610"/>
    <s v="Prestación de servicios profesionales para realizar el levantamiento de suelos  y capacidad de uso de las tierras en los proyectos que adelanta la Subdirección de Agrología"/>
    <x v="5"/>
    <x v="5"/>
    <n v="7"/>
    <x v="1"/>
    <x v="1"/>
    <x v="2"/>
    <n v="202827758"/>
    <n v="202827758"/>
    <x v="1"/>
    <x v="1"/>
    <x v="7"/>
    <x v="0"/>
    <s v="Subdirección de Agrología"/>
    <s v="Subdirección de Agrología"/>
    <x v="6"/>
    <s v="Subdirector de Agrología "/>
    <x v="1"/>
    <x v="3"/>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6"/>
    <x v="1"/>
    <x v="1"/>
    <n v="11"/>
    <x v="0"/>
  </r>
  <r>
    <x v="3"/>
    <n v="34"/>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1"/>
    <x v="1"/>
    <x v="1"/>
    <n v="240"/>
    <x v="0"/>
  </r>
  <r>
    <x v="3"/>
    <n v="27"/>
    <x v="1"/>
    <x v="0"/>
    <x v="1"/>
    <x v="1"/>
    <x v="2"/>
    <x v="6"/>
    <x v="0"/>
    <x v="2"/>
    <x v="1"/>
    <x v="9"/>
    <x v="0"/>
    <s v="Servicios de formación profesional en ingeniería"/>
    <x v="0"/>
    <n v="86101610"/>
    <s v="Prestación de servicios para realizar la preparación y alistamiento de equipos, reactivos y materiales y apoyo en los diferentes procesos de análisis del Laboratorio Nacional de Suel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1"/>
    <x v="1"/>
    <x v="1"/>
    <n v="330"/>
    <x v="0"/>
  </r>
  <r>
    <x v="3"/>
    <n v="37"/>
    <x v="1"/>
    <x v="0"/>
    <x v="1"/>
    <x v="1"/>
    <x v="2"/>
    <x v="6"/>
    <x v="0"/>
    <x v="2"/>
    <x v="1"/>
    <x v="9"/>
    <x v="0"/>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1"/>
    <x v="1"/>
    <x v="1"/>
    <n v="320"/>
    <x v="0"/>
  </r>
  <r>
    <x v="3"/>
    <n v="32"/>
    <x v="1"/>
    <x v="0"/>
    <x v="1"/>
    <x v="1"/>
    <x v="2"/>
    <x v="6"/>
    <x v="0"/>
    <x v="2"/>
    <x v="1"/>
    <x v="9"/>
    <x v="0"/>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1"/>
    <x v="1"/>
    <x v="1"/>
    <n v="320"/>
    <x v="0"/>
  </r>
  <r>
    <x v="3"/>
    <n v="28"/>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1"/>
    <x v="1"/>
    <x v="1"/>
    <m/>
    <x v="0"/>
  </r>
  <r>
    <x v="3"/>
    <n v="29"/>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1"/>
    <x v="1"/>
    <x v="0"/>
    <n v="330"/>
    <x v="0"/>
  </r>
  <r>
    <x v="3"/>
    <n v="36"/>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1"/>
    <x v="1"/>
    <x v="0"/>
    <n v="240"/>
    <x v="0"/>
  </r>
  <r>
    <x v="3"/>
    <n v="33"/>
    <x v="1"/>
    <x v="0"/>
    <x v="1"/>
    <x v="1"/>
    <x v="2"/>
    <x v="6"/>
    <x v="0"/>
    <x v="2"/>
    <x v="1"/>
    <x v="9"/>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1"/>
    <x v="1"/>
    <x v="1"/>
    <n v="320"/>
    <x v="0"/>
  </r>
  <r>
    <x v="3"/>
    <n v="38"/>
    <x v="1"/>
    <x v="0"/>
    <x v="1"/>
    <x v="1"/>
    <x v="2"/>
    <x v="6"/>
    <x v="0"/>
    <x v="2"/>
    <x v="1"/>
    <x v="12"/>
    <x v="0"/>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1"/>
    <x v="1"/>
    <x v="0"/>
    <n v="53900000"/>
    <n v="53900000"/>
    <x v="1"/>
    <x v="1"/>
    <x v="0"/>
    <x v="0"/>
    <s v="Subdirección de Agrología"/>
    <s v="Subdirección de Agrología"/>
    <x v="0"/>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1"/>
    <x v="1"/>
    <x v="1"/>
    <n v="180"/>
    <x v="0"/>
  </r>
  <r>
    <x v="3"/>
    <n v="43"/>
    <x v="1"/>
    <x v="0"/>
    <x v="1"/>
    <x v="1"/>
    <x v="2"/>
    <x v="5"/>
    <x v="0"/>
    <x v="2"/>
    <x v="1"/>
    <x v="17"/>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7"/>
    <x v="7"/>
    <n v="2"/>
    <x v="1"/>
    <x v="1"/>
    <x v="1"/>
    <n v="17054088"/>
    <n v="17054088"/>
    <x v="1"/>
    <x v="1"/>
    <x v="0"/>
    <x v="0"/>
    <s v="Subdirección de Catastro"/>
    <s v="Subdirección de Catastro"/>
    <x v="0"/>
    <s v="Subdirectora de Catastro"/>
    <x v="1"/>
    <x v="3"/>
    <s v="Actualización, Homologación y Correlación de áreas homogéneas de tierras con fines múltiples."/>
    <s v="Sistema de Información Agrológica Actualizado"/>
    <n v="670"/>
    <d v="2021-07-08T00:00:00"/>
    <n v="4263522"/>
    <n v="8527044"/>
    <n v="8527044"/>
    <x v="1"/>
    <s v="INGRID FERNANDA RODRÍGUEZ LUCAS"/>
    <n v="8527044"/>
    <n v="0"/>
    <n v="24795"/>
    <x v="1"/>
    <x v="7"/>
    <x v="1"/>
    <n v="60"/>
    <x v="0"/>
  </r>
  <r>
    <x v="3"/>
    <n v="42"/>
    <x v="1"/>
    <x v="0"/>
    <x v="1"/>
    <x v="1"/>
    <x v="2"/>
    <x v="5"/>
    <x v="0"/>
    <x v="2"/>
    <x v="1"/>
    <x v="17"/>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7"/>
    <x v="7"/>
    <n v="2"/>
    <x v="1"/>
    <x v="1"/>
    <x v="1"/>
    <n v="17054088"/>
    <n v="17054088"/>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5"/>
    <d v="2021-07-07T00:00:00"/>
    <n v="4263522"/>
    <n v="8527044"/>
    <n v="8527044"/>
    <x v="1"/>
    <s v="JHON EDER MONTERO ESPINOSA"/>
    <n v="8527044"/>
    <n v="0"/>
    <n v="24790"/>
    <x v="0"/>
    <x v="0"/>
    <x v="0"/>
    <n v="312"/>
    <x v="0"/>
  </r>
  <r>
    <x v="0"/>
    <m/>
    <x v="2"/>
    <x v="3"/>
    <x v="1"/>
    <x v="1"/>
    <x v="0"/>
    <x v="0"/>
    <x v="0"/>
    <x v="2"/>
    <x v="1"/>
    <x v="0"/>
    <x v="1"/>
    <s v="Servicios de formación profesional en ingeniería"/>
    <x v="0"/>
    <n v="86101610"/>
    <s v="Prestación de servicios profesionales para realizar seguimiento y control a la gestión de los procesos de la Subdirección de Agrología"/>
    <x v="0"/>
    <x v="0"/>
    <n v="6"/>
    <x v="1"/>
    <x v="1"/>
    <x v="1"/>
    <n v="29858544"/>
    <n v="29858544"/>
    <x v="1"/>
    <x v="2"/>
    <x v="0"/>
    <x v="0"/>
    <s v="Subdirección de Agrología"/>
    <s v="Subdirección de Agrología"/>
    <x v="9"/>
    <s v="Subdirección de Agrología"/>
    <x v="2"/>
    <x v="5"/>
    <s v="Generación de estudios de suelos, tierras y aplicaciones agrológicas como insumo para el ordenamiento integral y el manejo sostenible del territorio a nivel Nacional"/>
    <s v="Sistema de información agrologica actualizado"/>
    <m/>
    <d v="2021-08-25T00:00:00"/>
    <n v="4976424"/>
    <n v="20735100"/>
    <n v="20735100"/>
    <x v="1"/>
    <s v="JOSÉ MAURICIO MOYA GARCÍA"/>
    <n v="9123444"/>
    <n v="0"/>
    <m/>
    <x v="1"/>
    <x v="1"/>
    <x v="1"/>
    <n v="125"/>
    <x v="0"/>
  </r>
  <r>
    <x v="3"/>
    <n v="35"/>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1"/>
    <x v="1"/>
    <x v="1"/>
    <n v="320"/>
    <x v="0"/>
  </r>
  <r>
    <x v="0"/>
    <m/>
    <x v="2"/>
    <x v="0"/>
    <x v="1"/>
    <x v="1"/>
    <x v="0"/>
    <x v="0"/>
    <x v="0"/>
    <x v="0"/>
    <x v="0"/>
    <x v="0"/>
    <x v="1"/>
    <s v="Servicios de formación profesional en ingeniería"/>
    <x v="0"/>
    <n v="86101610"/>
    <s v="Prestación de servicios profesionales para ejecutar  análisis de media complejidad, aplicar controles de calidad  y registro de información para el municipio de Pereira en el Laboratorio Nacional de Suelos."/>
    <x v="0"/>
    <x v="0"/>
    <n v="4"/>
    <x v="1"/>
    <x v="1"/>
    <x v="1"/>
    <n v="10685932"/>
    <n v="10685932"/>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2671483"/>
    <m/>
    <x v="0"/>
    <x v="0"/>
    <x v="0"/>
    <m/>
    <x v="0"/>
  </r>
  <r>
    <x v="0"/>
    <m/>
    <x v="2"/>
    <x v="0"/>
    <x v="1"/>
    <x v="1"/>
    <x v="0"/>
    <x v="0"/>
    <x v="0"/>
    <x v="0"/>
    <x v="0"/>
    <x v="0"/>
    <x v="1"/>
    <s v="Servicios de formación profesional en ingeniería"/>
    <x v="0"/>
    <n v="86101610"/>
    <s v="Prestación de Servicios Profesionales para realizar el control de calidad de la interacción de la información geomorfológica, edafológica, y de capacidad de usos de la tierra del municipio de Pereira"/>
    <x v="0"/>
    <x v="0"/>
    <n v="4"/>
    <x v="1"/>
    <x v="1"/>
    <x v="1"/>
    <n v="19905696"/>
    <n v="19905696"/>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4976424"/>
    <m/>
    <x v="0"/>
    <x v="0"/>
    <x v="0"/>
    <m/>
    <x v="0"/>
  </r>
  <r>
    <x v="0"/>
    <m/>
    <x v="2"/>
    <x v="0"/>
    <x v="1"/>
    <x v="1"/>
    <x v="0"/>
    <x v="0"/>
    <x v="0"/>
    <x v="0"/>
    <x v="0"/>
    <x v="0"/>
    <x v="1"/>
    <s v="Servicios de formación profesional en ingeniería"/>
    <x v="0"/>
    <n v="86101610"/>
    <s v="Prestación del servicio de calibración acreditada de equipos e instrumentos del Laboratorio Nacional de Suelos."/>
    <x v="8"/>
    <x v="8"/>
    <n v="4"/>
    <x v="1"/>
    <x v="3"/>
    <x v="1"/>
    <n v="90000000"/>
    <n v="9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Adquisición de reactivos y materiales para el GIT Laboratorio Nacional de Suelos."/>
    <x v="8"/>
    <x v="8"/>
    <n v="2"/>
    <x v="1"/>
    <x v="3"/>
    <x v="1"/>
    <n v="250000000"/>
    <n v="25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l servicio de mantenimiento preventivo y correctivo, con suministro de repuestos y consumibles para los equipos no exclusivos del Laboratorio Nacional de Suelos."/>
    <x v="9"/>
    <x v="9"/>
    <n v="2"/>
    <x v="1"/>
    <x v="3"/>
    <x v="1"/>
    <n v="260000000"/>
    <n v="26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 servicios profesionales para realizar la estructuración final de la información cartográfica y alfanumérica y la revisión digital de la información espacial temática del municipio de Pereira."/>
    <x v="10"/>
    <x v="10"/>
    <n v="105"/>
    <x v="0"/>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0"/>
    <m/>
    <x v="2"/>
    <x v="0"/>
    <x v="1"/>
    <x v="1"/>
    <x v="0"/>
    <x v="0"/>
    <x v="1"/>
    <x v="0"/>
    <x v="3"/>
    <x v="0"/>
    <x v="1"/>
    <s v="Servicios de formación profesional en ingeniería"/>
    <x v="0"/>
    <n v="86101610"/>
    <s v="Prestación de servicios profesionales para la interpretación de cobertura y uso de la tierra y elaboración de cartografía temática del convenio con la Gobernación de Cundinamarca."/>
    <x v="10"/>
    <x v="10"/>
    <n v="105"/>
    <x v="0"/>
    <x v="1"/>
    <x v="1"/>
    <n v="29844654"/>
    <n v="29844654"/>
    <x v="1"/>
    <x v="2"/>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3"/>
    <x v="0"/>
    <m/>
    <x v="0"/>
  </r>
  <r>
    <x v="0"/>
    <m/>
    <x v="2"/>
    <x v="0"/>
    <x v="1"/>
    <x v="1"/>
    <x v="0"/>
    <x v="0"/>
    <x v="0"/>
    <x v="0"/>
    <x v="0"/>
    <x v="0"/>
    <x v="1"/>
    <s v="Servicios de formación profesional en ingeniería"/>
    <x v="0"/>
    <n v="86101610"/>
    <s v="Prestación de servicios profesionales para realizar el seguimiento y control de calidad técnico de los diferentes proyectos que desarrolla la Subdirección de Agrología. "/>
    <x v="10"/>
    <x v="10"/>
    <n v="4"/>
    <x v="1"/>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5"/>
    <n v="35"/>
    <x v="1"/>
    <x v="0"/>
    <x v="1"/>
    <x v="2"/>
    <x v="3"/>
    <x v="7"/>
    <x v="4"/>
    <x v="4"/>
    <x v="1"/>
    <x v="14"/>
    <x v="1"/>
    <s v="Cartografía"/>
    <x v="0"/>
    <n v="81151600"/>
    <s v="Prestación de servicios para apoyar la generación de ortoimágenes a diferentes escalas, de conformidad con las especificaciones técnicas y rendimientos establecidos."/>
    <x v="6"/>
    <x v="6"/>
    <n v="10"/>
    <x v="1"/>
    <x v="1"/>
    <x v="1"/>
    <n v="80144490"/>
    <n v="8014449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4"/>
    <x v="1"/>
    <x v="0"/>
    <m/>
    <x v="0"/>
  </r>
  <r>
    <x v="5"/>
    <n v="30"/>
    <x v="1"/>
    <x v="0"/>
    <x v="1"/>
    <x v="2"/>
    <x v="3"/>
    <x v="7"/>
    <x v="1"/>
    <x v="1"/>
    <x v="1"/>
    <x v="11"/>
    <x v="1"/>
    <s v="Cartografía"/>
    <x v="0"/>
    <n v="81151600"/>
    <s v="Prestación de servicios profesionales para gestionar, controlar y hacer seguimiento de los procesos de producción cartográfica, asignados de conformidad con los lineamientos establecidos."/>
    <x v="6"/>
    <x v="6"/>
    <n v="315"/>
    <x v="0"/>
    <x v="1"/>
    <x v="2"/>
    <n v="140352534"/>
    <n v="140352534"/>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206"/>
    <d v="2021-02-10T00:00:00"/>
    <n v="6683454"/>
    <n v="70176267"/>
    <n v="140352534"/>
    <x v="1"/>
    <s v="CARLOS ALBERTO SEDANO ARIZA  _x000a_CARLOS  EDUARDO  PLATA  CABRERA"/>
    <n v="0"/>
    <n v="0"/>
    <s v="24394_x000a_24395"/>
    <x v="3"/>
    <x v="1"/>
    <x v="1"/>
    <m/>
    <x v="0"/>
  </r>
  <r>
    <x v="5"/>
    <n v="31"/>
    <x v="1"/>
    <x v="0"/>
    <x v="1"/>
    <x v="2"/>
    <x v="3"/>
    <x v="7"/>
    <x v="2"/>
    <x v="7"/>
    <x v="1"/>
    <x v="11"/>
    <x v="1"/>
    <s v="Cartografía"/>
    <x v="0"/>
    <n v="81151600"/>
    <s v="Prestación de servicios para la captura o digitalización de elementos vectoriales a diferentes escalas y dimensiones, de conformidad con las especificaciones técnicas y rendimientos establecidos."/>
    <x v="6"/>
    <x v="6"/>
    <n v="11"/>
    <x v="1"/>
    <x v="1"/>
    <x v="2"/>
    <n v="381694680"/>
    <n v="381694680"/>
    <x v="1"/>
    <x v="1"/>
    <x v="2"/>
    <x v="0"/>
    <s v="Subdirección de Geografía y Cartografía "/>
    <s v="Subdirección de Geografía y Cartografía "/>
    <x v="1"/>
    <s v="Subdirector de Geografía y Cartografía "/>
    <x v="3"/>
    <x v="6"/>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7"/>
    <x v="1"/>
    <x v="0"/>
    <m/>
    <x v="0"/>
  </r>
  <r>
    <x v="5"/>
    <n v="60"/>
    <x v="1"/>
    <x v="0"/>
    <x v="1"/>
    <x v="2"/>
    <x v="3"/>
    <x v="7"/>
    <x v="5"/>
    <x v="5"/>
    <x v="1"/>
    <x v="2"/>
    <x v="1"/>
    <s v="Cartografía"/>
    <x v="0"/>
    <n v="81151600"/>
    <s v="Prestacion de servicios para estructurar, integrar y validar la cartografía para los estudios y/o investigaciones geográficas asignadas"/>
    <x v="2"/>
    <x v="2"/>
    <n v="285"/>
    <x v="0"/>
    <x v="1"/>
    <x v="1"/>
    <n v="138328968"/>
    <n v="138328968"/>
    <x v="1"/>
    <x v="1"/>
    <x v="5"/>
    <x v="0"/>
    <s v="Subdirección de Geografía y Cartografía "/>
    <s v="Subdirección de Geografía y Cartografía "/>
    <x v="0"/>
    <s v="Subdirector de Geografía y Cartografía "/>
    <x v="3"/>
    <x v="6"/>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5"/>
    <x v="1"/>
    <x v="1"/>
    <m/>
    <x v="0"/>
  </r>
  <r>
    <x v="5"/>
    <n v="71"/>
    <x v="1"/>
    <x v="0"/>
    <x v="1"/>
    <x v="2"/>
    <x v="3"/>
    <x v="7"/>
    <x v="0"/>
    <x v="2"/>
    <x v="1"/>
    <x v="2"/>
    <x v="1"/>
    <s v="Servicios de mantenimiento y reparación de instalación de máquinas"/>
    <x v="0"/>
    <n v="72151800"/>
    <s v="Realizar el mantenimiento de los escáneres fotogramétricos del IGAC."/>
    <x v="2"/>
    <x v="2"/>
    <n v="10"/>
    <x v="1"/>
    <x v="1"/>
    <x v="1"/>
    <n v="218640604"/>
    <n v="218640604"/>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1"/>
    <x v="1"/>
    <x v="0"/>
    <m/>
    <x v="0"/>
  </r>
  <r>
    <x v="5"/>
    <n v="77"/>
    <x v="1"/>
    <x v="0"/>
    <x v="1"/>
    <x v="2"/>
    <x v="3"/>
    <x v="7"/>
    <x v="0"/>
    <x v="2"/>
    <x v="1"/>
    <x v="18"/>
    <x v="1"/>
    <s v="Cartografía"/>
    <x v="0"/>
    <n v="81151600"/>
    <s v="Realizar el mantenimiento, patronamiento y verificación de equipos geodésicos hiper sr -hiper v y estación total os 101, incluido los respuestos,  para dar cumplimiento a las labores de fotocontrol y rastreo de coordenadas."/>
    <x v="4"/>
    <x v="4"/>
    <n v="7"/>
    <x v="1"/>
    <x v="4"/>
    <x v="1"/>
    <n v="76844250"/>
    <n v="76844250"/>
    <x v="1"/>
    <x v="1"/>
    <x v="0"/>
    <x v="0"/>
    <s v="Subdirección de Geografía y Cartografía "/>
    <s v="Subdirección de Geografía y Cartografía "/>
    <x v="1"/>
    <s v="Subdirector de Geografía y Cartografía "/>
    <x v="3"/>
    <x v="7"/>
    <s v="Densificar el marco de referencia terrestre"/>
    <s v="Puntos Geodésicos Materializados"/>
    <m/>
    <d v="2021-07-02T00:00:00"/>
    <n v="76844250"/>
    <n v="76844250"/>
    <n v="76844250"/>
    <x v="1"/>
    <s v="INICIO PROCESO"/>
    <n v="0"/>
    <n v="0"/>
    <m/>
    <x v="1"/>
    <x v="1"/>
    <x v="1"/>
    <n v="60"/>
    <x v="0"/>
  </r>
  <r>
    <x v="5"/>
    <n v="63"/>
    <x v="1"/>
    <x v="0"/>
    <x v="1"/>
    <x v="2"/>
    <x v="3"/>
    <x v="7"/>
    <x v="4"/>
    <x v="4"/>
    <x v="1"/>
    <x v="2"/>
    <x v="1"/>
    <s v="Cartografía"/>
    <x v="0"/>
    <n v="81151600"/>
    <s v="Prestación de servicios para la estandarización,  integración y disposición de información de ordenamiento territorial de los nodos regionales y locales al sistema de información geográfica definido para tal fin."/>
    <x v="2"/>
    <x v="2"/>
    <n v="255"/>
    <x v="0"/>
    <x v="1"/>
    <x v="2"/>
    <n v="75015390"/>
    <n v="75015390"/>
    <x v="1"/>
    <x v="1"/>
    <x v="4"/>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4"/>
    <x v="1"/>
    <x v="1"/>
    <m/>
    <x v="0"/>
  </r>
  <r>
    <x v="5"/>
    <n v="56"/>
    <x v="1"/>
    <x v="0"/>
    <x v="1"/>
    <x v="2"/>
    <x v="3"/>
    <x v="7"/>
    <x v="0"/>
    <x v="2"/>
    <x v="1"/>
    <x v="13"/>
    <x v="1"/>
    <s v="Cartografía"/>
    <x v="0"/>
    <n v="81151600"/>
    <s v="Prestación de servicios para realizar procesos de generalización de información cartográfica para los diferentes fines."/>
    <x v="6"/>
    <x v="6"/>
    <n v="8"/>
    <x v="1"/>
    <x v="1"/>
    <x v="1"/>
    <n v="21371864"/>
    <n v="21371864"/>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399"/>
    <d v="2021-02-25T00:00:00"/>
    <n v="2671483"/>
    <n v="21371864"/>
    <n v="21371864"/>
    <x v="1"/>
    <s v="LUZ KELLY GARCÍA CONDE"/>
    <n v="0"/>
    <n v="0"/>
    <n v="24538"/>
    <x v="1"/>
    <x v="1"/>
    <x v="1"/>
    <m/>
    <x v="0"/>
  </r>
  <r>
    <x v="5"/>
    <n v="12"/>
    <x v="1"/>
    <x v="0"/>
    <x v="1"/>
    <x v="2"/>
    <x v="3"/>
    <x v="7"/>
    <x v="6"/>
    <x v="8"/>
    <x v="1"/>
    <x v="9"/>
    <x v="1"/>
    <s v="Cartografía"/>
    <x v="0"/>
    <n v="81151600"/>
    <s v="Prestación de servicios para la captura de información vectorial, de conformidad con las especificaciones técnicas y rendimientos establecidos."/>
    <x v="5"/>
    <x v="5"/>
    <n v="11"/>
    <x v="1"/>
    <x v="1"/>
    <x v="1"/>
    <n v="352739640"/>
    <n v="352739640"/>
    <x v="1"/>
    <x v="1"/>
    <x v="6"/>
    <x v="0"/>
    <s v="Subdirección de Geografía y Cartografía "/>
    <s v="Subdirección de Geografía y Cartografía "/>
    <x v="1"/>
    <s v="Subdirector de Geografía y Cartografía "/>
    <x v="3"/>
    <x v="6"/>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1"/>
    <x v="1"/>
    <m/>
    <x v="0"/>
  </r>
  <r>
    <x v="5"/>
    <n v="75"/>
    <x v="1"/>
    <x v="0"/>
    <x v="1"/>
    <x v="2"/>
    <x v="3"/>
    <x v="7"/>
    <x v="1"/>
    <x v="1"/>
    <x v="1"/>
    <x v="3"/>
    <x v="1"/>
    <s v="Servicios de comercio internacional"/>
    <x v="0"/>
    <n v="80151600"/>
    <s v="Prestación de servicio para apoyar la organización, digitalización, control y seguimiento de los productos y servicios de la Subdirección de Geografía y Cartografía."/>
    <x v="3"/>
    <x v="3"/>
    <n v="8"/>
    <x v="1"/>
    <x v="1"/>
    <x v="2"/>
    <n v="33571440"/>
    <n v="33571440"/>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3"/>
    <x v="1"/>
    <x v="0"/>
    <m/>
    <x v="0"/>
  </r>
  <r>
    <x v="5"/>
    <n v="73"/>
    <x v="1"/>
    <x v="0"/>
    <x v="1"/>
    <x v="2"/>
    <x v="3"/>
    <x v="7"/>
    <x v="1"/>
    <x v="1"/>
    <x v="1"/>
    <x v="3"/>
    <x v="1"/>
    <s v="Servicios de comercio internacional"/>
    <x v="0"/>
    <n v="80151600"/>
    <s v="Prestación de servicios para estructurar y elaborar cartografía temática de los proyectos asignados, de conformidad con las especificaciones técnicas y los tiempos establecidos."/>
    <x v="3"/>
    <x v="3"/>
    <n v="8"/>
    <x v="1"/>
    <x v="1"/>
    <x v="2"/>
    <n v="42743728"/>
    <n v="42743728"/>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541"/>
    <d v="2021-04-22T00:00:00"/>
    <n v="2671483"/>
    <n v="21371864"/>
    <n v="42743728"/>
    <x v="1"/>
    <s v="SANTIAGO DÍAZ BOLÍVAR _x000a_LINA PAOLA FANDIÑO HERRERA"/>
    <n v="0"/>
    <n v="0"/>
    <s v="24686_x000a_24691"/>
    <x v="3"/>
    <x v="1"/>
    <x v="0"/>
    <m/>
    <x v="0"/>
  </r>
  <r>
    <x v="0"/>
    <m/>
    <x v="2"/>
    <x v="13"/>
    <x v="1"/>
    <x v="2"/>
    <x v="0"/>
    <x v="0"/>
    <x v="0"/>
    <x v="2"/>
    <x v="1"/>
    <x v="0"/>
    <x v="1"/>
    <s v="Servicios de formación profesional en ingeniería"/>
    <x v="0"/>
    <n v="86101610"/>
    <s v="Prestación de servicios para la implementación de contenidos e interfaces de los productos digitales asociados a los procesos geográficos, geodésicos y cartográficos. "/>
    <x v="0"/>
    <x v="0"/>
    <n v="130"/>
    <x v="0"/>
    <x v="1"/>
    <x v="2"/>
    <n v="24950436.333333332"/>
    <n v="24950436.333333299"/>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0"/>
    <d v="2021-08-19T00:00:00"/>
    <n v="5757793"/>
    <n v="24950436.333333332"/>
    <n v="24950436.333333332"/>
    <x v="1"/>
    <s v="HERNANDO ENRIQUE VARGAS LOPEZ"/>
    <n v="0"/>
    <n v="0"/>
    <n v="24833"/>
    <x v="1"/>
    <x v="1"/>
    <x v="1"/>
    <n v="130"/>
    <x v="0"/>
  </r>
  <r>
    <x v="5"/>
    <n v="34"/>
    <x v="1"/>
    <x v="0"/>
    <x v="1"/>
    <x v="2"/>
    <x v="3"/>
    <x v="7"/>
    <x v="0"/>
    <x v="2"/>
    <x v="1"/>
    <x v="12"/>
    <x v="1"/>
    <s v="Cartografía"/>
    <x v="0"/>
    <n v="81151600"/>
    <s v="Prestación de servicios para realizar apoyo a la gestión administrativa de los procesos y proyectos misionales de la Subdirección de Geografía y Cartografía"/>
    <x v="2"/>
    <x v="2"/>
    <n v="10"/>
    <x v="1"/>
    <x v="1"/>
    <x v="2"/>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41"/>
    <d v="2021-03-11T00:00:00"/>
    <e v="#N/A"/>
    <e v="#N/A"/>
    <e v="#N/A"/>
    <x v="0"/>
    <s v="JULIE ALEXANDRA PARRA SANTA"/>
    <n v="0"/>
    <n v="0"/>
    <n v="24577"/>
    <x v="1"/>
    <x v="1"/>
    <x v="0"/>
    <m/>
    <x v="0"/>
  </r>
  <r>
    <x v="0"/>
    <m/>
    <x v="2"/>
    <x v="12"/>
    <x v="1"/>
    <x v="2"/>
    <x v="0"/>
    <x v="0"/>
    <x v="0"/>
    <x v="2"/>
    <x v="1"/>
    <x v="0"/>
    <x v="1"/>
    <s v="Servicios de formación profesional en ingeniería"/>
    <x v="0"/>
    <n v="86101610"/>
    <s v="Prestación de servicios para apoyar la implementación de productos digitales asociados a los procesos geográficos, geodésicos y cartográficos."/>
    <x v="0"/>
    <x v="0"/>
    <n v="130"/>
    <x v="0"/>
    <x v="1"/>
    <x v="2"/>
    <n v="11576426"/>
    <n v="11576426.3333333"/>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1"/>
    <d v="2021-08-19T00:00:00"/>
    <n v="2671483"/>
    <n v="11576426"/>
    <n v="11576426"/>
    <x v="1"/>
    <s v="NICOLAS  DUPLAT VELASQUEZ"/>
    <n v="0.33333330042660198"/>
    <n v="0"/>
    <n v="24832"/>
    <x v="1"/>
    <x v="1"/>
    <x v="1"/>
    <n v="130"/>
    <x v="0"/>
  </r>
  <r>
    <x v="5"/>
    <n v="25"/>
    <x v="1"/>
    <x v="0"/>
    <x v="1"/>
    <x v="2"/>
    <x v="3"/>
    <x v="7"/>
    <x v="1"/>
    <x v="1"/>
    <x v="1"/>
    <x v="11"/>
    <x v="1"/>
    <s v="Cartografía"/>
    <x v="0"/>
    <n v="81151600"/>
    <s v="Prestación de servicios profesionales para orientar y optimizar los procesos de producción cartográfica, asignados de conformidad con los lineamientos establecidos."/>
    <x v="6"/>
    <x v="6"/>
    <n v="315"/>
    <x v="0"/>
    <x v="1"/>
    <x v="2"/>
    <n v="120913653"/>
    <n v="120913653"/>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199"/>
    <d v="2021-02-05T00:00:00"/>
    <n v="5757793"/>
    <n v="60456826"/>
    <n v="120913652"/>
    <x v="1"/>
    <s v="MIGUEL ANGEL RAMÍREZ GUTIÉRREZ_x000a_VICTOR ANDRÉS MARTÍNEZ RUÍZ"/>
    <n v="1"/>
    <n v="0"/>
    <s v="24386_x000a_24388"/>
    <x v="3"/>
    <x v="1"/>
    <x v="1"/>
    <m/>
    <x v="0"/>
  </r>
  <r>
    <x v="5"/>
    <n v="5"/>
    <x v="1"/>
    <x v="0"/>
    <x v="1"/>
    <x v="2"/>
    <x v="3"/>
    <x v="7"/>
    <x v="0"/>
    <x v="2"/>
    <x v="1"/>
    <x v="9"/>
    <x v="1"/>
    <s v="Cartografía"/>
    <x v="0"/>
    <n v="81151600"/>
    <s v="Prestación de servicios para la generación de contenidos asociados a los procesos geográficos, cartográficos y geodésicos"/>
    <x v="6"/>
    <x v="6"/>
    <n v="9"/>
    <x v="1"/>
    <x v="1"/>
    <x v="1"/>
    <n v="50310810"/>
    <n v="50310810"/>
    <x v="1"/>
    <x v="1"/>
    <x v="0"/>
    <x v="0"/>
    <s v="Subdirección de Geografía y Cartografía "/>
    <s v="Subdirección de Geografía y Cartografía "/>
    <x v="1"/>
    <s v="Subdirector de Geografía y Cartografía "/>
    <x v="4"/>
    <x v="8"/>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1"/>
    <x v="1"/>
    <x v="1"/>
    <n v="275"/>
    <x v="0"/>
  </r>
  <r>
    <x v="5"/>
    <n v="48"/>
    <x v="1"/>
    <x v="0"/>
    <x v="1"/>
    <x v="2"/>
    <x v="3"/>
    <x v="7"/>
    <x v="0"/>
    <x v="2"/>
    <x v="1"/>
    <x v="9"/>
    <x v="1"/>
    <s v="Cartografía"/>
    <x v="0"/>
    <n v="81151600"/>
    <s v="Prestación de servicios profesionales para realizar el control de calidad de los diagnósticos de los límites de las entidades territoriales y demás proyectos asociados"/>
    <x v="6"/>
    <x v="6"/>
    <n v="10"/>
    <x v="1"/>
    <x v="1"/>
    <x v="2"/>
    <n v="35342100"/>
    <n v="35342100"/>
    <x v="1"/>
    <x v="1"/>
    <x v="0"/>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1"/>
    <x v="1"/>
    <x v="1"/>
    <m/>
    <x v="0"/>
  </r>
  <r>
    <x v="5"/>
    <n v="3"/>
    <x v="1"/>
    <x v="0"/>
    <x v="1"/>
    <x v="2"/>
    <x v="3"/>
    <x v="7"/>
    <x v="0"/>
    <x v="2"/>
    <x v="1"/>
    <x v="9"/>
    <x v="1"/>
    <s v="Cartografía"/>
    <x v="0"/>
    <n v="81151600"/>
    <s v="Prestación de servicios para apoyar la implementación de métodos estadísticos en la subdirección y generación de nuevos productos."/>
    <x v="6"/>
    <x v="6"/>
    <n v="9"/>
    <x v="1"/>
    <x v="1"/>
    <x v="1"/>
    <n v="65973294"/>
    <n v="65973294"/>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1"/>
    <x v="1"/>
    <x v="1"/>
    <m/>
    <x v="0"/>
  </r>
  <r>
    <x v="5"/>
    <n v="17"/>
    <x v="1"/>
    <x v="0"/>
    <x v="1"/>
    <x v="2"/>
    <x v="3"/>
    <x v="7"/>
    <x v="0"/>
    <x v="2"/>
    <x v="1"/>
    <x v="9"/>
    <x v="1"/>
    <s v="Cartografía"/>
    <x v="0"/>
    <n v="81151600"/>
    <s v="Prestación de servicios profesionales para el seguimiento al proceso de implementación de los servicios ntrip vrs"/>
    <x v="5"/>
    <x v="5"/>
    <n v="11"/>
    <x v="1"/>
    <x v="1"/>
    <x v="2"/>
    <n v="28530403"/>
    <n v="28530403"/>
    <x v="1"/>
    <x v="1"/>
    <x v="0"/>
    <x v="0"/>
    <s v="Subdirección de Geografía y Cartografía "/>
    <s v="Subdirección de Geografía y Cartografía "/>
    <x v="1"/>
    <s v="Subdirector de Geografía y Cartografía "/>
    <x v="3"/>
    <x v="7"/>
    <s v="Densificar el marco de referencia terrestre"/>
    <s v="Datos altimétricos generados"/>
    <n v="123"/>
    <d v="2021-01-27T00:00:00"/>
    <n v="2671483"/>
    <n v="28495819"/>
    <n v="28495819"/>
    <x v="1"/>
    <s v="JUAN DAVID HURTADO JAIMES"/>
    <n v="34584"/>
    <n v="0"/>
    <n v="24261"/>
    <x v="1"/>
    <x v="1"/>
    <x v="1"/>
    <n v="30"/>
    <x v="0"/>
  </r>
  <r>
    <x v="5"/>
    <n v="18"/>
    <x v="1"/>
    <x v="0"/>
    <x v="1"/>
    <x v="2"/>
    <x v="3"/>
    <x v="7"/>
    <x v="0"/>
    <x v="2"/>
    <x v="1"/>
    <x v="9"/>
    <x v="1"/>
    <s v="Cartografía"/>
    <x v="0"/>
    <n v="81151600"/>
    <s v="Prestación de servicios para el análisis, procesamiento y caracterización de imágenes insumo para la producción cartográfica."/>
    <x v="5"/>
    <x v="5"/>
    <n v="11"/>
    <x v="1"/>
    <x v="1"/>
    <x v="2"/>
    <n v="28530403"/>
    <n v="28530403"/>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1"/>
    <x v="1"/>
    <x v="1"/>
    <m/>
    <x v="0"/>
  </r>
  <r>
    <x v="5"/>
    <n v="20"/>
    <x v="1"/>
    <x v="0"/>
    <x v="1"/>
    <x v="2"/>
    <x v="3"/>
    <x v="7"/>
    <x v="0"/>
    <x v="2"/>
    <x v="1"/>
    <x v="11"/>
    <x v="1"/>
    <s v="Cartografía"/>
    <x v="0"/>
    <n v="81151600"/>
    <s v="Prestación de servicios para realizar actividades que promuevan la gestión y disposición de los datos geográficos, cartográficos y geodésicos."/>
    <x v="6"/>
    <x v="6"/>
    <n v="11"/>
    <x v="1"/>
    <x v="1"/>
    <x v="2"/>
    <n v="45518000"/>
    <n v="45518000"/>
    <x v="1"/>
    <x v="1"/>
    <x v="0"/>
    <x v="0"/>
    <s v="Subdirección de Geografía y Cartografía "/>
    <s v="Subdirección de Geografía y Cartografía "/>
    <x v="1"/>
    <s v="Subdirector de Geografía y Cartografía "/>
    <x v="3"/>
    <x v="12"/>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1"/>
    <x v="1"/>
    <x v="1"/>
    <m/>
    <x v="0"/>
  </r>
  <r>
    <x v="5"/>
    <n v="1"/>
    <x v="1"/>
    <x v="0"/>
    <x v="1"/>
    <x v="2"/>
    <x v="3"/>
    <x v="7"/>
    <x v="0"/>
    <x v="2"/>
    <x v="1"/>
    <x v="9"/>
    <x v="1"/>
    <s v="Servicios de formación profesional en ingeniería"/>
    <x v="0"/>
    <n v="86101610"/>
    <s v="Prestación de servicios para apoyar la actualización de los procesos de la Subdirección de Geografía y Cartografía"/>
    <x v="5"/>
    <x v="5"/>
    <n v="11"/>
    <x v="1"/>
    <x v="1"/>
    <x v="2"/>
    <n v="45518000"/>
    <n v="4551800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2"/>
    <d v="2021-01-25T00:00:00"/>
    <n v="4263522"/>
    <n v="45477568"/>
    <n v="45477568"/>
    <x v="1"/>
    <s v="MARIANA  JARAMILLO RAMIREZ"/>
    <n v="40432"/>
    <n v="0"/>
    <n v="24243"/>
    <x v="1"/>
    <x v="1"/>
    <x v="1"/>
    <n v="280"/>
    <x v="0"/>
  </r>
  <r>
    <x v="5"/>
    <n v="46"/>
    <x v="1"/>
    <x v="0"/>
    <x v="1"/>
    <x v="2"/>
    <x v="3"/>
    <x v="7"/>
    <x v="0"/>
    <x v="2"/>
    <x v="1"/>
    <x v="9"/>
    <x v="1"/>
    <s v="Cartografía"/>
    <x v="0"/>
    <n v="81151600"/>
    <s v="Prestación de servicios para apoyar el análisis, evaluación y atención de requerimientos cartográficos relacionados con resguardos y territorios colectivos."/>
    <x v="6"/>
    <x v="6"/>
    <n v="10"/>
    <x v="1"/>
    <x v="1"/>
    <x v="2"/>
    <n v="48314800"/>
    <n v="48314800"/>
    <x v="1"/>
    <x v="1"/>
    <x v="0"/>
    <x v="0"/>
    <s v="Subdirección de Geografía y Cartografía "/>
    <s v="Subdirección de Geografía y Cartografía "/>
    <x v="1"/>
    <s v="Subdirector de Geografía y Cartografía "/>
    <x v="4"/>
    <x v="10"/>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1"/>
    <x v="1"/>
    <x v="1"/>
    <m/>
    <x v="0"/>
  </r>
  <r>
    <x v="5"/>
    <n v="54"/>
    <x v="1"/>
    <x v="0"/>
    <x v="1"/>
    <x v="2"/>
    <x v="3"/>
    <x v="7"/>
    <x v="0"/>
    <x v="2"/>
    <x v="1"/>
    <x v="9"/>
    <x v="1"/>
    <s v="Cartografía"/>
    <x v="0"/>
    <n v="81151600"/>
    <s v="Prestación de servicios profesionales para la gestión y estructuración de la información de límites y fronteras."/>
    <x v="6"/>
    <x v="6"/>
    <n v="10"/>
    <x v="1"/>
    <x v="1"/>
    <x v="1"/>
    <n v="48314800"/>
    <n v="48314800"/>
    <x v="1"/>
    <x v="1"/>
    <x v="0"/>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1"/>
    <x v="1"/>
    <x v="1"/>
    <m/>
    <x v="0"/>
  </r>
  <r>
    <x v="5"/>
    <n v="9"/>
    <x v="1"/>
    <x v="0"/>
    <x v="1"/>
    <x v="2"/>
    <x v="3"/>
    <x v="7"/>
    <x v="0"/>
    <x v="2"/>
    <x v="1"/>
    <x v="9"/>
    <x v="1"/>
    <s v="Cartografía"/>
    <x v="0"/>
    <n v="81151600"/>
    <s v="Prestación de servicios para la revisión, compilación y validación de los datos de campo y calculados de gravimetría y geomagnetismo para su vinculación a la base de datos unificados"/>
    <x v="5"/>
    <x v="5"/>
    <n v="11"/>
    <x v="1"/>
    <x v="1"/>
    <x v="2"/>
    <n v="38876310"/>
    <n v="38876310"/>
    <x v="1"/>
    <x v="1"/>
    <x v="0"/>
    <x v="0"/>
    <s v="Subdirección de Geografía y Cartografía "/>
    <s v="Subdirección de Geografía y Cartografía "/>
    <x v="1"/>
    <s v="Subdirector de Geografía y Cartografía "/>
    <x v="3"/>
    <x v="7"/>
    <s v="Densificar el marco de referencia gravimétricos"/>
    <s v="Valores gravimétricos generados"/>
    <n v="83"/>
    <d v="2021-01-22T00:00:00"/>
    <n v="3640236"/>
    <n v="38829184"/>
    <n v="38829184"/>
    <x v="1"/>
    <s v="DANIELA ANDREA HERNÁNDEZ BELTRÁN"/>
    <n v="47126"/>
    <n v="0"/>
    <n v="24236"/>
    <x v="1"/>
    <x v="1"/>
    <x v="1"/>
    <m/>
    <x v="0"/>
  </r>
  <r>
    <x v="5"/>
    <n v="7"/>
    <x v="1"/>
    <x v="0"/>
    <x v="1"/>
    <x v="2"/>
    <x v="3"/>
    <x v="7"/>
    <x v="0"/>
    <x v="2"/>
    <x v="1"/>
    <x v="9"/>
    <x v="1"/>
    <s v="Cartografía"/>
    <x v="0"/>
    <n v="81151600"/>
    <s v="Prestación de servicios profesionales para gestión de proyectos y atención a los requerimientos de la cancillería, en el marco de la demarcación de las fronteras del país."/>
    <x v="6"/>
    <x v="6"/>
    <n v="10"/>
    <x v="1"/>
    <x v="1"/>
    <x v="2"/>
    <n v="55900900"/>
    <n v="559009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1"/>
    <x v="1"/>
    <x v="1"/>
    <n v="245"/>
    <x v="0"/>
  </r>
  <r>
    <x v="5"/>
    <n v="53"/>
    <x v="1"/>
    <x v="0"/>
    <x v="1"/>
    <x v="2"/>
    <x v="3"/>
    <x v="7"/>
    <x v="0"/>
    <x v="2"/>
    <x v="1"/>
    <x v="9"/>
    <x v="1"/>
    <s v="Servicios de implementación de aplicaciones"/>
    <x v="0"/>
    <n v="81111508"/>
    <s v="Prestación de servicios para procesar y analizar información geográfica requerida para los estudios e investigaciones asignadas."/>
    <x v="6"/>
    <x v="6"/>
    <n v="255"/>
    <x v="0"/>
    <x v="1"/>
    <x v="1"/>
    <n v="24276825"/>
    <n v="24276825"/>
    <x v="1"/>
    <x v="1"/>
    <x v="0"/>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1"/>
    <x v="1"/>
    <x v="1"/>
    <m/>
    <x v="0"/>
  </r>
  <r>
    <x v="5"/>
    <n v="28"/>
    <x v="1"/>
    <x v="0"/>
    <x v="1"/>
    <x v="2"/>
    <x v="3"/>
    <x v="7"/>
    <x v="0"/>
    <x v="2"/>
    <x v="1"/>
    <x v="11"/>
    <x v="1"/>
    <s v="Cartografía"/>
    <x v="0"/>
    <n v="81151600"/>
    <s v="Prestación de servicios profesionales para la gestión, análisis y respuesta oportuna asociada con los procesos y proyectos de la Subdirección"/>
    <x v="6"/>
    <x v="6"/>
    <n v="10"/>
    <x v="1"/>
    <x v="1"/>
    <x v="1"/>
    <n v="84543460"/>
    <n v="84543460"/>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1"/>
    <x v="1"/>
    <x v="1"/>
    <m/>
    <x v="0"/>
  </r>
  <r>
    <x v="5"/>
    <n v="24"/>
    <x v="1"/>
    <x v="0"/>
    <x v="1"/>
    <x v="2"/>
    <x v="3"/>
    <x v="7"/>
    <x v="1"/>
    <x v="1"/>
    <x v="1"/>
    <x v="11"/>
    <x v="1"/>
    <s v="Cartografía"/>
    <x v="0"/>
    <n v="81151600"/>
    <s v="Prestación de servicio para realizar actividades de mantenimiento, materialización y cálculo de redes geodésicas locales y estaciones de mantenimiento continuo."/>
    <x v="6"/>
    <x v="6"/>
    <n v="11"/>
    <x v="1"/>
    <x v="1"/>
    <x v="2"/>
    <n v="62834134"/>
    <n v="62834134"/>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98"/>
    <d v="2021-02-05T00:00:00"/>
    <n v="2941780"/>
    <n v="31378987"/>
    <n v="62757974"/>
    <x v="1"/>
    <s v="ALEJANDRO RODRÍGUEZ URREA _x000a_DIEGO ANDRÉS GARCÍA CASTAÑEDA"/>
    <n v="76160"/>
    <n v="0"/>
    <s v="24385_x000a_24387"/>
    <x v="3"/>
    <x v="1"/>
    <x v="1"/>
    <n v="10"/>
    <x v="0"/>
  </r>
  <r>
    <x v="5"/>
    <n v="47"/>
    <x v="1"/>
    <x v="0"/>
    <x v="1"/>
    <x v="2"/>
    <x v="3"/>
    <x v="7"/>
    <x v="4"/>
    <x v="4"/>
    <x v="1"/>
    <x v="9"/>
    <x v="1"/>
    <s v="Cartografía"/>
    <x v="0"/>
    <n v="81151600"/>
    <s v="Prestación de servicios profesionales para realizar los diagnósticos de los límites de las entidades territoriales."/>
    <x v="6"/>
    <x v="6"/>
    <n v="10"/>
    <x v="1"/>
    <x v="1"/>
    <x v="2"/>
    <n v="85682910"/>
    <n v="85682910"/>
    <x v="1"/>
    <x v="1"/>
    <x v="4"/>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4"/>
    <x v="1"/>
    <x v="1"/>
    <m/>
    <x v="0"/>
  </r>
  <r>
    <x v="5"/>
    <n v="16"/>
    <x v="1"/>
    <x v="0"/>
    <x v="1"/>
    <x v="2"/>
    <x v="3"/>
    <x v="7"/>
    <x v="1"/>
    <x v="1"/>
    <x v="1"/>
    <x v="9"/>
    <x v="1"/>
    <s v="Cartografía"/>
    <x v="0"/>
    <n v="81151600"/>
    <s v="Prestación de servicios profesionales para realizar las actividades de cálculo de proyectos GNSS y demás asignados."/>
    <x v="5"/>
    <x v="5"/>
    <n v="11"/>
    <x v="1"/>
    <x v="1"/>
    <x v="2"/>
    <n v="66741840"/>
    <n v="66741840"/>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08"/>
    <d v="2021-01-27T00:00:00"/>
    <n v="3124732"/>
    <n v="33330475"/>
    <n v="66660950"/>
    <x v="1"/>
    <s v="PABLO ALEJANDRO MENDEZ HERNANDEZ_x000a_JENNY AZUCENA HERRERA GARZON"/>
    <n v="80890"/>
    <n v="0"/>
    <s v="24250_x000a_24251"/>
    <x v="3"/>
    <x v="1"/>
    <x v="1"/>
    <m/>
    <x v="0"/>
  </r>
  <r>
    <x v="5"/>
    <n v="6"/>
    <x v="1"/>
    <x v="0"/>
    <x v="1"/>
    <x v="2"/>
    <x v="3"/>
    <x v="7"/>
    <x v="4"/>
    <x v="4"/>
    <x v="1"/>
    <x v="9"/>
    <x v="1"/>
    <s v="Cartografía"/>
    <x v="0"/>
    <n v="81151600"/>
    <s v="Prestación de servicios profesionales para apoyar la gestión técnica de los procesos de deslindes, de conformidad con los criterios técnicos y normatividad establecida"/>
    <x v="6"/>
    <x v="6"/>
    <n v="10"/>
    <x v="1"/>
    <x v="1"/>
    <x v="2"/>
    <n v="106026300"/>
    <n v="106026300"/>
    <x v="1"/>
    <x v="1"/>
    <x v="4"/>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4"/>
    <x v="1"/>
    <x v="1"/>
    <m/>
    <x v="0"/>
  </r>
  <r>
    <x v="5"/>
    <n v="36"/>
    <x v="1"/>
    <x v="0"/>
    <x v="1"/>
    <x v="2"/>
    <x v="3"/>
    <x v="7"/>
    <x v="0"/>
    <x v="2"/>
    <x v="1"/>
    <x v="11"/>
    <x v="1"/>
    <s v="Cartografía"/>
    <x v="0"/>
    <n v="81151600"/>
    <s v="Prestación de servicios profesionales para gestionar la etapa preparatoria de las solicitudes de bienes, servicio y/o obras publicas así como registro, verificación y publicación de los tramites contractuales dentro de las plataformas"/>
    <x v="6"/>
    <x v="6"/>
    <n v="11"/>
    <x v="1"/>
    <x v="1"/>
    <x v="2"/>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86"/>
    <d v="2021-02-15T00:00:00"/>
    <n v="7550277"/>
    <n v="80536288"/>
    <n v="80536288"/>
    <x v="1"/>
    <s v="SONIA BELTRAN"/>
    <n v="97738"/>
    <n v="0"/>
    <n v="24451"/>
    <x v="1"/>
    <x v="1"/>
    <x v="1"/>
    <m/>
    <x v="0"/>
  </r>
  <r>
    <x v="5"/>
    <n v="10"/>
    <x v="1"/>
    <x v="0"/>
    <x v="1"/>
    <x v="2"/>
    <x v="3"/>
    <x v="7"/>
    <x v="4"/>
    <x v="4"/>
    <x v="1"/>
    <x v="9"/>
    <x v="1"/>
    <s v="Cartografía"/>
    <x v="0"/>
    <n v="81151600"/>
    <s v="Prestación de servicios para la organización, administración y disposición de los productos cartográficos, geográficos y geodésicos de la subdirección de geografía y cartografía. "/>
    <x v="5"/>
    <x v="5"/>
    <n v="11"/>
    <x v="1"/>
    <x v="1"/>
    <x v="2"/>
    <n v="85591209"/>
    <n v="85591209"/>
    <x v="1"/>
    <x v="1"/>
    <x v="4"/>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4"/>
    <x v="1"/>
    <x v="0"/>
    <m/>
    <x v="0"/>
  </r>
  <r>
    <x v="5"/>
    <n v="52"/>
    <x v="1"/>
    <x v="0"/>
    <x v="1"/>
    <x v="2"/>
    <x v="3"/>
    <x v="7"/>
    <x v="1"/>
    <x v="1"/>
    <x v="1"/>
    <x v="9"/>
    <x v="1"/>
    <s v="Cartografía"/>
    <x v="0"/>
    <n v="81151600"/>
    <s v="Prestación de servicios para gestionar, organizar y procesar información geográfica requerida para los estudios e investigaciones asignadas."/>
    <x v="6"/>
    <x v="6"/>
    <n v="255"/>
    <x v="0"/>
    <x v="1"/>
    <x v="2"/>
    <n v="48553649"/>
    <n v="48553649"/>
    <x v="1"/>
    <x v="1"/>
    <x v="1"/>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3"/>
    <x v="1"/>
    <x v="1"/>
    <m/>
    <x v="0"/>
  </r>
  <r>
    <x v="5"/>
    <n v="22"/>
    <x v="1"/>
    <x v="0"/>
    <x v="1"/>
    <x v="2"/>
    <x v="3"/>
    <x v="7"/>
    <x v="0"/>
    <x v="2"/>
    <x v="1"/>
    <x v="11"/>
    <x v="1"/>
    <s v="Cartografía"/>
    <x v="0"/>
    <n v="81151600"/>
    <s v="Prestación de servicios para gestionar,  realizar el control  y seguimiento a la toma de fotografía aérea y consecución de insumos necesarios para producción cartográfica."/>
    <x v="6"/>
    <x v="6"/>
    <n v="11"/>
    <x v="1"/>
    <x v="1"/>
    <x v="2"/>
    <n v="92997806"/>
    <n v="92997806"/>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1"/>
    <x v="1"/>
    <x v="1"/>
    <m/>
    <x v="0"/>
  </r>
  <r>
    <x v="5"/>
    <n v="21"/>
    <x v="1"/>
    <x v="0"/>
    <x v="1"/>
    <x v="2"/>
    <x v="3"/>
    <x v="7"/>
    <x v="0"/>
    <x v="2"/>
    <x v="1"/>
    <x v="11"/>
    <x v="1"/>
    <s v="Servicios de formación profesional en ingeniería"/>
    <x v="0"/>
    <n v="86101610"/>
    <s v="Prestación de servicios profesionales para el acompañamiento y seguimiento a la ejecución de los  proyectos  y procesos de la Subdirección de Geografía y Cartografía."/>
    <x v="6"/>
    <x v="6"/>
    <n v="11"/>
    <x v="1"/>
    <x v="1"/>
    <x v="2"/>
    <n v="92997806"/>
    <n v="9299780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170"/>
    <d v="2021-02-04T00:00:00"/>
    <n v="8707976"/>
    <n v="92885077"/>
    <n v="92885077"/>
    <x v="1"/>
    <s v="JOHANNA MARÍA DÍAZ DÍAZ_x000a_"/>
    <n v="112729"/>
    <n v="0"/>
    <n v="24355"/>
    <x v="1"/>
    <x v="1"/>
    <x v="1"/>
    <m/>
    <x v="0"/>
  </r>
  <r>
    <x v="5"/>
    <n v="8"/>
    <x v="1"/>
    <x v="0"/>
    <x v="1"/>
    <x v="2"/>
    <x v="3"/>
    <x v="7"/>
    <x v="1"/>
    <x v="1"/>
    <x v="1"/>
    <x v="9"/>
    <x v="1"/>
    <s v="Cartografía"/>
    <x v="0"/>
    <n v="81151600"/>
    <s v="Prestación de servicios para el fortalecimiento de los productos y servicios de información geográfica, cartográfica y geodésica, promoviendo su descubrimiento y uso."/>
    <x v="5"/>
    <x v="5"/>
    <n v="10"/>
    <x v="1"/>
    <x v="1"/>
    <x v="1"/>
    <n v="146607320"/>
    <n v="146607320"/>
    <x v="1"/>
    <x v="1"/>
    <x v="1"/>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3"/>
    <x v="1"/>
    <x v="1"/>
    <m/>
    <x v="0"/>
  </r>
  <r>
    <x v="5"/>
    <n v="15"/>
    <x v="1"/>
    <x v="0"/>
    <x v="1"/>
    <x v="2"/>
    <x v="3"/>
    <x v="7"/>
    <x v="4"/>
    <x v="4"/>
    <x v="1"/>
    <x v="9"/>
    <x v="1"/>
    <s v="Cartografía"/>
    <x v="0"/>
    <n v="81151600"/>
    <s v="Prestación de servicios para realizar el proceso de aerotriangulación, de conformidad con las especificaciones técnicas y rendimientos establecidos."/>
    <x v="5"/>
    <x v="5"/>
    <n v="11"/>
    <x v="1"/>
    <x v="1"/>
    <x v="2"/>
    <n v="116628930"/>
    <n v="11662893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4"/>
    <x v="1"/>
    <x v="1"/>
    <m/>
    <x v="0"/>
  </r>
  <r>
    <x v="5"/>
    <n v="19"/>
    <x v="1"/>
    <x v="0"/>
    <x v="1"/>
    <x v="2"/>
    <x v="3"/>
    <x v="7"/>
    <x v="0"/>
    <x v="2"/>
    <x v="1"/>
    <x v="11"/>
    <x v="1"/>
    <s v="Cartografía"/>
    <x v="0"/>
    <n v="81151600"/>
    <s v="Prestación de servicios para gestionar y orientar el cumplimiento de los proyectos liderados por la Subdirección de Geografía y Cartografía"/>
    <x v="6"/>
    <x v="6"/>
    <n v="11"/>
    <x v="1"/>
    <x v="1"/>
    <x v="1"/>
    <n v="117717006"/>
    <n v="117717006"/>
    <x v="1"/>
    <x v="1"/>
    <x v="0"/>
    <x v="0"/>
    <s v="Subdirección de Geografía y Cartografía "/>
    <s v="Subdirección de Geografía y Cartografía "/>
    <x v="1"/>
    <s v="Subdirector de Geografía y Cartografía "/>
    <x v="3"/>
    <x v="7"/>
    <s v="Densificar el marco de referencia terrestre"/>
    <s v="Puntos Geodésicos Materializados"/>
    <n v="131"/>
    <d v="2021-02-04T00:00:00"/>
    <n v="11022592"/>
    <n v="117574315"/>
    <n v="117574315"/>
    <x v="1"/>
    <s v="ADRIANA PACHON LOZANO"/>
    <n v="142691"/>
    <n v="0"/>
    <n v="24359"/>
    <x v="1"/>
    <x v="1"/>
    <x v="2"/>
    <n v="330"/>
    <x v="0"/>
  </r>
  <r>
    <x v="5"/>
    <n v="51"/>
    <x v="1"/>
    <x v="0"/>
    <x v="1"/>
    <x v="2"/>
    <x v="3"/>
    <x v="7"/>
    <x v="4"/>
    <x v="4"/>
    <x v="1"/>
    <x v="9"/>
    <x v="1"/>
    <s v="Cartografía"/>
    <x v="0"/>
    <n v="81151600"/>
    <s v="Prestación de servicios para elaborar los mapas temáticos y salidas gráficas requeridas para los estudios y/o investigaciones geográficas asignadas, de conformidad con los lineamientos técnicos."/>
    <x v="6"/>
    <x v="6"/>
    <n v="255"/>
    <x v="0"/>
    <x v="1"/>
    <x v="1"/>
    <n v="66138662"/>
    <n v="66138662"/>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4"/>
    <x v="1"/>
    <x v="1"/>
    <m/>
    <x v="0"/>
  </r>
  <r>
    <x v="5"/>
    <n v="13"/>
    <x v="1"/>
    <x v="0"/>
    <x v="1"/>
    <x v="2"/>
    <x v="3"/>
    <x v="7"/>
    <x v="3"/>
    <x v="3"/>
    <x v="1"/>
    <x v="9"/>
    <x v="1"/>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1"/>
    <x v="1"/>
    <x v="2"/>
    <n v="142652015"/>
    <n v="142652015"/>
    <x v="1"/>
    <x v="1"/>
    <x v="3"/>
    <x v="0"/>
    <s v="Subdirección de Geografía y Cartografía "/>
    <s v="Subdirección de Geografía y Cartografía "/>
    <x v="1"/>
    <s v="Subdirector de Geografía y Cartografía "/>
    <x v="3"/>
    <x v="7"/>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2"/>
    <x v="1"/>
    <x v="1"/>
    <m/>
    <x v="0"/>
  </r>
  <r>
    <x v="5"/>
    <n v="44"/>
    <x v="1"/>
    <x v="0"/>
    <x v="1"/>
    <x v="2"/>
    <x v="3"/>
    <x v="7"/>
    <x v="2"/>
    <x v="7"/>
    <x v="1"/>
    <x v="11"/>
    <x v="1"/>
    <s v="Cartografía"/>
    <x v="0"/>
    <n v="81151600"/>
    <s v="Prestación de servicios para implementar y optimizar los procesos de aseguramiento de la calidad de productos cartográficos, de conformidad con las especificaciones técnicas y rendimientos establecidos."/>
    <x v="6"/>
    <x v="6"/>
    <n v="10"/>
    <x v="1"/>
    <x v="1"/>
    <x v="1"/>
    <n v="212052600"/>
    <n v="212052600"/>
    <x v="1"/>
    <x v="1"/>
    <x v="2"/>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7"/>
    <x v="1"/>
    <x v="1"/>
    <m/>
    <x v="0"/>
  </r>
  <r>
    <x v="5"/>
    <n v="55"/>
    <x v="1"/>
    <x v="0"/>
    <x v="1"/>
    <x v="2"/>
    <x v="3"/>
    <x v="7"/>
    <x v="1"/>
    <x v="1"/>
    <x v="1"/>
    <x v="9"/>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6"/>
    <x v="6"/>
    <n v="9"/>
    <x v="1"/>
    <x v="1"/>
    <x v="2"/>
    <n v="51409746"/>
    <n v="51409746"/>
    <x v="1"/>
    <x v="1"/>
    <x v="1"/>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3"/>
    <x v="1"/>
    <x v="1"/>
    <m/>
    <x v="0"/>
  </r>
  <r>
    <x v="5"/>
    <n v="49"/>
    <x v="1"/>
    <x v="0"/>
    <x v="1"/>
    <x v="2"/>
    <x v="3"/>
    <x v="7"/>
    <x v="5"/>
    <x v="5"/>
    <x v="1"/>
    <x v="11"/>
    <x v="1"/>
    <s v="Cartografía"/>
    <x v="0"/>
    <n v="81151600"/>
    <s v="Prestación de servicios para analizar y desarrollar el componente temático de los estudios y/o investigaciones geográficas asignadas, de conformidad con la metodología establecida."/>
    <x v="6"/>
    <x v="6"/>
    <n v="255"/>
    <x v="0"/>
    <x v="1"/>
    <x v="2"/>
    <n v="120163140"/>
    <n v="120163140"/>
    <x v="1"/>
    <x v="1"/>
    <x v="5"/>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5"/>
    <x v="1"/>
    <x v="1"/>
    <m/>
    <x v="0"/>
  </r>
  <r>
    <x v="5"/>
    <n v="11"/>
    <x v="1"/>
    <x v="0"/>
    <x v="1"/>
    <x v="2"/>
    <x v="3"/>
    <x v="7"/>
    <x v="3"/>
    <x v="3"/>
    <x v="1"/>
    <x v="9"/>
    <x v="1"/>
    <s v="Cartografía"/>
    <x v="0"/>
    <n v="81151600"/>
    <s v="Prestación de servicios para realizar la asignación , seguimiento y control de calidad de los procesos de producción cartográfica, de conformidad con las especificaciones técnicas y rendimientos establecidos."/>
    <x v="5"/>
    <x v="5"/>
    <n v="11"/>
    <x v="1"/>
    <x v="1"/>
    <x v="2"/>
    <n v="265731400"/>
    <n v="265731400"/>
    <x v="1"/>
    <x v="1"/>
    <x v="3"/>
    <x v="0"/>
    <s v="Subdirección de Geografía y Cartografía "/>
    <s v="Subdirección de Geografía y Cartografía "/>
    <x v="1"/>
    <s v="Subdirector de Geografía y Cartografía "/>
    <x v="3"/>
    <x v="6"/>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2"/>
    <x v="1"/>
    <x v="1"/>
    <m/>
    <x v="0"/>
  </r>
  <r>
    <x v="5"/>
    <n v="50"/>
    <x v="1"/>
    <x v="0"/>
    <x v="1"/>
    <x v="2"/>
    <x v="3"/>
    <x v="7"/>
    <x v="4"/>
    <x v="4"/>
    <x v="1"/>
    <x v="9"/>
    <x v="1"/>
    <s v="Cartografía"/>
    <x v="0"/>
    <n v="81151600"/>
    <s v="Prestación de servicios para analizar, consolidar e integrar los documentos técnicos de los estudios e investigaciones geográficas, de conformidad con la metodología establecida."/>
    <x v="6"/>
    <x v="6"/>
    <n v="255"/>
    <x v="0"/>
    <x v="1"/>
    <x v="2"/>
    <n v="165464145"/>
    <n v="165464145"/>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4"/>
    <x v="1"/>
    <x v="1"/>
    <m/>
    <x v="0"/>
  </r>
  <r>
    <x v="5"/>
    <n v="14"/>
    <x v="1"/>
    <x v="0"/>
    <x v="1"/>
    <x v="2"/>
    <x v="3"/>
    <x v="7"/>
    <x v="8"/>
    <x v="9"/>
    <x v="1"/>
    <x v="9"/>
    <x v="1"/>
    <s v="Cartografía"/>
    <x v="0"/>
    <n v="81151600"/>
    <s v="Prestación de servicios para realizar la edición, estructuración e integración de la cartografía básica, de conformidad con las especificaciones técnicas establecidas."/>
    <x v="5"/>
    <x v="5"/>
    <n v="11"/>
    <x v="1"/>
    <x v="1"/>
    <x v="2"/>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1"/>
    <x v="1"/>
    <m/>
    <x v="0"/>
  </r>
  <r>
    <x v="5"/>
    <n v="62"/>
    <x v="1"/>
    <x v="0"/>
    <x v="1"/>
    <x v="2"/>
    <x v="3"/>
    <x v="7"/>
    <x v="4"/>
    <x v="4"/>
    <x v="1"/>
    <x v="14"/>
    <x v="1"/>
    <s v="Cartografía"/>
    <x v="0"/>
    <n v="81151600"/>
    <s v="Prestación de servicios para analizar, elaborar y consolidar la caracterización territorial para los municipios priorizados, desde cada uno de los procesos asignados y de conformidad con la metodología establecida."/>
    <x v="2"/>
    <x v="2"/>
    <n v="6"/>
    <x v="1"/>
    <x v="1"/>
    <x v="1"/>
    <n v="116798220"/>
    <n v="116798220"/>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4"/>
    <x v="1"/>
    <x v="1"/>
    <m/>
    <x v="0"/>
  </r>
  <r>
    <x v="5"/>
    <n v="26"/>
    <x v="1"/>
    <x v="0"/>
    <x v="1"/>
    <x v="2"/>
    <x v="3"/>
    <x v="7"/>
    <x v="7"/>
    <x v="6"/>
    <x v="1"/>
    <x v="11"/>
    <x v="1"/>
    <s v="Cartografía"/>
    <x v="0"/>
    <n v="81151600"/>
    <s v="Prestación de servicios para elaborar ortoimágenes a diferentes escalas, de conformidad con las especificaciones técnicas y rendimientos establecidos."/>
    <x v="6"/>
    <x v="6"/>
    <n v="315"/>
    <x v="0"/>
    <x v="1"/>
    <x v="2"/>
    <n v="194381550"/>
    <n v="194381550"/>
    <x v="1"/>
    <x v="1"/>
    <x v="7"/>
    <x v="0"/>
    <s v="Subdirección de Geografía y Cartografía "/>
    <s v="Subdirección de Geografía y Cartografía "/>
    <x v="1"/>
    <s v="Subdirector de Geografía y Cartografía "/>
    <x v="3"/>
    <x v="6"/>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6"/>
    <x v="1"/>
    <x v="1"/>
    <m/>
    <x v="0"/>
  </r>
  <r>
    <x v="5"/>
    <n v="32"/>
    <x v="1"/>
    <x v="0"/>
    <x v="1"/>
    <x v="2"/>
    <x v="3"/>
    <x v="7"/>
    <x v="0"/>
    <x v="2"/>
    <x v="1"/>
    <x v="11"/>
    <x v="1"/>
    <s v="Servicios de formación profesional en ingeniería"/>
    <x v="0"/>
    <n v="86101610"/>
    <s v="Prestación de servicios para  la preparación y trámite de información requerida para el desarrollo de los proyectos."/>
    <x v="6"/>
    <x v="6"/>
    <n v="11"/>
    <x v="1"/>
    <x v="1"/>
    <x v="1"/>
    <n v="38876310"/>
    <n v="38876310"/>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1"/>
    <x v="1"/>
    <x v="1"/>
    <m/>
    <x v="0"/>
  </r>
  <r>
    <x v="5"/>
    <n v="61"/>
    <x v="1"/>
    <x v="0"/>
    <x v="1"/>
    <x v="2"/>
    <x v="3"/>
    <x v="7"/>
    <x v="0"/>
    <x v="2"/>
    <x v="1"/>
    <x v="2"/>
    <x v="1"/>
    <s v="Cartografía"/>
    <x v="0"/>
    <n v="81151600"/>
    <s v="Prestación de servicios para la gestión, inventario y verificación de los equipos de medición de la subdirección de geografía y cartografía"/>
    <x v="2"/>
    <x v="2"/>
    <n v="315"/>
    <x v="0"/>
    <x v="1"/>
    <x v="2"/>
    <n v="28050571.5"/>
    <n v="28050571.5"/>
    <x v="1"/>
    <x v="1"/>
    <x v="0"/>
    <x v="0"/>
    <s v="Subdirección de Geografía y Cartografía "/>
    <s v="Subdirección de Geografía y Cartografía "/>
    <x v="1"/>
    <s v="Subdirector de Geografía y Cartografía "/>
    <x v="3"/>
    <x v="7"/>
    <s v="Densificar el marco de referencia terrestre"/>
    <s v="Puntos Geodésicos Materializados"/>
    <n v="430"/>
    <d v="2021-03-08T00:00:00"/>
    <n v="2671483"/>
    <n v="26714830"/>
    <n v="26714830"/>
    <x v="1"/>
    <s v="GABRIEL ENRIQUE MEJIA ZAMORA"/>
    <n v="1335741.5"/>
    <n v="0"/>
    <n v="24560"/>
    <x v="1"/>
    <x v="1"/>
    <x v="1"/>
    <m/>
    <x v="0"/>
  </r>
  <r>
    <x v="5"/>
    <n v="29"/>
    <x v="1"/>
    <x v="0"/>
    <x v="1"/>
    <x v="2"/>
    <x v="3"/>
    <x v="7"/>
    <x v="0"/>
    <x v="2"/>
    <x v="1"/>
    <x v="11"/>
    <x v="1"/>
    <s v="Cartografía"/>
    <x v="0"/>
    <n v="81151600"/>
    <s v="Prestación de servicios para gestionar los requerimientos y procesos jurídicos que lidere la subdirección de geografía y cartografía"/>
    <x v="6"/>
    <x v="6"/>
    <n v="11"/>
    <x v="1"/>
    <x v="1"/>
    <x v="1"/>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18"/>
    <d v="2021-02-09T00:00:00"/>
    <n v="7550277"/>
    <n v="79277909"/>
    <n v="79277909"/>
    <x v="1"/>
    <s v="EDGAR CAMILO GUTIÉRREZ RODRÍGUEZ"/>
    <n v="1356117"/>
    <n v="0"/>
    <n v="24408"/>
    <x v="1"/>
    <x v="1"/>
    <x v="1"/>
    <m/>
    <x v="0"/>
  </r>
  <r>
    <x v="5"/>
    <n v="65"/>
    <x v="1"/>
    <x v="0"/>
    <x v="1"/>
    <x v="2"/>
    <x v="3"/>
    <x v="7"/>
    <x v="0"/>
    <x v="2"/>
    <x v="1"/>
    <x v="2"/>
    <x v="1"/>
    <s v="Cartografía"/>
    <x v="0"/>
    <n v="81151600"/>
    <s v="Prestación de servicios para realizar estudios y análisis de información geológica como apoyo a los procesos de la Subdirección."/>
    <x v="2"/>
    <x v="2"/>
    <n v="10"/>
    <x v="1"/>
    <x v="1"/>
    <x v="2"/>
    <n v="30337200"/>
    <n v="303372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1"/>
    <x v="1"/>
    <x v="1"/>
    <m/>
    <x v="0"/>
  </r>
  <r>
    <x v="5"/>
    <n v="40"/>
    <x v="1"/>
    <x v="0"/>
    <x v="1"/>
    <x v="2"/>
    <x v="3"/>
    <x v="7"/>
    <x v="0"/>
    <x v="2"/>
    <x v="1"/>
    <x v="11"/>
    <x v="1"/>
    <s v="Cartografía"/>
    <x v="0"/>
    <n v="81151600"/>
    <s v="Prestación de servicios para realizar el seguimiento y control de calidad de los proyectos de producción cartográfica, de acuerdo con las priorizaciones"/>
    <x v="6"/>
    <x v="6"/>
    <n v="11"/>
    <x v="1"/>
    <x v="1"/>
    <x v="1"/>
    <n v="53146280"/>
    <n v="53146280"/>
    <x v="1"/>
    <x v="1"/>
    <x v="0"/>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1"/>
    <x v="1"/>
    <x v="1"/>
    <m/>
    <x v="0"/>
  </r>
  <r>
    <x v="5"/>
    <n v="45"/>
    <x v="1"/>
    <x v="0"/>
    <x v="1"/>
    <x v="2"/>
    <x v="3"/>
    <x v="7"/>
    <x v="0"/>
    <x v="2"/>
    <x v="1"/>
    <x v="11"/>
    <x v="1"/>
    <s v="Cartografía"/>
    <x v="0"/>
    <n v="81151600"/>
    <s v="Prestación de servicios profesionales para el apoyo en la gestión de procesamiento de estaciones y control de calidad en la obtención de coordenadas, de acuerdo con las especificaciones y prioridades establecidas"/>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61"/>
    <d v="2021-02-19T00:00:00"/>
    <n v="2941780"/>
    <n v="29417800"/>
    <n v="29417800"/>
    <x v="1"/>
    <s v="MARIA CAMILA BAUTISTA"/>
    <n v="1999267"/>
    <n v="0"/>
    <n v="24517"/>
    <x v="1"/>
    <x v="1"/>
    <x v="1"/>
    <m/>
    <x v="0"/>
  </r>
  <r>
    <x v="5"/>
    <n v="66"/>
    <x v="1"/>
    <x v="0"/>
    <x v="1"/>
    <x v="2"/>
    <x v="3"/>
    <x v="7"/>
    <x v="0"/>
    <x v="2"/>
    <x v="1"/>
    <x v="2"/>
    <x v="1"/>
    <s v="Cartografía"/>
    <x v="0"/>
    <n v="81151600"/>
    <s v="Prestación de servicios para gestionar desde el componente administrativo, procesos y proyectos misionales de la Subdirección de Geografía y Cartografía."/>
    <x v="2"/>
    <x v="2"/>
    <n v="10"/>
    <x v="1"/>
    <x v="1"/>
    <x v="1"/>
    <n v="31247320"/>
    <n v="3124732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56"/>
    <d v="2021-03-15T00:00:00"/>
    <n v="3124732"/>
    <n v="29164165"/>
    <n v="29164165"/>
    <x v="1"/>
    <s v="CINDY JINETH FLOREZ MOLINA"/>
    <n v="2083155"/>
    <n v="0"/>
    <n v="24596"/>
    <x v="1"/>
    <x v="1"/>
    <x v="1"/>
    <m/>
    <x v="0"/>
  </r>
  <r>
    <x v="5"/>
    <n v="42"/>
    <x v="1"/>
    <x v="0"/>
    <x v="1"/>
    <x v="2"/>
    <x v="3"/>
    <x v="7"/>
    <x v="0"/>
    <x v="2"/>
    <x v="1"/>
    <x v="11"/>
    <x v="1"/>
    <s v="Cartografía"/>
    <x v="0"/>
    <n v="81151600"/>
    <s v="Prestación de servicios para realizar la gestión, control y seguimiento del sistema y marco de referencia geodésico nacional con GNSS"/>
    <x v="6"/>
    <x v="6"/>
    <n v="11"/>
    <x v="1"/>
    <x v="1"/>
    <x v="2"/>
    <n v="53146280"/>
    <n v="53146280"/>
    <x v="1"/>
    <x v="1"/>
    <x v="0"/>
    <x v="0"/>
    <s v="Subdirección de Geografía y Cartografía "/>
    <s v="Subdirección de Geografía y Cartografía "/>
    <x v="1"/>
    <s v="Subdirector de Geografía y Cartografía "/>
    <x v="3"/>
    <x v="7"/>
    <s v="Densificar el marco de referencia terrestre"/>
    <s v="Puntos Geodésicos Materializados"/>
    <n v="326"/>
    <d v="2021-02-18T00:00:00"/>
    <n v="4976424"/>
    <n v="50925406"/>
    <n v="50925406"/>
    <x v="1"/>
    <s v="ANDRÉS FELIPE BELTRÁN ZAMUDIO"/>
    <n v="2220874"/>
    <n v="0"/>
    <n v="24487"/>
    <x v="1"/>
    <x v="1"/>
    <x v="1"/>
    <m/>
    <x v="0"/>
  </r>
  <r>
    <x v="5"/>
    <n v="41"/>
    <x v="1"/>
    <x v="0"/>
    <x v="1"/>
    <x v="2"/>
    <x v="3"/>
    <x v="7"/>
    <x v="1"/>
    <x v="1"/>
    <x v="1"/>
    <x v="11"/>
    <x v="1"/>
    <s v="Cartografía"/>
    <x v="0"/>
    <n v="81151600"/>
    <s v="Prestación de servicios para la toma de datos en campo de gravimetría y geomagnetismo."/>
    <x v="6"/>
    <x v="6"/>
    <n v="11"/>
    <x v="1"/>
    <x v="1"/>
    <x v="2"/>
    <n v="57060806"/>
    <n v="57060806"/>
    <x v="1"/>
    <x v="1"/>
    <x v="1"/>
    <x v="0"/>
    <s v="Subdirección de Geografía y Cartografía "/>
    <s v="Subdirección de Geografía y Cartografía "/>
    <x v="1"/>
    <s v="Subdirector de Geografía y Cartografía "/>
    <x v="3"/>
    <x v="7"/>
    <s v="Densificar el marco de referencia geomagnéticos"/>
    <s v="Valores geomagnéticos generados"/>
    <n v="324"/>
    <d v="2021-02-17T00:00:00"/>
    <n v="2671483"/>
    <n v="27338176"/>
    <n v="54676352"/>
    <x v="1"/>
    <s v="KAREN MILENA SIERRA GONZÁLEZ _x000a_DEIBID STIVEEN RINCÓN VEGA"/>
    <n v="2384454"/>
    <n v="0"/>
    <s v="24485_x000a_24487"/>
    <x v="3"/>
    <x v="1"/>
    <x v="1"/>
    <m/>
    <x v="0"/>
  </r>
  <r>
    <x v="5"/>
    <n v="33"/>
    <x v="1"/>
    <x v="0"/>
    <x v="1"/>
    <x v="2"/>
    <x v="3"/>
    <x v="7"/>
    <x v="0"/>
    <x v="2"/>
    <x v="1"/>
    <x v="13"/>
    <x v="1"/>
    <s v="Fotogrametría"/>
    <x v="0"/>
    <n v="81151603"/>
    <s v="Prestación de servicios para el copiado, control  y organización de información resultante de los procesos de la subdirección"/>
    <x v="6"/>
    <x v="6"/>
    <n v="11"/>
    <x v="1"/>
    <x v="1"/>
    <x v="1"/>
    <n v="31417067"/>
    <n v="31417067"/>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1"/>
    <x v="1"/>
    <x v="1"/>
    <m/>
    <x v="0"/>
  </r>
  <r>
    <x v="5"/>
    <n v="78"/>
    <x v="1"/>
    <x v="0"/>
    <x v="1"/>
    <x v="2"/>
    <x v="3"/>
    <x v="7"/>
    <x v="0"/>
    <x v="2"/>
    <x v="1"/>
    <x v="19"/>
    <x v="1"/>
    <s v="Cartografía"/>
    <x v="0"/>
    <n v="81151600"/>
    <s v="Prestación de servicios profesionales para orientar técnicamente la ejecución de los  proyectos  y procesos de la Subdirección de Geografía y Cartografía."/>
    <x v="7"/>
    <x v="7"/>
    <n v="6"/>
    <x v="1"/>
    <x v="1"/>
    <x v="2"/>
    <n v="45301662"/>
    <n v="45301662"/>
    <x v="1"/>
    <x v="1"/>
    <x v="0"/>
    <x v="0"/>
    <s v="Subdirección de Geografía y Cartografía "/>
    <s v="Subdirección de Geografía y Cartografía "/>
    <x v="0"/>
    <s v="Subdirector de Geografía y Cartografía "/>
    <x v="3"/>
    <x v="14"/>
    <s v="Generar insumos y/o productos cartográficos "/>
    <s v="Cartografía escalas Medianas generada (1:10,000, 1:25,000)"/>
    <n v="653"/>
    <d v="2021-07-06T00:00:00"/>
    <n v="7550277"/>
    <n v="42784903"/>
    <n v="42784903"/>
    <x v="1"/>
    <s v="LEIDY MARITZA BERNAL VARGAS"/>
    <n v="2516759"/>
    <n v="0"/>
    <n v="24788"/>
    <x v="1"/>
    <x v="1"/>
    <x v="1"/>
    <m/>
    <x v="0"/>
  </r>
  <r>
    <x v="5"/>
    <n v="70"/>
    <x v="1"/>
    <x v="0"/>
    <x v="1"/>
    <x v="2"/>
    <x v="3"/>
    <x v="7"/>
    <x v="0"/>
    <x v="2"/>
    <x v="1"/>
    <x v="2"/>
    <x v="1"/>
    <s v="Cartografía"/>
    <x v="0"/>
    <n v="81151600"/>
    <s v="Prestación de servicios para apoyar la gestión logística de la Subdirección de Geografía y Cartografía"/>
    <x v="2"/>
    <x v="2"/>
    <n v="10"/>
    <x v="1"/>
    <x v="1"/>
    <x v="1"/>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506"/>
    <d v="2021-03-24T00:00:00"/>
    <n v="2671483"/>
    <n v="24132396"/>
    <n v="24132396"/>
    <x v="1"/>
    <s v="JULIE ALEXANDRA PARRA SANTA"/>
    <n v="2582434"/>
    <n v="0"/>
    <n v="24639"/>
    <x v="1"/>
    <x v="1"/>
    <x v="1"/>
    <m/>
    <x v="0"/>
  </r>
  <r>
    <x v="5"/>
    <n v="64"/>
    <x v="1"/>
    <x v="0"/>
    <x v="1"/>
    <x v="2"/>
    <x v="3"/>
    <x v="7"/>
    <x v="1"/>
    <x v="1"/>
    <x v="1"/>
    <x v="2"/>
    <x v="1"/>
    <s v="Cartografía"/>
    <x v="0"/>
    <n v="81151600"/>
    <s v="Prestación de servicios para la captura de coordenadas, compilación toponímica y demás procesos en campo, de acuerdo con las especificaciones de conformidad con los lineamientos establecidos."/>
    <x v="2"/>
    <x v="2"/>
    <n v="10"/>
    <x v="1"/>
    <x v="1"/>
    <x v="1"/>
    <n v="53429660"/>
    <n v="53429660"/>
    <x v="1"/>
    <x v="1"/>
    <x v="1"/>
    <x v="0"/>
    <s v="Subdirección de Geografía y Cartografía "/>
    <s v="Subdirección de Geografía y Cartografía "/>
    <x v="1"/>
    <s v="Subdirector de Geografía y Cartografía "/>
    <x v="3"/>
    <x v="7"/>
    <s v="Densificar el marco de referencia terrestre"/>
    <s v="Puntos Geodésicos Materializados"/>
    <n v="454"/>
    <d v="2021-03-10T00:00:00"/>
    <n v="2671483"/>
    <n v="25379089"/>
    <n v="50758178"/>
    <x v="1"/>
    <s v="DUVÁN DARIO TAVERA BERMÚDEZ  _x000a_ARELIS MONTENEGRO MENDIETA "/>
    <n v="2671482"/>
    <n v="0"/>
    <s v="24591_x000a_24592"/>
    <x v="3"/>
    <x v="1"/>
    <x v="1"/>
    <m/>
    <x v="0"/>
  </r>
  <r>
    <x v="5"/>
    <n v="68"/>
    <x v="1"/>
    <x v="0"/>
    <x v="1"/>
    <x v="2"/>
    <x v="3"/>
    <x v="7"/>
    <x v="0"/>
    <x v="2"/>
    <x v="1"/>
    <x v="9"/>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1"/>
    <x v="1"/>
    <x v="2"/>
    <n v="55000000"/>
    <n v="5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1"/>
    <x v="1"/>
    <x v="1"/>
    <m/>
    <x v="0"/>
  </r>
  <r>
    <x v="5"/>
    <n v="37"/>
    <x v="1"/>
    <x v="0"/>
    <x v="1"/>
    <x v="2"/>
    <x v="3"/>
    <x v="7"/>
    <x v="1"/>
    <x v="1"/>
    <x v="1"/>
    <x v="11"/>
    <x v="1"/>
    <s v="Cartografía"/>
    <x v="0"/>
    <n v="81151600"/>
    <s v="Prestación de servicios para  realizar la evaluación y procesamiento de las  imágenes adquiridas o gestionadas por el IGAC."/>
    <x v="6"/>
    <x v="6"/>
    <n v="11"/>
    <x v="1"/>
    <x v="1"/>
    <x v="2"/>
    <n v="57060806"/>
    <n v="57060806"/>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3"/>
    <x v="1"/>
    <x v="1"/>
    <m/>
    <x v="0"/>
  </r>
  <r>
    <x v="5"/>
    <n v="23"/>
    <x v="1"/>
    <x v="0"/>
    <x v="1"/>
    <x v="2"/>
    <x v="3"/>
    <x v="7"/>
    <x v="0"/>
    <x v="2"/>
    <x v="1"/>
    <x v="11"/>
    <x v="1"/>
    <s v="Cartografía"/>
    <x v="0"/>
    <n v="81151600"/>
    <s v="Prestación de servicio para realizar la revisión y reparación de los componentes eléctricos y electrónicos de las estaciones magna-eco para su instalación en campo"/>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184"/>
    <d v="2021-02-04T00:00:00"/>
    <n v="2671483"/>
    <n v="28495819"/>
    <n v="28495819"/>
    <x v="1"/>
    <s v="YIMMY FERNEY LONDOÑO HERNANDEZ"/>
    <n v="2921248"/>
    <n v="0"/>
    <n v="24369"/>
    <x v="1"/>
    <x v="1"/>
    <x v="1"/>
    <n v="45"/>
    <x v="0"/>
  </r>
  <r>
    <x v="5"/>
    <n v="43"/>
    <x v="1"/>
    <x v="0"/>
    <x v="1"/>
    <x v="2"/>
    <x v="3"/>
    <x v="7"/>
    <x v="0"/>
    <x v="2"/>
    <x v="1"/>
    <x v="13"/>
    <x v="1"/>
    <s v="Cartografía"/>
    <x v="0"/>
    <n v="81151600"/>
    <s v="Prestación de servicios profesionales para la evaluación del control y seguimiento al funcionamiento y modernización efectiva de la red geodésica nacional."/>
    <x v="6"/>
    <x v="6"/>
    <n v="11"/>
    <x v="1"/>
    <x v="1"/>
    <x v="2"/>
    <n v="45532762"/>
    <n v="45532762"/>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20"/>
    <d v="2021-03-10T00:00:00"/>
    <n v="4263522"/>
    <n v="40503459"/>
    <n v="40503459"/>
    <x v="1"/>
    <s v="JUAN PABLO NARVAEZ SALAMANCA"/>
    <n v="5029303"/>
    <n v="0"/>
    <n v="24576"/>
    <x v="1"/>
    <x v="1"/>
    <x v="1"/>
    <m/>
    <x v="0"/>
  </r>
  <r>
    <x v="5"/>
    <n v="74"/>
    <x v="1"/>
    <x v="0"/>
    <x v="1"/>
    <x v="2"/>
    <x v="3"/>
    <x v="7"/>
    <x v="0"/>
    <x v="2"/>
    <x v="1"/>
    <x v="3"/>
    <x v="1"/>
    <s v="Cartografía"/>
    <x v="0"/>
    <n v="81151600"/>
    <s v="Contratar el servicio anual de rastreo y seguimiento satelital para los equipos de localización satelital SPOT GEN3"/>
    <x v="3"/>
    <x v="3"/>
    <n v="45"/>
    <x v="0"/>
    <x v="2"/>
    <x v="1"/>
    <n v="18000000"/>
    <n v="18000000"/>
    <x v="1"/>
    <x v="1"/>
    <x v="0"/>
    <x v="0"/>
    <s v="Subdirección de Geografia y Cartografia "/>
    <s v="Subdirección de Geografia y Cartografia "/>
    <x v="0"/>
    <s v="Subdirector de Geografia y Cartografia "/>
    <x v="3"/>
    <x v="6"/>
    <s v="Generar insumos y/o productos cartográficos"/>
    <s v="Cartografía escalas Medianas generada (1:10,000, 1:25,000)"/>
    <n v="559"/>
    <d v="2021-04-22T00:00:00"/>
    <n v="11774115"/>
    <n v="11774115"/>
    <n v="11774115"/>
    <x v="1"/>
    <s v="GLOBALSAT COLOMBIA TELECOMUNICACIONES LTDA"/>
    <n v="6225885"/>
    <n v="0"/>
    <n v="24730"/>
    <x v="1"/>
    <x v="1"/>
    <x v="1"/>
    <m/>
    <x v="0"/>
  </r>
  <r>
    <x v="6"/>
    <n v="2"/>
    <x v="1"/>
    <x v="0"/>
    <x v="1"/>
    <x v="2"/>
    <x v="3"/>
    <x v="7"/>
    <x v="0"/>
    <x v="2"/>
    <x v="1"/>
    <x v="4"/>
    <x v="1"/>
    <s v="Placa de acero inoxidable"/>
    <x v="0"/>
    <n v="30102205"/>
    <s v="Adquisición de placas metálicas para materialización de puntos geodésicos."/>
    <x v="1"/>
    <x v="1"/>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23"/>
    <d v="2021-05-19T00:00:00"/>
    <n v="3659250"/>
    <n v="3659250"/>
    <n v="3659250"/>
    <x v="1"/>
    <s v="DATUM INGENIERIA S.A.S."/>
    <n v="6340750"/>
    <n v="0"/>
    <n v="24819"/>
    <x v="1"/>
    <x v="1"/>
    <x v="0"/>
    <m/>
    <x v="0"/>
  </r>
  <r>
    <x v="6"/>
    <n v="1"/>
    <x v="1"/>
    <x v="0"/>
    <x v="1"/>
    <x v="2"/>
    <x v="3"/>
    <x v="7"/>
    <x v="0"/>
    <x v="2"/>
    <x v="1"/>
    <x v="11"/>
    <x v="1"/>
    <s v="Placa de acero inoxidable"/>
    <x v="0"/>
    <n v="30102205"/>
    <s v="Adquisición de placas metálicas para materialización de puntos geodésicos."/>
    <x v="3"/>
    <x v="3"/>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544"/>
    <d v="2021-04-21T00:00:00"/>
    <n v="3659250"/>
    <n v="3659250"/>
    <n v="3659250"/>
    <x v="1"/>
    <s v="PROCESO DECLARADO DESIERTO"/>
    <n v="6340750"/>
    <n v="0"/>
    <m/>
    <x v="1"/>
    <x v="1"/>
    <x v="0"/>
    <n v="280"/>
    <x v="0"/>
  </r>
  <r>
    <x v="6"/>
    <n v="1"/>
    <x v="1"/>
    <x v="0"/>
    <x v="1"/>
    <x v="2"/>
    <x v="3"/>
    <x v="7"/>
    <x v="0"/>
    <x v="2"/>
    <x v="1"/>
    <x v="6"/>
    <x v="1"/>
    <s v="Placa de acero inoxidable"/>
    <x v="0"/>
    <n v="30102205"/>
    <s v="Adquisición de placas metálicas para materialización de puntos geodésicos."/>
    <x v="7"/>
    <x v="7"/>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92"/>
    <d v="2021-07-26T00:00:00"/>
    <n v="3570000"/>
    <n v="3570000"/>
    <n v="3570000"/>
    <x v="1"/>
    <s v="LASER DEPOT SAS"/>
    <n v="6430000"/>
    <n v="0"/>
    <n v="24817"/>
    <x v="1"/>
    <x v="1"/>
    <x v="0"/>
    <m/>
    <x v="0"/>
  </r>
  <r>
    <x v="5"/>
    <n v="57"/>
    <x v="1"/>
    <x v="0"/>
    <x v="1"/>
    <x v="2"/>
    <x v="3"/>
    <x v="8"/>
    <x v="0"/>
    <x v="2"/>
    <x v="1"/>
    <x v="11"/>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6"/>
    <x v="6"/>
    <n v="315"/>
    <x v="0"/>
    <x v="1"/>
    <x v="0"/>
    <n v="103585482"/>
    <n v="103585482"/>
    <x v="1"/>
    <x v="1"/>
    <x v="0"/>
    <x v="0"/>
    <s v="Subdirección de Geografía y Cartografía "/>
    <s v="Subdirección de Geografía y Cartografía "/>
    <x v="0"/>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1"/>
    <x v="1"/>
    <x v="1"/>
    <m/>
    <x v="0"/>
  </r>
  <r>
    <x v="0"/>
    <m/>
    <x v="2"/>
    <x v="6"/>
    <x v="1"/>
    <x v="2"/>
    <x v="0"/>
    <x v="0"/>
    <x v="0"/>
    <x v="2"/>
    <x v="1"/>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0"/>
    <x v="0"/>
    <n v="5"/>
    <x v="1"/>
    <x v="1"/>
    <x v="0"/>
    <n v="59191704"/>
    <n v="5919170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748"/>
    <d v="2021-08-23T00:00:00"/>
    <n v="9865284"/>
    <n v="42749564"/>
    <n v="42749564"/>
    <x v="1"/>
    <s v="IVAN DARIO HERRERA PINZON"/>
    <n v="16442140"/>
    <n v="0"/>
    <n v="24834"/>
    <x v="1"/>
    <x v="1"/>
    <x v="1"/>
    <n v="130"/>
    <x v="0"/>
  </r>
  <r>
    <x v="5"/>
    <m/>
    <x v="2"/>
    <x v="3"/>
    <x v="1"/>
    <x v="2"/>
    <x v="3"/>
    <x v="7"/>
    <x v="0"/>
    <x v="2"/>
    <x v="1"/>
    <x v="18"/>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4"/>
    <x v="4"/>
    <n v="2"/>
    <x v="1"/>
    <x v="1"/>
    <x v="0"/>
    <n v="355564593"/>
    <n v="355564593"/>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7T00:00:00"/>
    <n v="336048400"/>
    <n v="336048400"/>
    <n v="336048400"/>
    <x v="1"/>
    <s v="INICIO PROCESO"/>
    <n v="19516193"/>
    <n v="0"/>
    <m/>
    <x v="1"/>
    <x v="1"/>
    <x v="1"/>
    <n v="60"/>
    <x v="0"/>
  </r>
  <r>
    <x v="5"/>
    <n v="72"/>
    <x v="1"/>
    <x v="0"/>
    <x v="1"/>
    <x v="2"/>
    <x v="3"/>
    <x v="7"/>
    <x v="3"/>
    <x v="3"/>
    <x v="1"/>
    <x v="16"/>
    <x v="1"/>
    <s v="Cartografía"/>
    <x v="0"/>
    <n v="81151600"/>
    <s v="Prestación de servicios profesionales para la toma de datos en campo de exploración, materialización , gnss, nivelación geodésica y gravimetría"/>
    <x v="3"/>
    <x v="3"/>
    <n v="260"/>
    <x v="0"/>
    <x v="1"/>
    <x v="2"/>
    <n v="156236600"/>
    <n v="156236600"/>
    <x v="1"/>
    <x v="1"/>
    <x v="3"/>
    <x v="0"/>
    <s v="Subdirección de Geografía y Cartografía "/>
    <s v="Subdirección de Geografía y Cartografía "/>
    <x v="1"/>
    <s v="Subdirector de Geografía y Cartografía "/>
    <x v="3"/>
    <x v="7"/>
    <s v="Densificar el marco de referencia terrestre"/>
    <s v="Datos altimétricos generados"/>
    <n v="535"/>
    <d v="2021-04-20T00:00:00"/>
    <n v="3124732"/>
    <n v="25518645"/>
    <n v="127593225"/>
    <x v="1"/>
    <s v="JORGE ERNESTO CORRADINE ACOSTA _x000a_NATHALIA YEPES GOMEZ_x000a_JOSE IGNACIO DUARTE_x000a_JUAN DAVID GUTIERREZ_x000a_GERMAN DAVID HERNANDEZ ESTEPA_x000a_"/>
    <n v="28643375"/>
    <n v="0"/>
    <s v="24684_x000a_24727_x000a_24732_x000a_24774_x000a_24791"/>
    <x v="2"/>
    <x v="1"/>
    <x v="1"/>
    <m/>
    <x v="0"/>
  </r>
  <r>
    <x v="5"/>
    <n v="59"/>
    <x v="1"/>
    <x v="0"/>
    <x v="1"/>
    <x v="2"/>
    <x v="3"/>
    <x v="7"/>
    <x v="0"/>
    <x v="2"/>
    <x v="1"/>
    <x v="2"/>
    <x v="1"/>
    <s v="Cartografía"/>
    <x v="0"/>
    <n v="81151600"/>
    <s v="Prestación de servicios para la preparación de insumos, validación, y digitación de la información levantada en campo"/>
    <x v="2"/>
    <x v="2"/>
    <n v="315"/>
    <x v="0"/>
    <x v="1"/>
    <x v="2"/>
    <n v="57060806"/>
    <n v="57060806"/>
    <x v="1"/>
    <x v="1"/>
    <x v="0"/>
    <x v="0"/>
    <s v="Subdirección de Geografía y Cartografía "/>
    <s v="Subdirección de Geografía y Cartografía "/>
    <x v="1"/>
    <s v="Subdirector de Geografía y Cartografía "/>
    <x v="3"/>
    <x v="7"/>
    <s v="Densificar el marco de referencia terrestre"/>
    <s v="Puntos Geodésicos Materializados"/>
    <n v="425"/>
    <d v="2021-03-08T00:00:00"/>
    <n v="2671483"/>
    <n v="26714830"/>
    <n v="26714830"/>
    <x v="1"/>
    <s v="JEISSON FERNANDO HERRERA GÓMEZ"/>
    <n v="30345976"/>
    <n v="0"/>
    <n v="24558"/>
    <x v="1"/>
    <x v="1"/>
    <x v="1"/>
    <m/>
    <x v="0"/>
  </r>
  <r>
    <x v="5"/>
    <n v="67"/>
    <x v="1"/>
    <x v="0"/>
    <x v="1"/>
    <x v="2"/>
    <x v="3"/>
    <x v="7"/>
    <x v="1"/>
    <x v="1"/>
    <x v="1"/>
    <x v="11"/>
    <x v="1"/>
    <s v="Fotogrametría"/>
    <x v="0"/>
    <n v="81151603"/>
    <s v="Prestación de servicios para apoyar el proceso de escaneo fotogramétrico  de rollos de aerofotografías análogas y compresión de imágenes."/>
    <x v="2"/>
    <x v="2"/>
    <n v="10"/>
    <x v="1"/>
    <x v="1"/>
    <x v="1"/>
    <n v="57060806"/>
    <n v="57060806"/>
    <x v="1"/>
    <x v="1"/>
    <x v="1"/>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n v="0"/>
    <s v="24614_x000a_24733"/>
    <x v="1"/>
    <x v="0"/>
    <x v="1"/>
    <m/>
    <x v="0"/>
  </r>
  <r>
    <x v="6"/>
    <n v="2"/>
    <x v="1"/>
    <x v="0"/>
    <x v="1"/>
    <x v="2"/>
    <x v="3"/>
    <x v="7"/>
    <x v="0"/>
    <x v="2"/>
    <x v="1"/>
    <x v="4"/>
    <x v="1"/>
    <s v="Cartografía"/>
    <x v="0"/>
    <n v="81151600"/>
    <s v="Adquisición de estaciones de funcionamiento continua, con sus respectivos accesorios, sistemas de comunicación y de alimentación, para el fortalecimiento de la Red Geodésica Nacional. "/>
    <x v="1"/>
    <x v="1"/>
    <n v="60"/>
    <x v="0"/>
    <x v="3"/>
    <x v="1"/>
    <n v="400000000"/>
    <n v="400000000"/>
    <x v="1"/>
    <x v="2"/>
    <x v="0"/>
    <x v="0"/>
    <s v="Subdirección de Geografía y Cartografía "/>
    <s v="Subdirección de Geografía y Cartografía "/>
    <x v="0"/>
    <s v="Subdirector de Geografía y Cartografía "/>
    <x v="3"/>
    <x v="7"/>
    <s v="Densificar el marco de referencia terrestre"/>
    <s v="Datos Rinex de las estaciones permanentes generados"/>
    <m/>
    <d v="2021-05-21T00:00:00"/>
    <n v="366698967"/>
    <n v="366698967"/>
    <n v="366698967"/>
    <x v="1"/>
    <s v="INICIO PROCESO"/>
    <n v="33301033"/>
    <n v="0"/>
    <m/>
    <x v="1"/>
    <x v="1"/>
    <x v="1"/>
    <m/>
    <x v="1"/>
  </r>
  <r>
    <x v="5"/>
    <n v="69"/>
    <x v="1"/>
    <x v="0"/>
    <x v="1"/>
    <x v="2"/>
    <x v="3"/>
    <x v="7"/>
    <x v="0"/>
    <x v="2"/>
    <x v="1"/>
    <x v="11"/>
    <x v="1"/>
    <s v="Sistemas y equipo de apoyo para transporte aéreo"/>
    <x v="0"/>
    <n v="25191500"/>
    <s v="Servicio de mantenimiento preventivo y correctivo, incluidos los repuestos del dron ebee plus Rta/ppk"/>
    <x v="2"/>
    <x v="2"/>
    <n v="10"/>
    <x v="1"/>
    <x v="1"/>
    <x v="2"/>
    <n v="45000000"/>
    <n v="4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1"/>
    <x v="1"/>
    <x v="1"/>
    <m/>
    <x v="0"/>
  </r>
  <r>
    <x v="6"/>
    <n v="1"/>
    <x v="1"/>
    <x v="0"/>
    <x v="1"/>
    <x v="2"/>
    <x v="3"/>
    <x v="7"/>
    <x v="0"/>
    <x v="2"/>
    <x v="1"/>
    <x v="16"/>
    <x v="1"/>
    <s v="Cartografía"/>
    <x v="0"/>
    <n v="81151600"/>
    <s v="Capturar y/o adquirir imágenes para la producción cartográfica de proyectos específicos del IGAC"/>
    <x v="3"/>
    <x v="3"/>
    <n v="8"/>
    <x v="1"/>
    <x v="1"/>
    <x v="1"/>
    <n v="536446618"/>
    <n v="536446618"/>
    <x v="1"/>
    <x v="1"/>
    <x v="0"/>
    <x v="0"/>
    <s v="Subdirección de Geografía y Cartografía "/>
    <s v="Subdirección de Geografía y Cartografía "/>
    <x v="0"/>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80000001"/>
    <n v="0"/>
    <n v="24682"/>
    <x v="1"/>
    <x v="1"/>
    <x v="1"/>
    <m/>
    <x v="0"/>
  </r>
  <r>
    <x v="5"/>
    <n v="38"/>
    <x v="1"/>
    <x v="0"/>
    <x v="1"/>
    <x v="2"/>
    <x v="3"/>
    <x v="7"/>
    <x v="5"/>
    <x v="5"/>
    <x v="1"/>
    <x v="11"/>
    <x v="1"/>
    <s v="Cartografía"/>
    <x v="0"/>
    <n v="81151600"/>
    <s v="Prestación de servicios para la generación e integración de modelos digitales de elevación, de conformidad con las especificaciones técnicas y rendimientos establecidos."/>
    <x v="6"/>
    <x v="6"/>
    <n v="11"/>
    <x v="1"/>
    <x v="1"/>
    <x v="1"/>
    <n v="194381550"/>
    <n v="194381550"/>
    <x v="1"/>
    <x v="1"/>
    <x v="5"/>
    <x v="0"/>
    <s v="Subdirección de Geografía y Cartografía "/>
    <s v="Subdirección de Geografía y Cartografía "/>
    <x v="1"/>
    <s v="Subdirector de Geografía y Cartografía "/>
    <x v="3"/>
    <x v="6"/>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5"/>
    <x v="1"/>
    <x v="1"/>
    <m/>
    <x v="0"/>
  </r>
  <r>
    <x v="5"/>
    <n v="27"/>
    <x v="1"/>
    <x v="0"/>
    <x v="1"/>
    <x v="2"/>
    <x v="3"/>
    <x v="7"/>
    <x v="0"/>
    <x v="2"/>
    <x v="1"/>
    <x v="11"/>
    <x v="1"/>
    <s v="Cartografía"/>
    <x v="0"/>
    <n v="81151600"/>
    <s v="Prestación de servicios para realizar la preparación, revisión y consolidación de datos de campo para el cálculo y ajuste de la línea de nivelación"/>
    <x v="6"/>
    <x v="6"/>
    <n v="315"/>
    <x v="0"/>
    <x v="1"/>
    <x v="1"/>
    <n v="106292560"/>
    <n v="106292560"/>
    <x v="1"/>
    <x v="1"/>
    <x v="0"/>
    <x v="0"/>
    <s v="Subdirección de Geografía y Cartografía "/>
    <s v="Subdirección de Geografía y Cartografía "/>
    <x v="1"/>
    <s v="Subdirector de Geografía y Cartografía "/>
    <x v="3"/>
    <x v="7"/>
    <s v="Densificar el marco de referencia gravimétricos"/>
    <s v="Valores gravimétricos generados"/>
    <n v="252"/>
    <d v="2021-02-08T00:00:00"/>
    <n v="4976424"/>
    <n v="52252452"/>
    <n v="52252452"/>
    <x v="1"/>
    <s v="LEYDI JOHANNA MOISÉS SEPÚLVEDA"/>
    <n v="54040108"/>
    <n v="0"/>
    <n v="24428"/>
    <x v="1"/>
    <x v="1"/>
    <x v="1"/>
    <m/>
    <x v="0"/>
  </r>
  <r>
    <x v="5"/>
    <n v="58"/>
    <x v="1"/>
    <x v="0"/>
    <x v="1"/>
    <x v="2"/>
    <x v="3"/>
    <x v="7"/>
    <x v="8"/>
    <x v="9"/>
    <x v="1"/>
    <x v="11"/>
    <x v="1"/>
    <s v="Cartografía"/>
    <x v="0"/>
    <n v="81151600"/>
    <s v="Prestación de servicios para elaborar mapas y demás insumos a diferentes escalas, de conformidad con las especificaciones técnicas y rendimientos establecidos"/>
    <x v="2"/>
    <x v="2"/>
    <n v="10"/>
    <x v="1"/>
    <x v="1"/>
    <x v="1"/>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x v="10"/>
    <x v="0"/>
    <x v="1"/>
    <m/>
    <x v="0"/>
  </r>
  <r>
    <x v="5"/>
    <n v="2"/>
    <x v="1"/>
    <x v="0"/>
    <x v="1"/>
    <x v="2"/>
    <x v="3"/>
    <x v="7"/>
    <x v="0"/>
    <x v="2"/>
    <x v="1"/>
    <x v="9"/>
    <x v="1"/>
    <s v="Cartografía"/>
    <x v="0"/>
    <n v="81151600"/>
    <s v="Prestación de servicios para la  gestión e integración de productos y aplicaciones de la subdirección de geografía y cartografía "/>
    <x v="5"/>
    <x v="5"/>
    <n v="10"/>
    <x v="1"/>
    <x v="1"/>
    <x v="1"/>
    <n v="169086920"/>
    <n v="169086920"/>
    <x v="1"/>
    <x v="1"/>
    <x v="0"/>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1"/>
    <x v="1"/>
    <x v="1"/>
    <n v="280"/>
    <x v="0"/>
  </r>
  <r>
    <x v="5"/>
    <n v="79"/>
    <x v="1"/>
    <x v="0"/>
    <x v="1"/>
    <x v="2"/>
    <x v="3"/>
    <x v="7"/>
    <x v="0"/>
    <x v="2"/>
    <x v="1"/>
    <x v="18"/>
    <x v="1"/>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1"/>
    <x v="1"/>
    <x v="1"/>
    <n v="550000000"/>
    <n v="550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n v="0"/>
    <m/>
    <x v="1"/>
    <x v="1"/>
    <x v="1"/>
    <n v="150"/>
    <x v="0"/>
  </r>
  <r>
    <x v="5"/>
    <n v="76"/>
    <x v="1"/>
    <x v="0"/>
    <x v="1"/>
    <x v="2"/>
    <x v="3"/>
    <x v="8"/>
    <x v="0"/>
    <x v="2"/>
    <x v="1"/>
    <x v="9"/>
    <x v="0"/>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6"/>
    <n v="12"/>
    <x v="1"/>
    <x v="0"/>
    <x v="0"/>
    <n v="9767257014"/>
    <n v="9767257014"/>
    <x v="3"/>
    <x v="3"/>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554"/>
    <d v="2021-04-27T00:00:00"/>
    <n v="7562843317"/>
    <n v="7562843317"/>
    <n v="7562843317"/>
    <x v="1"/>
    <s v="CONSORCIO IGN FI- LEICA GEOSYSTEMS"/>
    <n v="2204413697"/>
    <n v="0"/>
    <n v="24695"/>
    <x v="1"/>
    <x v="1"/>
    <x v="0"/>
    <m/>
    <x v="0"/>
  </r>
  <r>
    <x v="0"/>
    <m/>
    <x v="2"/>
    <x v="10"/>
    <x v="1"/>
    <x v="2"/>
    <x v="0"/>
    <x v="0"/>
    <x v="0"/>
    <x v="2"/>
    <x v="1"/>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10"/>
    <x v="10"/>
    <n v="9"/>
    <x v="1"/>
    <x v="0"/>
    <x v="0"/>
    <n v="10953607099"/>
    <n v="10953607099"/>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4T00:00:00"/>
    <n v="7792544260.1700001"/>
    <n v="7792544260.1700001"/>
    <n v="7792544260.1700001"/>
    <x v="1"/>
    <s v="CONSORCIO CANADIENSE IGAC2021"/>
    <n v="3161062838.8299999"/>
    <n v="0"/>
    <m/>
    <x v="1"/>
    <x v="1"/>
    <x v="0"/>
    <m/>
    <x v="0"/>
  </r>
  <r>
    <x v="6"/>
    <n v="3"/>
    <x v="1"/>
    <x v="0"/>
    <x v="1"/>
    <x v="2"/>
    <x v="3"/>
    <x v="8"/>
    <x v="0"/>
    <x v="2"/>
    <x v="1"/>
    <x v="11"/>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1"/>
    <x v="1"/>
    <n v="3"/>
    <x v="1"/>
    <x v="0"/>
    <x v="0"/>
    <n v="9485236200"/>
    <n v="9485236200"/>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n v="0"/>
    <n v="24752"/>
    <x v="1"/>
    <x v="1"/>
    <x v="0"/>
    <m/>
    <x v="0"/>
  </r>
  <r>
    <x v="0"/>
    <m/>
    <x v="2"/>
    <x v="0"/>
    <x v="1"/>
    <x v="2"/>
    <x v="0"/>
    <x v="0"/>
    <x v="0"/>
    <x v="0"/>
    <x v="0"/>
    <x v="0"/>
    <x v="1"/>
    <s v="Servicios de formación profesional en ingeniería"/>
    <x v="0"/>
    <n v="86101610"/>
    <s v="Capturar y/o adquirir imágenes para la generación de cartografía del municipio de San Carlos (Córdoba)."/>
    <x v="0"/>
    <x v="0"/>
    <n v="5"/>
    <x v="1"/>
    <x v="1"/>
    <x v="1"/>
    <n v="70000000"/>
    <n v="70000000"/>
    <x v="1"/>
    <x v="2"/>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0"/>
    <m/>
    <x v="2"/>
    <x v="0"/>
    <x v="1"/>
    <x v="2"/>
    <x v="0"/>
    <x v="0"/>
    <x v="9"/>
    <x v="0"/>
    <x v="6"/>
    <x v="0"/>
    <x v="0"/>
    <s v="Cartografía"/>
    <x v="0"/>
    <n v="81151600"/>
    <s v="Prestación de servicios para la generación de cartografía básica, de conformidad con las especificaciones técnicas establecidas."/>
    <x v="0"/>
    <x v="0"/>
    <n v="5"/>
    <x v="1"/>
    <x v="1"/>
    <x v="0"/>
    <n v="163810620"/>
    <n v="163810620"/>
    <x v="1"/>
    <x v="1"/>
    <x v="9"/>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8"/>
    <x v="0"/>
    <m/>
    <x v="0"/>
  </r>
  <r>
    <x v="0"/>
    <m/>
    <x v="2"/>
    <x v="0"/>
    <x v="1"/>
    <x v="2"/>
    <x v="0"/>
    <x v="0"/>
    <x v="0"/>
    <x v="0"/>
    <x v="0"/>
    <x v="0"/>
    <x v="1"/>
    <s v="Servicios de formación profesional en ingeniería"/>
    <x v="0"/>
    <n v="86101610"/>
    <s v="Prestación de servicios profesionales para fortalecer conceptual y operativa la gestión de nombres geográficos"/>
    <x v="0"/>
    <x v="0"/>
    <n v="130"/>
    <x v="0"/>
    <x v="1"/>
    <x v="1"/>
    <n v="15774356"/>
    <n v="15774356"/>
    <x v="1"/>
    <x v="2"/>
    <x v="0"/>
    <x v="0"/>
    <s v="Subdirección de Geografía y Cartografía "/>
    <s v="Subdirección de Geografía y Cartografía "/>
    <x v="1"/>
    <s v="Subdirector de Geografía y Cartografía "/>
    <x v="4"/>
    <x v="12"/>
    <s v="Elaborar y publicar documentos de caracterización Territorial con fines de Catastro Multipropósito, conforme a metodología establecida."/>
    <s v="Documentos de estudios técnicos sobre geografía elaborados"/>
    <m/>
    <m/>
    <e v="#N/A"/>
    <e v="#N/A"/>
    <e v="#N/A"/>
    <x v="0"/>
    <m/>
    <n v="0"/>
    <n v="3640236"/>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Cartografía"/>
    <x v="0"/>
    <n v="81151600"/>
    <s v="Prestación de servicios para realizar el seguimiento y control de calidad de la producción cartográfica, de conformidad con las especificaciones técnicas y rendimientos establecidos."/>
    <x v="0"/>
    <x v="0"/>
    <n v="5"/>
    <x v="1"/>
    <x v="1"/>
    <x v="0"/>
    <n v="24882120"/>
    <n v="24882120"/>
    <x v="1"/>
    <x v="1"/>
    <x v="0"/>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976424"/>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5"/>
    <m/>
    <x v="1"/>
    <x v="0"/>
    <x v="1"/>
    <x v="2"/>
    <x v="3"/>
    <x v="7"/>
    <x v="0"/>
    <x v="0"/>
    <x v="0"/>
    <x v="16"/>
    <x v="1"/>
    <s v="Cartografía"/>
    <x v="0"/>
    <n v="81151600"/>
    <s v="Realizar el  mantenimiento, patronamiento y verificación de equipos geodésicos para el fortalecimiento de la red activa, red magna eco y red de nivelación nacional."/>
    <x v="0"/>
    <x v="0"/>
    <n v="5"/>
    <x v="1"/>
    <x v="4"/>
    <x v="1"/>
    <n v="57121940"/>
    <n v="57121940"/>
    <x v="1"/>
    <x v="1"/>
    <x v="0"/>
    <x v="0"/>
    <s v="Subdirección de Geografía y Cartografía "/>
    <s v="Subdirección de Geografía y Cartografía "/>
    <x v="1"/>
    <s v="Subdirector de Geografía y Cartografía "/>
    <x v="3"/>
    <x v="7"/>
    <s v="Densificar el marco de referencia terrestre"/>
    <s v="Puntos Geodésicos Materializados"/>
    <m/>
    <m/>
    <e v="#N/A"/>
    <e v="#N/A"/>
    <e v="#N/A"/>
    <x v="0"/>
    <m/>
    <n v="0"/>
    <n v="0"/>
    <m/>
    <x v="0"/>
    <x v="0"/>
    <x v="0"/>
    <m/>
    <x v="0"/>
  </r>
  <r>
    <x v="5"/>
    <m/>
    <x v="1"/>
    <x v="0"/>
    <x v="1"/>
    <x v="2"/>
    <x v="3"/>
    <x v="7"/>
    <x v="0"/>
    <x v="0"/>
    <x v="0"/>
    <x v="15"/>
    <x v="1"/>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9"/>
    <x v="9"/>
    <n v="3"/>
    <x v="1"/>
    <x v="1"/>
    <x v="3"/>
    <n v="25338000"/>
    <n v="25338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1"/>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9"/>
    <x v="9"/>
    <n v="3"/>
    <x v="1"/>
    <x v="1"/>
    <x v="3"/>
    <n v="40170000"/>
    <n v="4017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0"/>
    <s v="Servicios de formación profesional en ingeniería"/>
    <x v="0"/>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9"/>
    <x v="9"/>
    <n v="45"/>
    <x v="0"/>
    <x v="0"/>
    <x v="0"/>
    <n v="2499822874"/>
    <n v="249982287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1"/>
    <x v="0"/>
    <x v="3"/>
    <x v="0"/>
    <x v="1"/>
    <s v="Servicios de formación profesional en ingeniería"/>
    <x v="0"/>
    <n v="86101610"/>
    <s v="Prestación de servicios para elaborar la cartografía temática requerida en los proyectos asignados, de conformidad con los lineamientos técnicos."/>
    <x v="10"/>
    <x v="10"/>
    <n v="115"/>
    <x v="0"/>
    <x v="1"/>
    <x v="2"/>
    <n v="20481369.666666668"/>
    <n v="20481369.666666668"/>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1"/>
    <x v="0"/>
    <x v="3"/>
    <x v="0"/>
    <x v="1"/>
    <s v="Servicios de formación profesional en ingeniería"/>
    <x v="0"/>
    <n v="86101610"/>
    <s v="Prestación de servicios para gestionar y consolidar información geográfica requerida para los proyectos asignados."/>
    <x v="10"/>
    <x v="10"/>
    <n v="110"/>
    <x v="0"/>
    <x v="1"/>
    <x v="2"/>
    <n v="21573053.333333332"/>
    <n v="21573053.333333332"/>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0"/>
    <x v="0"/>
    <x v="0"/>
    <x v="0"/>
    <x v="1"/>
    <s v="Servicios de formación profesional en ingeniería"/>
    <x v="0"/>
    <n v="86101610"/>
    <s v="Prestación de servicios profesionales para realizar el análisis y documentación de información asociada a los límites de las entidades Territoriales"/>
    <x v="10"/>
    <x v="10"/>
    <n v="110"/>
    <x v="0"/>
    <x v="1"/>
    <x v="2"/>
    <n v="10786526.666666666"/>
    <n v="10786526.666666666"/>
    <x v="1"/>
    <x v="1"/>
    <x v="0"/>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7"/>
    <n v="19"/>
    <x v="1"/>
    <x v="0"/>
    <x v="2"/>
    <x v="3"/>
    <x v="4"/>
    <x v="9"/>
    <x v="0"/>
    <x v="2"/>
    <x v="1"/>
    <x v="12"/>
    <x v="1"/>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1"/>
    <x v="1"/>
    <x v="1"/>
    <n v="36651830"/>
    <n v="36651830"/>
    <x v="1"/>
    <x v="1"/>
    <x v="0"/>
    <x v="0"/>
    <s v="Oficina CIAF"/>
    <s v="Oficina CIAF"/>
    <x v="0"/>
    <s v="Jefe Oficina CIAF"/>
    <x v="5"/>
    <x v="15"/>
    <s v="Desarrollar la asistencia técnica, asesoría y/o consultoría"/>
    <s v="Entidades Asistidas"/>
    <n v="496"/>
    <d v="2021-03-23T00:00:00"/>
    <n v="7330366"/>
    <n v="36651830"/>
    <n v="36651830"/>
    <x v="1"/>
    <s v=" LINA MARGARITA LORA MATIZ"/>
    <n v="0"/>
    <n v="0"/>
    <n v="24631"/>
    <x v="1"/>
    <x v="1"/>
    <x v="1"/>
    <n v="210"/>
    <x v="0"/>
  </r>
  <r>
    <x v="7"/>
    <n v="33"/>
    <x v="1"/>
    <x v="0"/>
    <x v="2"/>
    <x v="3"/>
    <x v="4"/>
    <x v="9"/>
    <x v="0"/>
    <x v="2"/>
    <x v="1"/>
    <x v="3"/>
    <x v="1"/>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0"/>
    <x v="1"/>
    <x v="1"/>
    <n v="52678703"/>
    <n v="52678703"/>
    <x v="1"/>
    <x v="1"/>
    <x v="0"/>
    <x v="0"/>
    <s v="Oficina CIAF"/>
    <s v="Oficina CIAF"/>
    <x v="0"/>
    <s v="Jefe Oficina CIAF"/>
    <x v="5"/>
    <x v="15"/>
    <s v="Planear la asistencia técnica, asesoría, análisis y/o consultoría a desarrollar"/>
    <s v="Entidades Asistidas"/>
    <n v="651"/>
    <d v="2021-07-06T00:00:00"/>
    <n v="9577946"/>
    <n v="52678702.999999993"/>
    <n v="52678702.999999993"/>
    <x v="1"/>
    <s v="ANA JULIA SARRIA ALVAREZ"/>
    <n v="0"/>
    <n v="0"/>
    <n v="24787"/>
    <x v="1"/>
    <x v="1"/>
    <x v="0"/>
    <n v="165"/>
    <x v="0"/>
  </r>
  <r>
    <x v="7"/>
    <n v="4"/>
    <x v="1"/>
    <x v="0"/>
    <x v="2"/>
    <x v="3"/>
    <x v="4"/>
    <x v="9"/>
    <x v="0"/>
    <x v="2"/>
    <x v="1"/>
    <x v="9"/>
    <x v="1"/>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0"/>
    <x v="1"/>
    <x v="2"/>
    <n v="17031787"/>
    <n v="17031787"/>
    <x v="1"/>
    <x v="1"/>
    <x v="0"/>
    <x v="0"/>
    <s v="Oficina CIAF"/>
    <s v="Oficina CIAF"/>
    <x v="0"/>
    <s v="Jefe Oficina CIAF"/>
    <x v="5"/>
    <x v="15"/>
    <s v="Planear la asistencia técnica, asesoría, análisis y/o consultoría a desarrollar"/>
    <s v="Entidades Asistidas"/>
    <n v="44"/>
    <d v="2021-01-18T00:00:00"/>
    <n v="2671483"/>
    <n v="17031787"/>
    <n v="17031787"/>
    <x v="1"/>
    <s v="ANDRES FELIPE LOPEZ ORTIZ"/>
    <n v="0"/>
    <n v="0"/>
    <n v="24203"/>
    <x v="1"/>
    <x v="1"/>
    <x v="0"/>
    <n v="120"/>
    <x v="0"/>
  </r>
  <r>
    <x v="7"/>
    <n v="30"/>
    <x v="1"/>
    <x v="0"/>
    <x v="2"/>
    <x v="3"/>
    <x v="4"/>
    <x v="10"/>
    <x v="0"/>
    <x v="2"/>
    <x v="1"/>
    <x v="4"/>
    <x v="0"/>
    <s v="Servicios de sistemas de información geográfica (sig)"/>
    <x v="0"/>
    <n v="81101512"/>
    <s v="Prestación de servicios profesionales para diseñar los servicios de información, de procesamiento y disposición de información para el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n v="0"/>
    <n v="24755"/>
    <x v="0"/>
    <x v="0"/>
    <x v="1"/>
    <n v="210"/>
    <x v="0"/>
  </r>
  <r>
    <x v="7"/>
    <n v="13"/>
    <x v="1"/>
    <x v="0"/>
    <x v="2"/>
    <x v="3"/>
    <x v="4"/>
    <x v="9"/>
    <x v="0"/>
    <x v="2"/>
    <x v="1"/>
    <x v="11"/>
    <x v="1"/>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6"/>
    <x v="6"/>
    <n v="4"/>
    <x v="1"/>
    <x v="1"/>
    <x v="1"/>
    <n v="29321464"/>
    <n v="29321464"/>
    <x v="1"/>
    <x v="1"/>
    <x v="0"/>
    <x v="0"/>
    <s v="CENTRO DE INVESTIGACIÓN Y DESARROLLO EN INFORMACIÓN GEOGRÁFICA - CIAF"/>
    <s v="CENTRO DE INVESTIGACIÓN Y DESARROLLO EN INFORMACIÓN GEOGRÁFICA - CIAF"/>
    <x v="0"/>
    <s v="Diana Rocio Galindo - Jefe CIAF"/>
    <x v="5"/>
    <x v="15"/>
    <s v="Planear la asistencia técnica, asesoría y/o consultoría a desarrollar"/>
    <s v="Entidades Asistidas"/>
    <n v="374"/>
    <d v="2021-02-24T00:00:00"/>
    <n v="7330366"/>
    <n v="29321464"/>
    <n v="29321464"/>
    <x v="1"/>
    <s v="GASTON ANTONIO MEJIA ARIAS"/>
    <n v="0"/>
    <n v="0"/>
    <n v="24528"/>
    <x v="1"/>
    <x v="1"/>
    <x v="1"/>
    <n v="215"/>
    <x v="0"/>
  </r>
  <r>
    <x v="0"/>
    <m/>
    <x v="3"/>
    <x v="6"/>
    <x v="2"/>
    <x v="3"/>
    <x v="4"/>
    <x v="9"/>
    <x v="0"/>
    <x v="2"/>
    <x v="1"/>
    <x v="20"/>
    <x v="1"/>
    <s v="Servicios de sistemas de información geográfica (sig)"/>
    <x v="0"/>
    <n v="81101512"/>
    <s v="Prestación de servicios profesionales para desarrollar herramientas asociadas a la transferencia de conocimiento técnico especializado de acuerdos con los requerimientos y necesidades de la Dirección de investigación y prospectiva."/>
    <x v="10"/>
    <x v="10"/>
    <n v="105"/>
    <x v="0"/>
    <x v="1"/>
    <x v="3"/>
    <n v="16910180"/>
    <n v="16910180"/>
    <x v="1"/>
    <x v="1"/>
    <x v="0"/>
    <x v="0"/>
    <s v="Oficina CIAF"/>
    <s v="Oficina CIAF"/>
    <x v="0"/>
    <s v="Jefe Oficina CIAF"/>
    <x v="5"/>
    <x v="16"/>
    <s v="Desarrollar estudios e investigaciones aplicadas a través de ciencia de datos y prospectiva para fortalecer los procesos institucionales"/>
    <s v="Modelos de gestión Implementados"/>
    <n v="719"/>
    <d v="2021-07-27T00:00:00"/>
    <n v="4831480"/>
    <n v="16910180"/>
    <n v="16910180"/>
    <x v="1"/>
    <s v="JUAN CAMILO FERNANDEZ"/>
    <n v="0"/>
    <n v="0"/>
    <n v="24823"/>
    <x v="1"/>
    <x v="1"/>
    <x v="1"/>
    <n v="105"/>
    <x v="0"/>
  </r>
  <r>
    <x v="7"/>
    <n v="8"/>
    <x v="1"/>
    <x v="0"/>
    <x v="2"/>
    <x v="3"/>
    <x v="4"/>
    <x v="9"/>
    <x v="0"/>
    <x v="2"/>
    <x v="1"/>
    <x v="9"/>
    <x v="1"/>
    <s v="Servicios de sistemas de información geográfica (sig)"/>
    <x v="0"/>
    <n v="81101512"/>
    <s v="Prestación de servicios profesionales para realizar actividades de gestión y desarrollo de los proyectos de tecnologías geoespaciales que adelante la oficina CIAF."/>
    <x v="6"/>
    <x v="6"/>
    <n v="315"/>
    <x v="0"/>
    <x v="1"/>
    <x v="1"/>
    <n v="68132295"/>
    <n v="68132295"/>
    <x v="1"/>
    <x v="1"/>
    <x v="0"/>
    <x v="0"/>
    <s v="Oficina CIAF"/>
    <s v="Oficina CIAF"/>
    <x v="0"/>
    <s v="Jefe Oficina CIAF"/>
    <x v="5"/>
    <x v="15"/>
    <s v="Desarrollar la asistencia técnica, asesoría y/o consultoría"/>
    <s v="Entidades Asistidas"/>
    <n v="205"/>
    <d v="2021-02-09T00:00:00"/>
    <n v="6488790"/>
    <n v="68132295"/>
    <n v="68132295"/>
    <x v="1"/>
    <s v="JUAN CARLOS MELO"/>
    <n v="0"/>
    <n v="0"/>
    <n v="24389"/>
    <x v="1"/>
    <x v="1"/>
    <x v="1"/>
    <n v="210"/>
    <x v="0"/>
  </r>
  <r>
    <x v="7"/>
    <n v="29"/>
    <x v="1"/>
    <x v="0"/>
    <x v="2"/>
    <x v="3"/>
    <x v="4"/>
    <x v="10"/>
    <x v="0"/>
    <x v="2"/>
    <x v="1"/>
    <x v="4"/>
    <x v="0"/>
    <s v="Servicio de análisis de sistemas"/>
    <x v="0"/>
    <n v="81111808"/>
    <s v="Prestación de servicios profesionales para implementar y poner en operación el sistema de gestión de contenidos de la plataforma tecnológica de la ICDE de conformidad con los lineamientos definidos"/>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n v="0"/>
    <n v="24736"/>
    <x v="1"/>
    <x v="1"/>
    <x v="1"/>
    <n v="210"/>
    <x v="0"/>
  </r>
  <r>
    <x v="7"/>
    <n v="14"/>
    <x v="1"/>
    <x v="0"/>
    <x v="2"/>
    <x v="3"/>
    <x v="4"/>
    <x v="9"/>
    <x v="0"/>
    <x v="2"/>
    <x v="1"/>
    <x v="14"/>
    <x v="1"/>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1"/>
    <x v="1"/>
    <x v="1"/>
    <n v="58642928"/>
    <n v="58642928"/>
    <x v="1"/>
    <x v="1"/>
    <x v="0"/>
    <x v="0"/>
    <s v="CENTRO DE INVESTIGACIÓN Y DESARROLLO EN INFORMACIÓN GEOGRÁFICA - CIAF"/>
    <s v="CENTRO DE INVESTIGACIÓN Y DESARROLLO EN INFORMACIÓN GEOGRÁFICA - CIAF"/>
    <x v="0"/>
    <s v="Diana Rocio Galindo - Jefe CIAF"/>
    <x v="5"/>
    <x v="15"/>
    <s v="Desarrollar la asistencia técnica, asesoría, análisis y/o consultoría"/>
    <s v="Entidades Asistidas"/>
    <n v="404"/>
    <d v="2021-03-01T00:00:00"/>
    <n v="7330366"/>
    <n v="58642928"/>
    <n v="58642928"/>
    <x v="1"/>
    <s v="JULIO CESAR MENDOZA JIMENEZ"/>
    <n v="0"/>
    <n v="0"/>
    <n v="24547"/>
    <x v="1"/>
    <x v="1"/>
    <x v="1"/>
    <m/>
    <x v="0"/>
  </r>
  <r>
    <x v="7"/>
    <n v="7"/>
    <x v="1"/>
    <x v="0"/>
    <x v="2"/>
    <x v="3"/>
    <x v="4"/>
    <x v="9"/>
    <x v="0"/>
    <x v="2"/>
    <x v="1"/>
    <x v="9"/>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6"/>
    <x v="6"/>
    <n v="11"/>
    <x v="1"/>
    <x v="1"/>
    <x v="1"/>
    <n v="61490990"/>
    <n v="61490990"/>
    <x v="1"/>
    <x v="1"/>
    <x v="0"/>
    <x v="0"/>
    <s v="Oficina CIAF"/>
    <s v="Oficina CIAF"/>
    <x v="0"/>
    <s v="Jefe Oficina CIAF"/>
    <x v="5"/>
    <x v="15"/>
    <s v="Desarrollar la asistencia técnica, asesoría y/o consultoría"/>
    <s v="Entidades Asistidas"/>
    <n v="145"/>
    <d v="2021-01-29T00:00:00"/>
    <n v="5590090"/>
    <n v="61490990"/>
    <n v="61490990"/>
    <x v="1"/>
    <s v="MANUEL CAMILO REYES GONZALEZ"/>
    <n v="0"/>
    <n v="0"/>
    <n v="24284"/>
    <x v="1"/>
    <x v="1"/>
    <x v="1"/>
    <n v="244"/>
    <x v="0"/>
  </r>
  <r>
    <x v="7"/>
    <n v="26"/>
    <x v="1"/>
    <x v="0"/>
    <x v="2"/>
    <x v="3"/>
    <x v="4"/>
    <x v="9"/>
    <x v="0"/>
    <x v="2"/>
    <x v="1"/>
    <x v="4"/>
    <x v="1"/>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1"/>
    <x v="1"/>
    <n v="3"/>
    <x v="1"/>
    <x v="1"/>
    <x v="1"/>
    <n v="19466370"/>
    <n v="19466370"/>
    <x v="1"/>
    <x v="1"/>
    <x v="0"/>
    <x v="0"/>
    <s v="Oficina CIAF"/>
    <s v="Oficina CIAF"/>
    <x v="0"/>
    <s v="Jefe Oficina CIAF"/>
    <x v="5"/>
    <x v="15"/>
    <s v="Desarrollar la asistencia técnica, asesoría, análisis y/o consultoría"/>
    <s v="Entidades Asistidas"/>
    <n v="588"/>
    <d v="2021-05-13T00:00:00"/>
    <n v="6488790"/>
    <n v="19466370"/>
    <n v="19466370"/>
    <x v="1"/>
    <s v="YESSICA NATALIA RAMIREZ YARA"/>
    <n v="0"/>
    <n v="0"/>
    <n v="24729"/>
    <x v="0"/>
    <x v="0"/>
    <x v="1"/>
    <m/>
    <x v="0"/>
  </r>
  <r>
    <x v="7"/>
    <m/>
    <x v="1"/>
    <x v="0"/>
    <x v="2"/>
    <x v="3"/>
    <x v="4"/>
    <x v="10"/>
    <x v="0"/>
    <x v="2"/>
    <x v="1"/>
    <x v="11"/>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n v="0"/>
    <m/>
    <x v="11"/>
    <x v="0"/>
    <x v="0"/>
    <n v="210"/>
    <x v="0"/>
  </r>
  <r>
    <x v="7"/>
    <n v="2"/>
    <x v="1"/>
    <x v="0"/>
    <x v="2"/>
    <x v="3"/>
    <x v="4"/>
    <x v="9"/>
    <x v="0"/>
    <x v="2"/>
    <x v="1"/>
    <x v="9"/>
    <x v="1"/>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0"/>
    <x v="1"/>
    <x v="2"/>
    <n v="57152855"/>
    <n v="57152855"/>
    <x v="1"/>
    <x v="1"/>
    <x v="0"/>
    <x v="0"/>
    <s v="Oficina CIAF"/>
    <s v="Oficina CIAF"/>
    <x v="0"/>
    <s v="Jefe Oficina CIAF"/>
    <x v="5"/>
    <x v="15"/>
    <s v="Realizar el desarrollo y soporte del sistemas de información geográfica para grupos étnicos"/>
    <s v="Entidades Asistidas"/>
    <n v="24"/>
    <d v="2021-01-08T00:00:00"/>
    <n v="7330366"/>
    <n v="56932509"/>
    <n v="56932509"/>
    <x v="1"/>
    <s v="YESENIA  VARGAS TEJEDOR"/>
    <n v="220346"/>
    <n v="0"/>
    <n v="24195"/>
    <x v="1"/>
    <x v="1"/>
    <x v="1"/>
    <n v="270"/>
    <x v="0"/>
  </r>
  <r>
    <x v="7"/>
    <n v="17"/>
    <x v="1"/>
    <x v="0"/>
    <x v="2"/>
    <x v="3"/>
    <x v="4"/>
    <x v="9"/>
    <x v="0"/>
    <x v="2"/>
    <x v="1"/>
    <x v="12"/>
    <x v="1"/>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0"/>
    <x v="1"/>
    <x v="1"/>
    <n v="53105855"/>
    <n v="53105855"/>
    <x v="1"/>
    <x v="1"/>
    <x v="0"/>
    <x v="0"/>
    <s v="Oficina CIAF"/>
    <s v="Oficina CIAF"/>
    <x v="0"/>
    <s v="Jefe Oficina CIAF"/>
    <x v="5"/>
    <x v="1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1"/>
    <x v="1"/>
    <x v="1"/>
    <n v="210"/>
    <x v="0"/>
  </r>
  <r>
    <x v="7"/>
    <n v="31"/>
    <x v="1"/>
    <x v="0"/>
    <x v="2"/>
    <x v="3"/>
    <x v="4"/>
    <x v="10"/>
    <x v="0"/>
    <x v="2"/>
    <x v="1"/>
    <x v="4"/>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4"/>
    <x v="4"/>
    <n v="195"/>
    <x v="0"/>
    <x v="1"/>
    <x v="0"/>
    <n v="43442451"/>
    <n v="43442451"/>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n v="0"/>
    <n v="24775"/>
    <x v="1"/>
    <x v="1"/>
    <x v="1"/>
    <n v="180"/>
    <x v="0"/>
  </r>
  <r>
    <x v="7"/>
    <n v="5"/>
    <x v="1"/>
    <x v="0"/>
    <x v="2"/>
    <x v="3"/>
    <x v="4"/>
    <x v="9"/>
    <x v="0"/>
    <x v="2"/>
    <x v="1"/>
    <x v="9"/>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1"/>
    <x v="1"/>
    <x v="1"/>
    <n v="39130630"/>
    <n v="391306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77"/>
    <d v="2021-01-21T00:00:00"/>
    <n v="4976424"/>
    <n v="34834968"/>
    <n v="34834968"/>
    <x v="1"/>
    <s v="CLAUDIA VIVIANA GOMEZ TENJO"/>
    <n v="4295662"/>
    <n v="0"/>
    <n v="24232"/>
    <x v="1"/>
    <x v="1"/>
    <x v="1"/>
    <n v="210"/>
    <x v="0"/>
  </r>
  <r>
    <x v="0"/>
    <m/>
    <x v="3"/>
    <x v="13"/>
    <x v="2"/>
    <x v="3"/>
    <x v="4"/>
    <x v="10"/>
    <x v="0"/>
    <x v="2"/>
    <x v="1"/>
    <x v="4"/>
    <x v="0"/>
    <s v="Servicios de sistemas de información geográfica (sig)"/>
    <x v="0"/>
    <n v="81101512"/>
    <s v="Prestación de servicios profesionales para realizar los estudios técnicos y económicos de implementación de datos de observación de la tierra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13T00:00:00"/>
    <n v="8707976"/>
    <n v="52247856"/>
    <n v="52247856"/>
    <x v="1"/>
    <s v="NESTOR MORENO"/>
    <n v="4353988"/>
    <n v="0"/>
    <m/>
    <x v="1"/>
    <x v="1"/>
    <x v="1"/>
    <n v="180"/>
    <x v="0"/>
  </r>
  <r>
    <x v="7"/>
    <n v="12"/>
    <x v="1"/>
    <x v="0"/>
    <x v="2"/>
    <x v="3"/>
    <x v="4"/>
    <x v="10"/>
    <x v="0"/>
    <x v="2"/>
    <x v="1"/>
    <x v="11"/>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1"/>
    <x v="1"/>
    <x v="1"/>
    <n v="255"/>
    <x v="0"/>
  </r>
  <r>
    <x v="7"/>
    <n v="23"/>
    <x v="1"/>
    <x v="0"/>
    <x v="2"/>
    <x v="3"/>
    <x v="4"/>
    <x v="9"/>
    <x v="0"/>
    <x v="2"/>
    <x v="1"/>
    <x v="12"/>
    <x v="1"/>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1"/>
    <x v="1"/>
    <x v="1"/>
    <n v="51820137"/>
    <n v="51820137"/>
    <x v="1"/>
    <x v="1"/>
    <x v="0"/>
    <x v="0"/>
    <s v="Oficina CIAF"/>
    <s v="Oficina CIAF"/>
    <x v="0"/>
    <s v="Jefe Oficina CIAF"/>
    <x v="5"/>
    <x v="1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1"/>
    <x v="1"/>
    <x v="1"/>
    <n v="210"/>
    <x v="0"/>
  </r>
  <r>
    <x v="7"/>
    <n v="18"/>
    <x v="1"/>
    <x v="0"/>
    <x v="2"/>
    <x v="3"/>
    <x v="4"/>
    <x v="9"/>
    <x v="0"/>
    <x v="2"/>
    <x v="1"/>
    <x v="11"/>
    <x v="1"/>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1"/>
    <x v="1"/>
    <x v="1"/>
    <n v="44787816"/>
    <n v="4478781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495"/>
    <d v="2021-03-17T00:00:00"/>
    <n v="4263522"/>
    <n v="38371698"/>
    <n v="38371698"/>
    <x v="1"/>
    <s v="FERNEYALONSO MORENO PINEDA"/>
    <n v="6416118"/>
    <n v="0"/>
    <n v="24630"/>
    <x v="1"/>
    <x v="1"/>
    <x v="1"/>
    <n v="210"/>
    <x v="0"/>
  </r>
  <r>
    <x v="7"/>
    <n v="32"/>
    <x v="1"/>
    <x v="0"/>
    <x v="2"/>
    <x v="3"/>
    <x v="4"/>
    <x v="10"/>
    <x v="0"/>
    <x v="2"/>
    <x v="1"/>
    <x v="4"/>
    <x v="0"/>
    <s v="Servicio de análisis de sistemas"/>
    <x v="0"/>
    <n v="81111808"/>
    <s v="Servicios profesionales para realizar el diseño e implementación de la experiencia de usuario de la plataforma tecnológica de la ICDE en la implementación de la política de catastro multipropósito"/>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42"/>
    <d v="2021-06-30T00:00:00"/>
    <n v="7550277"/>
    <n v="45301662"/>
    <n v="45301662"/>
    <x v="1"/>
    <s v="DIANA SOFIA CIFUENTES LOPEZ"/>
    <n v="7550277"/>
    <n v="0"/>
    <n v="24785"/>
    <x v="1"/>
    <x v="1"/>
    <x v="1"/>
    <n v="180"/>
    <x v="0"/>
  </r>
  <r>
    <x v="7"/>
    <n v="28"/>
    <x v="1"/>
    <x v="0"/>
    <x v="2"/>
    <x v="3"/>
    <x v="4"/>
    <x v="10"/>
    <x v="0"/>
    <x v="2"/>
    <x v="1"/>
    <x v="12"/>
    <x v="0"/>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0"/>
    <x v="1"/>
    <x v="0"/>
    <n v="71727632"/>
    <n v="7172763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n v="0"/>
    <n v="24746"/>
    <x v="1"/>
    <x v="1"/>
    <x v="1"/>
    <n v="210"/>
    <x v="0"/>
  </r>
  <r>
    <x v="7"/>
    <n v="16"/>
    <x v="1"/>
    <x v="0"/>
    <x v="2"/>
    <x v="3"/>
    <x v="4"/>
    <x v="10"/>
    <x v="0"/>
    <x v="2"/>
    <x v="1"/>
    <x v="11"/>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6"/>
    <x v="6"/>
    <n v="11"/>
    <x v="1"/>
    <x v="1"/>
    <x v="0"/>
    <n v="95787740"/>
    <n v="9578774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1"/>
    <x v="1"/>
    <x v="1"/>
    <n v="90"/>
    <x v="0"/>
  </r>
  <r>
    <x v="7"/>
    <n v="34"/>
    <x v="1"/>
    <x v="0"/>
    <x v="2"/>
    <x v="3"/>
    <x v="4"/>
    <x v="10"/>
    <x v="0"/>
    <x v="2"/>
    <x v="1"/>
    <x v="4"/>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91"/>
    <d v="2021-07-26T00:00:00"/>
    <n v="9865284"/>
    <n v="59191704"/>
    <n v="59191704"/>
    <x v="1"/>
    <s v="FREDY JAVIER AGATON AGUIRRE"/>
    <n v="9865284"/>
    <n v="0"/>
    <n v="24815"/>
    <x v="1"/>
    <x v="1"/>
    <x v="1"/>
    <n v="180"/>
    <x v="0"/>
  </r>
  <r>
    <x v="7"/>
    <n v="15"/>
    <x v="1"/>
    <x v="0"/>
    <x v="2"/>
    <x v="3"/>
    <x v="4"/>
    <x v="10"/>
    <x v="0"/>
    <x v="2"/>
    <x v="1"/>
    <x v="9"/>
    <x v="0"/>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6"/>
    <x v="6"/>
    <n v="11"/>
    <x v="1"/>
    <x v="1"/>
    <x v="0"/>
    <n v="105357406"/>
    <n v="10535740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1"/>
    <x v="1"/>
    <x v="1"/>
    <m/>
    <x v="0"/>
  </r>
  <r>
    <x v="7"/>
    <n v="25"/>
    <x v="1"/>
    <x v="0"/>
    <x v="2"/>
    <x v="3"/>
    <x v="4"/>
    <x v="10"/>
    <x v="0"/>
    <x v="2"/>
    <x v="1"/>
    <x v="12"/>
    <x v="0"/>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1"/>
    <x v="1"/>
    <x v="1"/>
    <n v="210"/>
    <x v="0"/>
  </r>
  <r>
    <x v="7"/>
    <n v="24"/>
    <x v="1"/>
    <x v="0"/>
    <x v="2"/>
    <x v="3"/>
    <x v="4"/>
    <x v="10"/>
    <x v="0"/>
    <x v="2"/>
    <x v="1"/>
    <x v="12"/>
    <x v="0"/>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1"/>
    <x v="1"/>
    <x v="1"/>
    <n v="210"/>
    <x v="0"/>
  </r>
  <r>
    <x v="7"/>
    <n v="20"/>
    <x v="1"/>
    <x v="0"/>
    <x v="2"/>
    <x v="3"/>
    <x v="4"/>
    <x v="9"/>
    <x v="0"/>
    <x v="2"/>
    <x v="1"/>
    <x v="11"/>
    <x v="1"/>
    <s v="Servicios de sistemas de información geográfica (sig)"/>
    <x v="0"/>
    <n v="81101512"/>
    <s v="Prestación de servicios profesioanales para el desarrollo, ajuste y documentación de las aplicaciones en tecnologías de información geográfica a cargo de la oficina CIAF."/>
    <x v="2"/>
    <x v="2"/>
    <n v="7"/>
    <x v="1"/>
    <x v="1"/>
    <x v="1"/>
    <n v="45421530"/>
    <n v="454215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515"/>
    <d v="2021-03-31T00:00:00"/>
    <n v="6488790"/>
    <n v="25955160"/>
    <n v="25955160"/>
    <x v="1"/>
    <s v="JAIME ALBERTO GUITIERREZ"/>
    <n v="19466370"/>
    <n v="0"/>
    <n v="24651"/>
    <x v="1"/>
    <x v="1"/>
    <x v="1"/>
    <n v="210"/>
    <x v="0"/>
  </r>
  <r>
    <x v="0"/>
    <m/>
    <x v="3"/>
    <x v="12"/>
    <x v="2"/>
    <x v="3"/>
    <x v="4"/>
    <x v="10"/>
    <x v="0"/>
    <x v="2"/>
    <x v="1"/>
    <x v="4"/>
    <x v="0"/>
    <s v="Servicios de sistemas de información geográfica (sig)"/>
    <x v="0"/>
    <n v="81101512"/>
    <s v="Prestación de servicios profesionales para el diseño e implementación de los servicios tecnológicos requeridos para el catastro multipropósito en el marco d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723"/>
    <d v="2021-08-08T00:00:00"/>
    <n v="9865284"/>
    <n v="49326420"/>
    <n v="49326420"/>
    <x v="1"/>
    <s v="GERMAN ANDRES MAHECHA SUAREZ"/>
    <n v="19730568"/>
    <n v="0"/>
    <n v="24824"/>
    <x v="1"/>
    <x v="1"/>
    <x v="1"/>
    <n v="150"/>
    <x v="0"/>
  </r>
  <r>
    <x v="7"/>
    <n v="27"/>
    <x v="1"/>
    <x v="0"/>
    <x v="2"/>
    <x v="3"/>
    <x v="4"/>
    <x v="10"/>
    <x v="0"/>
    <x v="2"/>
    <x v="1"/>
    <x v="12"/>
    <x v="0"/>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701"/>
    <n v="0"/>
    <n v="24734"/>
    <x v="1"/>
    <x v="1"/>
    <x v="1"/>
    <n v="210"/>
    <x v="0"/>
  </r>
  <r>
    <x v="7"/>
    <n v="1"/>
    <x v="1"/>
    <x v="0"/>
    <x v="2"/>
    <x v="3"/>
    <x v="4"/>
    <x v="9"/>
    <x v="0"/>
    <x v="2"/>
    <x v="1"/>
    <x v="9"/>
    <x v="1"/>
    <s v="Servicios de sistemas de información geográfica (sig)"/>
    <x v="0"/>
    <n v="81101512"/>
    <s v="Prestación de servicios profesionales especializados en la planeación estratégica y ejecución de los proyectos de la oficina CIAF"/>
    <x v="5"/>
    <x v="5"/>
    <n v="4"/>
    <x v="1"/>
    <x v="1"/>
    <x v="2"/>
    <n v="42806184"/>
    <n v="42806184"/>
    <x v="1"/>
    <x v="1"/>
    <x v="0"/>
    <x v="0"/>
    <s v="Oficina CIAF"/>
    <s v="Oficina CIAF"/>
    <x v="0"/>
    <s v="Jefe Oficina CIAF"/>
    <x v="5"/>
    <x v="15"/>
    <s v="Realizar el desarrollo y soporte del sistemas de información geográfica para grupos étnicos"/>
    <s v="Entidades Asistidas"/>
    <n v="23"/>
    <d v="2021-01-08T00:00:00"/>
    <n v="10701546"/>
    <n v="21403092"/>
    <n v="21403092"/>
    <x v="1"/>
    <s v="ALEXANDER  MONTEALEGRE TRUJILLO"/>
    <n v="21403092"/>
    <n v="0"/>
    <n v="24193"/>
    <x v="1"/>
    <x v="1"/>
    <x v="1"/>
    <n v="285"/>
    <x v="0"/>
  </r>
  <r>
    <x v="7"/>
    <n v="6"/>
    <x v="1"/>
    <x v="0"/>
    <x v="2"/>
    <x v="3"/>
    <x v="4"/>
    <x v="9"/>
    <x v="0"/>
    <x v="2"/>
    <x v="1"/>
    <x v="9"/>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6"/>
    <x v="6"/>
    <n v="10"/>
    <x v="1"/>
    <x v="1"/>
    <x v="1"/>
    <n v="73303660"/>
    <n v="7330366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156"/>
    <d v="2021-01-26T00:00:00"/>
    <n v="7330366"/>
    <n v="51312562"/>
    <n v="51312562"/>
    <x v="1"/>
    <s v="FERNANDO IVAN CAMARGO"/>
    <n v="21991098"/>
    <n v="0"/>
    <n v="24333"/>
    <x v="1"/>
    <x v="1"/>
    <x v="1"/>
    <m/>
    <x v="0"/>
  </r>
  <r>
    <x v="7"/>
    <n v="10"/>
    <x v="1"/>
    <x v="0"/>
    <x v="2"/>
    <x v="3"/>
    <x v="4"/>
    <x v="9"/>
    <x v="0"/>
    <x v="2"/>
    <x v="1"/>
    <x v="9"/>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6"/>
    <x v="6"/>
    <n v="11"/>
    <x v="1"/>
    <x v="1"/>
    <x v="1"/>
    <n v="80634026"/>
    <n v="8063402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71"/>
    <d v="2021-02-15T00:00:00"/>
    <n v="7330366"/>
    <n v="58642928"/>
    <n v="58642928"/>
    <x v="1"/>
    <s v="MONICA CORTES"/>
    <n v="21991098"/>
    <n v="0"/>
    <n v="24454"/>
    <x v="1"/>
    <x v="1"/>
    <x v="1"/>
    <m/>
    <x v="0"/>
  </r>
  <r>
    <x v="7"/>
    <n v="21"/>
    <x v="1"/>
    <x v="0"/>
    <x v="2"/>
    <x v="3"/>
    <x v="4"/>
    <x v="9"/>
    <x v="0"/>
    <x v="2"/>
    <x v="1"/>
    <x v="12"/>
    <x v="1"/>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1"/>
    <x v="1"/>
    <x v="1"/>
    <n v="45421530"/>
    <n v="45421530"/>
    <x v="1"/>
    <x v="1"/>
    <x v="0"/>
    <x v="0"/>
    <s v="Oficina CIAF"/>
    <s v="Oficina CIAF"/>
    <x v="0"/>
    <s v="Jefe Oficina CIAF"/>
    <x v="5"/>
    <x v="15"/>
    <s v="Desarrollar la asistencia técnica, asesoría y/o consultoría"/>
    <s v="Entidades Asistidas"/>
    <n v="524"/>
    <d v="2021-04-09T00:00:00"/>
    <n v="3124732"/>
    <n v="21873124"/>
    <n v="21873124"/>
    <x v="1"/>
    <s v="HUGO ARMANDO CENDALES PRIETO"/>
    <n v="23548406"/>
    <n v="0"/>
    <n v="24662"/>
    <x v="1"/>
    <x v="1"/>
    <x v="1"/>
    <n v="210"/>
    <x v="0"/>
  </r>
  <r>
    <x v="7"/>
    <n v="22"/>
    <x v="1"/>
    <x v="0"/>
    <x v="2"/>
    <x v="3"/>
    <x v="4"/>
    <x v="10"/>
    <x v="0"/>
    <x v="2"/>
    <x v="1"/>
    <x v="11"/>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1"/>
    <x v="1"/>
    <x v="0"/>
    <n v="120000000"/>
    <n v="120000000"/>
    <x v="1"/>
    <x v="1"/>
    <x v="0"/>
    <x v="0"/>
    <s v="Oficina CIAF"/>
    <s v="Oficina CIAF"/>
    <x v="0"/>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1"/>
    <x v="1"/>
    <x v="0"/>
    <n v="210"/>
    <x v="0"/>
  </r>
  <r>
    <x v="7"/>
    <n v="9"/>
    <x v="1"/>
    <x v="0"/>
    <x v="2"/>
    <x v="3"/>
    <x v="4"/>
    <x v="9"/>
    <x v="1"/>
    <x v="1"/>
    <x v="1"/>
    <x v="9"/>
    <x v="1"/>
    <s v="Servicios de sistemas de información geográfica (sig)"/>
    <x v="0"/>
    <n v="81101512"/>
    <s v="Prestación de servicios profesionales para el desarrollo, ajuste y documentación de las aplicaciones en tecnologías de información geográfica a cargo de la oficina CIAF."/>
    <x v="6"/>
    <x v="6"/>
    <n v="9"/>
    <x v="1"/>
    <x v="1"/>
    <x v="1"/>
    <n v="116798220"/>
    <n v="116798220"/>
    <x v="1"/>
    <x v="1"/>
    <x v="1"/>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31"/>
    <d v="2021-02-10T00:00:00"/>
    <n v="6488790"/>
    <n v="38932740"/>
    <n v="77865480"/>
    <x v="1"/>
    <s v="MONICA ANDREA NIÑO_x000a_JUAN FELIPE MOLINA"/>
    <n v="38932740"/>
    <n v="0"/>
    <s v="24426_x000a_24427"/>
    <x v="3"/>
    <x v="1"/>
    <x v="1"/>
    <n v="250"/>
    <x v="0"/>
  </r>
  <r>
    <x v="7"/>
    <n v="3"/>
    <x v="1"/>
    <x v="0"/>
    <x v="2"/>
    <x v="3"/>
    <x v="4"/>
    <x v="9"/>
    <x v="0"/>
    <x v="2"/>
    <x v="1"/>
    <x v="9"/>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0"/>
    <x v="1"/>
    <x v="1"/>
    <n v="105357406"/>
    <n v="105357406"/>
    <x v="1"/>
    <x v="1"/>
    <x v="0"/>
    <x v="0"/>
    <s v="Oficina CIAF"/>
    <s v="Oficina CIAF"/>
    <x v="0"/>
    <s v="Jefe Oficina CIAF"/>
    <x v="5"/>
    <x v="15"/>
    <s v="Planear la asistencia técnica, asesoría, análisis y/o consultoría a desarrollar"/>
    <s v="Entidades Asistidas"/>
    <n v="25"/>
    <d v="2021-01-08T00:00:00"/>
    <n v="9577946"/>
    <n v="52678703"/>
    <n v="52678703"/>
    <x v="1"/>
    <s v="ANA JULIA SARRIA ALVAREZ"/>
    <n v="52678703"/>
    <n v="0"/>
    <n v="24196"/>
    <x v="1"/>
    <x v="1"/>
    <x v="2"/>
    <n v="150"/>
    <x v="0"/>
  </r>
  <r>
    <x v="0"/>
    <m/>
    <x v="3"/>
    <x v="0"/>
    <x v="2"/>
    <x v="4"/>
    <x v="0"/>
    <x v="0"/>
    <x v="0"/>
    <x v="0"/>
    <x v="0"/>
    <x v="0"/>
    <x v="1"/>
    <s v="Servicios de sistemas de información geográfica (sig)"/>
    <x v="0"/>
    <n v="81101512"/>
    <s v="Prestación de servicios profesionales para la verificación, ajustes y seguimiento técnico de las etapas de implementación y cierre de los proyectos en  tecnologías geoespaciales a cargo de la Dirección de  Investigación y Prospectiva."/>
    <x v="8"/>
    <x v="8"/>
    <n v="2"/>
    <x v="1"/>
    <x v="1"/>
    <x v="1"/>
    <n v="14660732"/>
    <n v="14660732"/>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0"/>
    <x v="0"/>
    <x v="0"/>
    <x v="0"/>
    <x v="1"/>
    <s v="Servicios de sistemas de información geográfica (sig)"/>
    <x v="0"/>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Dirección de  Investigación y Prospectiva."/>
    <x v="10"/>
    <x v="10"/>
    <n v="4"/>
    <x v="1"/>
    <x v="1"/>
    <x v="1"/>
    <n v="16557368"/>
    <n v="16557368"/>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1"/>
    <x v="0"/>
    <x v="3"/>
    <x v="0"/>
    <x v="1"/>
    <s v="Servicios de sistemas de información geográfica (sig)"/>
    <x v="0"/>
    <n v="81101512"/>
    <s v="Prestación de servicios profesionales para realizar el desarrollo, ajuste, publicación de funcionalidades y documentación técnica asignada de los proyectos de desarrollo de aplicaciones en tecnologías de la información_x000a_geográfica a cargo de la Dirección de  Investigación y Prospectiva.."/>
    <x v="10"/>
    <x v="10"/>
    <n v="4"/>
    <x v="1"/>
    <x v="1"/>
    <x v="1"/>
    <n v="38651840"/>
    <n v="38651840"/>
    <x v="1"/>
    <x v="1"/>
    <x v="1"/>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3"/>
    <x v="0"/>
    <m/>
    <x v="0"/>
  </r>
  <r>
    <x v="0"/>
    <m/>
    <x v="3"/>
    <x v="0"/>
    <x v="2"/>
    <x v="4"/>
    <x v="0"/>
    <x v="0"/>
    <x v="0"/>
    <x v="0"/>
    <x v="0"/>
    <x v="20"/>
    <x v="1"/>
    <s v="Servicios de sistemas de información geográfica (sig)"/>
    <x v="0"/>
    <n v="81101512"/>
    <s v="Prestación de servicios profesionales para ajustar, implementar y publicar herramientas de visores geográficos y elaborar la respectiva documentación técnica de los proyectos de desarrollo de aplicaciones en tecnologías de la información geográfica.  "/>
    <x v="10"/>
    <x v="10"/>
    <n v="2"/>
    <x v="1"/>
    <x v="1"/>
    <x v="1"/>
    <n v="12977580"/>
    <n v="12977580"/>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esarrollo, ajuste y publicación de funcionalidades generadas en la etapa de desarrollo para los proyectos de desarrollo de aplicaciones en tecnologías de la información geográfica a cargo de la Dirección de Investigación y Prospectiva."/>
    <x v="10"/>
    <x v="10"/>
    <n v="4"/>
    <x v="1"/>
    <x v="1"/>
    <x v="1"/>
    <n v="26733816"/>
    <n v="26733816"/>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iagnóstico, estructuración y publicación de información geográfica con estándares y la documentación asociada para los proyectos de desarrollo de aplicaciones en TIG a cargo de la Dirección de Investigación y Prospectiva."/>
    <x v="10"/>
    <x v="10"/>
    <n v="4"/>
    <x v="1"/>
    <x v="1"/>
    <x v="1"/>
    <n v="16557368"/>
    <n v="1655736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el análisis y levantamiento de requerimientos de los proyectos de desarrollo de aplicaciones en tecnologías de información geográfica a cargo de Dirección de investigación y prospectiva."/>
    <x v="10"/>
    <x v="10"/>
    <n v="3"/>
    <x v="1"/>
    <x v="1"/>
    <x v="1"/>
    <n v="14929272"/>
    <n v="14929272"/>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seguimiento y control técnico a las etapas de planificación, diseño de base de datos y soporte, así como la documentación técnica asociada de los proyectos de aplicaciones en TIG a cargo de la Dirección de Investigación y Prospectiva."/>
    <x v="10"/>
    <x v="10"/>
    <n v="4"/>
    <x v="1"/>
    <x v="1"/>
    <x v="1"/>
    <n v="30201108"/>
    <n v="3020110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7"/>
    <m/>
    <x v="4"/>
    <x v="13"/>
    <x v="3"/>
    <x v="5"/>
    <x v="4"/>
    <x v="10"/>
    <x v="0"/>
    <x v="2"/>
    <x v="1"/>
    <x v="4"/>
    <x v="0"/>
    <s v="Servicios de sistemas de información geográfica (sig)"/>
    <x v="0"/>
    <n v="81101512"/>
    <s v="Prestación de servicios profesionales para el desarrollo de procesos de analítica de datos en el marco de los métodos indirectos del catastro multipropósito"/>
    <x v="0"/>
    <x v="0"/>
    <n v="5"/>
    <x v="1"/>
    <x v="1"/>
    <x v="0"/>
    <n v="18201180"/>
    <n v="1820118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9-02T00:00:00"/>
    <n v="3640236"/>
    <n v="14560944"/>
    <n v="14560944"/>
    <x v="1"/>
    <s v="ANDRES FELIPE LOPEZ ORTIZ"/>
    <n v="3640236"/>
    <n v="0"/>
    <m/>
    <x v="1"/>
    <x v="1"/>
    <x v="1"/>
    <n v="120"/>
    <x v="0"/>
  </r>
  <r>
    <x v="0"/>
    <m/>
    <x v="4"/>
    <x v="12"/>
    <x v="3"/>
    <x v="5"/>
    <x v="4"/>
    <x v="10"/>
    <x v="1"/>
    <x v="2"/>
    <x v="0"/>
    <x v="17"/>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7"/>
    <x v="7"/>
    <n v="195"/>
    <x v="0"/>
    <x v="1"/>
    <x v="0"/>
    <n v="113203688"/>
    <n v="113203688"/>
    <x v="1"/>
    <x v="1"/>
    <x v="1"/>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24T00:00:00"/>
    <n v="8707976"/>
    <n v="37734562.666666664"/>
    <n v="37734562.666666664"/>
    <x v="1"/>
    <s v="MIGUEL ANGEL ORTIZ"/>
    <n v="17415952"/>
    <n v="0"/>
    <m/>
    <x v="1"/>
    <x v="0"/>
    <x v="1"/>
    <n v="130"/>
    <x v="0"/>
  </r>
  <r>
    <x v="0"/>
    <m/>
    <x v="1"/>
    <x v="0"/>
    <x v="3"/>
    <x v="5"/>
    <x v="4"/>
    <x v="10"/>
    <x v="0"/>
    <x v="0"/>
    <x v="0"/>
    <x v="4"/>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1"/>
    <x v="1"/>
    <x v="0"/>
    <n v="50726076"/>
    <n v="5072607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0145215.199999999"/>
    <m/>
    <x v="0"/>
    <x v="0"/>
    <x v="0"/>
    <n v="310"/>
    <x v="0"/>
  </r>
  <r>
    <x v="0"/>
    <m/>
    <x v="1"/>
    <x v="0"/>
    <x v="3"/>
    <x v="5"/>
    <x v="4"/>
    <x v="10"/>
    <x v="0"/>
    <x v="0"/>
    <x v="0"/>
    <x v="17"/>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7"/>
    <x v="7"/>
    <n v="7"/>
    <x v="1"/>
    <x v="1"/>
    <x v="0"/>
    <n v="52851939"/>
    <n v="52851939"/>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5100554"/>
    <m/>
    <x v="0"/>
    <x v="0"/>
    <x v="0"/>
    <m/>
    <x v="0"/>
  </r>
  <r>
    <x v="0"/>
    <m/>
    <x v="1"/>
    <x v="0"/>
    <x v="3"/>
    <x v="5"/>
    <x v="4"/>
    <x v="10"/>
    <x v="0"/>
    <x v="0"/>
    <x v="0"/>
    <x v="4"/>
    <x v="0"/>
    <s v="Servicios de sistemas de información geográfica (sig)"/>
    <x v="0"/>
    <n v="81101512"/>
    <s v="Prestación de servicios profesionales para realizar el análisis y acompañamiento técnico en la implementación de tecnologías geoespaciales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6123927.999999996"/>
    <m/>
    <x v="0"/>
    <x v="0"/>
    <x v="0"/>
    <n v="210"/>
    <x v="0"/>
  </r>
  <r>
    <x v="0"/>
    <m/>
    <x v="1"/>
    <x v="0"/>
    <x v="3"/>
    <x v="5"/>
    <x v="4"/>
    <x v="10"/>
    <x v="0"/>
    <x v="0"/>
    <x v="0"/>
    <x v="4"/>
    <x v="0"/>
    <s v="Servicio de análisis de sistemas"/>
    <x v="0"/>
    <n v="81111808"/>
    <s v="Prestación de servicios profesionales como arquitecto de solución en la implementación de una plataforma tecnológica que soporte la operación de la ICDE  apoyo a la política de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9595852"/>
    <m/>
    <x v="0"/>
    <x v="0"/>
    <x v="0"/>
    <n v="210"/>
    <x v="0"/>
  </r>
  <r>
    <x v="0"/>
    <m/>
    <x v="1"/>
    <x v="0"/>
    <x v="3"/>
    <x v="5"/>
    <x v="4"/>
    <x v="10"/>
    <x v="0"/>
    <x v="0"/>
    <x v="0"/>
    <x v="4"/>
    <x v="0"/>
    <s v="Servicios de sistemas de información geográfica (sig)"/>
    <x v="0"/>
    <n v="81101512"/>
    <s v="Servicios especializados para el suministro de datos de observación de la tierra y la generación de productos derivados para implementación de la política de catastro multipropósito "/>
    <x v="8"/>
    <x v="8"/>
    <n v="7"/>
    <x v="1"/>
    <x v="0"/>
    <x v="0"/>
    <n v="100000000"/>
    <n v="100000000"/>
    <x v="3"/>
    <x v="0"/>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0"/>
    <m/>
    <x v="0"/>
    <x v="0"/>
    <x v="0"/>
    <n v="210"/>
    <x v="0"/>
  </r>
  <r>
    <x v="0"/>
    <m/>
    <x v="4"/>
    <x v="0"/>
    <x v="3"/>
    <x v="6"/>
    <x v="0"/>
    <x v="0"/>
    <x v="0"/>
    <x v="0"/>
    <x v="0"/>
    <x v="0"/>
    <x v="0"/>
    <s v="Software de consultas y gestión de datos"/>
    <x v="0"/>
    <n v="43232300"/>
    <s v="Adquirir licenciamiento del Software SAS incluido el soporte técnico."/>
    <x v="0"/>
    <x v="0"/>
    <n v="60"/>
    <x v="0"/>
    <x v="1"/>
    <x v="0"/>
    <n v="500000000"/>
    <n v="5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0"/>
    <m/>
    <x v="4"/>
    <x v="0"/>
    <x v="3"/>
    <x v="6"/>
    <x v="0"/>
    <x v="0"/>
    <x v="0"/>
    <x v="0"/>
    <x v="0"/>
    <x v="0"/>
    <x v="0"/>
    <s v="Servicios de diseño de gráficos o gráficas"/>
    <x v="0"/>
    <n v="82141504"/>
    <s v="Prestación de servicios profesionales para generar contenidos graficos y multimedia apoyo a la implementación de la estrategia de fortalecimiento territorio virtual"/>
    <x v="0"/>
    <x v="0"/>
    <n v="81"/>
    <x v="0"/>
    <x v="1"/>
    <x v="0"/>
    <n v="11511510"/>
    <n v="1151151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4263522.222222222"/>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realizar la implementación de estándares sobre los datos fundamentales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identificar e integrar los modelos de objetos geográficos territoriales en el marco de la administración del territorio"/>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realizar la gestión de los datos abiertos en el marco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el desarrollo de procesos de inteligencia artificial en el marco de los métodos indirectos del catastro multipropósito"/>
    <x v="0"/>
    <x v="0"/>
    <n v="5"/>
    <x v="1"/>
    <x v="1"/>
    <x v="0"/>
    <n v="37751385"/>
    <n v="37751385"/>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7550277"/>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Cartografía"/>
    <x v="0"/>
    <n v="81151600"/>
    <s v="Renovar los servicios de software update support y Oracle premie support for systems"/>
    <x v="10"/>
    <x v="10"/>
    <n v="12"/>
    <x v="1"/>
    <x v="0"/>
    <x v="0"/>
    <n v="2200000000"/>
    <n v="22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8"/>
    <n v="68"/>
    <x v="1"/>
    <x v="0"/>
    <x v="3"/>
    <x v="5"/>
    <x v="5"/>
    <x v="11"/>
    <x v="0"/>
    <x v="2"/>
    <x v="1"/>
    <x v="11"/>
    <x v="1"/>
    <s v="Servicios de implementación de aplicaciones"/>
    <x v="0"/>
    <n v="81111508"/>
    <s v="Prestación de servicios profesionales para el soporte, mantenimiento, análisis, diseño y desarrollo de los componentes de software en plataforma Oracle de los sistemas de la Institución."/>
    <x v="6"/>
    <x v="6"/>
    <n v="9"/>
    <x v="1"/>
    <x v="1"/>
    <x v="1"/>
    <n v="60151086"/>
    <n v="60151086"/>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336"/>
    <d v="2021-02-22T00:00:00"/>
    <n v="6683454"/>
    <n v="60151086"/>
    <n v="60151086"/>
    <x v="1"/>
    <s v="CLAUDIA MILENA TOVAR"/>
    <n v="0"/>
    <n v="0"/>
    <n v="24505"/>
    <x v="1"/>
    <x v="1"/>
    <x v="1"/>
    <n v="150"/>
    <x v="0"/>
  </r>
  <r>
    <x v="8"/>
    <n v="49"/>
    <x v="1"/>
    <x v="0"/>
    <x v="3"/>
    <x v="5"/>
    <x v="5"/>
    <x v="11"/>
    <x v="0"/>
    <x v="2"/>
    <x v="1"/>
    <x v="9"/>
    <x v="1"/>
    <s v="Servicios de soporte técnico o de mesa de ayuda"/>
    <x v="0"/>
    <n v="81111811"/>
    <s v="Prestación de servicios para realizar actividades de operación, soporte de solicitudes, incidentes,  requerimientos  y pruebas técnicas según los niveles de servicio establecidos."/>
    <x v="6"/>
    <x v="6"/>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4"/>
    <d v="2021-02-11T00:00:00"/>
    <n v="2941780"/>
    <n v="26476020"/>
    <n v="26476020"/>
    <x v="1"/>
    <s v="DARWIN JAVID GONZAÑEZ ORTEGA"/>
    <n v="0"/>
    <n v="0"/>
    <n v="24440"/>
    <x v="1"/>
    <x v="1"/>
    <x v="1"/>
    <n v="270"/>
    <x v="0"/>
  </r>
  <r>
    <x v="8"/>
    <n v="56"/>
    <x v="1"/>
    <x v="0"/>
    <x v="3"/>
    <x v="5"/>
    <x v="5"/>
    <x v="11"/>
    <x v="0"/>
    <x v="2"/>
    <x v="1"/>
    <x v="9"/>
    <x v="1"/>
    <s v="Servicios de implementación de aplicaciones"/>
    <x v="0"/>
    <n v="81111508"/>
    <s v="Prestación de servicios profesionales para  el soporte, mantenimiento, análisis, diseño  y desarrollo de los componentes web  para la operación del sistema catastral."/>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43"/>
    <d v="2021-02-15T00:00:00"/>
    <n v="7550277"/>
    <n v="67952493"/>
    <n v="67952493"/>
    <x v="1"/>
    <s v="FELIPE ANDRES CADENA MOLANO"/>
    <n v="0"/>
    <n v="0"/>
    <n v="24498"/>
    <x v="1"/>
    <x v="1"/>
    <x v="1"/>
    <n v="270"/>
    <x v="0"/>
  </r>
  <r>
    <x v="8"/>
    <n v="70"/>
    <x v="1"/>
    <x v="0"/>
    <x v="3"/>
    <x v="5"/>
    <x v="5"/>
    <x v="11"/>
    <x v="0"/>
    <x v="2"/>
    <x v="1"/>
    <x v="9"/>
    <x v="1"/>
    <s v="Servicios de implementación de aplicaciones"/>
    <x v="0"/>
    <n v="81111508"/>
    <s v="Prestación de servicios profesionales para llevar a cabo la administración y monitoreo de servicios de ti y plataformas basadas en software libre adoptadas por la entidad."/>
    <x v="6"/>
    <x v="6"/>
    <n v="9"/>
    <x v="1"/>
    <x v="1"/>
    <x v="1"/>
    <n v="26476020"/>
    <n v="26476020"/>
    <x v="1"/>
    <x v="1"/>
    <x v="0"/>
    <x v="0"/>
    <s v="Dirección General"/>
    <s v="Informática y Telecomunicaciones"/>
    <x v="0"/>
    <s v="Jefe Oficina de Informática y Telecomunicaciones"/>
    <x v="6"/>
    <x v="17"/>
    <s v="Implementar y soportar plataforma de TI"/>
    <s v="Índice de capacidad en la prestación de servicios de tecnología."/>
    <n v="408"/>
    <d v="2021-02-25T00:00:00"/>
    <n v="2941780"/>
    <n v="26476020"/>
    <n v="26476020"/>
    <x v="1"/>
    <s v="FERNANDO DAVID VILLANUEVA"/>
    <n v="0"/>
    <n v="0"/>
    <n v="24549"/>
    <x v="1"/>
    <x v="1"/>
    <x v="1"/>
    <n v="270"/>
    <x v="0"/>
  </r>
  <r>
    <x v="8"/>
    <n v="34"/>
    <x v="1"/>
    <x v="0"/>
    <x v="3"/>
    <x v="5"/>
    <x v="5"/>
    <x v="11"/>
    <x v="0"/>
    <x v="2"/>
    <x v="1"/>
    <x v="9"/>
    <x v="1"/>
    <s v="Servicios de implementación de aplicaciones"/>
    <x v="0"/>
    <n v="81111508"/>
    <s v="Prestación de servicios profesionales para desarrollar actividades referentes a la gestión y aseguramiento del cumplimiento de la estrategia de gobierno digital."/>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65"/>
    <d v="2021-01-26T00:00:00"/>
    <n v="7550277"/>
    <n v="67952493"/>
    <n v="67952493"/>
    <x v="1"/>
    <s v="GUILLERMO ANTONIO GOMEZ BOLAÑOZ"/>
    <n v="0"/>
    <n v="0"/>
    <n v="24352"/>
    <x v="1"/>
    <x v="1"/>
    <x v="1"/>
    <n v="270"/>
    <x v="0"/>
  </r>
  <r>
    <x v="8"/>
    <n v="43"/>
    <x v="1"/>
    <x v="0"/>
    <x v="3"/>
    <x v="5"/>
    <x v="5"/>
    <x v="11"/>
    <x v="0"/>
    <x v="2"/>
    <x v="1"/>
    <x v="9"/>
    <x v="1"/>
    <s v="Servicios de implementación de aplicaciones"/>
    <x v="0"/>
    <n v="81111508"/>
    <s v="Prestación de servicios profesionales para llevar a cabo la operación, monitoreo y soporte técnico a las infraestructuras tecnológicas asignadas por la oficina de informática y telecomunicaciones."/>
    <x v="6"/>
    <x v="6"/>
    <n v="9"/>
    <x v="1"/>
    <x v="1"/>
    <x v="1"/>
    <n v="51820134"/>
    <n v="51820134"/>
    <x v="1"/>
    <x v="1"/>
    <x v="0"/>
    <x v="0"/>
    <s v="Dirección General"/>
    <s v="Informática y Telecomunicaciones"/>
    <x v="0"/>
    <s v="Jefe Oficina de Informática y Telecomunicaciones"/>
    <x v="6"/>
    <x v="17"/>
    <s v="Implementar y soportar plataforma de TI"/>
    <s v="Índice de capacidad en la prestación de servicios de tecnología."/>
    <n v="295"/>
    <d v="2021-02-11T00:00:00"/>
    <n v="5757792"/>
    <n v="51820134"/>
    <n v="51820134"/>
    <x v="1"/>
    <s v="HERMES  RAMIREZ AROCA"/>
    <n v="0"/>
    <n v="0"/>
    <n v="24464"/>
    <x v="1"/>
    <x v="1"/>
    <x v="1"/>
    <n v="330"/>
    <x v="0"/>
  </r>
  <r>
    <x v="8"/>
    <n v="41"/>
    <x v="1"/>
    <x v="0"/>
    <x v="3"/>
    <x v="5"/>
    <x v="5"/>
    <x v="11"/>
    <x v="0"/>
    <x v="2"/>
    <x v="1"/>
    <x v="9"/>
    <x v="1"/>
    <s v="Servicios de implementación de aplicaciones"/>
    <x v="0"/>
    <n v="81111508"/>
    <s v="Prestación de servicios profesionales para implementar, mantener, proponer y aplicar mejoras al sistema de gestión de seguridad de la información del igac"/>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262"/>
    <d v="2021-02-11T00:00:00"/>
    <n v="7550277"/>
    <n v="67952493"/>
    <n v="67952493"/>
    <x v="1"/>
    <s v="ISIS JOHANNA GOMEZ PERALTA"/>
    <n v="0"/>
    <n v="0"/>
    <n v="24483"/>
    <x v="1"/>
    <x v="1"/>
    <x v="1"/>
    <n v="270"/>
    <x v="0"/>
  </r>
  <r>
    <x v="8"/>
    <n v="36"/>
    <x v="1"/>
    <x v="0"/>
    <x v="3"/>
    <x v="5"/>
    <x v="5"/>
    <x v="11"/>
    <x v="0"/>
    <x v="2"/>
    <x v="1"/>
    <x v="9"/>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57"/>
    <d v="2021-01-26T00:00:00"/>
    <n v="7550277"/>
    <n v="67952493"/>
    <n v="67952493"/>
    <x v="1"/>
    <s v="JAIME ENRIQUE CARDENAS"/>
    <n v="0"/>
    <n v="0"/>
    <n v="24346"/>
    <x v="1"/>
    <x v="1"/>
    <x v="1"/>
    <n v="270"/>
    <x v="0"/>
  </r>
  <r>
    <x v="8"/>
    <n v="69"/>
    <x v="1"/>
    <x v="0"/>
    <x v="3"/>
    <x v="5"/>
    <x v="5"/>
    <x v="11"/>
    <x v="0"/>
    <x v="2"/>
    <x v="1"/>
    <x v="9"/>
    <x v="1"/>
    <s v="Servicios de implementación de aplicaciones"/>
    <x v="0"/>
    <n v="81111508"/>
    <s v="Prestación de servicios profesionales para gestionar, administrar y operar la infraestructura tecnológica de las plataformas Windows, virtualización y almacenamiento de la entidad."/>
    <x v="6"/>
    <x v="6"/>
    <n v="9"/>
    <x v="1"/>
    <x v="1"/>
    <x v="1"/>
    <n v="67952493"/>
    <n v="67952493"/>
    <x v="1"/>
    <x v="1"/>
    <x v="0"/>
    <x v="0"/>
    <s v="Dirección General"/>
    <s v="Informática y Telecomunicaciones"/>
    <x v="0"/>
    <s v="Jefe Oficina de Informática y Telecomunicaciones"/>
    <x v="6"/>
    <x v="17"/>
    <s v="Implementar y soportar plataforma de TI"/>
    <s v="Índice de capacidad en la prestación de servicios de tecnología."/>
    <n v="369"/>
    <d v="2021-03-30T00:00:00"/>
    <n v="7550277"/>
    <n v="67952493"/>
    <n v="67952493"/>
    <x v="1"/>
    <s v="JAMES YESID JARAMILLO"/>
    <n v="0"/>
    <n v="0"/>
    <n v="24640"/>
    <x v="1"/>
    <x v="1"/>
    <x v="1"/>
    <n v="270"/>
    <x v="0"/>
  </r>
  <r>
    <x v="8"/>
    <n v="76"/>
    <x v="1"/>
    <x v="0"/>
    <x v="3"/>
    <x v="5"/>
    <x v="5"/>
    <x v="11"/>
    <x v="0"/>
    <x v="2"/>
    <x v="1"/>
    <x v="2"/>
    <x v="1"/>
    <s v="Servicios de implementación de aplicaciones"/>
    <x v="0"/>
    <n v="81111508"/>
    <s v="Prestación de servicios profesionales para elaborar las historias de usuarios y prototipado de las funcionalidades requeridas por el instituto."/>
    <x v="2"/>
    <x v="2"/>
    <n v="9"/>
    <x v="1"/>
    <x v="1"/>
    <x v="1"/>
    <n v="51820137"/>
    <n v="51820137"/>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467"/>
    <d v="2021-03-15T00:00:00"/>
    <n v="5757793"/>
    <n v="51820137"/>
    <n v="51820137"/>
    <x v="1"/>
    <s v="JENNIFER PAOLA RODRIGUEZ RINCON"/>
    <n v="0"/>
    <n v="0"/>
    <n v="24605"/>
    <x v="1"/>
    <x v="1"/>
    <x v="1"/>
    <n v="300"/>
    <x v="0"/>
  </r>
  <r>
    <x v="8"/>
    <n v="63"/>
    <x v="1"/>
    <x v="0"/>
    <x v="3"/>
    <x v="5"/>
    <x v="5"/>
    <x v="11"/>
    <x v="0"/>
    <x v="2"/>
    <x v="1"/>
    <x v="9"/>
    <x v="1"/>
    <s v="Servicios de implementación de aplicaciones"/>
    <x v="0"/>
    <n v="81111508"/>
    <s v="Prestación de servicios profesionales para realizar la gestión de la seguridad informática y Perimetral de los sistemas de la entidad."/>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327"/>
    <d v="2021-02-19T00:00:00"/>
    <n v="7550277"/>
    <n v="67952493"/>
    <n v="67952493"/>
    <x v="1"/>
    <s v="JORGE SANDOVAL GONZALEZ"/>
    <n v="0"/>
    <n v="0"/>
    <n v="24488"/>
    <x v="1"/>
    <x v="1"/>
    <x v="1"/>
    <n v="270"/>
    <x v="0"/>
  </r>
  <r>
    <x v="8"/>
    <n v="73"/>
    <x v="1"/>
    <x v="0"/>
    <x v="3"/>
    <x v="5"/>
    <x v="5"/>
    <x v="11"/>
    <x v="0"/>
    <x v="2"/>
    <x v="1"/>
    <x v="2"/>
    <x v="1"/>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31"/>
    <d v="2021-03-08T00:00:00"/>
    <n v="2941780"/>
    <n v="26476020"/>
    <n v="26476020"/>
    <x v="1"/>
    <s v="KATHERINE ANDREA CEPEDA ZUÑIGA"/>
    <n v="0"/>
    <n v="0"/>
    <n v="24561"/>
    <x v="1"/>
    <x v="1"/>
    <x v="1"/>
    <n v="270"/>
    <x v="0"/>
  </r>
  <r>
    <x v="8"/>
    <n v="74"/>
    <x v="1"/>
    <x v="0"/>
    <x v="3"/>
    <x v="5"/>
    <x v="5"/>
    <x v="11"/>
    <x v="0"/>
    <x v="2"/>
    <x v="1"/>
    <x v="2"/>
    <x v="1"/>
    <s v="Servicios de implementación de aplicaciones"/>
    <x v="0"/>
    <n v="81111508"/>
    <s v="Prestación de servicios de apoyo para ejecutar actividades de soporte técnico de primer nivel en la mesa de servicio del Sistema Nacional de Catastro."/>
    <x v="2"/>
    <x v="2"/>
    <n v="5"/>
    <x v="1"/>
    <x v="1"/>
    <x v="1"/>
    <n v="13357415"/>
    <n v="13357415"/>
    <x v="1"/>
    <x v="1"/>
    <x v="0"/>
    <x v="0"/>
    <s v="Subdirección de Catastro"/>
    <s v="Oficina de Informática y Telecomunicaciones"/>
    <x v="0"/>
    <s v="José Luis Ariza Vargas (Jefe OIT)"/>
    <x v="0"/>
    <x v="0"/>
    <s v="Ejecutar procesos de actualización catastral a nivel nacional"/>
    <s v="Predios actualizados catastralmente"/>
    <n v="429"/>
    <d v="2021-03-08T00:00:00"/>
    <n v="2671483"/>
    <n v="13357415"/>
    <n v="13357415"/>
    <x v="1"/>
    <s v="LEIDY PAOLA ABRIL CANTOR"/>
    <n v="0"/>
    <n v="0"/>
    <n v="24559"/>
    <x v="1"/>
    <x v="1"/>
    <x v="0"/>
    <n v="270"/>
    <x v="0"/>
  </r>
  <r>
    <x v="8"/>
    <n v="67"/>
    <x v="1"/>
    <x v="0"/>
    <x v="3"/>
    <x v="5"/>
    <x v="5"/>
    <x v="11"/>
    <x v="0"/>
    <x v="2"/>
    <x v="1"/>
    <x v="9"/>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6"/>
    <x v="6"/>
    <n v="9"/>
    <x v="1"/>
    <x v="1"/>
    <x v="1"/>
    <n v="51820134"/>
    <n v="51820134"/>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1"/>
    <x v="1"/>
    <x v="1"/>
    <n v="150"/>
    <x v="0"/>
  </r>
  <r>
    <x v="8"/>
    <n v="75"/>
    <x v="1"/>
    <x v="0"/>
    <x v="3"/>
    <x v="5"/>
    <x v="5"/>
    <x v="11"/>
    <x v="0"/>
    <x v="2"/>
    <x v="1"/>
    <x v="2"/>
    <x v="1"/>
    <s v="Servicios de implementación de aplicaciones"/>
    <x v="0"/>
    <n v="81111508"/>
    <s v="Prestación de servicios profesionales para realizar actividades de soporte técnico de segundo nivel en la mesa de servicio del Sistema Nacional de Catastro."/>
    <x v="2"/>
    <x v="2"/>
    <n v="5"/>
    <x v="1"/>
    <x v="1"/>
    <x v="1"/>
    <n v="24882120"/>
    <n v="24882120"/>
    <x v="1"/>
    <x v="1"/>
    <x v="0"/>
    <x v="0"/>
    <s v="Subdirección de Catastro"/>
    <s v="Oficina de Informática y Telecomunicaciones"/>
    <x v="0"/>
    <s v="José Luis Ariza Vargas (Jefe OIT)"/>
    <x v="0"/>
    <x v="0"/>
    <s v="Ejecutar procesos de actualización catastral a nivel nacional"/>
    <s v="Predios actualizados catastralmente"/>
    <n v="431"/>
    <d v="2021-03-08T00:00:00"/>
    <n v="4976424"/>
    <n v="24882120"/>
    <n v="24882120"/>
    <x v="1"/>
    <s v="MARCELA PATRICIA HERRAN ALVAREZ"/>
    <n v="0"/>
    <n v="0"/>
    <n v="24561"/>
    <x v="1"/>
    <x v="1"/>
    <x v="1"/>
    <n v="300"/>
    <x v="0"/>
  </r>
  <r>
    <x v="8"/>
    <n v="66"/>
    <x v="1"/>
    <x v="0"/>
    <x v="3"/>
    <x v="5"/>
    <x v="5"/>
    <x v="11"/>
    <x v="0"/>
    <x v="2"/>
    <x v="1"/>
    <x v="9"/>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37"/>
    <d v="2021-02-22T00:00:00"/>
    <n v="7550277"/>
    <n v="67952493"/>
    <n v="67952493"/>
    <x v="1"/>
    <s v="VIRGILIO SANTANDER SOCARRAS"/>
    <n v="0"/>
    <n v="0"/>
    <m/>
    <x v="1"/>
    <x v="1"/>
    <x v="1"/>
    <n v="270"/>
    <x v="0"/>
  </r>
  <r>
    <x v="8"/>
    <n v="88"/>
    <x v="1"/>
    <x v="0"/>
    <x v="3"/>
    <x v="5"/>
    <x v="5"/>
    <x v="11"/>
    <x v="0"/>
    <x v="2"/>
    <x v="1"/>
    <x v="12"/>
    <x v="1"/>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484"/>
    <d v="2021-03-17T00:00:00"/>
    <n v="2671483"/>
    <n v="24043347"/>
    <n v="24043347"/>
    <x v="1"/>
    <s v="JOSE GREGORIO MATEUS MALAGON"/>
    <n v="2"/>
    <n v="0"/>
    <n v="24618"/>
    <x v="1"/>
    <x v="1"/>
    <x v="1"/>
    <n v="230"/>
    <x v="0"/>
  </r>
  <r>
    <x v="8"/>
    <n v="59"/>
    <x v="1"/>
    <x v="0"/>
    <x v="3"/>
    <x v="5"/>
    <x v="5"/>
    <x v="11"/>
    <x v="0"/>
    <x v="2"/>
    <x v="1"/>
    <x v="9"/>
    <x v="1"/>
    <s v="Servicios de implementación de aplicaciones"/>
    <x v="0"/>
    <n v="81111508"/>
    <s v="Prestación de servicios  para realizar actividades de administración, soporte y monitoreo de las plataformas basadas en software libre adoptadas por la entidad."/>
    <x v="6"/>
    <x v="6"/>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330"/>
    <d v="2021-02-17T00:00:00"/>
    <n v="2671483"/>
    <n v="24043347"/>
    <n v="24043347"/>
    <x v="1"/>
    <s v="JULIAN DAVID TETE MILES"/>
    <n v="2"/>
    <n v="0"/>
    <n v="24490"/>
    <x v="1"/>
    <x v="1"/>
    <x v="1"/>
    <n v="269"/>
    <x v="0"/>
  </r>
  <r>
    <x v="8"/>
    <n v="46"/>
    <x v="1"/>
    <x v="0"/>
    <x v="3"/>
    <x v="5"/>
    <x v="5"/>
    <x v="11"/>
    <x v="0"/>
    <x v="2"/>
    <x v="1"/>
    <x v="9"/>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6"/>
    <x v="6"/>
    <n v="9"/>
    <x v="1"/>
    <x v="1"/>
    <x v="1"/>
    <n v="24043349"/>
    <n v="24043349"/>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6"/>
    <d v="2021-02-11T00:00:00"/>
    <n v="2671483"/>
    <n v="24043347"/>
    <n v="24043347"/>
    <x v="1"/>
    <s v="MIGUEL ANGEL TORRES ROMERO"/>
    <n v="2"/>
    <n v="0"/>
    <n v="24448"/>
    <x v="1"/>
    <x v="1"/>
    <x v="1"/>
    <n v="270"/>
    <x v="0"/>
  </r>
  <r>
    <x v="8"/>
    <n v="53"/>
    <x v="1"/>
    <x v="0"/>
    <x v="3"/>
    <x v="5"/>
    <x v="5"/>
    <x v="11"/>
    <x v="0"/>
    <x v="2"/>
    <x v="1"/>
    <x v="9"/>
    <x v="1"/>
    <s v="Servicios de implementación de aplicaciones"/>
    <x v="0"/>
    <n v="81111508"/>
    <s v="Prestación de Servicios Profesionales para realizar actividades de operación, soporte, mantenimiento y monitoreo a las plataformas tecnológicas."/>
    <x v="6"/>
    <x v="6"/>
    <n v="9"/>
    <x v="1"/>
    <x v="1"/>
    <x v="1"/>
    <n v="38371701"/>
    <n v="38371701"/>
    <x v="1"/>
    <x v="1"/>
    <x v="0"/>
    <x v="0"/>
    <s v="Dirección General"/>
    <s v="Informática y Telecomunicaciones"/>
    <x v="0"/>
    <s v="Jefe Oficina de Informática y Telecomunicaciones"/>
    <x v="6"/>
    <x v="17"/>
    <s v="Implementar y soportar plataforma de TI"/>
    <s v="Índice de capacidad en la prestación de servicios de tecnología."/>
    <n v="277"/>
    <d v="2021-02-11T00:00:00"/>
    <n v="4263522"/>
    <n v="38371698"/>
    <n v="38371698"/>
    <x v="1"/>
    <s v="JUAN CARLOS BEJARANO BAYONA"/>
    <n v="3"/>
    <n v="0"/>
    <n v="24442"/>
    <x v="1"/>
    <x v="1"/>
    <x v="1"/>
    <n v="270"/>
    <x v="0"/>
  </r>
  <r>
    <x v="8"/>
    <n v="60"/>
    <x v="1"/>
    <x v="0"/>
    <x v="3"/>
    <x v="5"/>
    <x v="5"/>
    <x v="11"/>
    <x v="0"/>
    <x v="2"/>
    <x v="1"/>
    <x v="9"/>
    <x v="1"/>
    <s v="Servicios de implementación de aplicaciones"/>
    <x v="0"/>
    <n v="81111508"/>
    <s v="Prestación de servicios profesionales para realizar el mantenimiento de la red regulada y el cableado estructurado de la entidad a nivel nacional."/>
    <x v="6"/>
    <x v="6"/>
    <n v="9"/>
    <x v="1"/>
    <x v="1"/>
    <x v="1"/>
    <n v="32762127"/>
    <n v="32762127"/>
    <x v="1"/>
    <x v="1"/>
    <x v="0"/>
    <x v="0"/>
    <s v="Dirección General"/>
    <s v="Informática y Telecomunicaciones"/>
    <x v="0"/>
    <s v="Jefe Oficina de Informática y Telecomunicaciones"/>
    <x v="6"/>
    <x v="17"/>
    <s v="Implementar y soportar plataforma de TI"/>
    <s v="Índice de capacidad en la prestación de servicios de tecnología."/>
    <n v="334"/>
    <d v="2021-02-17T00:00:00"/>
    <n v="3640236"/>
    <n v="32762124"/>
    <n v="32762124"/>
    <x v="1"/>
    <s v="RUBEN DARIO MARTINEZ MELLIZO"/>
    <n v="3"/>
    <n v="0"/>
    <n v="24493"/>
    <x v="1"/>
    <x v="1"/>
    <x v="1"/>
    <n v="270"/>
    <x v="0"/>
  </r>
  <r>
    <x v="8"/>
    <n v="98"/>
    <x v="1"/>
    <x v="0"/>
    <x v="3"/>
    <x v="5"/>
    <x v="5"/>
    <x v="11"/>
    <x v="0"/>
    <x v="2"/>
    <x v="1"/>
    <x v="4"/>
    <x v="1"/>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1"/>
    <x v="1"/>
    <n v="225"/>
    <x v="0"/>
    <x v="1"/>
    <x v="1"/>
    <n v="98376633.599999994"/>
    <n v="98376633.599999994"/>
    <x v="1"/>
    <x v="2"/>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02"/>
    <n v="0"/>
    <n v="24744"/>
    <x v="1"/>
    <x v="1"/>
    <x v="1"/>
    <n v="210"/>
    <x v="0"/>
  </r>
  <r>
    <x v="8"/>
    <n v="64"/>
    <x v="1"/>
    <x v="0"/>
    <x v="3"/>
    <x v="5"/>
    <x v="5"/>
    <x v="11"/>
    <x v="0"/>
    <x v="2"/>
    <x v="1"/>
    <x v="9"/>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6"/>
    <x v="6"/>
    <n v="9"/>
    <x v="1"/>
    <x v="1"/>
    <x v="1"/>
    <n v="44787820"/>
    <n v="44787820"/>
    <x v="1"/>
    <x v="1"/>
    <x v="0"/>
    <x v="0"/>
    <s v="Dirección General"/>
    <s v="Informática y Telecomunicaciones"/>
    <x v="0"/>
    <s v="Jefe Oficina de Informática y Telecomunicaciones"/>
    <x v="6"/>
    <x v="17"/>
    <s v="Implementar y soportar plataforma de TI"/>
    <s v="Índice de capacidad en la prestación de servicios de tecnología."/>
    <n v="339"/>
    <d v="2021-02-19T00:00:00"/>
    <n v="4976424"/>
    <n v="44787816"/>
    <n v="44787816"/>
    <x v="1"/>
    <s v="DIEGO FERNANDO CAICEDO"/>
    <n v="4"/>
    <n v="0"/>
    <n v="24497"/>
    <x v="1"/>
    <x v="1"/>
    <x v="1"/>
    <n v="290"/>
    <x v="0"/>
  </r>
  <r>
    <x v="8"/>
    <n v="52"/>
    <x v="1"/>
    <x v="0"/>
    <x v="3"/>
    <x v="5"/>
    <x v="5"/>
    <x v="11"/>
    <x v="0"/>
    <x v="2"/>
    <x v="1"/>
    <x v="9"/>
    <x v="1"/>
    <s v="Servicios de implementación de aplicaciones"/>
    <x v="0"/>
    <n v="81111508"/>
    <s v="Prestación de servicios profesionales  para realizar actividades de  operación, soporte  y desarrollo relacionados con la  gestión del Sistema Nacional de Catastro."/>
    <x v="6"/>
    <x v="6"/>
    <n v="11"/>
    <x v="1"/>
    <x v="1"/>
    <x v="1"/>
    <n v="46898746"/>
    <n v="46898746"/>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1"/>
    <x v="1"/>
    <x v="1"/>
    <n v="270"/>
    <x v="0"/>
  </r>
  <r>
    <x v="8"/>
    <n v="77"/>
    <x v="1"/>
    <x v="0"/>
    <x v="3"/>
    <x v="5"/>
    <x v="5"/>
    <x v="11"/>
    <x v="0"/>
    <x v="2"/>
    <x v="1"/>
    <x v="2"/>
    <x v="1"/>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1"/>
    <x v="1"/>
    <x v="1"/>
    <n v="78371788"/>
    <n v="78371788"/>
    <x v="1"/>
    <x v="1"/>
    <x v="0"/>
    <x v="0"/>
    <s v="Dirección General"/>
    <s v="Informática y Telecomunicaciones"/>
    <x v="0"/>
    <s v="Jefe Oficina de Informática y Telecomunicaciones"/>
    <x v="6"/>
    <x v="17"/>
    <s v="Implementar y soportar plataforma de TI"/>
    <s v="Índice de capacidad en la prestación de servicios de tecnología."/>
    <n v="452"/>
    <d v="2021-03-15T00:00:00"/>
    <n v="8707976"/>
    <n v="78371784"/>
    <n v="78371784"/>
    <x v="1"/>
    <s v="LUISA FERNANDA CAMACHO"/>
    <n v="4"/>
    <n v="0"/>
    <n v="24586"/>
    <x v="1"/>
    <x v="1"/>
    <x v="1"/>
    <n v="300"/>
    <x v="0"/>
  </r>
  <r>
    <x v="8"/>
    <n v="57"/>
    <x v="1"/>
    <x v="0"/>
    <x v="3"/>
    <x v="5"/>
    <x v="5"/>
    <x v="11"/>
    <x v="0"/>
    <x v="2"/>
    <x v="1"/>
    <x v="9"/>
    <x v="1"/>
    <s v="Servicios de implementación de aplicaciones"/>
    <x v="0"/>
    <n v="81111508"/>
    <s v="Prestación de servicios profesionales para gestionar la infraestructura tecnológica, plataforma de inteligencia de negocios y bases de datos de la entidad."/>
    <x v="6"/>
    <x v="6"/>
    <n v="9"/>
    <x v="1"/>
    <x v="1"/>
    <x v="1"/>
    <n v="88787560"/>
    <n v="88787560"/>
    <x v="1"/>
    <x v="1"/>
    <x v="0"/>
    <x v="0"/>
    <s v="Dirección General"/>
    <s v="Informática y Telecomunicaciones"/>
    <x v="0"/>
    <s v="Jefe Oficina de Informática y Telecomunicaciones"/>
    <x v="6"/>
    <x v="17"/>
    <s v="Implementar y soportar plataforma de TI"/>
    <s v="Índice de capacidad en la prestación de servicios de tecnología."/>
    <n v="293"/>
    <d v="2021-02-16T00:00:00"/>
    <n v="9865284"/>
    <n v="88787556"/>
    <n v="88787556"/>
    <x v="1"/>
    <s v="NESTOR ALONSO ESPITIA DIAZ"/>
    <n v="4"/>
    <n v="0"/>
    <n v="24461"/>
    <x v="1"/>
    <x v="1"/>
    <x v="1"/>
    <n v="315"/>
    <x v="0"/>
  </r>
  <r>
    <x v="8"/>
    <n v="37"/>
    <x v="1"/>
    <x v="0"/>
    <x v="3"/>
    <x v="5"/>
    <x v="5"/>
    <x v="11"/>
    <x v="0"/>
    <x v="2"/>
    <x v="1"/>
    <x v="9"/>
    <x v="1"/>
    <s v="Servicios de implementación de aplicaciones"/>
    <x v="0"/>
    <n v="81111508"/>
    <s v="Prestación de servicios profesionales para orientar y realizar la gestión de la infraestructura tecnológica y seguridad informática que soportan los sistemas de la entidad."/>
    <x v="6"/>
    <x v="6"/>
    <n v="9"/>
    <x v="1"/>
    <x v="1"/>
    <x v="1"/>
    <n v="99203332"/>
    <n v="99203332"/>
    <x v="1"/>
    <x v="1"/>
    <x v="0"/>
    <x v="0"/>
    <s v="Dirección General"/>
    <s v="Informática y Telecomunicaciones"/>
    <x v="0"/>
    <s v="Jefe Oficina de Informática y Telecomunicaciones"/>
    <x v="6"/>
    <x v="17"/>
    <s v="Implementar y soportar plataforma de TI"/>
    <s v="Índice de capacidad en la prestación de servicios de tecnología."/>
    <n v="154"/>
    <d v="2021-01-28T00:00:00"/>
    <n v="11022592"/>
    <n v="99203328"/>
    <n v="99203328"/>
    <x v="1"/>
    <s v="WILMER ESPITIA MUÑOZ"/>
    <n v="4"/>
    <n v="0"/>
    <n v="24332"/>
    <x v="1"/>
    <x v="1"/>
    <x v="1"/>
    <n v="270"/>
    <x v="0"/>
  </r>
  <r>
    <x v="8"/>
    <n v="50"/>
    <x v="1"/>
    <x v="0"/>
    <x v="3"/>
    <x v="5"/>
    <x v="5"/>
    <x v="11"/>
    <x v="1"/>
    <x v="1"/>
    <x v="1"/>
    <x v="9"/>
    <x v="1"/>
    <s v="Servicios de implementación de aplicaciones"/>
    <x v="0"/>
    <n v="81111508"/>
    <s v="Prestación de servicios de apoyo para ejecutar actividades de soporte técnico en la mesa de servicio del Sistema Nacional Catastro."/>
    <x v="6"/>
    <x v="6"/>
    <n v="11"/>
    <x v="1"/>
    <x v="1"/>
    <x v="1"/>
    <n v="58772631"/>
    <n v="58772631"/>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3"/>
    <x v="1"/>
    <x v="1"/>
    <n v="270"/>
    <x v="0"/>
  </r>
  <r>
    <x v="8"/>
    <n v="38"/>
    <x v="1"/>
    <x v="0"/>
    <x v="3"/>
    <x v="5"/>
    <x v="5"/>
    <x v="11"/>
    <x v="1"/>
    <x v="1"/>
    <x v="1"/>
    <x v="9"/>
    <x v="1"/>
    <s v="Servicios de implementación de aplicaciones"/>
    <x v="0"/>
    <n v="81111508"/>
    <s v="Prestación de servicios profesionales para  soportar, mantener  y desarrollar componentes de software de los sistemas de información de la entidad."/>
    <x v="6"/>
    <x v="6"/>
    <n v="9"/>
    <x v="1"/>
    <x v="1"/>
    <x v="1"/>
    <n v="156743575"/>
    <n v="156743575"/>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3"/>
    <x v="1"/>
    <x v="1"/>
    <n v="330"/>
    <x v="0"/>
  </r>
  <r>
    <x v="8"/>
    <n v="35"/>
    <x v="1"/>
    <x v="0"/>
    <x v="3"/>
    <x v="5"/>
    <x v="5"/>
    <x v="11"/>
    <x v="0"/>
    <x v="2"/>
    <x v="1"/>
    <x v="9"/>
    <x v="1"/>
    <s v="Servicios de implementación de aplicaciones"/>
    <x v="0"/>
    <n v="81111508"/>
    <s v="Prestación de servicios profesionales para orientar y realizar las actividades de soporte técnico de las plataformas de la oficina de informática y telecomunicaciones"/>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162"/>
    <d v="2021-01-26T00:00:00"/>
    <n v="6683453"/>
    <n v="60151077"/>
    <n v="60151077"/>
    <x v="1"/>
    <s v="HENRY MAURICIO ROJAS PINEDA"/>
    <n v="7"/>
    <n v="0"/>
    <n v="24348"/>
    <x v="1"/>
    <x v="1"/>
    <x v="1"/>
    <n v="330"/>
    <x v="0"/>
  </r>
  <r>
    <x v="8"/>
    <n v="48"/>
    <x v="1"/>
    <x v="0"/>
    <x v="3"/>
    <x v="5"/>
    <x v="5"/>
    <x v="11"/>
    <x v="3"/>
    <x v="3"/>
    <x v="1"/>
    <x v="9"/>
    <x v="1"/>
    <s v="Servicios de soporte técnico o de mesa de ayuda"/>
    <x v="0"/>
    <n v="81111811"/>
    <s v="Prestación de servicios para realizar actividades de  operación, soporte  de solicitudes, incidentes y requerimientos  según los niveles de servicio establecidos."/>
    <x v="6"/>
    <x v="6"/>
    <n v="9"/>
    <x v="1"/>
    <x v="1"/>
    <x v="1"/>
    <n v="120216744"/>
    <n v="120216744"/>
    <x v="1"/>
    <x v="1"/>
    <x v="3"/>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2"/>
    <x v="1"/>
    <x v="1"/>
    <n v="315"/>
    <x v="0"/>
  </r>
  <r>
    <x v="8"/>
    <n v="51"/>
    <x v="1"/>
    <x v="0"/>
    <x v="3"/>
    <x v="5"/>
    <x v="5"/>
    <x v="11"/>
    <x v="0"/>
    <x v="2"/>
    <x v="1"/>
    <x v="9"/>
    <x v="1"/>
    <s v="Servicios de implementación de aplicaciones"/>
    <x v="0"/>
    <n v="81111508"/>
    <s v="Prestación de servicios profesionales para desarrollar, administrar y dar soporte a los componentes de los portales web y micro sitios de la entidad."/>
    <x v="6"/>
    <x v="6"/>
    <n v="9"/>
    <x v="1"/>
    <x v="1"/>
    <x v="1"/>
    <n v="51820134"/>
    <n v="51820134"/>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5"/>
    <d v="2021-02-11T00:00:00"/>
    <n v="5757793"/>
    <n v="51628211"/>
    <n v="51628211"/>
    <x v="1"/>
    <s v="JOSE  LUIS SANABRIA CASIANO"/>
    <n v="191923"/>
    <n v="0"/>
    <n v="24443"/>
    <x v="1"/>
    <x v="1"/>
    <x v="1"/>
    <n v="330"/>
    <x v="0"/>
  </r>
  <r>
    <x v="8"/>
    <n v="40"/>
    <x v="1"/>
    <x v="0"/>
    <x v="3"/>
    <x v="5"/>
    <x v="5"/>
    <x v="11"/>
    <x v="0"/>
    <x v="2"/>
    <x v="1"/>
    <x v="9"/>
    <x v="1"/>
    <s v="Servicios de implementación de aplicaciones"/>
    <x v="0"/>
    <n v="81111508"/>
    <s v="Prestación de servicios profesionales para gestionar, administrar y monitorear la red regulada y el cableado estructurado de la entidad a nivel nacional."/>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269"/>
    <d v="2021-02-11T00:00:00"/>
    <n v="6683454"/>
    <n v="59928304"/>
    <n v="59928304"/>
    <x v="1"/>
    <s v="LEONARDO LIZARAZO SIERRA"/>
    <n v="222780"/>
    <n v="0"/>
    <n v="24452"/>
    <x v="1"/>
    <x v="1"/>
    <x v="1"/>
    <n v="330"/>
    <x v="0"/>
  </r>
  <r>
    <x v="8"/>
    <n v="54"/>
    <x v="1"/>
    <x v="0"/>
    <x v="3"/>
    <x v="5"/>
    <x v="5"/>
    <x v="11"/>
    <x v="1"/>
    <x v="1"/>
    <x v="1"/>
    <x v="9"/>
    <x v="1"/>
    <s v="Servicios de implementación de aplicaciones"/>
    <x v="0"/>
    <n v="81111508"/>
    <s v="Prestación de servicios profesionales para analizar y desarrollar componentes de software en plataforma ORACLE."/>
    <x v="6"/>
    <x v="6"/>
    <n v="9"/>
    <x v="1"/>
    <x v="1"/>
    <x v="1"/>
    <n v="120302167"/>
    <n v="120302167"/>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3"/>
    <x v="1"/>
    <x v="1"/>
    <n v="310"/>
    <x v="0"/>
  </r>
  <r>
    <x v="8"/>
    <n v="92"/>
    <x v="1"/>
    <x v="0"/>
    <x v="3"/>
    <x v="5"/>
    <x v="5"/>
    <x v="11"/>
    <x v="0"/>
    <x v="2"/>
    <x v="1"/>
    <x v="3"/>
    <x v="1"/>
    <s v="Servicios de implementación de aplicaciones"/>
    <x v="0"/>
    <n v="81111508"/>
    <s v="Prestación de servicios profesionales para configurar, administrar, gestionar, monitorear y soportar las bases de datos de la entidad."/>
    <x v="3"/>
    <x v="3"/>
    <n v="255"/>
    <x v="0"/>
    <x v="1"/>
    <x v="1"/>
    <n v="74017796"/>
    <n v="74017796"/>
    <x v="1"/>
    <x v="1"/>
    <x v="0"/>
    <x v="0"/>
    <s v="Oficina de Informática y Telecomunicaciones"/>
    <s v="Oficina de Informática y Telecomunicaciones"/>
    <x v="0"/>
    <s v="José Luis Ariza Vargas (Jefe OIT)"/>
    <x v="6"/>
    <x v="17"/>
    <s v="Establecer la estratégia y gobierno de TI"/>
    <s v="Índice de capacidad en la prestación de servicios de tecnología."/>
    <n v="531"/>
    <d v="2021-04-15T00:00:00"/>
    <n v="8707976"/>
    <n v="73146998"/>
    <n v="73146998"/>
    <x v="1"/>
    <s v="LUIS ALEXANDER DUARTE PAREJA"/>
    <n v="870798"/>
    <n v="0"/>
    <n v="24675"/>
    <x v="1"/>
    <x v="1"/>
    <x v="1"/>
    <m/>
    <x v="0"/>
  </r>
  <r>
    <x v="9"/>
    <n v="1"/>
    <x v="1"/>
    <x v="0"/>
    <x v="3"/>
    <x v="5"/>
    <x v="5"/>
    <x v="11"/>
    <x v="0"/>
    <x v="2"/>
    <x v="1"/>
    <x v="4"/>
    <x v="1"/>
    <s v="Servicios de alquiler o arrendamiento de licencias de software de computador"/>
    <x v="0"/>
    <n v="81112500"/>
    <s v="Adquisición de productos y servicios Microsoft"/>
    <x v="7"/>
    <x v="7"/>
    <n v="12"/>
    <x v="1"/>
    <x v="5"/>
    <x v="2"/>
    <n v="1454161872.5999999"/>
    <n v="1454161872.5999999"/>
    <x v="1"/>
    <x v="2"/>
    <x v="0"/>
    <x v="0"/>
    <s v="Oficina de Informática y Telecomunicaciones"/>
    <s v="Oficina de Informática y Telecomunicaciones"/>
    <x v="0"/>
    <s v="José Luis Ariza Vargas (Jefe OIT)"/>
    <x v="6"/>
    <x v="17"/>
    <s v="Implementar y soportar plataformas de TI"/>
    <s v="Índice de capacidad en la prestación de servicios de tecnología."/>
    <m/>
    <d v="2021-07-27T00:00:00"/>
    <n v="1452467450.0899999"/>
    <n v="1452467450.0899999"/>
    <n v="1452467450.0899999"/>
    <x v="1"/>
    <s v="INICIO PROCESO"/>
    <n v="1694422.50999999"/>
    <n v="0"/>
    <m/>
    <x v="0"/>
    <x v="0"/>
    <x v="0"/>
    <n v="315"/>
    <x v="0"/>
  </r>
  <r>
    <x v="8"/>
    <n v="78"/>
    <x v="1"/>
    <x v="0"/>
    <x v="3"/>
    <x v="5"/>
    <x v="5"/>
    <x v="12"/>
    <x v="0"/>
    <x v="2"/>
    <x v="1"/>
    <x v="9"/>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6"/>
    <x v="6"/>
    <n v="10"/>
    <x v="1"/>
    <x v="1"/>
    <x v="0"/>
    <n v="84543460"/>
    <n v="8454346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1"/>
    <x v="1"/>
    <x v="1"/>
    <n v="240"/>
    <x v="0"/>
  </r>
  <r>
    <x v="8"/>
    <n v="99"/>
    <x v="1"/>
    <x v="0"/>
    <x v="3"/>
    <x v="5"/>
    <x v="5"/>
    <x v="11"/>
    <x v="0"/>
    <x v="2"/>
    <x v="1"/>
    <x v="18"/>
    <x v="1"/>
    <s v="Ingeniería de software o hardware"/>
    <x v="0"/>
    <n v="81111500"/>
    <s v="Contratar los servicios de soporte técnicoproactivo, reactivo, de configuración, actualización, afinamiento y parametrización para productos ORACLE con los que cuenta el IGAC."/>
    <x v="4"/>
    <x v="4"/>
    <n v="3"/>
    <x v="1"/>
    <x v="5"/>
    <x v="2"/>
    <n v="162242850"/>
    <n v="162242850"/>
    <x v="1"/>
    <x v="4"/>
    <x v="0"/>
    <x v="0"/>
    <s v="Oficina de Informática y Telecomunicaciones"/>
    <s v="Oficina de Informática y Telecomunicaciones"/>
    <x v="0"/>
    <s v="Guillermo Gómez Gómez (Jefe OIT)"/>
    <x v="7"/>
    <x v="17"/>
    <s v="Implementar y mantener sistemas de información, portales y aplicaciones"/>
    <s v="Índice de capacidad en la prestación de servicios de tecnología."/>
    <n v="704"/>
    <d v="2021-07-13T00:00:00"/>
    <n v="159265998.68000001"/>
    <n v="159265998.68000001"/>
    <n v="159265998.68000001"/>
    <x v="1"/>
    <s v="OCP TECH COLOMBIA S.A.S"/>
    <n v="2976851.3199999901"/>
    <n v="0"/>
    <n v="24826"/>
    <x v="1"/>
    <x v="1"/>
    <x v="0"/>
    <s v="Día(s)"/>
    <x v="0"/>
  </r>
  <r>
    <x v="8"/>
    <n v="47"/>
    <x v="1"/>
    <x v="0"/>
    <x v="3"/>
    <x v="5"/>
    <x v="5"/>
    <x v="11"/>
    <x v="0"/>
    <x v="2"/>
    <x v="1"/>
    <x v="9"/>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6"/>
    <x v="6"/>
    <n v="11"/>
    <x v="1"/>
    <x v="1"/>
    <x v="1"/>
    <n v="63335720"/>
    <n v="63335720"/>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1"/>
    <x v="1"/>
    <x v="1"/>
    <n v="270"/>
    <x v="0"/>
  </r>
  <r>
    <x v="8"/>
    <n v="81"/>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1"/>
    <x v="1"/>
    <x v="1"/>
    <n v="270"/>
    <x v="0"/>
  </r>
  <r>
    <x v="8"/>
    <n v="79"/>
    <x v="1"/>
    <x v="0"/>
    <x v="3"/>
    <x v="5"/>
    <x v="5"/>
    <x v="12"/>
    <x v="0"/>
    <x v="2"/>
    <x v="1"/>
    <x v="9"/>
    <x v="0"/>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1"/>
    <x v="1"/>
    <x v="1"/>
    <n v="240"/>
    <x v="0"/>
  </r>
  <r>
    <x v="8"/>
    <n v="80"/>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1"/>
    <x v="1"/>
    <x v="1"/>
    <m/>
    <x v="0"/>
  </r>
  <r>
    <x v="8"/>
    <n v="44"/>
    <x v="1"/>
    <x v="0"/>
    <x v="3"/>
    <x v="5"/>
    <x v="5"/>
    <x v="11"/>
    <x v="0"/>
    <x v="2"/>
    <x v="1"/>
    <x v="9"/>
    <x v="1"/>
    <s v="Servicios de implementación de aplicaciones"/>
    <x v="0"/>
    <n v="81111508"/>
    <s v="Prestación de servicios profesionales para diseñar, construir y mantener  nuevas funcionalidades   en PL/SQL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1"/>
    <x v="1"/>
    <x v="1"/>
    <n v="270"/>
    <x v="0"/>
  </r>
  <r>
    <x v="8"/>
    <n v="42"/>
    <x v="1"/>
    <x v="0"/>
    <x v="3"/>
    <x v="5"/>
    <x v="5"/>
    <x v="11"/>
    <x v="0"/>
    <x v="2"/>
    <x v="1"/>
    <x v="9"/>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1"/>
    <x v="1"/>
    <x v="1"/>
    <n v="270"/>
    <x v="0"/>
  </r>
  <r>
    <x v="8"/>
    <n v="97"/>
    <x v="1"/>
    <x v="0"/>
    <x v="3"/>
    <x v="5"/>
    <x v="5"/>
    <x v="11"/>
    <x v="0"/>
    <x v="2"/>
    <x v="1"/>
    <x v="4"/>
    <x v="1"/>
    <s v="Servicios de implementación de aplicaciones"/>
    <x v="0"/>
    <n v="81111508"/>
    <s v="Prestación de servicios profesionales para soportar, mantener, desarrollar y documentar los componentes de software de los sistemas de información requeridos por el Instituto."/>
    <x v="1"/>
    <x v="1"/>
    <n v="8"/>
    <x v="1"/>
    <x v="1"/>
    <x v="1"/>
    <n v="69663808"/>
    <n v="69663808"/>
    <x v="1"/>
    <x v="1"/>
    <x v="0"/>
    <x v="0"/>
    <s v="Oficina de Informática y Telecomunicaciones"/>
    <s v="Oficina de Informática y Telecomunicaciones"/>
    <x v="0"/>
    <s v="José Luis Ariza Vargas (Jefe OIT)"/>
    <x v="7"/>
    <x v="17"/>
    <s v="Implementar y mantener sistemas de información, portales y aplicaciones"/>
    <s v="Índice de capacidad en la prestación de servicios de tecnología."/>
    <n v="592"/>
    <d v="2021-05-18T00:00:00"/>
    <n v="8707976"/>
    <n v="65309819.999999993"/>
    <n v="65309819.999999993"/>
    <x v="1"/>
    <s v="DARZEE YULI TORRES MORALES"/>
    <n v="4353988.0000000102"/>
    <n v="0"/>
    <n v="24751"/>
    <x v="1"/>
    <x v="1"/>
    <x v="1"/>
    <n v="210"/>
    <x v="0"/>
  </r>
  <r>
    <x v="8"/>
    <n v="45"/>
    <x v="1"/>
    <x v="0"/>
    <x v="3"/>
    <x v="5"/>
    <x v="5"/>
    <x v="11"/>
    <x v="1"/>
    <x v="1"/>
    <x v="1"/>
    <x v="9"/>
    <x v="1"/>
    <s v="Servicios de implementación de aplicaciones"/>
    <x v="0"/>
    <n v="81111508"/>
    <s v="Prestación de servicios profesionales para realizar actividades de soporte técnico y temático de los sistemas de información para la operación del Sistema Nacional de Catastro."/>
    <x v="6"/>
    <x v="6"/>
    <n v="11"/>
    <x v="1"/>
    <x v="1"/>
    <x v="1"/>
    <n v="109481337"/>
    <n v="109481337"/>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3"/>
    <x v="1"/>
    <x v="1"/>
    <n v="330"/>
    <x v="0"/>
  </r>
  <r>
    <x v="8"/>
    <n v="65"/>
    <x v="1"/>
    <x v="0"/>
    <x v="3"/>
    <x v="5"/>
    <x v="5"/>
    <x v="11"/>
    <x v="0"/>
    <x v="2"/>
    <x v="1"/>
    <x v="9"/>
    <x v="1"/>
    <s v="Servicios de implementación de aplicaciones"/>
    <x v="0"/>
    <n v="81111508"/>
    <s v="Prestación de servicios profesionales para orientar y ejecutar  las tareas de análisis y diseño en la construcción de los sistemas de información para la operación del Sistema Nacional de Catastro."/>
    <x v="6"/>
    <x v="6"/>
    <n v="11"/>
    <x v="1"/>
    <x v="1"/>
    <x v="1"/>
    <n v="73517991"/>
    <n v="7351799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1"/>
    <x v="1"/>
    <x v="1"/>
    <n v="285"/>
    <x v="0"/>
  </r>
  <r>
    <x v="8"/>
    <n v="55"/>
    <x v="1"/>
    <x v="0"/>
    <x v="3"/>
    <x v="5"/>
    <x v="5"/>
    <x v="11"/>
    <x v="0"/>
    <x v="2"/>
    <x v="1"/>
    <x v="9"/>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6"/>
    <x v="6"/>
    <n v="11"/>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1"/>
    <x v="1"/>
    <x v="1"/>
    <n v="270"/>
    <x v="0"/>
  </r>
  <r>
    <x v="8"/>
    <n v="100"/>
    <x v="1"/>
    <x v="0"/>
    <x v="3"/>
    <x v="5"/>
    <x v="5"/>
    <x v="12"/>
    <x v="0"/>
    <x v="2"/>
    <x v="1"/>
    <x v="15"/>
    <x v="1"/>
    <s v="Servicios de implementación de aplicaciones"/>
    <x v="0"/>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7"/>
    <x v="7"/>
    <n v="6"/>
    <x v="1"/>
    <x v="1"/>
    <x v="3"/>
    <n v="66135552"/>
    <n v="66135552"/>
    <x v="1"/>
    <x v="1"/>
    <x v="0"/>
    <x v="0"/>
    <s v="Oficina de Informática y Telecomunicaciones"/>
    <s v="Oficina de Informática y Telecomunicaciones"/>
    <x v="0"/>
    <s v="Guillermo Gómez Gómez (Jefe OIT)"/>
    <x v="6"/>
    <x v="17"/>
    <s v="Implementar el sistema de gestión de seguridad de la información "/>
    <s v="Índice de capacidad en la prestación de servicios de tecnología."/>
    <m/>
    <d v="2021-07-23T00:00:00"/>
    <n v="11022592"/>
    <n v="58787157.333333336"/>
    <n v="58787157.333333336"/>
    <x v="1"/>
    <s v="ORLANDO  BENEVIDES SANTACRUZ"/>
    <n v="7348394.6666666605"/>
    <n v="0"/>
    <n v="24806"/>
    <x v="1"/>
    <x v="1"/>
    <x v="1"/>
    <n v="160"/>
    <x v="0"/>
  </r>
  <r>
    <x v="8"/>
    <n v="61"/>
    <x v="1"/>
    <x v="0"/>
    <x v="3"/>
    <x v="5"/>
    <x v="5"/>
    <x v="11"/>
    <x v="0"/>
    <x v="2"/>
    <x v="1"/>
    <x v="9"/>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6"/>
    <x v="6"/>
    <n v="11"/>
    <x v="1"/>
    <x v="1"/>
    <x v="1"/>
    <n v="108518129"/>
    <n v="108518129"/>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1"/>
    <x v="1"/>
    <x v="1"/>
    <n v="270"/>
    <x v="0"/>
  </r>
  <r>
    <x v="8"/>
    <n v="72"/>
    <x v="1"/>
    <x v="0"/>
    <x v="3"/>
    <x v="5"/>
    <x v="5"/>
    <x v="11"/>
    <x v="0"/>
    <x v="2"/>
    <x v="1"/>
    <x v="2"/>
    <x v="1"/>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1"/>
    <x v="1"/>
    <x v="1"/>
    <n v="270"/>
    <x v="0"/>
  </r>
  <r>
    <x v="8"/>
    <n v="71"/>
    <x v="1"/>
    <x v="0"/>
    <x v="3"/>
    <x v="5"/>
    <x v="5"/>
    <x v="11"/>
    <x v="0"/>
    <x v="2"/>
    <x v="1"/>
    <x v="2"/>
    <x v="1"/>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1"/>
    <x v="1"/>
    <x v="1"/>
    <n v="270"/>
    <x v="0"/>
  </r>
  <r>
    <x v="8"/>
    <n v="24"/>
    <x v="1"/>
    <x v="0"/>
    <x v="3"/>
    <x v="5"/>
    <x v="5"/>
    <x v="12"/>
    <x v="0"/>
    <x v="2"/>
    <x v="1"/>
    <x v="9"/>
    <x v="0"/>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0"/>
    <x v="1"/>
    <x v="0"/>
    <n v="116150000"/>
    <n v="116150000"/>
    <x v="1"/>
    <x v="1"/>
    <x v="0"/>
    <x v="0"/>
    <s v="Informática y Telecomunicaciones"/>
    <s v="Informática y Telecomunicaciones"/>
    <x v="0"/>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1"/>
    <x v="1"/>
    <x v="1"/>
    <n v="330"/>
    <x v="0"/>
  </r>
  <r>
    <x v="8"/>
    <m/>
    <x v="1"/>
    <x v="0"/>
    <x v="3"/>
    <x v="5"/>
    <x v="5"/>
    <x v="11"/>
    <x v="0"/>
    <x v="0"/>
    <x v="0"/>
    <x v="18"/>
    <x v="1"/>
    <s v="Servicios de implementación de aplicaciones"/>
    <x v="0"/>
    <n v="81111508"/>
    <s v="Prestación de servicios profesionales para soportar, mantener, analizar, diseñar, desarrollar e integrar componentes de software para el instituto."/>
    <x v="4"/>
    <x v="4"/>
    <n v="195"/>
    <x v="0"/>
    <x v="1"/>
    <x v="1"/>
    <n v="39811392"/>
    <n v="39811392"/>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18374488.615384616"/>
    <m/>
    <x v="0"/>
    <x v="0"/>
    <x v="0"/>
    <m/>
    <x v="0"/>
  </r>
  <r>
    <x v="8"/>
    <m/>
    <x v="1"/>
    <x v="0"/>
    <x v="3"/>
    <x v="5"/>
    <x v="5"/>
    <x v="11"/>
    <x v="0"/>
    <x v="0"/>
    <x v="0"/>
    <x v="18"/>
    <x v="1"/>
    <s v="Servicio de mantenimiento de energía de emergencia o de reserva"/>
    <x v="0"/>
    <n v="72151514"/>
    <s v="Mantenimiento preventivo y correctivo de UPS en las direcciones territoriales del IGAC"/>
    <x v="4"/>
    <x v="4"/>
    <n v="6"/>
    <x v="1"/>
    <x v="3"/>
    <x v="2"/>
    <n v="60000000"/>
    <n v="60000000"/>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0"/>
    <x v="9"/>
    <n v="12"/>
    <x v="1"/>
    <x v="0"/>
    <x v="0"/>
    <n v="3100000000"/>
    <n v="3100000000"/>
    <x v="0"/>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0"/>
    <x v="9"/>
    <n v="12"/>
    <x v="1"/>
    <x v="0"/>
    <x v="0"/>
    <n v="3387012400"/>
    <n v="33870124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0"/>
    <n v="4"/>
    <x v="1"/>
    <x v="0"/>
    <x v="0"/>
    <n v="5000000000"/>
    <n v="5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0"/>
    <n v="3"/>
    <x v="1"/>
    <x v="0"/>
    <x v="0"/>
    <n v="4208000000"/>
    <n v="4208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0"/>
    <n v="3"/>
    <x v="1"/>
    <x v="0"/>
    <x v="0"/>
    <n v="4000000000"/>
    <n v="4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Gerencia de proyectos"/>
    <x v="0"/>
    <n v="80101600"/>
    <s v="Prestacion de servicios profesionales para ejercer la gerencia técnica del proyecto de software requerido por la entidad para el cumplimiento de los objetivos del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Servicios de implementación de aplicaciones"/>
    <x v="0"/>
    <n v="81111508"/>
    <s v="Prestación de servicios profesionales para soportar, analizar, diseñar e implementar la arquitectura de sistemas de información de la entidad y para la operación y cumplimiento de los objetivos de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n v="7"/>
    <x v="1"/>
    <x v="0"/>
    <x v="4"/>
    <x v="7"/>
    <x v="5"/>
    <x v="13"/>
    <x v="0"/>
    <x v="2"/>
    <x v="1"/>
    <x v="9"/>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6"/>
    <x v="6"/>
    <n v="315"/>
    <x v="0"/>
    <x v="1"/>
    <x v="1"/>
    <n v="43463091"/>
    <n v="43463091"/>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2"/>
    <d v="2021-01-08T00:00:00"/>
    <n v="4139342"/>
    <n v="43463091"/>
    <n v="43463091"/>
    <x v="1"/>
    <s v="ALBA ESPERANZA GIRALDO VASQUEZ"/>
    <n v="0"/>
    <n v="0"/>
    <n v="24266"/>
    <x v="1"/>
    <x v="1"/>
    <x v="1"/>
    <n v="330"/>
    <x v="0"/>
  </r>
  <r>
    <x v="8"/>
    <n v="85"/>
    <x v="1"/>
    <x v="0"/>
    <x v="4"/>
    <x v="7"/>
    <x v="5"/>
    <x v="13"/>
    <x v="0"/>
    <x v="2"/>
    <x v="1"/>
    <x v="9"/>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1"/>
    <x v="1"/>
    <x v="1"/>
    <n v="255"/>
    <x v="0"/>
  </r>
  <r>
    <x v="8"/>
    <n v="3"/>
    <x v="1"/>
    <x v="0"/>
    <x v="4"/>
    <x v="7"/>
    <x v="5"/>
    <x v="13"/>
    <x v="0"/>
    <x v="2"/>
    <x v="1"/>
    <x v="9"/>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6"/>
    <x v="6"/>
    <n v="9"/>
    <x v="1"/>
    <x v="1"/>
    <x v="1"/>
    <n v="23343057"/>
    <n v="23343057"/>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0"/>
    <d v="2021-01-31T00:00:00"/>
    <n v="2593673"/>
    <n v="23343057"/>
    <n v="23343057"/>
    <x v="1"/>
    <s v="ASCENED  TRUJILLO RODRIGUEZ"/>
    <n v="0"/>
    <n v="0"/>
    <n v="24269"/>
    <x v="1"/>
    <x v="1"/>
    <x v="0"/>
    <n v="300"/>
    <x v="0"/>
  </r>
  <r>
    <x v="8"/>
    <n v="86"/>
    <x v="1"/>
    <x v="0"/>
    <x v="4"/>
    <x v="7"/>
    <x v="5"/>
    <x v="13"/>
    <x v="0"/>
    <x v="2"/>
    <x v="1"/>
    <x v="9"/>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1"/>
    <x v="1"/>
    <x v="1"/>
    <n v="245"/>
    <x v="0"/>
  </r>
  <r>
    <x v="8"/>
    <n v="89"/>
    <x v="1"/>
    <x v="0"/>
    <x v="4"/>
    <x v="7"/>
    <x v="5"/>
    <x v="13"/>
    <x v="0"/>
    <x v="2"/>
    <x v="1"/>
    <x v="12"/>
    <x v="1"/>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0"/>
    <x v="1"/>
    <x v="1"/>
    <n v="36239937"/>
    <n v="36239937"/>
    <x v="1"/>
    <x v="1"/>
    <x v="0"/>
    <x v="0"/>
    <s v="Dirección General"/>
    <s v="Oficina de Difusión y Mercadeo de Información "/>
    <x v="0"/>
    <s v="Jefe Oficina de Difusión y Mercadeo de Información "/>
    <x v="8"/>
    <x v="18"/>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1"/>
    <x v="1"/>
    <x v="1"/>
    <m/>
    <x v="0"/>
  </r>
  <r>
    <x v="8"/>
    <n v="1"/>
    <x v="1"/>
    <x v="0"/>
    <x v="4"/>
    <x v="7"/>
    <x v="5"/>
    <x v="13"/>
    <x v="0"/>
    <x v="2"/>
    <x v="1"/>
    <x v="9"/>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6"/>
    <x v="6"/>
    <n v="11"/>
    <x v="1"/>
    <x v="1"/>
    <x v="1"/>
    <n v="80634026"/>
    <n v="80634026"/>
    <x v="1"/>
    <x v="1"/>
    <x v="0"/>
    <x v="0"/>
    <s v="Dirección General"/>
    <s v="Oficina de Difusión y Mercadeo"/>
    <x v="0"/>
    <s v="Jefe Oficina de Difusión y Mercadeo de Información "/>
    <x v="8"/>
    <x v="19"/>
    <s v="Realizar seguimiento al plan de mercadeo y/o estudios priorizados por la entidad"/>
    <s v="Documentos de lineamientos técnicos"/>
    <n v="122"/>
    <d v="2021-01-08T00:00:00"/>
    <n v="7330366"/>
    <n v="80634026"/>
    <n v="80634026"/>
    <x v="1"/>
    <s v="DANIEL OSWALDO BUITRAGO CARRILLO"/>
    <n v="0"/>
    <n v="0"/>
    <n v="24265"/>
    <x v="1"/>
    <x v="1"/>
    <x v="1"/>
    <n v="11"/>
    <x v="0"/>
  </r>
  <r>
    <x v="8"/>
    <n v="90"/>
    <x v="1"/>
    <x v="0"/>
    <x v="4"/>
    <x v="7"/>
    <x v="5"/>
    <x v="13"/>
    <x v="0"/>
    <x v="2"/>
    <x v="1"/>
    <x v="12"/>
    <x v="1"/>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0"/>
    <x v="1"/>
    <x v="1"/>
    <n v="48941241"/>
    <n v="48941241"/>
    <x v="1"/>
    <x v="1"/>
    <x v="0"/>
    <x v="0"/>
    <s v="Dirección General"/>
    <s v="Oficina de Difusión y Mercadeo"/>
    <x v="0"/>
    <s v="Jefe Oficina de Difusión y Mercadeo de Información "/>
    <x v="8"/>
    <x v="18"/>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1"/>
    <x v="1"/>
    <x v="1"/>
    <m/>
    <x v="0"/>
  </r>
  <r>
    <x v="8"/>
    <n v="12"/>
    <x v="1"/>
    <x v="0"/>
    <x v="4"/>
    <x v="7"/>
    <x v="5"/>
    <x v="13"/>
    <x v="0"/>
    <x v="2"/>
    <x v="1"/>
    <x v="9"/>
    <x v="1"/>
    <s v="Servicios de consultoría de negocios y administración corporativa"/>
    <x v="0"/>
    <n v="80101500"/>
    <s v="Prestación de servicios profesionales para diagramar y producir las piezas de comunicación interna contempladas en el plan de comunicaciones de la entidad"/>
    <x v="6"/>
    <x v="6"/>
    <n v="10"/>
    <x v="1"/>
    <x v="1"/>
    <x v="1"/>
    <n v="48314800"/>
    <n v="48314800"/>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5"/>
    <d v="2021-02-03T00:00:00"/>
    <n v="4831480"/>
    <n v="48314800"/>
    <n v="48314800"/>
    <x v="1"/>
    <s v="DIEGO HENAN LINARES AROCA"/>
    <n v="0"/>
    <n v="0"/>
    <n v="24280"/>
    <x v="1"/>
    <x v="1"/>
    <x v="1"/>
    <m/>
    <x v="0"/>
  </r>
  <r>
    <x v="8"/>
    <n v="84"/>
    <x v="1"/>
    <x v="0"/>
    <x v="4"/>
    <x v="7"/>
    <x v="5"/>
    <x v="13"/>
    <x v="0"/>
    <x v="2"/>
    <x v="1"/>
    <x v="12"/>
    <x v="1"/>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1"/>
    <x v="1"/>
    <x v="1"/>
    <n v="36402360"/>
    <n v="36402360"/>
    <x v="1"/>
    <x v="1"/>
    <x v="0"/>
    <x v="0"/>
    <s v="Dirección General"/>
    <s v="Oficina de Difusión y Mercadeo"/>
    <x v="0"/>
    <s v="Jefe Oficina de Difusión y Mercadeo de Información "/>
    <x v="8"/>
    <x v="19"/>
    <s v="Realizar el plan de mercadeo y/o estudios priorizados por la entidad"/>
    <s v="Documentos de lineamientos técnicos"/>
    <n v="462"/>
    <d v="2021-03-16T00:00:00"/>
    <n v="3640236"/>
    <n v="36402360"/>
    <n v="36402360"/>
    <x v="1"/>
    <s v="ELVER ALEXANDER PINEDA"/>
    <n v="0"/>
    <n v="0"/>
    <n v="24603"/>
    <x v="1"/>
    <x v="1"/>
    <x v="1"/>
    <n v="300"/>
    <x v="0"/>
  </r>
  <r>
    <x v="8"/>
    <n v="2"/>
    <x v="1"/>
    <x v="0"/>
    <x v="4"/>
    <x v="7"/>
    <x v="5"/>
    <x v="13"/>
    <x v="0"/>
    <x v="2"/>
    <x v="1"/>
    <x v="9"/>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6"/>
    <x v="6"/>
    <n v="315"/>
    <x v="0"/>
    <x v="1"/>
    <x v="1"/>
    <n v="58695945"/>
    <n v="58695945"/>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1"/>
    <x v="1"/>
    <x v="2"/>
    <n v="11"/>
    <x v="0"/>
  </r>
  <r>
    <x v="8"/>
    <n v="58"/>
    <x v="1"/>
    <x v="0"/>
    <x v="4"/>
    <x v="7"/>
    <x v="5"/>
    <x v="13"/>
    <x v="0"/>
    <x v="2"/>
    <x v="1"/>
    <x v="14"/>
    <x v="1"/>
    <s v="Servicios de consultoría de negocios y administración corporativa"/>
    <x v="0"/>
    <n v="80101500"/>
    <s v="Prestación de servicios profesionales para difundir, promocionar y comercializar los productos y servicios del IGAC a nivel Nacional. "/>
    <x v="6"/>
    <x v="6"/>
    <n v="11"/>
    <x v="1"/>
    <x v="1"/>
    <x v="1"/>
    <n v="54740664"/>
    <n v="54740664"/>
    <x v="1"/>
    <x v="1"/>
    <x v="0"/>
    <x v="0"/>
    <s v="Dirección General"/>
    <s v="Oficina de Difusión y Mercadeo de Información "/>
    <x v="0"/>
    <s v="Yira Paola Perez-Jefe de Oficina"/>
    <x v="8"/>
    <x v="18"/>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1"/>
    <x v="1"/>
    <x v="1"/>
    <n v="270"/>
    <x v="0"/>
  </r>
  <r>
    <x v="8"/>
    <n v="87"/>
    <x v="1"/>
    <x v="0"/>
    <x v="4"/>
    <x v="7"/>
    <x v="5"/>
    <x v="13"/>
    <x v="0"/>
    <x v="2"/>
    <x v="1"/>
    <x v="2"/>
    <x v="1"/>
    <s v="Etiquetas de códigos de barra"/>
    <x v="0"/>
    <n v="55121608"/>
    <s v="Adquisición del derecho de uso del sistema de codificación EAN/UCC."/>
    <x v="2"/>
    <x v="2"/>
    <n v="1"/>
    <x v="1"/>
    <x v="1"/>
    <x v="2"/>
    <n v="8131000"/>
    <n v="8131000"/>
    <x v="1"/>
    <x v="1"/>
    <x v="10"/>
    <x v="0"/>
    <s v="Dirección General"/>
    <s v="Oficina de Difusión y Mercadeo"/>
    <x v="0"/>
    <s v="Jefe Oficina de Difusión y Mercadeo de Información "/>
    <x v="8"/>
    <x v="18"/>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1"/>
    <x v="1"/>
    <x v="1"/>
    <n v="240"/>
    <x v="0"/>
  </r>
  <r>
    <x v="8"/>
    <n v="4"/>
    <x v="1"/>
    <x v="0"/>
    <x v="4"/>
    <x v="7"/>
    <x v="5"/>
    <x v="13"/>
    <x v="0"/>
    <x v="2"/>
    <x v="1"/>
    <x v="9"/>
    <x v="1"/>
    <s v="Servicios de consultoría de negocios y administración corporativa"/>
    <x v="0"/>
    <n v="80101500"/>
    <s v="Prestación de servicios profesionales para ejecutar la estrategia de comunicaciones externas de la entidad y la redacción, desarrollo y revisión de contenidos editoriales."/>
    <x v="6"/>
    <x v="6"/>
    <n v="11"/>
    <x v="1"/>
    <x v="1"/>
    <x v="1"/>
    <n v="92997806"/>
    <n v="92997806"/>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4"/>
    <d v="2021-01-08T00:00:00"/>
    <n v="8454346"/>
    <n v="92997806"/>
    <n v="92997806"/>
    <x v="1"/>
    <s v="MARIA ALEJANDRA SANCHEZ"/>
    <n v="0"/>
    <n v="0"/>
    <n v="24282"/>
    <x v="1"/>
    <x v="1"/>
    <x v="2"/>
    <n v="330"/>
    <x v="0"/>
  </r>
  <r>
    <x v="8"/>
    <n v="83"/>
    <x v="1"/>
    <x v="0"/>
    <x v="4"/>
    <x v="7"/>
    <x v="5"/>
    <x v="13"/>
    <x v="0"/>
    <x v="2"/>
    <x v="1"/>
    <x v="12"/>
    <x v="1"/>
    <s v="Servicios de consultoría de negocios y administración corporativa"/>
    <x v="0"/>
    <n v="80101500"/>
    <s v="Prestación de servicios profesionales para realizar la  medicion de satisfaccion, retroalimentacion y seguimiento con las areas de las PQRs que se hayan tramitado. "/>
    <x v="2"/>
    <x v="2"/>
    <n v="10"/>
    <x v="1"/>
    <x v="1"/>
    <x v="1"/>
    <n v="29417800"/>
    <n v="29417800"/>
    <x v="1"/>
    <x v="1"/>
    <x v="0"/>
    <x v="0"/>
    <s v="Dirección General"/>
    <s v="Oficina de Difusión y Mercadeo"/>
    <x v="0"/>
    <s v="Jefe Oficina de Difusión y Mercadeo de Información "/>
    <x v="8"/>
    <x v="19"/>
    <s v="Realizar el plan de mercadeo y/o estudios priorizados por la entidad"/>
    <s v="Documentos de lineamientos técnicos"/>
    <n v="461"/>
    <d v="2021-03-16T00:00:00"/>
    <n v="2941780"/>
    <n v="29417800"/>
    <n v="29417800"/>
    <x v="1"/>
    <s v="MARIA CAMILA PALOMARES"/>
    <n v="0"/>
    <n v="0"/>
    <n v="24601"/>
    <x v="1"/>
    <x v="1"/>
    <x v="1"/>
    <n v="255"/>
    <x v="0"/>
  </r>
  <r>
    <x v="8"/>
    <n v="8"/>
    <x v="1"/>
    <x v="0"/>
    <x v="4"/>
    <x v="7"/>
    <x v="5"/>
    <x v="13"/>
    <x v="0"/>
    <x v="2"/>
    <x v="1"/>
    <x v="9"/>
    <x v="1"/>
    <s v="Servicios de consultoría de negocios y administración corporativa"/>
    <x v="0"/>
    <n v="80101500"/>
    <s v="Prestación de servicios profesionales para la realización y registro de productos audiovisuales en las actividades y eventos del IGAC."/>
    <x v="6"/>
    <x v="6"/>
    <n v="315"/>
    <x v="0"/>
    <x v="1"/>
    <x v="1"/>
    <n v="58695945"/>
    <n v="58695945"/>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30"/>
    <d v="2021-01-08T00:00:00"/>
    <n v="5590090"/>
    <n v="58695945"/>
    <n v="58695945"/>
    <x v="1"/>
    <s v="MARIA CAMILA RODRIGUEZ GARZON"/>
    <n v="0"/>
    <n v="0"/>
    <n v="24310"/>
    <x v="1"/>
    <x v="1"/>
    <x v="2"/>
    <n v="330"/>
    <x v="0"/>
  </r>
  <r>
    <x v="8"/>
    <n v="5"/>
    <x v="1"/>
    <x v="0"/>
    <x v="4"/>
    <x v="7"/>
    <x v="5"/>
    <x v="13"/>
    <x v="0"/>
    <x v="2"/>
    <x v="1"/>
    <x v="9"/>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6"/>
    <x v="6"/>
    <n v="11"/>
    <x v="1"/>
    <x v="1"/>
    <x v="1"/>
    <n v="53146280"/>
    <n v="53146280"/>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3"/>
    <d v="2021-01-08T00:00:00"/>
    <n v="4831480"/>
    <n v="53146280"/>
    <n v="53146280"/>
    <x v="1"/>
    <s v="MELANIE PAOLA PEREZ NARVAEZ"/>
    <n v="0"/>
    <n v="0"/>
    <n v="24283"/>
    <x v="1"/>
    <x v="1"/>
    <x v="2"/>
    <n v="330"/>
    <x v="0"/>
  </r>
  <r>
    <x v="8"/>
    <n v="96"/>
    <x v="1"/>
    <x v="0"/>
    <x v="4"/>
    <x v="7"/>
    <x v="5"/>
    <x v="13"/>
    <x v="0"/>
    <x v="2"/>
    <x v="1"/>
    <x v="4"/>
    <x v="1"/>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1"/>
    <x v="1"/>
    <n v="212"/>
    <x v="0"/>
    <x v="1"/>
    <x v="1"/>
    <n v="91574258"/>
    <n v="91574258"/>
    <x v="1"/>
    <x v="1"/>
    <x v="0"/>
    <x v="0"/>
    <s v="Dirección General"/>
    <s v="Oficina de Difusión y Mercadeo"/>
    <x v="0"/>
    <s v="Jefe Oficina de Difusión y Mercadeo de Información "/>
    <x v="8"/>
    <x v="18"/>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01"/>
    <n v="0"/>
    <n v="24728"/>
    <x v="0"/>
    <x v="0"/>
    <x v="1"/>
    <n v="315"/>
    <x v="0"/>
  </r>
  <r>
    <x v="8"/>
    <n v="39"/>
    <x v="1"/>
    <x v="0"/>
    <x v="4"/>
    <x v="7"/>
    <x v="5"/>
    <x v="13"/>
    <x v="0"/>
    <x v="2"/>
    <x v="1"/>
    <x v="11"/>
    <x v="1"/>
    <s v="Servicios de consultoría de negocios y administración corporativa"/>
    <x v="0"/>
    <n v="80101500"/>
    <s v="Prestación de servicios profesionales para generar informes de ventas y  garantizar la calidad y entrega oportuna de los productos y servicios ofertados por el Instituto."/>
    <x v="6"/>
    <x v="6"/>
    <n v="11"/>
    <x v="1"/>
    <x v="1"/>
    <x v="1"/>
    <n v="63335723"/>
    <n v="63335723"/>
    <x v="1"/>
    <x v="1"/>
    <x v="0"/>
    <x v="0"/>
    <s v="Oficina de Difusión y Mercadeo"/>
    <s v="Oficina de Difusión y Mercadeo"/>
    <x v="0"/>
    <s v="Yira Paola Perez-Jefe de Oficina"/>
    <x v="8"/>
    <x v="18"/>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1"/>
    <x v="1"/>
    <x v="1"/>
    <n v="270"/>
    <x v="0"/>
  </r>
  <r>
    <x v="8"/>
    <n v="91"/>
    <x v="1"/>
    <x v="0"/>
    <x v="4"/>
    <x v="7"/>
    <x v="5"/>
    <x v="13"/>
    <x v="0"/>
    <x v="2"/>
    <x v="1"/>
    <x v="12"/>
    <x v="1"/>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1"/>
    <x v="1"/>
    <x v="1"/>
    <n v="36402360"/>
    <n v="3640236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1"/>
    <x v="1"/>
    <x v="1"/>
    <m/>
    <x v="0"/>
  </r>
  <r>
    <x v="8"/>
    <m/>
    <x v="1"/>
    <x v="0"/>
    <x v="4"/>
    <x v="7"/>
    <x v="5"/>
    <x v="13"/>
    <x v="0"/>
    <x v="10"/>
    <x v="0"/>
    <x v="9"/>
    <x v="1"/>
    <s v="Software de edición y creación de contenidos"/>
    <x v="0"/>
    <n v="43232100"/>
    <s v="Adquisición Licenciamiento Adobe "/>
    <x v="8"/>
    <x v="8"/>
    <n v="1"/>
    <x v="1"/>
    <x v="2"/>
    <x v="2"/>
    <n v="17000000"/>
    <n v="17000000"/>
    <x v="1"/>
    <x v="1"/>
    <x v="0"/>
    <x v="0"/>
    <s v="Dirección General"/>
    <s v="Oficina de Difusión y Mercadeo"/>
    <x v="0"/>
    <s v="Jefe Oficina de Difusión y Mercadeo de Información "/>
    <x v="8"/>
    <x v="18"/>
    <s v="Realizar campañas en medios digitales y/o presenciales sobre los productos y servicios que genera la entidad."/>
    <s v="Servicios de información implementados"/>
    <m/>
    <m/>
    <e v="#N/A"/>
    <e v="#N/A"/>
    <e v="#N/A"/>
    <x v="0"/>
    <m/>
    <n v="0"/>
    <n v="0"/>
    <m/>
    <x v="11"/>
    <x v="0"/>
    <x v="0"/>
    <m/>
    <x v="0"/>
  </r>
  <r>
    <x v="8"/>
    <n v="18"/>
    <x v="1"/>
    <x v="0"/>
    <x v="4"/>
    <x v="8"/>
    <x v="5"/>
    <x v="14"/>
    <x v="0"/>
    <x v="2"/>
    <x v="1"/>
    <x v="9"/>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6"/>
    <x v="6"/>
    <n v="11"/>
    <x v="1"/>
    <x v="1"/>
    <x v="1"/>
    <n v="83053047"/>
    <n v="83053047"/>
    <x v="1"/>
    <x v="1"/>
    <x v="0"/>
    <x v="0"/>
    <s v="Dirección General"/>
    <s v="Oficina Asesora de Planeación"/>
    <x v="0"/>
    <s v="Jefe Oficina Asesora de Planeación"/>
    <x v="6"/>
    <x v="20"/>
    <s v="Actualizar e implementar los planes de trabajo y/o mejoramiento anual"/>
    <s v="Sistema de Gestión implementado_x000a_"/>
    <n v="95"/>
    <d v="2021-01-19T00:00:00"/>
    <n v="7550277"/>
    <n v="83053047"/>
    <n v="83053047"/>
    <x v="1"/>
    <s v="DAVID LEONARDO CARO PEDREROS"/>
    <n v="0"/>
    <n v="0"/>
    <n v="24295"/>
    <x v="1"/>
    <x v="1"/>
    <x v="1"/>
    <n v="11"/>
    <x v="0"/>
  </r>
  <r>
    <x v="8"/>
    <n v="21"/>
    <x v="1"/>
    <x v="0"/>
    <x v="4"/>
    <x v="8"/>
    <x v="5"/>
    <x v="14"/>
    <x v="4"/>
    <x v="4"/>
    <x v="1"/>
    <x v="9"/>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6"/>
    <x v="6"/>
    <n v="11"/>
    <x v="1"/>
    <x v="1"/>
    <x v="1"/>
    <n v="249159141"/>
    <n v="249159141"/>
    <x v="1"/>
    <x v="1"/>
    <x v="4"/>
    <x v="0"/>
    <s v="Dirección General"/>
    <s v="Oficina Asesora de Planeación"/>
    <x v="0"/>
    <s v="Jefe Oficina Asesora de Planeación"/>
    <x v="6"/>
    <x v="2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4"/>
    <x v="1"/>
    <x v="0"/>
    <n v="330"/>
    <x v="0"/>
  </r>
  <r>
    <x v="8"/>
    <n v="94"/>
    <x v="1"/>
    <x v="0"/>
    <x v="4"/>
    <x v="8"/>
    <x v="5"/>
    <x v="14"/>
    <x v="0"/>
    <x v="2"/>
    <x v="1"/>
    <x v="11"/>
    <x v="1"/>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1"/>
    <x v="1"/>
    <n v="8"/>
    <x v="1"/>
    <x v="1"/>
    <x v="2"/>
    <n v="60402216"/>
    <n v="60402216"/>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571"/>
    <d v="2021-04-15T00:00:00"/>
    <n v="7550277"/>
    <n v="60402216"/>
    <n v="60402216"/>
    <x v="1"/>
    <s v="NATALIA MARIA PINEDA BETANCOURT"/>
    <n v="0"/>
    <n v="0"/>
    <n v="24704"/>
    <x v="1"/>
    <x v="1"/>
    <x v="1"/>
    <m/>
    <x v="0"/>
  </r>
  <r>
    <x v="8"/>
    <n v="13"/>
    <x v="1"/>
    <x v="0"/>
    <x v="4"/>
    <x v="8"/>
    <x v="5"/>
    <x v="14"/>
    <x v="5"/>
    <x v="5"/>
    <x v="1"/>
    <x v="9"/>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6"/>
    <x v="6"/>
    <n v="11"/>
    <x v="1"/>
    <x v="1"/>
    <x v="2"/>
    <n v="332212188"/>
    <n v="332212188"/>
    <x v="1"/>
    <x v="1"/>
    <x v="5"/>
    <x v="0"/>
    <s v="Dirección General"/>
    <s v="Oficina Asesora de Planeación"/>
    <x v="0"/>
    <s v="Jefe Oficina Asesora de Planeación"/>
    <x v="6"/>
    <x v="2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5"/>
    <x v="1"/>
    <x v="1"/>
    <m/>
    <x v="0"/>
  </r>
  <r>
    <x v="8"/>
    <n v="16"/>
    <x v="1"/>
    <x v="0"/>
    <x v="4"/>
    <x v="8"/>
    <x v="5"/>
    <x v="14"/>
    <x v="0"/>
    <x v="2"/>
    <x v="1"/>
    <x v="9"/>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6"/>
    <x v="6"/>
    <n v="11"/>
    <x v="1"/>
    <x v="1"/>
    <x v="1"/>
    <n v="108518128"/>
    <n v="108518128"/>
    <x v="1"/>
    <x v="1"/>
    <x v="0"/>
    <x v="0"/>
    <s v="Dirección General"/>
    <s v="Oficina Asesora de Planeación"/>
    <x v="0"/>
    <s v="Jefe Oficina Asesora de Planeación"/>
    <x v="6"/>
    <x v="20"/>
    <s v="Actualizar e implementar los planes de trabajo y/o mejoramiento anual"/>
    <s v="Sistema de Gestión implementado_x000a_"/>
    <n v="92"/>
    <d v="2021-01-19T00:00:00"/>
    <n v="9865284"/>
    <n v="108518124"/>
    <n v="108518124"/>
    <x v="1"/>
    <s v="CARLOS RAFAEL GONZÁLEZ CONTRERAS"/>
    <n v="4"/>
    <n v="0"/>
    <n v="24288"/>
    <x v="1"/>
    <x v="1"/>
    <x v="1"/>
    <n v="330"/>
    <x v="0"/>
  </r>
  <r>
    <x v="8"/>
    <n v="17"/>
    <x v="1"/>
    <x v="0"/>
    <x v="4"/>
    <x v="8"/>
    <x v="5"/>
    <x v="14"/>
    <x v="0"/>
    <x v="2"/>
    <x v="1"/>
    <x v="9"/>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6"/>
    <x v="6"/>
    <n v="11"/>
    <x v="1"/>
    <x v="1"/>
    <x v="1"/>
    <n v="54740668"/>
    <n v="54740668"/>
    <x v="1"/>
    <x v="1"/>
    <x v="0"/>
    <x v="0"/>
    <s v="Dirección General"/>
    <s v="Oficina Asesora de Planeación"/>
    <x v="0"/>
    <s v="Jefe Oficina Asesora de Planeación"/>
    <x v="6"/>
    <x v="21"/>
    <s v="Realizar el seguimiento de los planes de acción anual"/>
    <s v="Documentos de planeación con seguimientos realizados"/>
    <n v="93"/>
    <d v="2021-01-19T00:00:00"/>
    <n v="4976424"/>
    <n v="54740664"/>
    <n v="54740664"/>
    <x v="1"/>
    <s v="DANIEL FERNANDO GALLEGO MORENO"/>
    <n v="4"/>
    <n v="0"/>
    <n v="24294"/>
    <x v="1"/>
    <x v="1"/>
    <x v="1"/>
    <n v="345"/>
    <x v="0"/>
  </r>
  <r>
    <x v="8"/>
    <n v="22"/>
    <x v="1"/>
    <x v="0"/>
    <x v="4"/>
    <x v="8"/>
    <x v="5"/>
    <x v="14"/>
    <x v="0"/>
    <x v="2"/>
    <x v="1"/>
    <x v="9"/>
    <x v="1"/>
    <s v="Servicios de auditoría"/>
    <x v="0"/>
    <n v="84111600"/>
    <s v="Prestación de servicios profesionales para realizar las actividades del sistema de gestión ambiental del instituto en el marco del modelo de planeación y gestión vigente para la nación "/>
    <x v="5"/>
    <x v="5"/>
    <n v="11"/>
    <x v="1"/>
    <x v="1"/>
    <x v="1"/>
    <n v="73517991"/>
    <n v="73517991"/>
    <x v="1"/>
    <x v="1"/>
    <x v="0"/>
    <x v="0"/>
    <s v="Dirección General"/>
    <s v="Oficina Asesora de Planeación"/>
    <x v="0"/>
    <s v="Jefe Oficina Asesora de Planeación"/>
    <x v="6"/>
    <x v="20"/>
    <s v="Actualizar e implementar los planes de trabajo y/o mejoramiento anual"/>
    <s v="Sistema de Gestión implementado_x000a_"/>
    <n v="94"/>
    <d v="2021-01-19T00:00:00"/>
    <n v="6683453"/>
    <n v="73517983"/>
    <n v="73517983"/>
    <x v="1"/>
    <s v="DANIEL ALEJANDRO VELASQUEZ PIRA"/>
    <n v="8"/>
    <n v="0"/>
    <n v="24260"/>
    <x v="1"/>
    <x v="1"/>
    <x v="1"/>
    <n v="330"/>
    <x v="0"/>
  </r>
  <r>
    <x v="8"/>
    <n v="15"/>
    <x v="1"/>
    <x v="0"/>
    <x v="4"/>
    <x v="8"/>
    <x v="5"/>
    <x v="14"/>
    <x v="0"/>
    <x v="2"/>
    <x v="1"/>
    <x v="11"/>
    <x v="1"/>
    <s v="Servicios secretariales o de administración de oficinas  "/>
    <x v="0"/>
    <n v="80161501"/>
    <s v="Prestación de servicios profesionales para apoyar la implementación del Modelo Integrado de Planeación y Gestión en el Instituto, con énfasis en la actualización documental."/>
    <x v="6"/>
    <x v="6"/>
    <n v="11"/>
    <x v="1"/>
    <x v="1"/>
    <x v="1"/>
    <n v="46898742"/>
    <n v="46898742"/>
    <x v="1"/>
    <x v="1"/>
    <x v="0"/>
    <x v="0"/>
    <s v="Dirección General"/>
    <s v="Oficina Asesora de Planeación"/>
    <x v="0"/>
    <s v="Jefe Oficina Asesora de Planeación"/>
    <x v="6"/>
    <x v="20"/>
    <s v="Actualizar e implementar los planes de trabajo y/o mejoramiento anual"/>
    <s v="Sistema de Gestión implementado_x000a_"/>
    <n v="100"/>
    <d v="2021-01-19T00:00:00"/>
    <n v="4263522"/>
    <n v="46472390"/>
    <n v="46472390"/>
    <x v="1"/>
    <s v="LAURA ISABEL GONZALEZ"/>
    <n v="426352"/>
    <n v="0"/>
    <n v="24340"/>
    <x v="1"/>
    <x v="1"/>
    <x v="1"/>
    <n v="330"/>
    <x v="0"/>
  </r>
  <r>
    <x v="8"/>
    <n v="19"/>
    <x v="1"/>
    <x v="0"/>
    <x v="4"/>
    <x v="8"/>
    <x v="5"/>
    <x v="14"/>
    <x v="0"/>
    <x v="2"/>
    <x v="1"/>
    <x v="9"/>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6"/>
    <x v="6"/>
    <n v="11"/>
    <x v="1"/>
    <x v="1"/>
    <x v="2"/>
    <n v="83053047"/>
    <n v="83053047"/>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98"/>
    <d v="2021-01-19T00:00:00"/>
    <n v="7550277"/>
    <n v="79277909"/>
    <n v="79277909"/>
    <x v="1"/>
    <s v="DIANA XIMENA SIERRA MÉNDEZ"/>
    <n v="3775138"/>
    <n v="0"/>
    <n v="24429"/>
    <x v="1"/>
    <x v="1"/>
    <x v="1"/>
    <n v="11"/>
    <x v="0"/>
  </r>
  <r>
    <x v="8"/>
    <n v="23"/>
    <x v="1"/>
    <x v="0"/>
    <x v="4"/>
    <x v="8"/>
    <x v="5"/>
    <x v="15"/>
    <x v="0"/>
    <x v="2"/>
    <x v="1"/>
    <x v="9"/>
    <x v="0"/>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6"/>
    <x v="6"/>
    <n v="11"/>
    <x v="1"/>
    <x v="1"/>
    <x v="0"/>
    <n v="146709293"/>
    <n v="146709293"/>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1"/>
    <x v="1"/>
    <x v="1"/>
    <n v="240"/>
    <x v="0"/>
  </r>
  <r>
    <x v="8"/>
    <n v="93"/>
    <x v="1"/>
    <x v="0"/>
    <x v="4"/>
    <x v="8"/>
    <x v="5"/>
    <x v="14"/>
    <x v="0"/>
    <x v="2"/>
    <x v="1"/>
    <x v="12"/>
    <x v="1"/>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0"/>
    <x v="1"/>
    <x v="2"/>
    <n v="63492813"/>
    <n v="63492813"/>
    <x v="1"/>
    <x v="2"/>
    <x v="0"/>
    <x v="0"/>
    <s v="Oficina Asesora de Planeación "/>
    <s v="Oficina Asesora de Planeación"/>
    <x v="0"/>
    <s v="Jefe Oficina Asesora de Planeación"/>
    <x v="6"/>
    <x v="2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1"/>
    <x v="1"/>
    <x v="1"/>
    <m/>
    <x v="0"/>
  </r>
  <r>
    <x v="10"/>
    <m/>
    <x v="1"/>
    <x v="0"/>
    <x v="4"/>
    <x v="8"/>
    <x v="5"/>
    <x v="14"/>
    <x v="0"/>
    <x v="10"/>
    <x v="0"/>
    <x v="9"/>
    <x v="1"/>
    <s v="Servicios de auditoría"/>
    <x v="0"/>
    <n v="84111600"/>
    <s v="Contratación de auditoria externa de seguimiento y auditoria con fines de certificación de calidad bajo la norma ISO 9001:2015, gestión ambiental bajo la norma ISO 14001:2015"/>
    <x v="8"/>
    <x v="8"/>
    <n v="11"/>
    <x v="1"/>
    <x v="1"/>
    <x v="1"/>
    <n v="20000000"/>
    <n v="20000000"/>
    <x v="1"/>
    <x v="1"/>
    <x v="0"/>
    <x v="0"/>
    <s v="Dirección General"/>
    <s v="Oficina Asesora de Planeación"/>
    <x v="0"/>
    <s v="Jefe Oficina Asesora de Planeación"/>
    <x v="6"/>
    <x v="20"/>
    <s v="Ejecutar el programa de auditoria"/>
    <s v="Sistema de Gestión implementado_x000a_"/>
    <m/>
    <m/>
    <e v="#N/A"/>
    <e v="#N/A"/>
    <e v="#N/A"/>
    <x v="0"/>
    <m/>
    <n v="0"/>
    <n v="0"/>
    <m/>
    <x v="11"/>
    <x v="0"/>
    <x v="0"/>
    <m/>
    <x v="0"/>
  </r>
  <r>
    <x v="8"/>
    <m/>
    <x v="1"/>
    <x v="0"/>
    <x v="4"/>
    <x v="8"/>
    <x v="5"/>
    <x v="15"/>
    <x v="0"/>
    <x v="0"/>
    <x v="0"/>
    <x v="19"/>
    <x v="0"/>
    <s v="Servicios de asesoramiento sobre tecnologías de la información"/>
    <x v="0"/>
    <n v="80101507"/>
    <s v="Análisis y asesoría en el modelamiento BPMN 2.0, optimización, instalación, parametrización, diseño y soporte de los procesos de la Entidad en la plataforma BPMS Bizagi."/>
    <x v="9"/>
    <x v="9"/>
    <n v="3"/>
    <x v="1"/>
    <x v="1"/>
    <x v="0"/>
    <n v="1001900000"/>
    <n v="1001900000"/>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m/>
    <m/>
    <e v="#N/A"/>
    <e v="#N/A"/>
    <e v="#N/A"/>
    <x v="0"/>
    <m/>
    <n v="0"/>
    <n v="0"/>
    <m/>
    <x v="0"/>
    <x v="0"/>
    <x v="0"/>
    <m/>
    <x v="0"/>
  </r>
  <r>
    <x v="8"/>
    <n v="29"/>
    <x v="1"/>
    <x v="0"/>
    <x v="4"/>
    <x v="9"/>
    <x v="5"/>
    <x v="16"/>
    <x v="0"/>
    <x v="2"/>
    <x v="1"/>
    <x v="9"/>
    <x v="1"/>
    <s v="Servicios secretariales o de administración de oficinas  "/>
    <x v="0"/>
    <n v="80161501"/>
    <s v="Prestación de servicios profesionales en el área penal, actuando en representación y defensa del IGAC a nivel Nacional."/>
    <x v="5"/>
    <x v="5"/>
    <n v="11"/>
    <x v="1"/>
    <x v="1"/>
    <x v="1"/>
    <n v="83053047"/>
    <n v="83053047"/>
    <x v="1"/>
    <x v="1"/>
    <x v="0"/>
    <x v="1"/>
    <s v="Oficina Asesora Jurídica"/>
    <s v="Oficina Asesora Jurídica"/>
    <x v="0"/>
    <s v="Jefe Oficina Asesora Jurídica"/>
    <x v="9"/>
    <x v="22"/>
    <s v="N/A"/>
    <s v="N/A"/>
    <n v="117"/>
    <d v="2021-01-26T00:00:00"/>
    <n v="7550277"/>
    <n v="83053047"/>
    <n v="83053047"/>
    <x v="1"/>
    <s v="ALDEMAR GUARNIZO GARCÍA"/>
    <n v="0"/>
    <n v="0"/>
    <n v="24262"/>
    <x v="1"/>
    <x v="1"/>
    <x v="1"/>
    <n v="270"/>
    <x v="0"/>
  </r>
  <r>
    <x v="8"/>
    <n v="11"/>
    <x v="1"/>
    <x v="0"/>
    <x v="4"/>
    <x v="9"/>
    <x v="5"/>
    <x v="16"/>
    <x v="0"/>
    <x v="2"/>
    <x v="1"/>
    <x v="9"/>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1"/>
    <x v="1"/>
    <x v="1"/>
    <n v="269654000"/>
    <n v="269654000"/>
    <x v="1"/>
    <x v="1"/>
    <x v="0"/>
    <x v="1"/>
    <s v="Oficina Asesora Jurídica"/>
    <s v="Oficina Asesora Jurídica"/>
    <x v="0"/>
    <s v="Jefe Oficina Asesora Jurídica"/>
    <x v="9"/>
    <x v="22"/>
    <s v="N/A"/>
    <s v="N/A"/>
    <n v="36"/>
    <d v="2021-01-14T00:00:00"/>
    <n v="24514000"/>
    <n v="269654000"/>
    <n v="269654000"/>
    <x v="1"/>
    <s v="CARLOS EDUARDO MEDELLIN BECERRA"/>
    <n v="0"/>
    <n v="0"/>
    <n v="24197"/>
    <x v="1"/>
    <x v="1"/>
    <x v="2"/>
    <n v="330"/>
    <x v="0"/>
  </r>
  <r>
    <x v="8"/>
    <n v="27"/>
    <x v="1"/>
    <x v="0"/>
    <x v="4"/>
    <x v="9"/>
    <x v="5"/>
    <x v="16"/>
    <x v="0"/>
    <x v="2"/>
    <x v="1"/>
    <x v="9"/>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1"/>
    <x v="1"/>
    <x v="1"/>
    <n v="73517994"/>
    <n v="73517994"/>
    <x v="1"/>
    <x v="1"/>
    <x v="0"/>
    <x v="0"/>
    <s v="Dirección General"/>
    <s v="Oficina Asesora Jurídica"/>
    <x v="0"/>
    <s v="Jefe Oficina Asesora de Planeación"/>
    <x v="6"/>
    <x v="21"/>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1"/>
    <x v="1"/>
    <x v="1"/>
    <n v="270"/>
    <x v="0"/>
  </r>
  <r>
    <x v="8"/>
    <n v="26"/>
    <x v="1"/>
    <x v="0"/>
    <x v="4"/>
    <x v="9"/>
    <x v="5"/>
    <x v="16"/>
    <x v="0"/>
    <x v="2"/>
    <x v="1"/>
    <x v="9"/>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1"/>
    <x v="1"/>
    <x v="1"/>
    <n v="95787741"/>
    <n v="95787741"/>
    <x v="1"/>
    <x v="1"/>
    <x v="0"/>
    <x v="1"/>
    <s v="Oficina Asesora Jurídica"/>
    <s v="Oficina Asesora Jurídica"/>
    <x v="0"/>
    <s v="Jefe Oficina Asesora Jurídica"/>
    <x v="9"/>
    <x v="22"/>
    <s v="N/A"/>
    <s v="N/A"/>
    <n v="148"/>
    <d v="2021-01-26T00:00:00"/>
    <n v="8707975"/>
    <n v="95787736"/>
    <n v="95787736"/>
    <x v="1"/>
    <s v="DIANA KARIME VELEZ GONAZALE"/>
    <n v="5"/>
    <n v="0"/>
    <n v="24287"/>
    <x v="1"/>
    <x v="1"/>
    <x v="1"/>
    <n v="240"/>
    <x v="0"/>
  </r>
  <r>
    <x v="8"/>
    <n v="31"/>
    <x v="1"/>
    <x v="0"/>
    <x v="4"/>
    <x v="9"/>
    <x v="5"/>
    <x v="16"/>
    <x v="0"/>
    <x v="2"/>
    <x v="1"/>
    <x v="9"/>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1"/>
    <x v="1"/>
    <x v="1"/>
    <n v="95787741"/>
    <n v="95787741"/>
    <x v="1"/>
    <x v="1"/>
    <x v="0"/>
    <x v="1"/>
    <s v="Oficina Asesora Jurídica"/>
    <s v="Oficina Asesora Jurídica"/>
    <x v="0"/>
    <s v="Jefe Oficina Asesora Jurídica"/>
    <x v="9"/>
    <x v="22"/>
    <s v="N/A"/>
    <s v="N/A"/>
    <n v="147"/>
    <d v="2021-01-26T00:00:00"/>
    <n v="8707976"/>
    <n v="95787736"/>
    <n v="95787736"/>
    <x v="1"/>
    <s v="JULIO CESAR AMAYA MENDEZ"/>
    <n v="5"/>
    <n v="0"/>
    <n v="24286"/>
    <x v="1"/>
    <x v="1"/>
    <x v="1"/>
    <n v="270"/>
    <x v="0"/>
  </r>
  <r>
    <x v="8"/>
    <n v="32"/>
    <x v="1"/>
    <x v="0"/>
    <x v="4"/>
    <x v="9"/>
    <x v="5"/>
    <x v="16"/>
    <x v="0"/>
    <x v="2"/>
    <x v="1"/>
    <x v="9"/>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1"/>
    <x v="1"/>
    <x v="1"/>
    <n v="95787741"/>
    <n v="95787741"/>
    <x v="1"/>
    <x v="1"/>
    <x v="0"/>
    <x v="1"/>
    <s v="Oficina Asesora Jurídica"/>
    <s v="Oficina Asesora Jurídica"/>
    <x v="0"/>
    <s v="Jefe Oficina Asesora Jurídica"/>
    <x v="9"/>
    <x v="22"/>
    <s v="N/A"/>
    <s v="N/A"/>
    <n v="138"/>
    <d v="2021-01-26T00:00:00"/>
    <n v="8707976"/>
    <n v="95787736"/>
    <n v="95787736"/>
    <x v="1"/>
    <s v="LAURA VILLARRAGA ALBINO,"/>
    <n v="5"/>
    <n v="0"/>
    <n v="24271"/>
    <x v="1"/>
    <x v="1"/>
    <x v="1"/>
    <n v="330"/>
    <x v="0"/>
  </r>
  <r>
    <x v="8"/>
    <n v="28"/>
    <x v="1"/>
    <x v="0"/>
    <x v="4"/>
    <x v="9"/>
    <x v="5"/>
    <x v="16"/>
    <x v="0"/>
    <x v="2"/>
    <x v="1"/>
    <x v="9"/>
    <x v="1"/>
    <s v="Servicios secretariales o de administración de oficinas  "/>
    <x v="0"/>
    <n v="80161501"/>
    <s v="Prestación de servicios profesionales en los asuntos legales y contractuales que le sean asignados por la Oficina Asesora Jurídica."/>
    <x v="5"/>
    <x v="5"/>
    <n v="11"/>
    <x v="1"/>
    <x v="1"/>
    <x v="2"/>
    <n v="121248517"/>
    <n v="121248517"/>
    <x v="1"/>
    <x v="1"/>
    <x v="0"/>
    <x v="1"/>
    <s v="Oficina Asesora Jurídica"/>
    <s v="Oficina Asesora Jurídica"/>
    <x v="0"/>
    <s v="Jefe Oficina Asesora Jurídica"/>
    <x v="9"/>
    <x v="22"/>
    <s v="N/A"/>
    <s v="N/A"/>
    <n v="125"/>
    <d v="2021-01-26T00:00:00"/>
    <n v="11022592"/>
    <n v="121248512"/>
    <n v="121248512"/>
    <x v="1"/>
    <s v="LUZ ÁNGELA VILLALBA PACHÓ"/>
    <n v="5"/>
    <n v="0"/>
    <n v="24263"/>
    <x v="1"/>
    <x v="1"/>
    <x v="1"/>
    <n v="270"/>
    <x v="0"/>
  </r>
  <r>
    <x v="8"/>
    <n v="30"/>
    <x v="1"/>
    <x v="0"/>
    <x v="4"/>
    <x v="9"/>
    <x v="5"/>
    <x v="16"/>
    <x v="0"/>
    <x v="2"/>
    <x v="1"/>
    <x v="9"/>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1"/>
    <x v="1"/>
    <x v="1"/>
    <n v="60678706"/>
    <n v="60678706"/>
    <x v="1"/>
    <x v="1"/>
    <x v="0"/>
    <x v="1"/>
    <s v="Oficina Asesora Jurídica"/>
    <s v="Oficina Asesora Jurídica"/>
    <x v="0"/>
    <s v="Jefe Oficina Asesora Jurídica"/>
    <x v="9"/>
    <x v="22"/>
    <s v="N/A"/>
    <s v="N/A"/>
    <n v="146"/>
    <d v="2021-01-26T00:00:00"/>
    <n v="7550277"/>
    <n v="60402216"/>
    <n v="60402216"/>
    <x v="1"/>
    <s v="SANDRA MAGALLY SALGADO LEYV"/>
    <n v="276490"/>
    <n v="0"/>
    <n v="24285"/>
    <x v="1"/>
    <x v="1"/>
    <x v="1"/>
    <n v="270"/>
    <x v="0"/>
  </r>
  <r>
    <x v="8"/>
    <n v="33"/>
    <x v="1"/>
    <x v="0"/>
    <x v="4"/>
    <x v="9"/>
    <x v="5"/>
    <x v="16"/>
    <x v="1"/>
    <x v="1"/>
    <x v="1"/>
    <x v="9"/>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1"/>
    <x v="1"/>
    <x v="1"/>
    <n v="121357412"/>
    <n v="121357412"/>
    <x v="1"/>
    <x v="1"/>
    <x v="1"/>
    <x v="1"/>
    <s v="Oficina Asesora Jurídica"/>
    <s v="Oficina Asesora Jurídica"/>
    <x v="0"/>
    <s v="Jefe Oficina Asesora Jurídica"/>
    <x v="9"/>
    <x v="22"/>
    <s v="N/A"/>
    <s v="N/A"/>
    <n v="128"/>
    <d v="2021-01-26T00:00:00"/>
    <n v="7550277"/>
    <n v="60402216"/>
    <n v="120804432"/>
    <x v="1"/>
    <s v="ENIRQUE LESMES RODRIGUEZ_x000a_CAROLINA CARDONA BUENO"/>
    <n v="552980"/>
    <n v="0"/>
    <s v="24267_x000a_24268"/>
    <x v="3"/>
    <x v="1"/>
    <x v="1"/>
    <n v="270"/>
    <x v="0"/>
  </r>
  <r>
    <x v="8"/>
    <n v="25"/>
    <x v="1"/>
    <x v="0"/>
    <x v="4"/>
    <x v="10"/>
    <x v="5"/>
    <x v="17"/>
    <x v="5"/>
    <x v="5"/>
    <x v="1"/>
    <x v="9"/>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6"/>
    <x v="6"/>
    <n v="11"/>
    <x v="1"/>
    <x v="1"/>
    <x v="1"/>
    <n v="253342879"/>
    <n v="253342879"/>
    <x v="1"/>
    <x v="1"/>
    <x v="5"/>
    <x v="0"/>
    <s v="Dirección General"/>
    <s v="Control interno"/>
    <x v="0"/>
    <s v="Jefe Oficina de Control Interno"/>
    <x v="6"/>
    <x v="20"/>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5"/>
    <x v="1"/>
    <x v="1"/>
    <n v="330"/>
    <x v="0"/>
  </r>
  <r>
    <x v="10"/>
    <n v="17"/>
    <x v="1"/>
    <x v="0"/>
    <x v="4"/>
    <x v="11"/>
    <x v="6"/>
    <x v="18"/>
    <x v="0"/>
    <x v="2"/>
    <x v="1"/>
    <x v="9"/>
    <x v="1"/>
    <s v="Servicios secretariales o de administración de oficinas  "/>
    <x v="0"/>
    <n v="80161501"/>
    <s v="Prestación de servicios para apoyar las actividades relacionadas con la organización de expedientes disciplinarios"/>
    <x v="5"/>
    <x v="5"/>
    <n v="11"/>
    <x v="1"/>
    <x v="1"/>
    <x v="1"/>
    <n v="29367360"/>
    <n v="29367360"/>
    <x v="1"/>
    <x v="2"/>
    <x v="0"/>
    <x v="1"/>
    <s v="Secretaría General - GIT Control Disciplinario"/>
    <s v="Secretaría General - GIT Control Disciplinario"/>
    <x v="0"/>
    <s v="Coordinador GIT Control Disciplinario"/>
    <x v="9"/>
    <x v="22"/>
    <s v="N/A"/>
    <s v="N/A"/>
    <n v="18"/>
    <d v="2021-01-08T00:00:00"/>
    <n v="2669760"/>
    <n v="29367360"/>
    <n v="29367360"/>
    <x v="1"/>
    <s v="LISSETH TATIANA BOBADILLA BOJACA"/>
    <n v="0"/>
    <n v="0"/>
    <n v="24176"/>
    <x v="1"/>
    <x v="1"/>
    <x v="0"/>
    <m/>
    <x v="0"/>
  </r>
  <r>
    <x v="10"/>
    <n v="18"/>
    <x v="1"/>
    <x v="0"/>
    <x v="4"/>
    <x v="11"/>
    <x v="6"/>
    <x v="18"/>
    <x v="0"/>
    <x v="2"/>
    <x v="1"/>
    <x v="9"/>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1"/>
    <x v="1"/>
    <x v="1"/>
    <n v="34372048"/>
    <n v="34372048"/>
    <x v="1"/>
    <x v="2"/>
    <x v="0"/>
    <x v="1"/>
    <s v="Secretaría General - GIT Control Disciplinario"/>
    <s v="Secretaría General - GIT Control Disciplinario"/>
    <x v="0"/>
    <s v="Coordinador GIT Control Disciplinario"/>
    <x v="9"/>
    <x v="22"/>
    <s v="N/A"/>
    <s v="N/A"/>
    <n v="17"/>
    <d v="2021-01-07T00:00:00"/>
    <n v="3124731"/>
    <n v="34372041"/>
    <n v="34372041"/>
    <x v="1"/>
    <s v="SERGIO  CALDERON HERNANDEZ"/>
    <n v="7"/>
    <n v="0"/>
    <n v="24175"/>
    <x v="1"/>
    <x v="1"/>
    <x v="2"/>
    <n v="11"/>
    <x v="0"/>
  </r>
  <r>
    <x v="10"/>
    <n v="16"/>
    <x v="1"/>
    <x v="0"/>
    <x v="4"/>
    <x v="11"/>
    <x v="6"/>
    <x v="18"/>
    <x v="0"/>
    <x v="2"/>
    <x v="1"/>
    <x v="9"/>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1"/>
    <x v="1"/>
    <x v="1"/>
    <n v="73517991"/>
    <n v="73517991"/>
    <x v="1"/>
    <x v="2"/>
    <x v="0"/>
    <x v="1"/>
    <s v="Secretaría General - GIT Control Disciplinario"/>
    <s v="Secretaría General - GIT Control Disciplinario"/>
    <x v="0"/>
    <s v="Coordinador GIT Control Disciplinario"/>
    <x v="9"/>
    <x v="22"/>
    <s v="N/A"/>
    <s v="N/A"/>
    <n v="16"/>
    <d v="2021-01-25T00:00:00"/>
    <n v="6683453"/>
    <n v="73517983"/>
    <n v="73517983"/>
    <x v="1"/>
    <s v="NINI YOHANA MARROQUIN COLLAZOS"/>
    <n v="8"/>
    <n v="0"/>
    <n v="24240"/>
    <x v="1"/>
    <x v="1"/>
    <x v="2"/>
    <n v="11"/>
    <x v="0"/>
  </r>
  <r>
    <x v="10"/>
    <n v="15"/>
    <x v="1"/>
    <x v="0"/>
    <x v="4"/>
    <x v="11"/>
    <x v="6"/>
    <x v="18"/>
    <x v="0"/>
    <x v="2"/>
    <x v="1"/>
    <x v="9"/>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1"/>
    <x v="1"/>
    <x v="1"/>
    <n v="83053047"/>
    <n v="83053047"/>
    <x v="1"/>
    <x v="2"/>
    <x v="0"/>
    <x v="1"/>
    <s v="Secretaría General - GIT Control Disciplinario"/>
    <s v="Secretaría General - GIT Control Disciplinario"/>
    <x v="0"/>
    <s v="Coordinador GIT Control Disciplinario"/>
    <x v="9"/>
    <x v="22"/>
    <s v="N/A"/>
    <s v="N/A"/>
    <n v="15"/>
    <d v="2021-01-07T00:00:00"/>
    <n v="7550276"/>
    <n v="83053036"/>
    <n v="83053036"/>
    <x v="1"/>
    <s v="LUIS ALFREDO AGUDELO FLOREZ"/>
    <n v="11"/>
    <n v="0"/>
    <n v="24174"/>
    <x v="1"/>
    <x v="1"/>
    <x v="2"/>
    <n v="11"/>
    <x v="0"/>
  </r>
  <r>
    <x v="10"/>
    <n v="12"/>
    <x v="1"/>
    <x v="0"/>
    <x v="4"/>
    <x v="11"/>
    <x v="6"/>
    <x v="18"/>
    <x v="4"/>
    <x v="4"/>
    <x v="1"/>
    <x v="9"/>
    <x v="1"/>
    <s v="Servicios secretariales o de administración de oficinas  "/>
    <x v="0"/>
    <n v="80161501"/>
    <s v="Prestación de servicios profesionales para brindar apoyo jurídico en la evaluación, sustanciación y  revisión de los procesos disciplinarios que se adelantan en el IGAC."/>
    <x v="5"/>
    <x v="5"/>
    <n v="11"/>
    <x v="1"/>
    <x v="1"/>
    <x v="2"/>
    <n v="220553972"/>
    <n v="220553972"/>
    <x v="1"/>
    <x v="2"/>
    <x v="4"/>
    <x v="1"/>
    <s v="Secretaría General - GIT Control Disciplinario"/>
    <s v="Secretaría General - GIT Control Disciplinario"/>
    <x v="0"/>
    <s v="Coordinador GIT Control Disciplinario"/>
    <x v="9"/>
    <x v="22"/>
    <s v="N/A"/>
    <s v="N/A"/>
    <n v="12"/>
    <d v="2021-01-07T00:00:00"/>
    <n v="6683453"/>
    <n v="73517983"/>
    <n v="220553949"/>
    <x v="1"/>
    <s v="GABRIEL ANTONIO MORATO RODRIGUEZ_x000a_NELSON ORLANDO YAZO MARTINEZ_x000a_YESSICA JULIETH MAHECHA TOVAR_x000a_"/>
    <n v="23"/>
    <n v="0"/>
    <s v="24166_x000a_24171_x000a_24173_x000a_"/>
    <x v="4"/>
    <x v="1"/>
    <x v="2"/>
    <n v="11"/>
    <x v="0"/>
  </r>
  <r>
    <x v="10"/>
    <n v="74"/>
    <x v="1"/>
    <x v="0"/>
    <x v="4"/>
    <x v="11"/>
    <x v="6"/>
    <x v="18"/>
    <x v="0"/>
    <x v="2"/>
    <x v="1"/>
    <x v="2"/>
    <x v="1"/>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1"/>
    <x v="1"/>
    <x v="1"/>
    <n v="46784176"/>
    <n v="46784176"/>
    <x v="1"/>
    <x v="5"/>
    <x v="0"/>
    <x v="1"/>
    <s v="Secretaría General - GIT Control Disciplinario"/>
    <s v="Secretaría General - GIT Control Disciplinario"/>
    <x v="0"/>
    <s v="Coordinador GIT Control Disciplinario"/>
    <x v="9"/>
    <x v="22"/>
    <s v="N/A"/>
    <s v="N/A"/>
    <n v="561"/>
    <d v="2021-04-29T00:00:00"/>
    <n v="5757793"/>
    <n v="40304551"/>
    <n v="40304551"/>
    <x v="1"/>
    <s v="ANA MARIA VILLA ROJAS"/>
    <n v="6479625"/>
    <n v="0"/>
    <n v="24696"/>
    <x v="1"/>
    <x v="1"/>
    <x v="1"/>
    <n v="270"/>
    <x v="0"/>
  </r>
  <r>
    <x v="10"/>
    <n v="13"/>
    <x v="1"/>
    <x v="0"/>
    <x v="4"/>
    <x v="11"/>
    <x v="6"/>
    <x v="18"/>
    <x v="0"/>
    <x v="2"/>
    <x v="1"/>
    <x v="9"/>
    <x v="1"/>
    <s v="Servicios secretariales o de administración de oficinas  "/>
    <x v="0"/>
    <n v="80161501"/>
    <s v="Prestación de servicios profesionales para tramitar, impulsar y sustanciar cada una de las actuaciones de los procesos disciplinarios a nivel nacional."/>
    <x v="5"/>
    <x v="5"/>
    <n v="11"/>
    <x v="1"/>
    <x v="1"/>
    <x v="1"/>
    <n v="147035981"/>
    <n v="147035981"/>
    <x v="1"/>
    <x v="2"/>
    <x v="0"/>
    <x v="1"/>
    <s v="Secretaría General - GIT Control Disciplinario"/>
    <s v="Secretaría General - GIT Control Disciplinario"/>
    <x v="0"/>
    <s v="Coordinador GIT Control Disciplinario"/>
    <x v="9"/>
    <x v="22"/>
    <s v="N/A"/>
    <s v="N/A"/>
    <n v="13"/>
    <d v="2021-01-08T00:00:00"/>
    <n v="6683453"/>
    <n v="73517983"/>
    <n v="73517983"/>
    <x v="1"/>
    <s v="DORIS  ROJAS URRUEGO"/>
    <n v="73517998"/>
    <n v="0"/>
    <n v="24182"/>
    <x v="1"/>
    <x v="1"/>
    <x v="0"/>
    <m/>
    <x v="0"/>
  </r>
  <r>
    <x v="10"/>
    <n v="45"/>
    <x v="1"/>
    <x v="0"/>
    <x v="4"/>
    <x v="12"/>
    <x v="6"/>
    <x v="19"/>
    <x v="0"/>
    <x v="2"/>
    <x v="1"/>
    <x v="8"/>
    <x v="1"/>
    <s v="Servicios secretariales o de administración de oficinas  "/>
    <x v="0"/>
    <n v="80161501"/>
    <s v="Prestación de servicios profesionales para apoyar la gestión de atención al ciudadano en Sede Central y a nivel nacional."/>
    <x v="5"/>
    <x v="5"/>
    <n v="11"/>
    <x v="1"/>
    <x v="1"/>
    <x v="1"/>
    <n v="40042596"/>
    <n v="40042596"/>
    <x v="1"/>
    <x v="1"/>
    <x v="0"/>
    <x v="1"/>
    <s v="Secretaría General - Grupo Interno de Trabajo Servicio al Ciudadano"/>
    <s v="Secretaría General - Grupo Interno de Trabajo Servicio al Ciudadano"/>
    <x v="0"/>
    <s v="Coordinador Grupo Interno de Trabajo Servicio al Ciudadano"/>
    <x v="9"/>
    <x v="22"/>
    <s v="N/A"/>
    <s v="N/A"/>
    <n v="81"/>
    <d v="2021-01-22T00:00:00"/>
    <n v="3640236"/>
    <n v="40042596"/>
    <n v="40042596"/>
    <x v="1"/>
    <s v="ANYI MARCELA LEON RUBIANO"/>
    <n v="0"/>
    <n v="0"/>
    <n v="24239"/>
    <x v="1"/>
    <x v="1"/>
    <x v="1"/>
    <n v="330"/>
    <x v="0"/>
  </r>
  <r>
    <x v="10"/>
    <n v="46"/>
    <x v="1"/>
    <x v="0"/>
    <x v="4"/>
    <x v="12"/>
    <x v="6"/>
    <x v="19"/>
    <x v="0"/>
    <x v="2"/>
    <x v="1"/>
    <x v="8"/>
    <x v="1"/>
    <s v="Servicios secretariales o de administración de oficinas  "/>
    <x v="0"/>
    <n v="80161501"/>
    <s v="Prestación de servicios profesionales para apoyar la gestión administrativa del servicio al ciudadano en Sede Central y a nivel nacional."/>
    <x v="5"/>
    <x v="5"/>
    <n v="11"/>
    <x v="1"/>
    <x v="1"/>
    <x v="1"/>
    <n v="29386313"/>
    <n v="29386313"/>
    <x v="1"/>
    <x v="1"/>
    <x v="0"/>
    <x v="1"/>
    <s v="Secretaría General - Grupo Interno de Trabajo Servicio al Ciudadano"/>
    <s v="Secretaría General - Grupo Interno de Trabajo Servicio al Ciudadano"/>
    <x v="0"/>
    <s v="Coordinador Grupo Interno de Trabajo Servicio al Ciudadano"/>
    <x v="9"/>
    <x v="22"/>
    <s v="N/A"/>
    <s v="N/A"/>
    <n v="86"/>
    <d v="2021-01-22T00:00:00"/>
    <n v="2671483"/>
    <n v="29386313"/>
    <n v="29386313"/>
    <x v="1"/>
    <s v="JUAN DAVID DIAZ BUENDIA"/>
    <n v="0"/>
    <n v="0"/>
    <n v="24241"/>
    <x v="1"/>
    <x v="1"/>
    <x v="1"/>
    <n v="330"/>
    <x v="0"/>
  </r>
  <r>
    <x v="10"/>
    <n v="44"/>
    <x v="1"/>
    <x v="0"/>
    <x v="4"/>
    <x v="12"/>
    <x v="6"/>
    <x v="19"/>
    <x v="0"/>
    <x v="2"/>
    <x v="1"/>
    <x v="9"/>
    <x v="1"/>
    <s v="Servicios secretariales o de administración de oficinas  "/>
    <x v="0"/>
    <n v="80161501"/>
    <s v="Prestación de servicios profesionales para apoyar la gestión del servicio al ciudadano en Sede Central y a nivel nacional."/>
    <x v="5"/>
    <x v="5"/>
    <n v="11"/>
    <x v="1"/>
    <x v="1"/>
    <x v="1"/>
    <n v="46898742"/>
    <n v="46898742"/>
    <x v="1"/>
    <x v="1"/>
    <x v="0"/>
    <x v="1"/>
    <s v="Secretaría General - Grupo Interno de Trabajo Servicio al Ciudadano"/>
    <s v="Secretaría General - Grupo Interno de Trabajo Servicio al Ciudadano"/>
    <x v="0"/>
    <s v="Coordinador Grupo Interno de Trabajo Servicio al Ciudadano"/>
    <x v="9"/>
    <x v="22"/>
    <s v="N/A"/>
    <s v="N/A"/>
    <n v="75"/>
    <d v="2021-01-20T00:00:00"/>
    <n v="4263522"/>
    <n v="46898742"/>
    <n v="46898742"/>
    <x v="1"/>
    <s v="KAROL VIVIANA MORALES ALZATE"/>
    <n v="0"/>
    <n v="0"/>
    <n v="24229"/>
    <x v="1"/>
    <x v="1"/>
    <x v="1"/>
    <n v="330"/>
    <x v="0"/>
  </r>
  <r>
    <x v="10"/>
    <n v="36"/>
    <x v="1"/>
    <x v="0"/>
    <x v="4"/>
    <x v="12"/>
    <x v="6"/>
    <x v="19"/>
    <x v="0"/>
    <x v="2"/>
    <x v="1"/>
    <x v="9"/>
    <x v="1"/>
    <s v="Servicios secretariales o de administración de oficinas  "/>
    <x v="0"/>
    <n v="80161501"/>
    <s v="Prestación de servicios profesionales para apoyar las estrategias, procesos, procedimientos y actividades del servicio al ciudadano en Sede Central y a nivel nacional."/>
    <x v="5"/>
    <x v="5"/>
    <n v="11"/>
    <x v="1"/>
    <x v="1"/>
    <x v="1"/>
    <n v="63335720"/>
    <n v="63335720"/>
    <x v="1"/>
    <x v="1"/>
    <x v="0"/>
    <x v="1"/>
    <s v="Secretaria General - GIT Servicio al Ciudadano"/>
    <s v="Secretaria General - GIT Servicio al Ciudadano"/>
    <x v="0"/>
    <s v="Coordinador GIT Servicio al Ciudadano"/>
    <x v="9"/>
    <x v="22"/>
    <s v="N/A"/>
    <s v="N/A"/>
    <n v="36"/>
    <d v="2021-01-15T00:00:00"/>
    <n v="5757792"/>
    <n v="63335712"/>
    <n v="63335712"/>
    <x v="1"/>
    <s v="SHADIA  GENE BELTRAN"/>
    <n v="8"/>
    <n v="0"/>
    <n v="24228"/>
    <x v="1"/>
    <x v="1"/>
    <x v="2"/>
    <n v="11"/>
    <x v="0"/>
  </r>
  <r>
    <x v="0"/>
    <m/>
    <x v="5"/>
    <x v="12"/>
    <x v="4"/>
    <x v="12"/>
    <x v="0"/>
    <x v="0"/>
    <x v="0"/>
    <x v="2"/>
    <x v="1"/>
    <x v="0"/>
    <x v="1"/>
    <s v="Servicios de consultoría de negocios y administración corporativa"/>
    <x v="0"/>
    <n v="80101500"/>
    <s v="Prestación de servicios profesionales para realizar seguimiento y ejecución a los trámites y servicios solicitados por los usuarios internos y externos del IGAC. "/>
    <x v="0"/>
    <x v="0"/>
    <n v="5"/>
    <x v="1"/>
    <x v="1"/>
    <x v="3"/>
    <n v="15562038"/>
    <n v="15562038"/>
    <x v="1"/>
    <x v="1"/>
    <x v="0"/>
    <x v="0"/>
    <s v="Dirección General"/>
    <s v="Oficina de Relacion con el Ciudadano"/>
    <x v="0"/>
    <s v="Jefe Oficina de Relacion con el Ciudadano"/>
    <x v="8"/>
    <x v="19"/>
    <s v="Realizar seguimiento al plan de mercadeo y/o estudios priorizados por la entidad"/>
    <s v="Documentos de lineamientos técnicos"/>
    <n v="712"/>
    <d v="2021-08-17T00:00:00"/>
    <n v="3640236"/>
    <n v="15531673.6"/>
    <n v="15531673.6"/>
    <x v="1"/>
    <s v="MARIA ALEJANDRA ROJAS FORERO"/>
    <n v="30364.4000000003"/>
    <n v="0"/>
    <n v="24822"/>
    <x v="1"/>
    <x v="1"/>
    <x v="1"/>
    <n v="128"/>
    <x v="0"/>
  </r>
  <r>
    <x v="10"/>
    <n v="32"/>
    <x v="1"/>
    <x v="0"/>
    <x v="4"/>
    <x v="12"/>
    <x v="6"/>
    <x v="19"/>
    <x v="0"/>
    <x v="2"/>
    <x v="1"/>
    <x v="9"/>
    <x v="1"/>
    <s v="Servicios secretariales o de administración de oficinas  "/>
    <x v="0"/>
    <n v="80161501"/>
    <s v="Prestación de servicios profesionales para apoyar la gestión jurídica del servicio al ciudadano en Sede Central y a nivel nacional."/>
    <x v="5"/>
    <x v="5"/>
    <n v="11"/>
    <x v="1"/>
    <x v="1"/>
    <x v="2"/>
    <n v="66214619"/>
    <n v="66214619"/>
    <x v="1"/>
    <x v="1"/>
    <x v="0"/>
    <x v="1"/>
    <s v="Secretaría General - Grupo Interno de Trabajo Servicio al Ciudadano"/>
    <s v="Secretaría General - Grupo Interno de Trabajo Servicio al Ciudadano"/>
    <x v="0"/>
    <s v="Coordinador Grupo Interno de Trabajo Servicio al Ciudadano"/>
    <x v="9"/>
    <x v="22"/>
    <s v="N/A"/>
    <s v="N/A"/>
    <n v="38"/>
    <d v="2021-01-19T00:00:00"/>
    <n v="5757793"/>
    <n v="63335723"/>
    <n v="63335723"/>
    <x v="1"/>
    <s v="MARIA PATRICIA ALDANA OSPINA"/>
    <n v="2878896"/>
    <n v="0"/>
    <n v="24214"/>
    <x v="1"/>
    <x v="1"/>
    <x v="2"/>
    <n v="11"/>
    <x v="0"/>
  </r>
  <r>
    <x v="10"/>
    <m/>
    <x v="1"/>
    <x v="0"/>
    <x v="4"/>
    <x v="12"/>
    <x v="6"/>
    <x v="19"/>
    <x v="0"/>
    <x v="0"/>
    <x v="0"/>
    <x v="22"/>
    <x v="1"/>
    <s v="Máquinas clasificadoras"/>
    <x v="0"/>
    <n v="44102500"/>
    <s v="Realizar el mantenimiento y/o adecuación de los digiturnos que tiene el IGAC a nivel nacional"/>
    <x v="4"/>
    <x v="4"/>
    <n v="7"/>
    <x v="1"/>
    <x v="1"/>
    <x v="1"/>
    <n v="120000000"/>
    <n v="120000000"/>
    <x v="1"/>
    <x v="2"/>
    <x v="0"/>
    <x v="1"/>
    <s v="Secretaria General - GIT Servicio al Ciudadano"/>
    <s v="Secretaria General - GIT Servicio al Ciudadano"/>
    <x v="0"/>
    <s v="Coordinador GIT Servicio al Ciudadano"/>
    <x v="9"/>
    <x v="22"/>
    <s v="N/A"/>
    <s v="N/A"/>
    <m/>
    <m/>
    <e v="#N/A"/>
    <e v="#N/A"/>
    <e v="#N/A"/>
    <x v="0"/>
    <m/>
    <n v="0"/>
    <n v="0"/>
    <m/>
    <x v="0"/>
    <x v="0"/>
    <x v="0"/>
    <n v="30"/>
    <x v="0"/>
  </r>
  <r>
    <x v="8"/>
    <m/>
    <x v="1"/>
    <x v="0"/>
    <x v="4"/>
    <x v="12"/>
    <x v="5"/>
    <x v="13"/>
    <x v="0"/>
    <x v="0"/>
    <x v="0"/>
    <x v="0"/>
    <x v="1"/>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0"/>
    <x v="0"/>
    <n v="5"/>
    <x v="1"/>
    <x v="1"/>
    <x v="2"/>
    <n v="12968365"/>
    <n v="12968365"/>
    <x v="1"/>
    <x v="1"/>
    <x v="0"/>
    <x v="0"/>
    <s v="Dirección General"/>
    <s v="Oficina de Relacion con el Ciudadano"/>
    <x v="0"/>
    <s v="jefeOficina de Relacion con el Ciudadano"/>
    <x v="8"/>
    <x v="18"/>
    <s v="Realizar campañas en medios digitales y/o presenciales sobre los productos y servicios que genera la entidad."/>
    <s v="Sistemas de información implementados"/>
    <m/>
    <m/>
    <e v="#N/A"/>
    <e v="#N/A"/>
    <e v="#N/A"/>
    <x v="0"/>
    <m/>
    <n v="0"/>
    <n v="2593673"/>
    <m/>
    <x v="0"/>
    <x v="0"/>
    <x v="0"/>
    <m/>
    <x v="0"/>
  </r>
  <r>
    <x v="10"/>
    <m/>
    <x v="1"/>
    <x v="0"/>
    <x v="4"/>
    <x v="12"/>
    <x v="6"/>
    <x v="19"/>
    <x v="0"/>
    <x v="0"/>
    <x v="0"/>
    <x v="10"/>
    <x v="1"/>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4"/>
    <x v="4"/>
    <n v="6"/>
    <x v="1"/>
    <x v="1"/>
    <x v="1"/>
    <n v="14000000"/>
    <n v="14000000"/>
    <x v="1"/>
    <x v="1"/>
    <x v="0"/>
    <x v="1"/>
    <s v="Secretaria General - GIT Talento Humano"/>
    <s v="Secretaria General - GIT Talento Humano"/>
    <x v="0"/>
    <s v="Coordinador GIT Talento Humano"/>
    <x v="6"/>
    <x v="23"/>
    <s v="Desarrollar actividades de educación informal en competencias laborales y socioemocionales virtuales y presenciales"/>
    <s v="Personas Capacitadas"/>
    <m/>
    <m/>
    <e v="#N/A"/>
    <e v="#N/A"/>
    <e v="#N/A"/>
    <x v="0"/>
    <m/>
    <n v="0"/>
    <n v="7000000"/>
    <m/>
    <x v="0"/>
    <x v="0"/>
    <x v="0"/>
    <m/>
    <x v="0"/>
  </r>
  <r>
    <x v="0"/>
    <m/>
    <x v="5"/>
    <x v="0"/>
    <x v="4"/>
    <x v="12"/>
    <x v="0"/>
    <x v="0"/>
    <x v="0"/>
    <x v="0"/>
    <x v="0"/>
    <x v="0"/>
    <x v="1"/>
    <s v="Software de servidor de autenticación"/>
    <x v="0"/>
    <n v="43233201"/>
    <s v="Adquisición Firma Digital"/>
    <x v="0"/>
    <x v="0"/>
    <n v="2"/>
    <x v="1"/>
    <x v="2"/>
    <x v="3"/>
    <n v="5000000"/>
    <n v="5000000"/>
    <x v="1"/>
    <x v="1"/>
    <x v="0"/>
    <x v="0"/>
    <s v="Dirección General"/>
    <s v="Oficina de Relacion con el Ciudadano"/>
    <x v="0"/>
    <s v="Jefe Oficina de Relacion con el Ciudadano"/>
    <x v="8"/>
    <x v="18"/>
    <s v="Diseñar y divulgar diferentes contenidos digitales, análogos  y de apoyo a los servicios requeridos por los usuarios internos y externos. "/>
    <s v="Sistemas de información implementados"/>
    <m/>
    <m/>
    <e v="#N/A"/>
    <e v="#N/A"/>
    <e v="#N/A"/>
    <x v="0"/>
    <m/>
    <n v="0"/>
    <n v="0"/>
    <m/>
    <x v="0"/>
    <x v="0"/>
    <x v="0"/>
    <m/>
    <x v="0"/>
  </r>
  <r>
    <x v="8"/>
    <n v="10"/>
    <x v="1"/>
    <x v="0"/>
    <x v="4"/>
    <x v="13"/>
    <x v="5"/>
    <x v="20"/>
    <x v="0"/>
    <x v="2"/>
    <x v="1"/>
    <x v="9"/>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1"/>
    <x v="1"/>
    <x v="1"/>
    <n v="56650000"/>
    <n v="56650000"/>
    <x v="1"/>
    <x v="1"/>
    <x v="0"/>
    <x v="1"/>
    <s v="Secretaria General"/>
    <s v="Despacho"/>
    <x v="0"/>
    <s v="Secretaria General"/>
    <x v="9"/>
    <x v="22"/>
    <s v="N/A"/>
    <s v="N/A"/>
    <n v="55"/>
    <d v="2021-01-14T00:00:00"/>
    <n v="5000000"/>
    <n v="55000000"/>
    <n v="55000000"/>
    <x v="1"/>
    <s v="ANDRES MURCIA VARGAS ABOGADOS ASOCIADOS SAS"/>
    <n v="1650000"/>
    <n v="0"/>
    <n v="24215"/>
    <x v="1"/>
    <x v="1"/>
    <x v="2"/>
    <n v="330"/>
    <x v="0"/>
  </r>
  <r>
    <x v="8"/>
    <n v="95"/>
    <x v="1"/>
    <x v="0"/>
    <x v="4"/>
    <x v="13"/>
    <x v="5"/>
    <x v="20"/>
    <x v="0"/>
    <x v="2"/>
    <x v="1"/>
    <x v="4"/>
    <x v="1"/>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1"/>
    <x v="1"/>
    <n v="8"/>
    <x v="1"/>
    <x v="1"/>
    <x v="1"/>
    <n v="121248517"/>
    <n v="121248517"/>
    <x v="1"/>
    <x v="1"/>
    <x v="0"/>
    <x v="0"/>
    <s v="Dirección General"/>
    <s v="Dirección General"/>
    <x v="0"/>
    <s v="Directora General "/>
    <x v="6"/>
    <x v="2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1"/>
    <x v="1"/>
    <x v="1"/>
    <m/>
    <x v="0"/>
  </r>
  <r>
    <x v="10"/>
    <n v="41"/>
    <x v="1"/>
    <x v="0"/>
    <x v="5"/>
    <x v="14"/>
    <x v="6"/>
    <x v="1"/>
    <x v="0"/>
    <x v="2"/>
    <x v="1"/>
    <x v="8"/>
    <x v="1"/>
    <s v="Alquiler y arrendamiento de propiedades o edificaciones"/>
    <x v="0"/>
    <n v="80131500"/>
    <s v="Arrendamiento de bien inmueble para el funcionamiento de la dirección territorial casanare del instituto geográfico agustín codazzi-igac."/>
    <x v="5"/>
    <x v="5"/>
    <n v="11"/>
    <x v="1"/>
    <x v="1"/>
    <x v="2"/>
    <n v="162316000"/>
    <n v="162316000"/>
    <x v="1"/>
    <x v="1"/>
    <x v="0"/>
    <x v="0"/>
    <s v="Secretaría General"/>
    <s v="DT Casanare"/>
    <x v="2"/>
    <s v="HERMES SALCEDO RODRIGUEZ"/>
    <x v="10"/>
    <x v="24"/>
    <s v="Realizar actividades preliminares"/>
    <s v="Sedes adecuadas"/>
    <n v="70"/>
    <d v="2021-01-19T00:00:00"/>
    <n v="14756000"/>
    <n v="162316000"/>
    <n v="162316000"/>
    <x v="1"/>
    <s v="INMOBILIARIA ROYALS COMPANY SAS"/>
    <n v="0"/>
    <n v="0"/>
    <n v="24234"/>
    <x v="1"/>
    <x v="1"/>
    <x v="1"/>
    <n v="330"/>
    <x v="0"/>
  </r>
  <r>
    <x v="0"/>
    <m/>
    <x v="6"/>
    <x v="0"/>
    <x v="5"/>
    <x v="14"/>
    <x v="0"/>
    <x v="0"/>
    <x v="0"/>
    <x v="0"/>
    <x v="0"/>
    <x v="0"/>
    <x v="1"/>
    <s v="Evaluación económica o financiera de proyectos "/>
    <x v="0"/>
    <n v="80101603"/>
    <s v="Contratar la consultoría y diseños para la restauración y reforzamiento de la estructura, incluido el proceso de licenciamiento de la sede de la Territorial Bolívar "/>
    <x v="0"/>
    <x v="0"/>
    <n v="2"/>
    <x v="1"/>
    <x v="2"/>
    <x v="3"/>
    <n v="40000000"/>
    <n v="40000000"/>
    <x v="1"/>
    <x v="2"/>
    <x v="0"/>
    <x v="0"/>
    <m/>
    <s v="guajira"/>
    <x v="2"/>
    <s v="secretaria general"/>
    <x v="10"/>
    <x v="25"/>
    <s v="Realizar actividades preliminares"/>
    <s v="Sedes con reforzamiento estructural"/>
    <m/>
    <m/>
    <e v="#N/A"/>
    <e v="#N/A"/>
    <e v="#N/A"/>
    <x v="0"/>
    <m/>
    <n v="0"/>
    <n v="0"/>
    <m/>
    <x v="0"/>
    <x v="0"/>
    <x v="0"/>
    <m/>
    <x v="0"/>
  </r>
  <r>
    <x v="10"/>
    <n v="83"/>
    <x v="1"/>
    <x v="0"/>
    <x v="5"/>
    <x v="15"/>
    <x v="6"/>
    <x v="21"/>
    <x v="0"/>
    <x v="2"/>
    <x v="1"/>
    <x v="15"/>
    <x v="1"/>
    <s v="Investigación de mercados"/>
    <x v="0"/>
    <n v="80141500"/>
    <s v="Contrato de prestación de servicios para realizar el avalúo de las aeronaves del IGAC"/>
    <x v="7"/>
    <x v="7"/>
    <n v="1"/>
    <x v="1"/>
    <x v="2"/>
    <x v="3"/>
    <n v="18000000"/>
    <n v="18000000"/>
    <x v="1"/>
    <x v="1"/>
    <x v="0"/>
    <x v="1"/>
    <s v="Secretaría General - GIT servicios admnistrativos "/>
    <s v="Secretaría General - GIT servicios admnistrativos "/>
    <x v="0"/>
    <s v="Coordinador GIT servicios admnistrativos "/>
    <x v="9"/>
    <x v="22"/>
    <s v="N/A"/>
    <s v="N/A"/>
    <n v="671"/>
    <d v="2021-07-13T00:00:00"/>
    <n v="18000000"/>
    <n v="18000000"/>
    <n v="18000000"/>
    <x v="1"/>
    <s v=" SERVICES CONSULTING S.A.S"/>
    <n v="0"/>
    <n v="0"/>
    <n v="24802"/>
    <x v="1"/>
    <x v="1"/>
    <x v="1"/>
    <n v="150"/>
    <x v="0"/>
  </r>
  <r>
    <x v="10"/>
    <n v="2"/>
    <x v="1"/>
    <x v="0"/>
    <x v="5"/>
    <x v="15"/>
    <x v="6"/>
    <x v="2"/>
    <x v="1"/>
    <x v="1"/>
    <x v="1"/>
    <x v="9"/>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1"/>
    <x v="1"/>
    <x v="1"/>
    <n v="161268052"/>
    <n v="161268052"/>
    <x v="1"/>
    <x v="2"/>
    <x v="1"/>
    <x v="1"/>
    <s v="Secretaría General - GIT Gestión Contractual"/>
    <s v="Secretaría General - GIT Gestión Contractual"/>
    <x v="0"/>
    <s v="Coordinador GIT Gestión Contractual"/>
    <x v="9"/>
    <x v="22"/>
    <s v="N/A"/>
    <s v="N/A"/>
    <n v="4"/>
    <d v="2021-01-07T00:00:00"/>
    <n v="7330366"/>
    <n v="80634026"/>
    <n v="161268052"/>
    <x v="1"/>
    <s v="ADRIANA PAOLA ALVAREZ MORENO_x000a_ORLANDO  RAMIREZ OLAYA"/>
    <n v="0"/>
    <n v="0"/>
    <s v="24163_x000a_24170"/>
    <x v="3"/>
    <x v="1"/>
    <x v="2"/>
    <n v="11"/>
    <x v="0"/>
  </r>
  <r>
    <x v="10"/>
    <n v="76"/>
    <x v="1"/>
    <x v="0"/>
    <x v="5"/>
    <x v="15"/>
    <x v="6"/>
    <x v="22"/>
    <x v="0"/>
    <x v="2"/>
    <x v="1"/>
    <x v="4"/>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6"/>
    <x v="1"/>
    <x v="1"/>
    <x v="2"/>
    <n v="34546758"/>
    <n v="34546758"/>
    <x v="1"/>
    <x v="2"/>
    <x v="0"/>
    <x v="0"/>
    <s v="Secretaria General "/>
    <s v="Secretaria General "/>
    <x v="0"/>
    <s v="María del Pilar Gonzalez Moreno"/>
    <x v="6"/>
    <x v="23"/>
    <s v="Desarrollar, hacer seguimiento y evaluar el avance en el proceso de gestión del conocimiento en la entidad."/>
    <s v="Personas capacitadas"/>
    <n v="584"/>
    <d v="2021-05-12T00:00:00"/>
    <n v="5757793"/>
    <n v="34546758"/>
    <n v="34546758"/>
    <x v="1"/>
    <s v="CLAUDIA EDITH MEJIA MEJIA"/>
    <n v="0"/>
    <n v="0"/>
    <n v="24725"/>
    <x v="1"/>
    <x v="1"/>
    <x v="0"/>
    <m/>
    <x v="0"/>
  </r>
  <r>
    <x v="10"/>
    <n v="10"/>
    <x v="1"/>
    <x v="0"/>
    <x v="5"/>
    <x v="15"/>
    <x v="6"/>
    <x v="2"/>
    <x v="0"/>
    <x v="2"/>
    <x v="1"/>
    <x v="9"/>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1"/>
    <x v="1"/>
    <x v="1"/>
    <n v="41110377"/>
    <n v="41110377"/>
    <x v="1"/>
    <x v="2"/>
    <x v="0"/>
    <x v="1"/>
    <s v="Secretaría General - GIT Gestión Contractual"/>
    <s v="Secretaría General - GIT Gestión Contractual"/>
    <x v="0"/>
    <s v="Coordinador GIT Gestión Contractual"/>
    <x v="9"/>
    <x v="22"/>
    <s v="N/A"/>
    <s v="N/A"/>
    <n v="10"/>
    <d v="2021-01-07T00:00:00"/>
    <n v="3737307"/>
    <n v="41110377"/>
    <n v="41110377"/>
    <x v="1"/>
    <s v="CRISTIAN CAMILO ROJAS MORALES"/>
    <n v="0"/>
    <n v="0"/>
    <n v="24154"/>
    <x v="1"/>
    <x v="1"/>
    <x v="2"/>
    <n v="11"/>
    <x v="0"/>
  </r>
  <r>
    <x v="10"/>
    <n v="9"/>
    <x v="1"/>
    <x v="0"/>
    <x v="5"/>
    <x v="15"/>
    <x v="6"/>
    <x v="2"/>
    <x v="4"/>
    <x v="4"/>
    <x v="1"/>
    <x v="9"/>
    <x v="1"/>
    <s v="Servicios secretariales o de administración de oficinas  "/>
    <x v="0"/>
    <n v="80161501"/>
    <s v="Prestación de servicios personales para adelantar actividades relacionadas con el ingreso, egreso y baja de bienes del IGAV. "/>
    <x v="5"/>
    <x v="5"/>
    <n v="11"/>
    <x v="1"/>
    <x v="1"/>
    <x v="1"/>
    <n v="85591209"/>
    <n v="85591209"/>
    <x v="1"/>
    <x v="2"/>
    <x v="4"/>
    <x v="1"/>
    <s v="Secretaría General - GIT Gestión Contractual"/>
    <s v="Secretaría General - GIT Gestión Contractual"/>
    <x v="0"/>
    <s v="Coordinador GIT Gestión Contractual"/>
    <x v="9"/>
    <x v="22"/>
    <s v="N/A"/>
    <s v="N/A"/>
    <n v="9"/>
    <d v="2021-01-07T00:00:00"/>
    <n v="2593673"/>
    <n v="28530403"/>
    <n v="85591209"/>
    <x v="1"/>
    <s v="DANNY ADALBERTO GUARNIZO MOLINA_x000a_DANIELA FERNANDA CASAS SIERRA_x000a_WILLIAM  SANCHEZ SANDOVAL_x000a_"/>
    <n v="0"/>
    <n v="0"/>
    <s v="24152_x000a_24156_x000a_24158_x000a_"/>
    <x v="4"/>
    <x v="1"/>
    <x v="2"/>
    <n v="11"/>
    <x v="0"/>
  </r>
  <r>
    <x v="10"/>
    <n v="57"/>
    <x v="1"/>
    <x v="0"/>
    <x v="5"/>
    <x v="15"/>
    <x v="6"/>
    <x v="23"/>
    <x v="0"/>
    <x v="2"/>
    <x v="1"/>
    <x v="11"/>
    <x v="1"/>
    <s v="Servicios secretariales o de administración de oficinas  "/>
    <x v="0"/>
    <n v="80161501"/>
    <s v="prestación de servicios profesionales para la implementación y seguimiento del proceso de gestión documental conforme a los lineamienos dados por la entidad y el agn."/>
    <x v="6"/>
    <x v="6"/>
    <n v="11"/>
    <x v="1"/>
    <x v="1"/>
    <x v="2"/>
    <n v="51970000"/>
    <n v="51970000"/>
    <x v="1"/>
    <x v="1"/>
    <x v="0"/>
    <x v="0"/>
    <s v="Secretaria General"/>
    <s v="Secretaria General- Gestión documental"/>
    <x v="0"/>
    <s v="Coordinador GIT Gestión Documental"/>
    <x v="11"/>
    <x v="26"/>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1"/>
    <x v="1"/>
    <x v="1"/>
    <n v="300"/>
    <x v="0"/>
  </r>
  <r>
    <x v="10"/>
    <n v="7"/>
    <x v="1"/>
    <x v="0"/>
    <x v="5"/>
    <x v="15"/>
    <x v="6"/>
    <x v="2"/>
    <x v="0"/>
    <x v="2"/>
    <x v="1"/>
    <x v="9"/>
    <x v="1"/>
    <s v="Servicios secretariales o de administración de oficinas  "/>
    <x v="0"/>
    <n v="80161501"/>
    <s v="Prestación de servicios profesionales para realizar contratación directa"/>
    <x v="5"/>
    <x v="5"/>
    <n v="5"/>
    <x v="1"/>
    <x v="1"/>
    <x v="1"/>
    <n v="24157400"/>
    <n v="24157400"/>
    <x v="1"/>
    <x v="2"/>
    <x v="0"/>
    <x v="1"/>
    <s v="Secretaría General - GIT Gestión Contractual"/>
    <s v="Secretaría General - GIT Gestión Contractual"/>
    <x v="0"/>
    <s v="Coordinador GIT Gestión Contractual"/>
    <x v="9"/>
    <x v="22"/>
    <s v="N/A"/>
    <s v="N/A"/>
    <n v="7"/>
    <d v="2021-01-08T00:00:00"/>
    <n v="4831480"/>
    <n v="24157400"/>
    <n v="24157400"/>
    <x v="1"/>
    <s v="ERIKA PAOLA SERRANO RICAURTE"/>
    <n v="0"/>
    <n v="0"/>
    <n v="24177"/>
    <x v="1"/>
    <x v="1"/>
    <x v="1"/>
    <n v="5"/>
    <x v="0"/>
  </r>
  <r>
    <x v="10"/>
    <n v="78"/>
    <x v="1"/>
    <x v="0"/>
    <x v="5"/>
    <x v="15"/>
    <x v="6"/>
    <x v="2"/>
    <x v="0"/>
    <x v="2"/>
    <x v="1"/>
    <x v="10"/>
    <x v="1"/>
    <s v="Servicios secretariales o de administración de oficinas  "/>
    <x v="0"/>
    <n v="80161501"/>
    <s v="Prestación de servicios profesionales para realizar contratación directa"/>
    <x v="4"/>
    <x v="4"/>
    <n v="204"/>
    <x v="0"/>
    <x v="1"/>
    <x v="1"/>
    <n v="33839683"/>
    <n v="33839683"/>
    <x v="1"/>
    <x v="2"/>
    <x v="0"/>
    <x v="1"/>
    <s v="Secretaría General - GIT Gestión Contractual"/>
    <s v="Secretaría General - GIT Gestión Contractual"/>
    <x v="0"/>
    <s v="Coordinador GIT Gestión Contractual"/>
    <x v="9"/>
    <x v="22"/>
    <s v="N/A"/>
    <s v="N/A"/>
    <m/>
    <d v="2021-06-04T00:00:00"/>
    <n v="4976424"/>
    <n v="33839683"/>
    <n v="33839683"/>
    <x v="1"/>
    <s v="ERIKA PAOLA SERRANO RICAURTE"/>
    <n v="0"/>
    <n v="0"/>
    <n v="24757"/>
    <x v="0"/>
    <x v="0"/>
    <x v="1"/>
    <n v="204"/>
    <x v="0"/>
  </r>
  <r>
    <x v="10"/>
    <n v="1"/>
    <x v="1"/>
    <x v="0"/>
    <x v="5"/>
    <x v="15"/>
    <x v="6"/>
    <x v="2"/>
    <x v="1"/>
    <x v="1"/>
    <x v="1"/>
    <x v="9"/>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1"/>
    <x v="1"/>
    <x v="2"/>
    <n v="209000000"/>
    <n v="209000000"/>
    <x v="1"/>
    <x v="2"/>
    <x v="1"/>
    <x v="1"/>
    <s v="Secretaría General - GIT Gestión Contractual"/>
    <s v="Secretaría General - GIT Gestión Contractual"/>
    <x v="0"/>
    <s v="Coordinador GIT Gestión Contractual"/>
    <x v="9"/>
    <x v="22"/>
    <s v="N/A"/>
    <s v="N/A"/>
    <n v="1"/>
    <d v="2021-01-07T00:00:00"/>
    <n v="9500000"/>
    <n v="104500000"/>
    <n v="209000000"/>
    <x v="3"/>
    <s v="GINNA PAOLA GARCIA BOHORQUEZ_x000a_BRENDA VIVIANA JIMENEZ DIAZ"/>
    <n v="0"/>
    <n v="0"/>
    <s v="24165_x000a_24169"/>
    <x v="3"/>
    <x v="1"/>
    <x v="1"/>
    <n v="11"/>
    <x v="0"/>
  </r>
  <r>
    <x v="10"/>
    <n v="4"/>
    <x v="1"/>
    <x v="0"/>
    <x v="5"/>
    <x v="15"/>
    <x v="6"/>
    <x v="2"/>
    <x v="0"/>
    <x v="2"/>
    <x v="1"/>
    <x v="9"/>
    <x v="1"/>
    <s v="Servicios secretariales o de administración de oficinas  "/>
    <x v="0"/>
    <n v="80161501"/>
    <s v="Prestación de servicios profesionales para realizar actividades relacionadas con el plan de compras y elaboración de informes."/>
    <x v="5"/>
    <x v="5"/>
    <n v="11"/>
    <x v="1"/>
    <x v="1"/>
    <x v="2"/>
    <n v="80634026"/>
    <n v="80634026"/>
    <x v="1"/>
    <x v="2"/>
    <x v="0"/>
    <x v="1"/>
    <s v="Secretaría General - GIT Gestión Contractual"/>
    <s v="Secretaría General - GIT Gestión Contractual"/>
    <x v="0"/>
    <s v="Coordinador GIT Gestión Contractual"/>
    <x v="9"/>
    <x v="22"/>
    <s v="N/A"/>
    <s v="N/A"/>
    <n v="5"/>
    <d v="2021-01-07T00:00:00"/>
    <n v="7330366"/>
    <n v="80634026"/>
    <n v="80634026"/>
    <x v="1"/>
    <s v="HECTOR MAURICIO CUBIDES GARZON"/>
    <n v="0"/>
    <n v="0"/>
    <n v="24161"/>
    <x v="1"/>
    <x v="1"/>
    <x v="2"/>
    <n v="11"/>
    <x v="0"/>
  </r>
  <r>
    <x v="10"/>
    <n v="81"/>
    <x v="1"/>
    <x v="0"/>
    <x v="5"/>
    <x v="15"/>
    <x v="6"/>
    <x v="22"/>
    <x v="0"/>
    <x v="2"/>
    <x v="1"/>
    <x v="18"/>
    <x v="1"/>
    <s v="Centros o servicios móviles de atención de salud"/>
    <x v="0"/>
    <n v="85101508"/>
    <s v="Capacitar a los funcionarios en el manejo y operación técnica de las aeronaves no tripuladas tipo UAS, propiedad del IGAC"/>
    <x v="4"/>
    <x v="4"/>
    <n v="8"/>
    <x v="1"/>
    <x v="2"/>
    <x v="1"/>
    <n v="10000000"/>
    <n v="10000000"/>
    <x v="1"/>
    <x v="2"/>
    <x v="0"/>
    <x v="1"/>
    <s v="Secretaria General"/>
    <s v="Secretaría General - GIT de Talento Humano"/>
    <x v="0"/>
    <s v="Coordinador GIT Talento Humano"/>
    <x v="6"/>
    <x v="23"/>
    <s v="Desarrollar actividades de educación informal en competencias laborales y socioemocionales virtuales y presenciales"/>
    <s v="Personas Capacitadas"/>
    <m/>
    <d v="2021-06-28T00:00:00"/>
    <n v="10000000"/>
    <n v="10000000"/>
    <n v="10000000"/>
    <x v="1"/>
    <s v="INICIO PROCESO"/>
    <n v="0"/>
    <n v="0"/>
    <m/>
    <x v="1"/>
    <x v="1"/>
    <x v="1"/>
    <n v="180"/>
    <x v="0"/>
  </r>
  <r>
    <x v="10"/>
    <n v="6"/>
    <x v="1"/>
    <x v="0"/>
    <x v="5"/>
    <x v="15"/>
    <x v="6"/>
    <x v="2"/>
    <x v="5"/>
    <x v="5"/>
    <x v="1"/>
    <x v="9"/>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1"/>
    <x v="1"/>
    <x v="2"/>
    <n v="283746760"/>
    <n v="283746760"/>
    <x v="1"/>
    <x v="2"/>
    <x v="5"/>
    <x v="1"/>
    <s v="Secretaría General - GIT Gestión Contractual"/>
    <s v="Secretaría General - GIT Gestión Contractual"/>
    <x v="0"/>
    <s v="Coordinador GIT Gestión Contractual"/>
    <x v="9"/>
    <x v="2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5"/>
    <x v="1"/>
    <x v="2"/>
    <n v="4"/>
    <x v="0"/>
  </r>
  <r>
    <x v="10"/>
    <n v="11"/>
    <x v="1"/>
    <x v="0"/>
    <x v="5"/>
    <x v="15"/>
    <x v="6"/>
    <x v="2"/>
    <x v="0"/>
    <x v="2"/>
    <x v="1"/>
    <x v="9"/>
    <x v="1"/>
    <s v="Servicios secretariales o de administración de oficinas  "/>
    <x v="0"/>
    <n v="80161501"/>
    <s v="Prestación de servicios profesionales para adelantar la revisión de los procesos de contratación que ingresan al área para asignación posterior."/>
    <x v="5"/>
    <x v="5"/>
    <n v="11"/>
    <x v="1"/>
    <x v="1"/>
    <x v="1"/>
    <n v="31417067"/>
    <n v="31417067"/>
    <x v="1"/>
    <x v="2"/>
    <x v="0"/>
    <x v="1"/>
    <s v="Secretaría General - GIT Gestión Contractual"/>
    <s v="Secretaría General - GIT Gestión Contractual"/>
    <x v="0"/>
    <s v="Coordinador GIT Gestión Contractual"/>
    <x v="9"/>
    <x v="22"/>
    <s v="N/A"/>
    <s v="N/A"/>
    <n v="3"/>
    <d v="2021-01-07T00:00:00"/>
    <n v="2856097"/>
    <n v="31417067"/>
    <n v="31417067"/>
    <x v="1"/>
    <s v="KARIME ESPERANZA ARENAS DOMINGUEZ"/>
    <n v="0"/>
    <n v="0"/>
    <n v="24162"/>
    <x v="1"/>
    <x v="1"/>
    <x v="2"/>
    <n v="11"/>
    <x v="0"/>
  </r>
  <r>
    <x v="10"/>
    <n v="42"/>
    <x v="1"/>
    <x v="0"/>
    <x v="5"/>
    <x v="15"/>
    <x v="6"/>
    <x v="21"/>
    <x v="1"/>
    <x v="1"/>
    <x v="1"/>
    <x v="8"/>
    <x v="1"/>
    <s v="Servicios secretariales o de administración de oficinas  "/>
    <x v="0"/>
    <n v="80161501"/>
    <s v=" Prestación de servicios profesionales para recibir, programar y controlar solicitudes que deba tramitar el git de servicios administrativos."/>
    <x v="5"/>
    <x v="5"/>
    <n v="11"/>
    <x v="1"/>
    <x v="1"/>
    <x v="1"/>
    <n v="68744104"/>
    <n v="68744104"/>
    <x v="1"/>
    <x v="1"/>
    <x v="1"/>
    <x v="1"/>
    <s v="Secretaría General - GIT Servicios Administrativos"/>
    <s v="Secretaría General - Servicios Administrativos"/>
    <x v="0"/>
    <s v="N/A"/>
    <x v="9"/>
    <x v="22"/>
    <s v="N/A"/>
    <s v="N/A"/>
    <n v="87"/>
    <d v="2021-01-20T00:00:00"/>
    <n v="3124732"/>
    <n v="34372052"/>
    <n v="68744104"/>
    <x v="1"/>
    <s v="LIESEL STEFHANIE CASTIBLANCO ROMERO_x000a_ANDRES LEONARDO RACHE MOYANO"/>
    <n v="0"/>
    <n v="0"/>
    <s v="24242_x000a_24245"/>
    <x v="3"/>
    <x v="1"/>
    <x v="1"/>
    <n v="330"/>
    <x v="0"/>
  </r>
  <r>
    <x v="10"/>
    <n v="79"/>
    <x v="1"/>
    <x v="0"/>
    <x v="5"/>
    <x v="15"/>
    <x v="6"/>
    <x v="23"/>
    <x v="0"/>
    <x v="2"/>
    <x v="1"/>
    <x v="10"/>
    <x v="1"/>
    <s v="Mantenimiento y soporte de software"/>
    <x v="0"/>
    <n v="81112200"/>
    <s v="Prestación de servicios para el soporte tecnico, mantenimiento y actualización del Sistema de Gestión Documental -SIGAC sobre la plataforma BPM/FOREST."/>
    <x v="4"/>
    <x v="4"/>
    <n v="6"/>
    <x v="1"/>
    <x v="1"/>
    <x v="2"/>
    <n v="154403359"/>
    <n v="154403359"/>
    <x v="1"/>
    <x v="1"/>
    <x v="0"/>
    <x v="0"/>
    <s v="Secretaria General"/>
    <s v="Secretaria General-GIT Gestión Documental"/>
    <x v="0"/>
    <s v="Coordinadora GIT Gestión Documental"/>
    <x v="11"/>
    <x v="18"/>
    <s v="Implementar las funcionalidades de la fase 2 del Sistema de Gestión de Documento Electrónico de Archivo  "/>
    <s v="Automatizar los procedimientos para la gestión de la información."/>
    <n v="627"/>
    <d v="2021-06-17T00:00:00"/>
    <n v="154403359"/>
    <n v="154403359"/>
    <n v="154403359"/>
    <x v="1"/>
    <s v="MACRO PROYECTOS S.A.S"/>
    <n v="0"/>
    <n v="0"/>
    <n v="24771"/>
    <x v="0"/>
    <x v="0"/>
    <x v="2"/>
    <n v="4"/>
    <x v="0"/>
  </r>
  <r>
    <x v="10"/>
    <n v="5"/>
    <x v="1"/>
    <x v="0"/>
    <x v="5"/>
    <x v="15"/>
    <x v="6"/>
    <x v="2"/>
    <x v="0"/>
    <x v="2"/>
    <x v="1"/>
    <x v="9"/>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1"/>
    <x v="1"/>
    <x v="1"/>
    <n v="80634026"/>
    <n v="80634026"/>
    <x v="1"/>
    <x v="2"/>
    <x v="0"/>
    <x v="1"/>
    <s v="Secretaría General - GIT Gestión Contractual"/>
    <s v="Secretaría General - GIT Gestión Contractual"/>
    <x v="0"/>
    <s v="Coordinador GIT Gestión Contractual"/>
    <x v="9"/>
    <x v="22"/>
    <s v="N/A"/>
    <s v="N/A"/>
    <n v="6"/>
    <d v="2021-01-07T00:00:00"/>
    <n v="7330366"/>
    <n v="80634026"/>
    <n v="80634026"/>
    <x v="1"/>
    <s v="MARIA VICTORIA MOLINA MELO"/>
    <n v="0"/>
    <n v="0"/>
    <n v="24160"/>
    <x v="1"/>
    <x v="1"/>
    <x v="1"/>
    <n v="11"/>
    <x v="0"/>
  </r>
  <r>
    <x v="10"/>
    <n v="80"/>
    <x v="1"/>
    <x v="0"/>
    <x v="5"/>
    <x v="15"/>
    <x v="6"/>
    <x v="23"/>
    <x v="0"/>
    <x v="2"/>
    <x v="1"/>
    <x v="18"/>
    <x v="1"/>
    <s v="Servicios secretariales o de administración de oficinas  "/>
    <x v="0"/>
    <n v="80161501"/>
    <s v="Prestación de servicios profesionales para gestionar y apoyar el proceso de convalidación de las tablas de retención documental de la entidad."/>
    <x v="4"/>
    <x v="4"/>
    <n v="6"/>
    <x v="1"/>
    <x v="1"/>
    <x v="2"/>
    <n v="29894546"/>
    <n v="29894546"/>
    <x v="1"/>
    <x v="1"/>
    <x v="0"/>
    <x v="1"/>
    <s v="Secretaria General"/>
    <s v="Secretaria General-GIT Gestión Documental"/>
    <x v="0"/>
    <s v="Coordinadora GIT Gestión Documental"/>
    <x v="9"/>
    <x v="22"/>
    <s v="N/A"/>
    <s v="N/A"/>
    <n v="648"/>
    <d v="2021-06-24T00:00:00"/>
    <n v="29894546"/>
    <n v="29894546"/>
    <n v="29894546"/>
    <x v="1"/>
    <s v="OLGA LUCIA QUINTERO "/>
    <n v="0"/>
    <n v="0"/>
    <n v="24786"/>
    <x v="1"/>
    <x v="1"/>
    <x v="0"/>
    <m/>
    <x v="0"/>
  </r>
  <r>
    <x v="11"/>
    <n v="2"/>
    <x v="1"/>
    <x v="0"/>
    <x v="5"/>
    <x v="15"/>
    <x v="6"/>
    <x v="21"/>
    <x v="0"/>
    <x v="2"/>
    <x v="1"/>
    <x v="11"/>
    <x v="1"/>
    <s v="Servicio de abastecimiento de combustible para vehículos"/>
    <x v="0"/>
    <n v="78181701"/>
    <s v="Suministro de combustible para el funcionamiento de los vehículos del Instituto Geográfico Agustín Codazzi a nivel nacional"/>
    <x v="6"/>
    <x v="6"/>
    <n v="11"/>
    <x v="1"/>
    <x v="5"/>
    <x v="1"/>
    <n v="175709558"/>
    <n v="175709558"/>
    <x v="1"/>
    <x v="1"/>
    <x v="0"/>
    <x v="1"/>
    <s v="Secretaría General - Servicios Administrativos"/>
    <s v="Secretaria General - GIT Servicios Administrativos"/>
    <x v="0"/>
    <s v="Coordinador GIT Servicios Administrativos"/>
    <x v="9"/>
    <x v="22"/>
    <s v="N/A"/>
    <s v="N/A"/>
    <n v="158"/>
    <d v="2021-02-03T00:00:00"/>
    <m/>
    <n v="175709558"/>
    <n v="175709558"/>
    <x v="1"/>
    <s v="ORGANIZACION TERPEL S.A."/>
    <n v="0"/>
    <n v="0"/>
    <n v="24342"/>
    <x v="1"/>
    <x v="1"/>
    <x v="1"/>
    <m/>
    <x v="0"/>
  </r>
  <r>
    <x v="11"/>
    <s v="6-7-8-9-10-11-12-13-14-15-16-17-18"/>
    <x v="1"/>
    <x v="0"/>
    <x v="5"/>
    <x v="15"/>
    <x v="6"/>
    <x v="2"/>
    <x v="0"/>
    <x v="2"/>
    <x v="1"/>
    <x v="23"/>
    <x v="1"/>
    <s v="Suministros de escritorio"/>
    <x v="0"/>
    <n v="44121600"/>
    <s v="Adquisición de elementos de papelería e insumos"/>
    <x v="3"/>
    <x v="3"/>
    <n v="1"/>
    <x v="1"/>
    <x v="5"/>
    <x v="1"/>
    <n v="8531146"/>
    <n v="8531146"/>
    <x v="1"/>
    <x v="1"/>
    <x v="0"/>
    <x v="1"/>
    <s v="Secretaría General - GIT Gestión Contractual"/>
    <s v="Secretaría General - GIT Gestión Contractual"/>
    <x v="0"/>
    <s v="Coordinador GIT Gestión Contractual"/>
    <x v="9"/>
    <x v="22"/>
    <s v="N/A"/>
    <s v="N/A"/>
    <n v="552"/>
    <d v="2021-04-27T00:00:00"/>
    <n v="8531146"/>
    <n v="8531146"/>
    <n v="8531146"/>
    <x v="1"/>
    <s v="PANAMERICANA LIBRERIA Y PAPELERIA SA"/>
    <n v="0"/>
    <n v="0"/>
    <n v="24694"/>
    <x v="1"/>
    <x v="1"/>
    <x v="0"/>
    <m/>
    <x v="0"/>
  </r>
  <r>
    <x v="10"/>
    <n v="37"/>
    <x v="1"/>
    <x v="0"/>
    <x v="5"/>
    <x v="15"/>
    <x v="6"/>
    <x v="21"/>
    <x v="0"/>
    <x v="2"/>
    <x v="1"/>
    <x v="9"/>
    <x v="1"/>
    <s v="Viajes en aviones comerciales"/>
    <x v="0"/>
    <n v="78111502"/>
    <s v="Suministro de tiquetes aéreos nacionales e internacionales para el Instituto Geográfico Agustín Codazzi."/>
    <x v="5"/>
    <x v="5"/>
    <n v="12"/>
    <x v="1"/>
    <x v="5"/>
    <x v="1"/>
    <n v="739850240"/>
    <n v="739850240"/>
    <x v="1"/>
    <x v="1"/>
    <x v="0"/>
    <x v="1"/>
    <s v="Secretaría General - Servicios Administrativos"/>
    <s v="Secretaria General - GIT Servicios Administrativos"/>
    <x v="0"/>
    <s v="Coordinador GIT Servicios Administrativos"/>
    <x v="9"/>
    <x v="22"/>
    <s v="N/A"/>
    <s v="N/A"/>
    <n v="72"/>
    <d v="2021-01-15T00:00:00"/>
    <n v="0"/>
    <n v="739850240"/>
    <n v="739850240"/>
    <x v="1"/>
    <s v="SUBATOURS LTDA"/>
    <n v="0"/>
    <n v="0"/>
    <n v="24331"/>
    <x v="1"/>
    <x v="1"/>
    <x v="1"/>
    <n v="330"/>
    <x v="0"/>
  </r>
  <r>
    <x v="10"/>
    <n v="54"/>
    <x v="1"/>
    <x v="0"/>
    <x v="5"/>
    <x v="15"/>
    <x v="6"/>
    <x v="21"/>
    <x v="0"/>
    <x v="2"/>
    <x v="1"/>
    <x v="11"/>
    <x v="1"/>
    <s v="Transporte de personal"/>
    <x v="0"/>
    <n v="20102301"/>
    <s v="Servicio de Transporte Especial de Pasajeros y de carga a Nivel Nacional del Instituto Geográfico Agustín Codazzi. "/>
    <x v="6"/>
    <x v="6"/>
    <n v="11"/>
    <x v="1"/>
    <x v="5"/>
    <x v="1"/>
    <n v="1421305246"/>
    <n v="1421305246"/>
    <x v="1"/>
    <x v="1"/>
    <x v="0"/>
    <x v="1"/>
    <s v="Secretaría General - Servicios Administrativos"/>
    <s v="Secretaria General - GIT Servicios Administrativos"/>
    <x v="0"/>
    <s v="Coordinador GIT Servicios Administrativos"/>
    <x v="9"/>
    <x v="22"/>
    <s v="N/A"/>
    <s v="N/A"/>
    <n v="210"/>
    <d v="2021-02-08T00:00:00"/>
    <n v="1421305246"/>
    <n v="1421305246"/>
    <n v="1421305246"/>
    <x v="1"/>
    <s v="UNION TEMPORAL UT G3 IGAC 2021"/>
    <n v="0"/>
    <n v="0"/>
    <n v="24738"/>
    <x v="1"/>
    <x v="1"/>
    <x v="1"/>
    <n v="320"/>
    <x v="0"/>
  </r>
  <r>
    <x v="10"/>
    <n v="3"/>
    <x v="1"/>
    <x v="0"/>
    <x v="5"/>
    <x v="15"/>
    <x v="6"/>
    <x v="2"/>
    <x v="0"/>
    <x v="2"/>
    <x v="1"/>
    <x v="9"/>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1"/>
    <x v="1"/>
    <x v="1"/>
    <n v="70936690"/>
    <n v="70936690"/>
    <x v="1"/>
    <x v="2"/>
    <x v="0"/>
    <x v="1"/>
    <s v="Secretaría General - GIT Gestión Contractual"/>
    <s v="Secretaría General - GIT Gestión Contractual"/>
    <x v="0"/>
    <s v="Coordinador GIT Gestión Contractual"/>
    <x v="9"/>
    <x v="22"/>
    <s v="N/A"/>
    <s v="N/A"/>
    <n v="11"/>
    <d v="2021-01-07T00:00:00"/>
    <n v="6448790"/>
    <n v="70936690"/>
    <n v="70936690"/>
    <x v="1"/>
    <s v="WILDER ANDRES GONZALEZ ROJAS"/>
    <n v="0"/>
    <n v="0"/>
    <n v="24172"/>
    <x v="1"/>
    <x v="1"/>
    <x v="2"/>
    <n v="11"/>
    <x v="0"/>
  </r>
  <r>
    <x v="10"/>
    <n v="70"/>
    <x v="1"/>
    <x v="0"/>
    <x v="5"/>
    <x v="15"/>
    <x v="6"/>
    <x v="22"/>
    <x v="0"/>
    <x v="2"/>
    <x v="1"/>
    <x v="2"/>
    <x v="1"/>
    <s v="Servicios secretariales o de administración de oficinas  "/>
    <x v="0"/>
    <n v="80161501"/>
    <s v="Adquisición del seguro de casco avión y seguro vehículo aéreo no tripulado que ampare los bienes e intereses patrimoniales del IGAC"/>
    <x v="3"/>
    <x v="4"/>
    <n v="12"/>
    <x v="1"/>
    <x v="4"/>
    <x v="1"/>
    <n v="800000000"/>
    <n v="800000000"/>
    <x v="1"/>
    <x v="5"/>
    <x v="0"/>
    <x v="0"/>
    <s v="Subdirección de Geografía y Cartografía "/>
    <s v="Secretaría General"/>
    <x v="1"/>
    <s v="Secretaría General"/>
    <x v="3"/>
    <x v="6"/>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1"/>
    <x v="1"/>
    <x v="1"/>
    <m/>
    <x v="0"/>
  </r>
  <r>
    <x v="10"/>
    <n v="47"/>
    <x v="1"/>
    <x v="0"/>
    <x v="5"/>
    <x v="15"/>
    <x v="6"/>
    <x v="2"/>
    <x v="0"/>
    <x v="2"/>
    <x v="1"/>
    <x v="8"/>
    <x v="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1"/>
    <x v="4"/>
    <x v="1"/>
    <n v="0"/>
    <n v="0"/>
    <x v="1"/>
    <x v="2"/>
    <x v="0"/>
    <x v="1"/>
    <s v="Secretaría General - GIT Gestión Contractual"/>
    <s v="Secretaría General - GIT Gestión Contractual"/>
    <x v="0"/>
    <s v="Coordinador GIT Gestión Contractual"/>
    <x v="9"/>
    <x v="22"/>
    <s v="N/A"/>
    <s v="N/A"/>
    <n v="82"/>
    <d v="2021-01-22T00:00:00"/>
    <e v="#N/A"/>
    <e v="#N/A"/>
    <e v="#N/A"/>
    <x v="0"/>
    <s v="INICIO PROCESO"/>
    <n v="0"/>
    <n v="0"/>
    <m/>
    <x v="1"/>
    <x v="1"/>
    <x v="0"/>
    <m/>
    <x v="0"/>
  </r>
  <r>
    <x v="10"/>
    <n v="29"/>
    <x v="1"/>
    <x v="0"/>
    <x v="5"/>
    <x v="15"/>
    <x v="6"/>
    <x v="24"/>
    <x v="0"/>
    <x v="2"/>
    <x v="1"/>
    <x v="9"/>
    <x v="1"/>
    <s v="Servicios secretariales o de administración de oficinas  "/>
    <x v="0"/>
    <n v="80161501"/>
    <s v="Prestación de servicios profesionales especializados para apoyar los temas tributarios, contables y financieros del Instituto Geográfico Agustín Codazzi a nivel nacional"/>
    <x v="5"/>
    <x v="5"/>
    <n v="4"/>
    <x v="1"/>
    <x v="1"/>
    <x v="1"/>
    <n v="34831906"/>
    <n v="34831906"/>
    <x v="1"/>
    <x v="2"/>
    <x v="0"/>
    <x v="1"/>
    <s v="Secretaria General - GIT Gestión Financiera"/>
    <s v="Secretaría General - GIT Gestión Financiera"/>
    <x v="0"/>
    <s v="Coordinador GIT Gestión Financiera"/>
    <x v="9"/>
    <x v="22"/>
    <s v="N/A"/>
    <s v="N/A"/>
    <n v="27"/>
    <d v="2021-01-12T00:00:00"/>
    <n v="8707976"/>
    <n v="34831904"/>
    <n v="34831904"/>
    <x v="1"/>
    <s v="CARLOS JULIO AGUILAR RUIZ"/>
    <n v="2"/>
    <n v="0"/>
    <n v="24186"/>
    <x v="1"/>
    <x v="1"/>
    <x v="2"/>
    <n v="11"/>
    <x v="0"/>
  </r>
  <r>
    <x v="10"/>
    <n v="30"/>
    <x v="1"/>
    <x v="0"/>
    <x v="5"/>
    <x v="15"/>
    <x v="6"/>
    <x v="24"/>
    <x v="0"/>
    <x v="2"/>
    <x v="1"/>
    <x v="9"/>
    <x v="1"/>
    <s v="Servicios secretariales o de administración de oficinas  "/>
    <x v="0"/>
    <n v="80161501"/>
    <s v="Prestación de servicios personales para apoyar la gestión de la tesorería del Instituto Geográfico Agustín Codazzi."/>
    <x v="5"/>
    <x v="5"/>
    <n v="11"/>
    <x v="1"/>
    <x v="1"/>
    <x v="1"/>
    <n v="29386316"/>
    <n v="29386316"/>
    <x v="1"/>
    <x v="2"/>
    <x v="0"/>
    <x v="1"/>
    <s v="Secretaria General - GIT Gestión Financiera"/>
    <s v="Secretaría General - GIT Gestión Financiera"/>
    <x v="0"/>
    <s v="Coordinador GIT Gestión Financiera"/>
    <x v="9"/>
    <x v="22"/>
    <s v="N/A"/>
    <s v="N/A"/>
    <n v="34"/>
    <d v="2021-01-13T00:00:00"/>
    <n v="2671483"/>
    <n v="29386313"/>
    <n v="29386313"/>
    <x v="1"/>
    <s v="LEONARDO  SEGURA CAMELO"/>
    <n v="3"/>
    <n v="0"/>
    <n v="24188"/>
    <x v="1"/>
    <x v="1"/>
    <x v="0"/>
    <m/>
    <x v="0"/>
  </r>
  <r>
    <x v="10"/>
    <n v="24"/>
    <x v="1"/>
    <x v="0"/>
    <x v="5"/>
    <x v="15"/>
    <x v="6"/>
    <x v="24"/>
    <x v="0"/>
    <x v="2"/>
    <x v="1"/>
    <x v="9"/>
    <x v="1"/>
    <s v="Servicios secretariales o de administración de oficinas  "/>
    <x v="0"/>
    <n v="80161501"/>
    <s v="Prestación de servicios personales para la recepción, revisión y elaboración de las cuentas por pagar y obligaciones del instituto en el sistema SIIF Nación."/>
    <x v="5"/>
    <x v="5"/>
    <n v="11"/>
    <x v="1"/>
    <x v="1"/>
    <x v="2"/>
    <n v="29386316"/>
    <n v="29386316"/>
    <x v="1"/>
    <x v="2"/>
    <x v="0"/>
    <x v="1"/>
    <s v="Secretaria General - GIT Gestión Financiera"/>
    <s v="Secretaría General - GIT Gestión Financiera"/>
    <x v="0"/>
    <s v="Coordinador GIT Gestión Financiera"/>
    <x v="9"/>
    <x v="22"/>
    <s v="N/A"/>
    <s v="N/A"/>
    <n v="33"/>
    <d v="2021-01-13T00:00:00"/>
    <n v="2671483"/>
    <n v="29386313"/>
    <n v="29386313"/>
    <x v="1"/>
    <s v="MIREYA  ARTUNDUAGA CALDERON"/>
    <n v="3"/>
    <n v="0"/>
    <n v="24190"/>
    <x v="1"/>
    <x v="1"/>
    <x v="0"/>
    <m/>
    <x v="0"/>
  </r>
  <r>
    <x v="10"/>
    <n v="59"/>
    <x v="1"/>
    <x v="0"/>
    <x v="5"/>
    <x v="15"/>
    <x v="6"/>
    <x v="23"/>
    <x v="0"/>
    <x v="2"/>
    <x v="1"/>
    <x v="9"/>
    <x v="1"/>
    <s v="Servicios secretariales o de administración de oficinas  "/>
    <x v="0"/>
    <n v="80161501"/>
    <s v="Prestación de servicios profesionales para la implementación del sistema de gestión documental SIGAC a nivel nacional."/>
    <x v="6"/>
    <x v="6"/>
    <n v="10"/>
    <x v="1"/>
    <x v="1"/>
    <x v="2"/>
    <n v="36402363"/>
    <n v="36402363"/>
    <x v="1"/>
    <x v="1"/>
    <x v="0"/>
    <x v="0"/>
    <s v="Secretaria General"/>
    <s v="Secretaria General- Gestión documental"/>
    <x v="0"/>
    <s v="Coordinador GIT Gestión Documental"/>
    <x v="11"/>
    <x v="18"/>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1"/>
    <x v="1"/>
    <x v="1"/>
    <n v="300"/>
    <x v="0"/>
  </r>
  <r>
    <x v="10"/>
    <n v="26"/>
    <x v="1"/>
    <x v="0"/>
    <x v="5"/>
    <x v="15"/>
    <x v="6"/>
    <x v="24"/>
    <x v="0"/>
    <x v="2"/>
    <x v="1"/>
    <x v="9"/>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1"/>
    <x v="1"/>
    <x v="1"/>
    <n v="40042599"/>
    <n v="40042599"/>
    <x v="1"/>
    <x v="2"/>
    <x v="0"/>
    <x v="1"/>
    <s v="Secretaria General - GIT Gestión Financiera"/>
    <s v="Secretaría General - GIT Gestión Financiera"/>
    <x v="0"/>
    <s v="Coordinador GIT Gestión Financiera"/>
    <x v="9"/>
    <x v="22"/>
    <s v="N/A"/>
    <s v="N/A"/>
    <n v="32"/>
    <d v="2021-01-13T00:00:00"/>
    <n v="3640236"/>
    <n v="40042596"/>
    <n v="40042596"/>
    <x v="1"/>
    <s v="YOLI ANDREA MARTINEZ MOLINA"/>
    <n v="3"/>
    <n v="0"/>
    <n v="24189"/>
    <x v="1"/>
    <x v="1"/>
    <x v="0"/>
    <m/>
    <x v="0"/>
  </r>
  <r>
    <x v="10"/>
    <n v="8"/>
    <x v="1"/>
    <x v="0"/>
    <x v="5"/>
    <x v="15"/>
    <x v="6"/>
    <x v="2"/>
    <x v="1"/>
    <x v="1"/>
    <x v="1"/>
    <x v="9"/>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1"/>
    <x v="1"/>
    <x v="1"/>
    <n v="58772630"/>
    <n v="58772630"/>
    <x v="1"/>
    <x v="2"/>
    <x v="1"/>
    <x v="1"/>
    <s v="Secretaría General - GIT Gestión Contractual"/>
    <s v="Secretaría General - GIT Gestión Contractual"/>
    <x v="0"/>
    <s v="Coordinador GIT Gestión Contractual"/>
    <x v="9"/>
    <x v="22"/>
    <s v="N/A"/>
    <s v="N/A"/>
    <n v="8"/>
    <d v="2021-01-07T00:00:00"/>
    <n v="2671483"/>
    <n v="29386313"/>
    <n v="58772626"/>
    <x v="1"/>
    <s v="SANDRA YANETH CELEMIN_x000a_BIBIANA ANDREA CASAS SIERRA_x000a_"/>
    <n v="4"/>
    <n v="0"/>
    <s v="24164_x000a_24167_x000a_"/>
    <x v="3"/>
    <x v="1"/>
    <x v="2"/>
    <n v="2"/>
    <x v="0"/>
  </r>
  <r>
    <x v="10"/>
    <n v="28"/>
    <x v="1"/>
    <x v="0"/>
    <x v="5"/>
    <x v="15"/>
    <x v="6"/>
    <x v="24"/>
    <x v="0"/>
    <x v="2"/>
    <x v="1"/>
    <x v="9"/>
    <x v="1"/>
    <s v="Servicios secretariales o de administración de oficinas  "/>
    <x v="0"/>
    <n v="80161501"/>
    <s v="Prestación de servicios profesionales para realizar las actividades relacionadas con el manejo del presupuesto del Instituto Geográfico Agustín Codazzi."/>
    <x v="5"/>
    <x v="5"/>
    <n v="11"/>
    <x v="1"/>
    <x v="1"/>
    <x v="1"/>
    <n v="73517991"/>
    <n v="73517991"/>
    <x v="1"/>
    <x v="2"/>
    <x v="0"/>
    <x v="1"/>
    <s v="Secretaria General - GIT Gestión Financiera"/>
    <s v="Secretaría General - GIT Gestión Financiera"/>
    <x v="0"/>
    <s v="Coordinador GIT Gestión Financiera"/>
    <x v="9"/>
    <x v="22"/>
    <s v="N/A"/>
    <s v="N/A"/>
    <n v="28"/>
    <d v="2021-01-13T00:00:00"/>
    <n v="6683453"/>
    <n v="73517983"/>
    <n v="73517983"/>
    <x v="1"/>
    <s v="BRENDA LUCIA FONSECA ROJAS"/>
    <n v="8"/>
    <n v="0"/>
    <n v="24187"/>
    <x v="1"/>
    <x v="1"/>
    <x v="0"/>
    <m/>
    <x v="0"/>
  </r>
  <r>
    <x v="10"/>
    <n v="23"/>
    <x v="1"/>
    <x v="0"/>
    <x v="5"/>
    <x v="15"/>
    <x v="6"/>
    <x v="24"/>
    <x v="0"/>
    <x v="2"/>
    <x v="1"/>
    <x v="9"/>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1"/>
    <x v="1"/>
    <x v="1"/>
    <n v="63335720"/>
    <n v="63335720"/>
    <x v="1"/>
    <x v="2"/>
    <x v="0"/>
    <x v="1"/>
    <s v="Secretaria General - GIT Gestión Financiera"/>
    <s v="Secretaría General - GIT Gestión Financiera"/>
    <x v="0"/>
    <s v="Coordinador GIT Gestión Financiera"/>
    <x v="9"/>
    <x v="22"/>
    <s v="N/A"/>
    <s v="N/A"/>
    <n v="26"/>
    <d v="2021-01-12T00:00:00"/>
    <n v="5757792"/>
    <n v="63335712"/>
    <n v="63335712"/>
    <x v="1"/>
    <s v="DIANA MARCELA SANDOVAL HERRERA"/>
    <n v="8"/>
    <n v="0"/>
    <n v="24185"/>
    <x v="1"/>
    <x v="1"/>
    <x v="1"/>
    <n v="330"/>
    <x v="0"/>
  </r>
  <r>
    <x v="10"/>
    <n v="27"/>
    <x v="1"/>
    <x v="0"/>
    <x v="5"/>
    <x v="15"/>
    <x v="6"/>
    <x v="24"/>
    <x v="1"/>
    <x v="1"/>
    <x v="1"/>
    <x v="9"/>
    <x v="1"/>
    <s v="Servicios secretariales o de administración de oficinas  "/>
    <x v="0"/>
    <n v="80161501"/>
    <s v="Prestación de servicios profesionales para realizar la gestión de la tesorería del Instituto Geográfico Agustín Codazzi."/>
    <x v="5"/>
    <x v="5"/>
    <n v="11"/>
    <x v="1"/>
    <x v="1"/>
    <x v="1"/>
    <n v="147035981"/>
    <n v="147035981"/>
    <x v="1"/>
    <x v="2"/>
    <x v="1"/>
    <x v="1"/>
    <s v="Secretaria General - GIT Gestión Financiera"/>
    <s v="Secretaría General - GIT Gestión Financiera"/>
    <x v="0"/>
    <s v="Coordinador GIT Gestión Financiera"/>
    <x v="9"/>
    <x v="22"/>
    <s v="N/A"/>
    <s v="N/A"/>
    <n v="31"/>
    <d v="2021-01-13T00:00:00"/>
    <n v="6683453"/>
    <n v="73517983"/>
    <n v="147035966"/>
    <x v="1"/>
    <s v="ALICIA PAOLA GARCIA MUÑOZ_x000a_ANGELA  MORALES RONCANCIO_x000a_"/>
    <n v="15"/>
    <n v="0"/>
    <s v="24191_x000a_24194"/>
    <x v="3"/>
    <x v="1"/>
    <x v="0"/>
    <m/>
    <x v="0"/>
  </r>
  <r>
    <x v="10"/>
    <n v="68"/>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5"/>
    <x v="2"/>
    <n v="346300000"/>
    <n v="346300000"/>
    <x v="1"/>
    <x v="1"/>
    <x v="0"/>
    <x v="1"/>
    <s v="Secretaría General - Servicios Administrativos"/>
    <s v="Secretaria General - GIT Servicios Administrativos"/>
    <x v="0"/>
    <s v="Coordinador GIT Servicios Administrativos"/>
    <x v="9"/>
    <x v="22"/>
    <s v="N/A"/>
    <s v="N/A"/>
    <n v="528"/>
    <d v="2021-04-14T00:00:00"/>
    <n v="0"/>
    <n v="346223527"/>
    <n v="346223527"/>
    <x v="1"/>
    <s v="UNION TEMPORAL AUTOMOTRIZ 2020_x000a_AUTO INVERSIONES COLOMBIA S.A AUTOINVERCOL_x000a_CENTRO INTEGRAL DE MANTENIMIENTO ATOCARS SAS_x000a_"/>
    <n v="76473"/>
    <n v="0"/>
    <s v="24711_x000a_24712_x000a_24713_x000a_24735"/>
    <x v="1"/>
    <x v="1"/>
    <x v="0"/>
    <m/>
    <x v="0"/>
  </r>
  <r>
    <x v="0"/>
    <m/>
    <x v="6"/>
    <x v="6"/>
    <x v="5"/>
    <x v="15"/>
    <x v="0"/>
    <x v="0"/>
    <x v="0"/>
    <x v="2"/>
    <x v="1"/>
    <x v="0"/>
    <x v="1"/>
    <s v="Servicio de inspección de equipos"/>
    <x v="0"/>
    <n v="81141804"/>
    <s v="Diagnóstico y certificación anual de los sistemas de transporte vertical (ascensores) de la sede central del IGAC"/>
    <x v="0"/>
    <x v="0"/>
    <n v="1"/>
    <x v="1"/>
    <x v="2"/>
    <x v="2"/>
    <n v="833000"/>
    <n v="833000"/>
    <x v="1"/>
    <x v="2"/>
    <x v="0"/>
    <x v="0"/>
    <s v="Secretaria General - GIT T SERVISIOS ADMNISTRATIVOS "/>
    <s v="Secretaria General - GIT T SERVISIOS ADMNISTRATIVOS "/>
    <x v="0"/>
    <s v="secretaria general"/>
    <x v="10"/>
    <x v="27"/>
    <s v="Dotar de equipamientos las sedes"/>
    <s v="Sedes Mantenidas"/>
    <m/>
    <d v="2021-09-01T00:00:00"/>
    <n v="678300"/>
    <n v="678300"/>
    <n v="678300"/>
    <x v="1"/>
    <s v="INICIO PROCESO"/>
    <n v="154700"/>
    <n v="0"/>
    <m/>
    <x v="1"/>
    <x v="1"/>
    <x v="1"/>
    <n v="90"/>
    <x v="0"/>
  </r>
  <r>
    <x v="10"/>
    <n v="25"/>
    <x v="1"/>
    <x v="0"/>
    <x v="5"/>
    <x v="15"/>
    <x v="6"/>
    <x v="24"/>
    <x v="0"/>
    <x v="2"/>
    <x v="1"/>
    <x v="9"/>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1"/>
    <x v="1"/>
    <x v="2"/>
    <n v="73517991"/>
    <n v="73517991"/>
    <x v="1"/>
    <x v="2"/>
    <x v="0"/>
    <x v="1"/>
    <s v="Secretaria General - GIT Gestión Financiera"/>
    <s v="Secretaría General - GIT Gestión Financiera"/>
    <x v="0"/>
    <s v="Coordinador GIT Gestión Financiera"/>
    <x v="9"/>
    <x v="22"/>
    <s v="N/A"/>
    <s v="N/A"/>
    <n v="35"/>
    <d v="2021-01-13T00:00:00"/>
    <n v="6683454"/>
    <n v="73295212"/>
    <n v="73295212"/>
    <x v="1"/>
    <s v="EDGAR GERMAN CAICEDO GONZALEZ"/>
    <n v="222779"/>
    <n v="0"/>
    <n v="24192"/>
    <x v="1"/>
    <x v="1"/>
    <x v="0"/>
    <m/>
    <x v="0"/>
  </r>
  <r>
    <x v="10"/>
    <n v="40"/>
    <x v="1"/>
    <x v="0"/>
    <x v="5"/>
    <x v="15"/>
    <x v="6"/>
    <x v="23"/>
    <x v="0"/>
    <x v="2"/>
    <x v="1"/>
    <x v="9"/>
    <x v="1"/>
    <s v="Servicios secretariales o de administración de oficinas  "/>
    <x v="0"/>
    <n v="80161501"/>
    <s v="Prestación de servicios personales para el acompañamiento y seguimiento de las actividades del procesos de gestión documental de la entidad de acuerdo a las normas vigentes."/>
    <x v="5"/>
    <x v="5"/>
    <n v="9"/>
    <x v="1"/>
    <x v="1"/>
    <x v="2"/>
    <n v="24043349"/>
    <n v="24043349"/>
    <x v="1"/>
    <x v="1"/>
    <x v="0"/>
    <x v="0"/>
    <s v="Secretaria General"/>
    <s v="Secretaria General- Gestión documental"/>
    <x v="0"/>
    <s v="Coordinador GIT Gestión Documental"/>
    <x v="11"/>
    <x v="26"/>
    <s v="Realizar los procesos de organización al acervo documental de  30 metros lineales."/>
    <s v="Aplicar los procesos archivísticos al acervo documental."/>
    <n v="59"/>
    <d v="2021-01-19T00:00:00"/>
    <n v="2593673"/>
    <n v="23343057"/>
    <n v="23343057"/>
    <x v="1"/>
    <s v="MARTHA LUCIA ROCHA AREVALO"/>
    <n v="700292"/>
    <n v="0"/>
    <n v="24222"/>
    <x v="1"/>
    <x v="1"/>
    <x v="1"/>
    <n v="270"/>
    <x v="0"/>
  </r>
  <r>
    <x v="10"/>
    <n v="38"/>
    <x v="1"/>
    <x v="0"/>
    <x v="5"/>
    <x v="15"/>
    <x v="6"/>
    <x v="22"/>
    <x v="0"/>
    <x v="2"/>
    <x v="1"/>
    <x v="9"/>
    <x v="1"/>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0"/>
    <x v="1"/>
    <x v="2"/>
    <n v="123067779"/>
    <n v="123067779"/>
    <x v="1"/>
    <x v="1"/>
    <x v="0"/>
    <x v="0"/>
    <m/>
    <m/>
    <x v="10"/>
    <m/>
    <x v="12"/>
    <x v="28"/>
    <m/>
    <m/>
    <n v="40"/>
    <d v="2021-01-15T00:00:00"/>
    <n v="10701546"/>
    <n v="122354343"/>
    <n v="122354343"/>
    <x v="1"/>
    <s v="LINDA CRISTINA SANTOS MEJIA"/>
    <n v="713436"/>
    <n v="0"/>
    <n v="24199"/>
    <x v="1"/>
    <x v="1"/>
    <x v="0"/>
    <m/>
    <x v="0"/>
  </r>
  <r>
    <x v="10"/>
    <n v="63"/>
    <x v="1"/>
    <x v="0"/>
    <x v="5"/>
    <x v="15"/>
    <x v="6"/>
    <x v="21"/>
    <x v="0"/>
    <x v="2"/>
    <x v="1"/>
    <x v="12"/>
    <x v="1"/>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1"/>
    <x v="1"/>
    <x v="1"/>
    <n v="40500000"/>
    <n v="40500000"/>
    <x v="1"/>
    <x v="5"/>
    <x v="0"/>
    <x v="1"/>
    <s v="Secretaria General - GIT servicios administrativos"/>
    <s v="Secretaria General - GIT servicios administrativos"/>
    <x v="0"/>
    <s v="Coordinador GIT GIT servicios administrativos"/>
    <x v="12"/>
    <x v="28"/>
    <m/>
    <m/>
    <n v="504"/>
    <d v="2021-03-25T00:00:00"/>
    <n v="4382339"/>
    <n v="39441051"/>
    <n v="39441051"/>
    <x v="1"/>
    <s v="ASTRID ANGELICA VELA MARTINEZ"/>
    <n v="1058949"/>
    <n v="0"/>
    <n v="24638"/>
    <x v="1"/>
    <x v="1"/>
    <x v="0"/>
    <m/>
    <x v="0"/>
  </r>
  <r>
    <x v="10"/>
    <n v="39"/>
    <x v="1"/>
    <x v="0"/>
    <x v="5"/>
    <x v="15"/>
    <x v="6"/>
    <x v="23"/>
    <x v="4"/>
    <x v="4"/>
    <x v="1"/>
    <x v="9"/>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1"/>
    <x v="1"/>
    <x v="2"/>
    <n v="53527075"/>
    <n v="53527075"/>
    <x v="1"/>
    <x v="1"/>
    <x v="4"/>
    <x v="0"/>
    <s v="Secretaria General"/>
    <s v="Secretaria General- Gestión documental"/>
    <x v="0"/>
    <s v="Coordinador GIT Gestión Documental"/>
    <x v="11"/>
    <x v="26"/>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4"/>
    <x v="1"/>
    <x v="1"/>
    <n v="270"/>
    <x v="0"/>
  </r>
  <r>
    <x v="10"/>
    <n v="48"/>
    <x v="1"/>
    <x v="0"/>
    <x v="5"/>
    <x v="15"/>
    <x v="6"/>
    <x v="23"/>
    <x v="0"/>
    <x v="2"/>
    <x v="1"/>
    <x v="11"/>
    <x v="1"/>
    <s v="Servicios secretariales o de administración de oficinas  "/>
    <x v="0"/>
    <n v="80161501"/>
    <s v="Prestación de servicios personales para apoyar la implementación del sistema de gestión documental de la entidad de acuerdo a las normas vigentes."/>
    <x v="6"/>
    <x v="6"/>
    <n v="11"/>
    <x v="1"/>
    <x v="1"/>
    <x v="1"/>
    <n v="29566233.890000001"/>
    <n v="29566233.890000001"/>
    <x v="1"/>
    <x v="1"/>
    <x v="0"/>
    <x v="1"/>
    <s v="Secretaría General - GIT Gestión Documental"/>
    <s v="Secretaría General - GIT Gestión Documental"/>
    <x v="0"/>
    <s v="Coordinador GIT Gestión Documental"/>
    <x v="9"/>
    <x v="22"/>
    <s v="N/A"/>
    <s v="N/A"/>
    <n v="235"/>
    <d v="2021-02-03T00:00:00"/>
    <n v="2593673"/>
    <n v="27406478"/>
    <n v="27406478"/>
    <x v="1"/>
    <s v="EDWIN DIDIER CASAS ARDILA"/>
    <n v="2159755.89"/>
    <n v="0"/>
    <n v="24418"/>
    <x v="1"/>
    <x v="1"/>
    <x v="1"/>
    <n v="330"/>
    <x v="0"/>
  </r>
  <r>
    <x v="10"/>
    <n v="52"/>
    <x v="1"/>
    <x v="0"/>
    <x v="5"/>
    <x v="15"/>
    <x v="6"/>
    <x v="22"/>
    <x v="0"/>
    <x v="2"/>
    <x v="1"/>
    <x v="9"/>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6"/>
    <x v="6"/>
    <n v="11"/>
    <x v="1"/>
    <x v="1"/>
    <x v="1"/>
    <n v="73517991"/>
    <n v="73517991"/>
    <x v="1"/>
    <x v="1"/>
    <x v="0"/>
    <x v="0"/>
    <s v="Secretaria General"/>
    <s v="Secretaría General"/>
    <x v="0"/>
    <s v="Secretaria General"/>
    <x v="6"/>
    <x v="21"/>
    <s v="Realizar el seguimiento de los planes de acción anual"/>
    <s v="Documentos de planeación con seguimientos realizados"/>
    <n v="194"/>
    <d v="2021-02-08T00:00:00"/>
    <n v="6683454"/>
    <n v="71290173"/>
    <n v="71290173"/>
    <x v="1"/>
    <s v="JENNFER  ABRIL"/>
    <n v="2227818"/>
    <n v="0"/>
    <n v="24378"/>
    <x v="1"/>
    <x v="1"/>
    <x v="1"/>
    <n v="315"/>
    <x v="0"/>
  </r>
  <r>
    <x v="10"/>
    <n v="53"/>
    <x v="1"/>
    <x v="0"/>
    <x v="5"/>
    <x v="15"/>
    <x v="6"/>
    <x v="21"/>
    <x v="0"/>
    <x v="2"/>
    <x v="1"/>
    <x v="11"/>
    <x v="1"/>
    <s v="Ingeniería civil y arquitectura"/>
    <x v="0"/>
    <n v="81101500"/>
    <s v="Prestación de servicios profesionales para formular, estructurar, evaluar y realizar el seguimiento a los planes, programas y proyectos de infraestructura física y garantizar los objetivos planteados a nivel nacional."/>
    <x v="6"/>
    <x v="6"/>
    <n v="11"/>
    <x v="1"/>
    <x v="1"/>
    <x v="2"/>
    <n v="80634026"/>
    <n v="80634026"/>
    <x v="1"/>
    <x v="1"/>
    <x v="0"/>
    <x v="0"/>
    <s v="Secretaría General - GIT Servicios Administrativos"/>
    <s v="Secretaría General - Servicios Administrativos"/>
    <x v="0"/>
    <s v="Coordinador(a) GIT Servicios Administrativos"/>
    <x v="13"/>
    <x v="27"/>
    <s v="Dotar de equipamentos las sedes"/>
    <s v="Sedes Mantenidas"/>
    <n v="192"/>
    <d v="2021-02-08T00:00:00"/>
    <n v="7330366"/>
    <n v="78190571"/>
    <n v="78190571"/>
    <x v="1"/>
    <s v="WILSON BENITES CORREA"/>
    <n v="2443455"/>
    <n v="0"/>
    <n v="24373"/>
    <x v="1"/>
    <x v="1"/>
    <x v="1"/>
    <n v="330"/>
    <x v="0"/>
  </r>
  <r>
    <x v="10"/>
    <n v="55"/>
    <x v="1"/>
    <x v="0"/>
    <x v="5"/>
    <x v="15"/>
    <x v="6"/>
    <x v="21"/>
    <x v="0"/>
    <x v="2"/>
    <x v="1"/>
    <x v="11"/>
    <x v="1"/>
    <s v="Servicios de mantenimiento y reparación de vehículos"/>
    <x v="0"/>
    <n v="78181500"/>
    <s v="Prestación de servicios para la revision tecnico mecanica de los vehiculos de propiedad del IGAC C "/>
    <x v="6"/>
    <x v="6"/>
    <n v="12"/>
    <x v="1"/>
    <x v="2"/>
    <x v="1"/>
    <n v="16000000"/>
    <n v="16000000"/>
    <x v="1"/>
    <x v="1"/>
    <x v="0"/>
    <x v="1"/>
    <s v="Secretaría General - Servicios Administrativos"/>
    <s v="Secretaria General - GIT Servicios Administrativos"/>
    <x v="0"/>
    <s v="Coordinador GIT Servicios Administrativos"/>
    <x v="9"/>
    <x v="22"/>
    <s v="N/A"/>
    <s v="N/A"/>
    <n v="312"/>
    <d v="2021-02-15T00:00:00"/>
    <n v="0"/>
    <n v="13492673"/>
    <n v="13492673"/>
    <x v="1"/>
    <s v="INSPECCION TECNICA AUTOMOTRIZ INTECO SAS"/>
    <n v="2507327"/>
    <n v="0"/>
    <n v="24534"/>
    <x v="1"/>
    <x v="1"/>
    <x v="0"/>
    <m/>
    <x v="0"/>
  </r>
  <r>
    <x v="10"/>
    <n v="34"/>
    <x v="1"/>
    <x v="0"/>
    <x v="5"/>
    <x v="15"/>
    <x v="6"/>
    <x v="25"/>
    <x v="0"/>
    <x v="2"/>
    <x v="1"/>
    <x v="9"/>
    <x v="0"/>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0"/>
    <x v="1"/>
    <x v="0"/>
    <n v="116150000"/>
    <n v="116150000"/>
    <x v="1"/>
    <x v="1"/>
    <x v="0"/>
    <x v="0"/>
    <s v="Secretaria General"/>
    <s v="Secretaría General"/>
    <x v="0"/>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1"/>
    <x v="1"/>
    <x v="1"/>
    <n v="345"/>
    <x v="0"/>
  </r>
  <r>
    <x v="10"/>
    <n v="49"/>
    <x v="1"/>
    <x v="0"/>
    <x v="5"/>
    <x v="15"/>
    <x v="6"/>
    <x v="23"/>
    <x v="1"/>
    <x v="1"/>
    <x v="1"/>
    <x v="11"/>
    <x v="1"/>
    <s v="Servicios secretariales o de administración de oficinas  "/>
    <x v="0"/>
    <n v="80161501"/>
    <s v="Prestación de servicios personales para la aplicación de los procesos archvísticos  de acuerdo a las directrices de la entidad y las normas del archivo general de la nación. "/>
    <x v="6"/>
    <x v="6"/>
    <n v="11"/>
    <x v="1"/>
    <x v="1"/>
    <x v="1"/>
    <n v="43614654"/>
    <n v="43614653.780000001"/>
    <x v="1"/>
    <x v="1"/>
    <x v="1"/>
    <x v="1"/>
    <s v="Secretaría General - GIT Gestión Documental"/>
    <s v="Secretaría General - GIT Gestión Documental"/>
    <x v="0"/>
    <s v="Coordinador GIT Gestión Documental"/>
    <x v="9"/>
    <x v="22"/>
    <s v="N/A"/>
    <s v="N/A"/>
    <n v="196"/>
    <d v="2021-02-03T00:00:00"/>
    <n v="1924742"/>
    <n v="20402265"/>
    <n v="40804530"/>
    <x v="1"/>
    <s v="JENNY ALEXANDRA PEREZ GONZALEZ_x000a_RAFAEL ALIRIO GONZALEZ "/>
    <n v="2810123.78"/>
    <n v="0"/>
    <s v="24380_x000a_24382"/>
    <x v="3"/>
    <x v="1"/>
    <x v="1"/>
    <n v="330"/>
    <x v="0"/>
  </r>
  <r>
    <x v="10"/>
    <n v="56"/>
    <x v="1"/>
    <x v="0"/>
    <x v="5"/>
    <x v="15"/>
    <x v="6"/>
    <x v="22"/>
    <x v="0"/>
    <x v="2"/>
    <x v="1"/>
    <x v="14"/>
    <x v="1"/>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6"/>
    <x v="6"/>
    <n v="11"/>
    <x v="1"/>
    <x v="1"/>
    <x v="1"/>
    <n v="83053047"/>
    <n v="83053047"/>
    <x v="1"/>
    <x v="1"/>
    <x v="0"/>
    <x v="1"/>
    <s v="Secretaria General"/>
    <s v="Secretaría General"/>
    <x v="0"/>
    <s v="Secretaria General"/>
    <x v="9"/>
    <x v="22"/>
    <s v="N/A"/>
    <s v="N/A"/>
    <n v="265"/>
    <d v="2021-02-15T00:00:00"/>
    <n v="7550277"/>
    <n v="79277909"/>
    <n v="79277909"/>
    <x v="1"/>
    <s v="JULIAN ALEJANDRO CRUZ ALARCON"/>
    <n v="3775138"/>
    <n v="0"/>
    <n v="24430"/>
    <x v="1"/>
    <x v="1"/>
    <x v="1"/>
    <n v="315"/>
    <x v="0"/>
  </r>
  <r>
    <x v="10"/>
    <n v="51"/>
    <x v="1"/>
    <x v="0"/>
    <x v="5"/>
    <x v="15"/>
    <x v="6"/>
    <x v="22"/>
    <x v="0"/>
    <x v="2"/>
    <x v="1"/>
    <x v="9"/>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6"/>
    <x v="6"/>
    <n v="11"/>
    <x v="1"/>
    <x v="1"/>
    <x v="1"/>
    <n v="83053047"/>
    <n v="83053047"/>
    <x v="1"/>
    <x v="1"/>
    <x v="0"/>
    <x v="0"/>
    <s v="Secretaria General"/>
    <s v="Secretaría General"/>
    <x v="0"/>
    <s v="Secretaria General"/>
    <x v="6"/>
    <x v="21"/>
    <s v="Realizar el seguimiento de los planes de acción anual"/>
    <s v="Documentos de planeación con seguimientos realizados"/>
    <n v="287"/>
    <d v="2021-02-15T00:00:00"/>
    <n v="7550277"/>
    <n v="79026233"/>
    <n v="79026233"/>
    <x v="1"/>
    <s v="HELVIN IVAN CIFUENTES GONZALEZ"/>
    <n v="4026814"/>
    <n v="0"/>
    <n v="24449"/>
    <x v="1"/>
    <x v="1"/>
    <x v="1"/>
    <n v="315"/>
    <x v="0"/>
  </r>
  <r>
    <x v="10"/>
    <n v="50"/>
    <x v="1"/>
    <x v="0"/>
    <x v="5"/>
    <x v="15"/>
    <x v="6"/>
    <x v="21"/>
    <x v="0"/>
    <x v="2"/>
    <x v="1"/>
    <x v="11"/>
    <x v="1"/>
    <s v="Servicios secretariales o de administración de oficinas  "/>
    <x v="0"/>
    <n v="80161501"/>
    <s v="Prestación de servicios personales  para apoyar los asuntos  y las supervisiones que sean designadas en cabeza de los funcionarios del GIT de Servicios Administrativos"/>
    <x v="6"/>
    <x v="6"/>
    <n v="11"/>
    <x v="1"/>
    <x v="1"/>
    <x v="1"/>
    <n v="34372052"/>
    <n v="34372052"/>
    <x v="1"/>
    <x v="1"/>
    <x v="0"/>
    <x v="1"/>
    <s v="Secretaría General - GIT Servicios Administrativos"/>
    <s v="Secretaría General - Servicios Administrativos"/>
    <x v="0"/>
    <s v="N/A"/>
    <x v="9"/>
    <x v="22"/>
    <s v="N/A"/>
    <s v="N/A"/>
    <n v="176"/>
    <d v="2021-02-03T00:00:00"/>
    <n v="2671483"/>
    <n v="29386313"/>
    <n v="29386313"/>
    <x v="1"/>
    <s v="SONIA BAUTISTA CIFUENTE"/>
    <n v="4985739"/>
    <n v="0"/>
    <n v="24377"/>
    <x v="1"/>
    <x v="1"/>
    <x v="1"/>
    <n v="330"/>
    <x v="0"/>
  </r>
  <r>
    <x v="10"/>
    <n v="82"/>
    <x v="1"/>
    <x v="0"/>
    <x v="5"/>
    <x v="15"/>
    <x v="6"/>
    <x v="21"/>
    <x v="0"/>
    <x v="2"/>
    <x v="1"/>
    <x v="18"/>
    <x v="1"/>
    <s v="Desinfección"/>
    <x v="0"/>
    <n v="76101500"/>
    <s v="Prestación de servicios para saneamiento básico de la sede central IGAC"/>
    <x v="4"/>
    <x v="4"/>
    <n v="7"/>
    <x v="1"/>
    <x v="2"/>
    <x v="1"/>
    <n v="15000000"/>
    <n v="15000000"/>
    <x v="1"/>
    <x v="2"/>
    <x v="0"/>
    <x v="1"/>
    <s v="Secretaria General - GIT Talento Humano"/>
    <s v="sertvcios admnistrativos "/>
    <x v="0"/>
    <s v="Coordinador GIT Talento Humano"/>
    <x v="9"/>
    <x v="22"/>
    <s v="N/A"/>
    <s v="N/A"/>
    <m/>
    <d v="2021-07-13T00:00:00"/>
    <n v="9557750"/>
    <n v="9557750"/>
    <n v="9557750"/>
    <x v="1"/>
    <s v="INICIO PROCESO"/>
    <n v="5442250"/>
    <n v="0"/>
    <m/>
    <x v="1"/>
    <x v="1"/>
    <x v="1"/>
    <n v="150"/>
    <x v="0"/>
  </r>
  <r>
    <x v="10"/>
    <n v="60"/>
    <x v="1"/>
    <x v="0"/>
    <x v="5"/>
    <x v="15"/>
    <x v="6"/>
    <x v="25"/>
    <x v="0"/>
    <x v="2"/>
    <x v="1"/>
    <x v="12"/>
    <x v="0"/>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1"/>
    <x v="1"/>
    <x v="0"/>
    <n v="144200000"/>
    <n v="144200000"/>
    <x v="1"/>
    <x v="1"/>
    <x v="0"/>
    <x v="0"/>
    <s v="Secretaria General"/>
    <s v="Secretaria General"/>
    <x v="0"/>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1"/>
    <x v="1"/>
    <x v="0"/>
    <m/>
    <x v="0"/>
  </r>
  <r>
    <x v="10"/>
    <n v="61"/>
    <x v="1"/>
    <x v="0"/>
    <x v="5"/>
    <x v="15"/>
    <x v="6"/>
    <x v="2"/>
    <x v="0"/>
    <x v="2"/>
    <x v="1"/>
    <x v="12"/>
    <x v="1"/>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1"/>
    <x v="1"/>
    <x v="2"/>
    <n v="102877526"/>
    <n v="102877526"/>
    <x v="1"/>
    <x v="1"/>
    <x v="0"/>
    <x v="1"/>
    <s v="Secretaría General - GIT Gestión Contractual"/>
    <s v="Secretaría General - GIT Gestión Contractual"/>
    <x v="0"/>
    <s v="Coordinador GIT Gestión Contractual"/>
    <x v="9"/>
    <x v="22"/>
    <s v="N/A"/>
    <s v="N/A"/>
    <n v="520"/>
    <d v="2021-04-12T00:00:00"/>
    <n v="11022592"/>
    <n v="95529131"/>
    <n v="95529131"/>
    <x v="1"/>
    <s v="BRENDA VIVIANA JIMENEZ DIAZ"/>
    <n v="7348395"/>
    <n v="0"/>
    <n v="24653"/>
    <x v="1"/>
    <x v="1"/>
    <x v="1"/>
    <m/>
    <x v="0"/>
  </r>
  <r>
    <x v="10"/>
    <n v="67"/>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3"/>
    <x v="1"/>
    <n v="117600000"/>
    <n v="117600000"/>
    <x v="1"/>
    <x v="1"/>
    <x v="0"/>
    <x v="1"/>
    <s v="Secretaría General - Servicios Administrativos"/>
    <s v="Secretaria General - GIT Servicios Administrativos"/>
    <x v="0"/>
    <s v="Coordinador GIT Servicios Administrativos"/>
    <x v="9"/>
    <x v="22"/>
    <s v="N/A"/>
    <s v="N/A"/>
    <n v="542"/>
    <d v="2021-04-14T00:00:00"/>
    <n v="109168733"/>
    <n v="109168733"/>
    <n v="109168733"/>
    <x v="1"/>
    <s v="COMPAÑIA OPERADORA DE CONTRATOS SAS"/>
    <n v="8431267"/>
    <n v="0"/>
    <n v="24763"/>
    <x v="1"/>
    <x v="1"/>
    <x v="0"/>
    <m/>
    <x v="0"/>
  </r>
  <r>
    <x v="8"/>
    <n v="82"/>
    <x v="1"/>
    <x v="0"/>
    <x v="5"/>
    <x v="15"/>
    <x v="6"/>
    <x v="25"/>
    <x v="0"/>
    <x v="2"/>
    <x v="1"/>
    <x v="14"/>
    <x v="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6"/>
    <x v="6"/>
    <n v="315"/>
    <x v="0"/>
    <x v="1"/>
    <x v="0"/>
    <n v="103585482"/>
    <n v="103585482"/>
    <x v="1"/>
    <x v="1"/>
    <x v="0"/>
    <x v="0"/>
    <s v="Secretaria General"/>
    <s v="Secretaria General"/>
    <x v="0"/>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1"/>
    <x v="1"/>
    <x v="1"/>
    <n v="255"/>
    <x v="0"/>
  </r>
  <r>
    <x v="10"/>
    <n v="35"/>
    <x v="1"/>
    <x v="0"/>
    <x v="5"/>
    <x v="15"/>
    <x v="6"/>
    <x v="25"/>
    <x v="0"/>
    <x v="2"/>
    <x v="1"/>
    <x v="9"/>
    <x v="0"/>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0"/>
    <x v="1"/>
    <x v="0"/>
    <n v="201400000"/>
    <n v="201400000"/>
    <x v="1"/>
    <x v="1"/>
    <x v="0"/>
    <x v="0"/>
    <s v="Secretaria General"/>
    <s v="Secretaría General"/>
    <x v="0"/>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1"/>
    <x v="1"/>
    <x v="2"/>
    <n v="11"/>
    <x v="0"/>
  </r>
  <r>
    <x v="10"/>
    <n v="75"/>
    <x v="1"/>
    <x v="0"/>
    <x v="5"/>
    <x v="15"/>
    <x v="6"/>
    <x v="24"/>
    <x v="0"/>
    <x v="2"/>
    <x v="1"/>
    <x v="3"/>
    <x v="1"/>
    <s v="Servicios secretariales o de administración de oficinas  "/>
    <x v="0"/>
    <n v="80161501"/>
    <s v="Prestación de servicios para apoyar en la gestión de procesos financieros, contables y de Tesoreria a cargo de la Secretaria General "/>
    <x v="3"/>
    <x v="3"/>
    <n v="8"/>
    <x v="1"/>
    <x v="1"/>
    <x v="1"/>
    <n v="42743728"/>
    <n v="42743728"/>
    <x v="1"/>
    <x v="5"/>
    <x v="0"/>
    <x v="1"/>
    <m/>
    <m/>
    <x v="0"/>
    <m/>
    <x v="9"/>
    <x v="22"/>
    <s v="N/A"/>
    <s v="N/A"/>
    <n v="576"/>
    <d v="2021-05-04T00:00:00"/>
    <n v="4263522"/>
    <n v="29844654"/>
    <n v="29844654"/>
    <x v="1"/>
    <s v="DAVID AUGUSTO ZABARAIN COGOLLO"/>
    <n v="12899074"/>
    <n v="0"/>
    <n v="24708"/>
    <x v="1"/>
    <x v="1"/>
    <x v="1"/>
    <n v="210"/>
    <x v="0"/>
  </r>
  <r>
    <x v="10"/>
    <n v="33"/>
    <x v="1"/>
    <x v="0"/>
    <x v="5"/>
    <x v="15"/>
    <x v="6"/>
    <x v="25"/>
    <x v="0"/>
    <x v="2"/>
    <x v="1"/>
    <x v="9"/>
    <x v="0"/>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0"/>
    <x v="1"/>
    <x v="0"/>
    <n v="167000000"/>
    <n v="167000000"/>
    <x v="1"/>
    <x v="1"/>
    <x v="0"/>
    <x v="0"/>
    <s v="Secretaria General"/>
    <s v="Secretaría General"/>
    <x v="0"/>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1"/>
    <x v="1"/>
    <x v="1"/>
    <n v="345"/>
    <x v="0"/>
  </r>
  <r>
    <x v="10"/>
    <n v="71"/>
    <x v="1"/>
    <x v="0"/>
    <x v="5"/>
    <x v="15"/>
    <x v="6"/>
    <x v="25"/>
    <x v="0"/>
    <x v="2"/>
    <x v="1"/>
    <x v="2"/>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1"/>
    <x v="1"/>
    <x v="0"/>
    <n v="94300000"/>
    <n v="94300000"/>
    <x v="1"/>
    <x v="5"/>
    <x v="0"/>
    <x v="0"/>
    <s v="Secretaria General"/>
    <s v="Secretaría General"/>
    <x v="0"/>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1"/>
    <x v="1"/>
    <x v="1"/>
    <n v="240"/>
    <x v="0"/>
  </r>
  <r>
    <x v="10"/>
    <n v="73"/>
    <x v="1"/>
    <x v="0"/>
    <x v="5"/>
    <x v="15"/>
    <x v="6"/>
    <x v="21"/>
    <x v="0"/>
    <x v="2"/>
    <x v="1"/>
    <x v="24"/>
    <x v="1"/>
    <s v="Servicios de mantenimiento de ascensores"/>
    <x v="0"/>
    <n v="72101506"/>
    <s v="Prestación de servicios para el mantenimiento correctivo y preventivo ascensores sede central "/>
    <x v="3"/>
    <x v="3"/>
    <n v="8"/>
    <x v="1"/>
    <x v="1"/>
    <x v="1"/>
    <n v="60000000"/>
    <n v="60000000"/>
    <x v="1"/>
    <x v="5"/>
    <x v="0"/>
    <x v="0"/>
    <s v="Secretaria General - GIT Talento Humano"/>
    <s v="Secretaria General - GIT Talento Humano"/>
    <x v="0"/>
    <s v="Coordinador GIT Talento Humano"/>
    <x v="10"/>
    <x v="27"/>
    <s v="Dotar de equipamientos las sedes"/>
    <s v="Sedes Mantenidas"/>
    <n v="555"/>
    <d v="2021-04-26T00:00:00"/>
    <n v="0"/>
    <n v="18329600"/>
    <n v="18329600"/>
    <x v="1"/>
    <s v="OTIS ELEVATOR COMPANY COLOMBIA SAS"/>
    <n v="41670400"/>
    <n v="0"/>
    <n v="24698"/>
    <x v="1"/>
    <x v="1"/>
    <x v="0"/>
    <m/>
    <x v="0"/>
  </r>
  <r>
    <x v="10"/>
    <n v="77"/>
    <x v="1"/>
    <x v="0"/>
    <x v="5"/>
    <x v="15"/>
    <x v="6"/>
    <x v="25"/>
    <x v="0"/>
    <x v="2"/>
    <x v="1"/>
    <x v="4"/>
    <x v="0"/>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1"/>
    <x v="1"/>
    <x v="0"/>
    <n v="178250000"/>
    <n v="178250000"/>
    <x v="1"/>
    <x v="2"/>
    <x v="0"/>
    <x v="0"/>
    <s v="Secretaria General"/>
    <s v="Secretaría General"/>
    <x v="0"/>
    <s v="Secretaria General"/>
    <x v="0"/>
    <x v="0"/>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n v="0"/>
    <m/>
    <x v="1"/>
    <x v="1"/>
    <x v="0"/>
    <m/>
    <x v="0"/>
  </r>
  <r>
    <x v="11"/>
    <n v="5"/>
    <x v="1"/>
    <x v="0"/>
    <x v="5"/>
    <x v="15"/>
    <x v="6"/>
    <x v="2"/>
    <x v="0"/>
    <x v="2"/>
    <x v="1"/>
    <x v="23"/>
    <x v="1"/>
    <s v="Papel de imprenta y papel de escribir"/>
    <x v="0"/>
    <n v="14111500"/>
    <s v="Adquisición de productos derivados del papel, cartón y corrugados en Colombia"/>
    <x v="3"/>
    <x v="3"/>
    <n v="1"/>
    <x v="1"/>
    <x v="5"/>
    <x v="1"/>
    <n v="230000000"/>
    <n v="230000000"/>
    <x v="1"/>
    <x v="1"/>
    <x v="0"/>
    <x v="1"/>
    <s v="Secretaría General - GIT Gestión Contractual"/>
    <s v="Secretaría General - GIT Gestión Contractual"/>
    <x v="0"/>
    <s v="Coordinador GIT Gestión Contractual"/>
    <x v="9"/>
    <x v="22"/>
    <s v="N/A"/>
    <s v="N/A"/>
    <n v="583"/>
    <d v="2021-04-27T00:00:00"/>
    <n v="16879994.82"/>
    <n v="16879994.82"/>
    <n v="16879994.82"/>
    <x v="1"/>
    <s v="SUMIMAS SAS"/>
    <n v="213120005.18000001"/>
    <n v="0"/>
    <n v="24723"/>
    <x v="1"/>
    <x v="1"/>
    <x v="0"/>
    <m/>
    <x v="0"/>
  </r>
  <r>
    <x v="10"/>
    <m/>
    <x v="1"/>
    <x v="0"/>
    <x v="5"/>
    <x v="15"/>
    <x v="6"/>
    <x v="23"/>
    <x v="0"/>
    <x v="10"/>
    <x v="0"/>
    <x v="2"/>
    <x v="1"/>
    <s v="Servicios de envío, recogida o entrega de correo"/>
    <x v="0"/>
    <n v="78102203"/>
    <s v="Prestación de Servicios de administración, curso y entrega de toda clase de  correspondencia y demás envíos postales. "/>
    <x v="7"/>
    <x v="7"/>
    <n v="9"/>
    <x v="1"/>
    <x v="1"/>
    <x v="1"/>
    <n v="898185726"/>
    <n v="898185726"/>
    <x v="1"/>
    <x v="5"/>
    <x v="0"/>
    <x v="1"/>
    <s v="Secretaría General - GIT Gestión Documental"/>
    <s v="Secretaría General - GIT Gestión Documental"/>
    <x v="0"/>
    <s v="Coordinador GIT Gestión Documental"/>
    <x v="9"/>
    <x v="22"/>
    <s v="N/A"/>
    <s v="N/A"/>
    <m/>
    <m/>
    <e v="#N/A"/>
    <e v="#N/A"/>
    <e v="#N/A"/>
    <x v="0"/>
    <m/>
    <n v="0"/>
    <n v="0"/>
    <m/>
    <x v="11"/>
    <x v="0"/>
    <x v="0"/>
    <m/>
    <x v="0"/>
  </r>
  <r>
    <x v="10"/>
    <m/>
    <x v="1"/>
    <x v="0"/>
    <x v="5"/>
    <x v="15"/>
    <x v="6"/>
    <x v="24"/>
    <x v="0"/>
    <x v="0"/>
    <x v="0"/>
    <x v="19"/>
    <x v="1"/>
    <s v="Servicios secretariales o de administración de oficinas  "/>
    <x v="0"/>
    <n v="80161501"/>
    <s v="Prestación de servicios profesionales  para apoyar los temas tributarios, contables y financieros que se desarollen al interior de la entidad"/>
    <x v="0"/>
    <x v="0"/>
    <n v="120"/>
    <x v="0"/>
    <x v="1"/>
    <x v="2"/>
    <n v="57000000"/>
    <n v="57000000"/>
    <x v="1"/>
    <x v="2"/>
    <x v="0"/>
    <x v="1"/>
    <s v="Secretaría General - GIT Gestión Financiera"/>
    <s v="Secretaría General - GIT Gestión Financiera"/>
    <x v="0"/>
    <s v="Coordinador GIT Gestión Financiera"/>
    <x v="9"/>
    <x v="22"/>
    <s v="N/A"/>
    <s v="N/A"/>
    <m/>
    <m/>
    <e v="#N/A"/>
    <e v="#N/A"/>
    <e v="#N/A"/>
    <x v="0"/>
    <m/>
    <n v="0"/>
    <n v="14250000"/>
    <m/>
    <x v="0"/>
    <x v="0"/>
    <x v="0"/>
    <m/>
    <x v="0"/>
  </r>
  <r>
    <x v="10"/>
    <m/>
    <x v="1"/>
    <x v="0"/>
    <x v="5"/>
    <x v="15"/>
    <x v="6"/>
    <x v="2"/>
    <x v="0"/>
    <x v="0"/>
    <x v="0"/>
    <x v="18"/>
    <x v="1"/>
    <s v="Tóner para impresoras o fax"/>
    <x v="0"/>
    <n v="44103103"/>
    <s v="Adquisición de consumibles de impresión a nivel nacional "/>
    <x v="7"/>
    <x v="7"/>
    <n v="1"/>
    <x v="1"/>
    <x v="5"/>
    <x v="1"/>
    <n v="265600000"/>
    <n v="265600000"/>
    <x v="1"/>
    <x v="2"/>
    <x v="0"/>
    <x v="1"/>
    <s v="Secretaría General - GIT Gestión Contractual"/>
    <s v="Secretaría General - GIT Gestión Contractual"/>
    <x v="0"/>
    <s v="Coordinador GIT Gestión Contractual"/>
    <x v="9"/>
    <x v="22"/>
    <s v="N/A"/>
    <s v="N/A"/>
    <m/>
    <m/>
    <e v="#N/A"/>
    <e v="#N/A"/>
    <e v="#N/A"/>
    <x v="0"/>
    <m/>
    <n v="0"/>
    <n v="0"/>
    <m/>
    <x v="0"/>
    <x v="0"/>
    <x v="0"/>
    <m/>
    <x v="0"/>
  </r>
  <r>
    <x v="10"/>
    <m/>
    <x v="1"/>
    <x v="0"/>
    <x v="5"/>
    <x v="15"/>
    <x v="6"/>
    <x v="24"/>
    <x v="0"/>
    <x v="10"/>
    <x v="0"/>
    <x v="9"/>
    <x v="1"/>
    <s v="Software de servidor de autenticación"/>
    <x v="0"/>
    <n v="43233201"/>
    <s v="Adquisición certificados digitales acceso a SIIF"/>
    <x v="10"/>
    <x v="10"/>
    <n v="1"/>
    <x v="1"/>
    <x v="2"/>
    <x v="1"/>
    <n v="10000000"/>
    <n v="10000000"/>
    <x v="1"/>
    <x v="2"/>
    <x v="0"/>
    <x v="1"/>
    <s v="Secretaria General - GIT Gestión Financiera"/>
    <s v="Secretaria General - GIT Gestión Financiera"/>
    <x v="0"/>
    <s v="Coordinador GIT Gestión Financiera"/>
    <x v="9"/>
    <x v="22"/>
    <s v="N/A"/>
    <s v="N/A"/>
    <m/>
    <m/>
    <e v="#N/A"/>
    <e v="#N/A"/>
    <e v="#N/A"/>
    <x v="0"/>
    <m/>
    <n v="0"/>
    <n v="0"/>
    <m/>
    <x v="11"/>
    <x v="0"/>
    <x v="0"/>
    <m/>
    <x v="0"/>
  </r>
  <r>
    <x v="10"/>
    <n v="69"/>
    <x v="1"/>
    <x v="0"/>
    <x v="5"/>
    <x v="16"/>
    <x v="6"/>
    <x v="26"/>
    <x v="0"/>
    <x v="2"/>
    <x v="1"/>
    <x v="16"/>
    <x v="1"/>
    <s v="Publicidad en periódicos"/>
    <x v="0"/>
    <n v="82101504"/>
    <s v="Prestación de servicios para realizar la publicación de avisos en un diario de circulación nacional"/>
    <x v="3"/>
    <x v="3"/>
    <n v="9"/>
    <x v="1"/>
    <x v="2"/>
    <x v="1"/>
    <n v="7000000"/>
    <n v="7000000"/>
    <x v="1"/>
    <x v="5"/>
    <x v="0"/>
    <x v="1"/>
    <s v="Secretaria General - GIT Talento Humano"/>
    <s v="Secretaria General - GIT Talento Humano"/>
    <x v="0"/>
    <s v="Coordinador GIT Talento Humano"/>
    <x v="9"/>
    <x v="22"/>
    <s v="N/A"/>
    <s v="N/A"/>
    <n v="538"/>
    <d v="2021-04-20T00:00:00"/>
    <e v="#N/A"/>
    <n v="7000000"/>
    <n v="7000000"/>
    <x v="1"/>
    <s v="BIG MEDIA PUBLICIDAD S.A.S"/>
    <n v="0"/>
    <n v="0"/>
    <n v="24719"/>
    <x v="1"/>
    <x v="1"/>
    <x v="1"/>
    <n v="270"/>
    <x v="0"/>
  </r>
  <r>
    <x v="10"/>
    <n v="64"/>
    <x v="1"/>
    <x v="0"/>
    <x v="5"/>
    <x v="16"/>
    <x v="6"/>
    <x v="26"/>
    <x v="0"/>
    <x v="2"/>
    <x v="1"/>
    <x v="2"/>
    <x v="1"/>
    <s v="Servicios secretariales o de administración de oficinas  "/>
    <x v="0"/>
    <n v="80161501"/>
    <s v="prestación de servicios personales para realizar actividades relacionadas con la elaboración de novedades administrativas de los funcionarios  de la entidad"/>
    <x v="2"/>
    <x v="2"/>
    <n v="4"/>
    <x v="1"/>
    <x v="1"/>
    <x v="1"/>
    <n v="10685932"/>
    <n v="10685932"/>
    <x v="1"/>
    <x v="5"/>
    <x v="0"/>
    <x v="1"/>
    <s v="Secretaria General - GIT Talento Humano"/>
    <s v="Secretaria General - GIT Talento Humano"/>
    <x v="0"/>
    <s v="Coordinador GIT Talento Humano"/>
    <x v="12"/>
    <x v="28"/>
    <m/>
    <m/>
    <n v="708"/>
    <d v="2021-08-02T00:00:00"/>
    <n v="2671483"/>
    <n v="10685932"/>
    <n v="10685932"/>
    <x v="1"/>
    <s v="DAIRO JAVIER MARINEZ ACHURY"/>
    <n v="0"/>
    <n v="0"/>
    <n v="24816"/>
    <x v="1"/>
    <x v="1"/>
    <x v="1"/>
    <n v="120"/>
    <x v="0"/>
  </r>
  <r>
    <x v="10"/>
    <n v="66"/>
    <x v="1"/>
    <x v="0"/>
    <x v="5"/>
    <x v="16"/>
    <x v="6"/>
    <x v="26"/>
    <x v="1"/>
    <x v="1"/>
    <x v="1"/>
    <x v="2"/>
    <x v="1"/>
    <s v="Servicios secretariales o de administración de oficinas  "/>
    <x v="0"/>
    <n v="80161501"/>
    <s v="prestación de servicios personales para la actualización y el mantenimiento de la información generada desde el proc eso  de talento humano"/>
    <x v="2"/>
    <x v="2"/>
    <n v="4"/>
    <x v="1"/>
    <x v="1"/>
    <x v="1"/>
    <n v="16785720"/>
    <n v="16785720"/>
    <x v="1"/>
    <x v="5"/>
    <x v="1"/>
    <x v="1"/>
    <m/>
    <m/>
    <x v="10"/>
    <m/>
    <x v="12"/>
    <x v="28"/>
    <m/>
    <m/>
    <n v="562"/>
    <d v="2021-04-28T00:00:00"/>
    <n v="8392860"/>
    <n v="8392860"/>
    <n v="16785720"/>
    <x v="1"/>
    <s v="GINA VANESSA CRUZ GARCIA_x000a_YEISON FABIÁN MORALES BOTACHE"/>
    <n v="0"/>
    <n v="0"/>
    <s v="24813_x000a_24814"/>
    <x v="3"/>
    <x v="1"/>
    <x v="1"/>
    <n v="120"/>
    <x v="0"/>
  </r>
  <r>
    <x v="11"/>
    <n v="39"/>
    <x v="1"/>
    <x v="0"/>
    <x v="5"/>
    <x v="16"/>
    <x v="6"/>
    <x v="26"/>
    <x v="0"/>
    <x v="2"/>
    <x v="1"/>
    <x v="18"/>
    <x v="1"/>
    <s v="Servicios de compra de vestuario"/>
    <x v="0"/>
    <n v="91111703"/>
    <s v="Adquisición de dotación de vestuario de calle para los funcionarios a nivel nacional "/>
    <x v="4"/>
    <x v="4"/>
    <n v="5"/>
    <x v="1"/>
    <x v="5"/>
    <x v="1"/>
    <n v="400000000"/>
    <n v="400000000"/>
    <x v="1"/>
    <x v="2"/>
    <x v="0"/>
    <x v="1"/>
    <s v="Secretaria General - GIT Talento Humano"/>
    <s v="Secretaria General - GIT Talento Humano"/>
    <x v="0"/>
    <s v="Coordinador GIT Talento Humano"/>
    <x v="9"/>
    <x v="22"/>
    <s v="N/A"/>
    <s v="N/A"/>
    <m/>
    <d v="2021-07-02T00:00:00"/>
    <n v="400000000"/>
    <n v="400000000"/>
    <n v="400000000"/>
    <x v="1"/>
    <s v="INICIO PROCESO"/>
    <n v="0"/>
    <n v="0"/>
    <m/>
    <x v="0"/>
    <x v="0"/>
    <x v="0"/>
    <m/>
    <x v="0"/>
  </r>
  <r>
    <x v="10"/>
    <n v="22"/>
    <x v="1"/>
    <x v="0"/>
    <x v="5"/>
    <x v="16"/>
    <x v="6"/>
    <x v="26"/>
    <x v="0"/>
    <x v="2"/>
    <x v="1"/>
    <x v="9"/>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0"/>
    <x v="1"/>
    <x v="2"/>
    <n v="32845116"/>
    <n v="32845116"/>
    <x v="1"/>
    <x v="2"/>
    <x v="0"/>
    <x v="1"/>
    <s v="Secretaría General - GIT de Talento Humano"/>
    <s v="Secretaría General - GIT de Talento Humano"/>
    <x v="0"/>
    <s v="Coordinador GIT de Talento Humano"/>
    <x v="9"/>
    <x v="22"/>
    <s v="N/A"/>
    <s v="N/A"/>
    <n v="22"/>
    <d v="2021-01-08T00:00:00"/>
    <n v="2856097"/>
    <n v="32845116"/>
    <n v="32845116"/>
    <x v="1"/>
    <s v="MARIA FERNANDA CELY VARGAS"/>
    <n v="0"/>
    <n v="0"/>
    <n v="24183"/>
    <x v="1"/>
    <x v="1"/>
    <x v="0"/>
    <m/>
    <x v="0"/>
  </r>
  <r>
    <x v="10"/>
    <n v="21"/>
    <x v="1"/>
    <x v="0"/>
    <x v="5"/>
    <x v="16"/>
    <x v="6"/>
    <x v="26"/>
    <x v="5"/>
    <x v="5"/>
    <x v="1"/>
    <x v="9"/>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0"/>
    <x v="1"/>
    <x v="1"/>
    <n v="267858460"/>
    <n v="267858460"/>
    <x v="1"/>
    <x v="2"/>
    <x v="5"/>
    <x v="1"/>
    <s v="Secretaría General - GIT de Talento Humano"/>
    <s v="Secretaría General - GIT de Talento Humano"/>
    <x v="0"/>
    <s v="Coordinador GIT de Talento Humano"/>
    <x v="9"/>
    <x v="2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5"/>
    <x v="1"/>
    <x v="2"/>
    <n v="345"/>
    <x v="0"/>
  </r>
  <r>
    <x v="10"/>
    <n v="19"/>
    <x v="1"/>
    <x v="0"/>
    <x v="5"/>
    <x v="16"/>
    <x v="6"/>
    <x v="26"/>
    <x v="0"/>
    <x v="2"/>
    <x v="1"/>
    <x v="9"/>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0"/>
    <x v="1"/>
    <x v="1"/>
    <n v="92327704"/>
    <n v="92327704"/>
    <x v="1"/>
    <x v="2"/>
    <x v="0"/>
    <x v="1"/>
    <s v="Secretaría General - GIT de Talento Humano"/>
    <s v="Secretaría General - GIT de Talento Humano"/>
    <x v="0"/>
    <s v="Coordinador GIT de Talento Humano"/>
    <x v="9"/>
    <x v="22"/>
    <s v="N/A"/>
    <s v="N/A"/>
    <n v="20"/>
    <d v="2021-01-12T00:00:00"/>
    <n v="8028496"/>
    <n v="92327704"/>
    <n v="92327704"/>
    <x v="1"/>
    <s v="NYDIA MARCELA RIVERA RODRIGUEZ"/>
    <n v="0"/>
    <n v="0"/>
    <n v="24184"/>
    <x v="1"/>
    <x v="1"/>
    <x v="1"/>
    <n v="345"/>
    <x v="0"/>
  </r>
  <r>
    <x v="10"/>
    <n v="20"/>
    <x v="1"/>
    <x v="0"/>
    <x v="5"/>
    <x v="16"/>
    <x v="6"/>
    <x v="26"/>
    <x v="0"/>
    <x v="2"/>
    <x v="1"/>
    <x v="9"/>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0"/>
    <x v="1"/>
    <x v="2"/>
    <n v="92327704"/>
    <n v="92327704"/>
    <x v="1"/>
    <x v="2"/>
    <x v="0"/>
    <x v="1"/>
    <s v="Secretaría General - GIT de Talento Humano"/>
    <s v="Secretaría General - GIT de Talento Humano"/>
    <x v="0"/>
    <s v="Coordinador GIT de Talento Humano"/>
    <x v="9"/>
    <x v="22"/>
    <s v="N/A"/>
    <s v="N/A"/>
    <n v="21"/>
    <d v="2021-01-07T00:00:00"/>
    <n v="8028496"/>
    <n v="92327704"/>
    <n v="92327704"/>
    <x v="1"/>
    <s v="YENNY ZULEIMA CARREÑO CONTRERAS"/>
    <n v="0"/>
    <n v="0"/>
    <n v="24168"/>
    <x v="1"/>
    <x v="1"/>
    <x v="2"/>
    <n v="11"/>
    <x v="0"/>
  </r>
  <r>
    <x v="10"/>
    <n v="65"/>
    <x v="1"/>
    <x v="0"/>
    <x v="5"/>
    <x v="16"/>
    <x v="6"/>
    <x v="26"/>
    <x v="1"/>
    <x v="1"/>
    <x v="1"/>
    <x v="12"/>
    <x v="1"/>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1"/>
    <x v="1"/>
    <x v="1"/>
    <n v="34108176"/>
    <n v="34108176"/>
    <x v="1"/>
    <x v="5"/>
    <x v="1"/>
    <x v="1"/>
    <s v="Secretaria General - GIT Talento Humano"/>
    <s v="Secretaria General - GIT Talento Humano"/>
    <x v="0"/>
    <s v="Coordinador GIT Talento Humano"/>
    <x v="12"/>
    <x v="28"/>
    <m/>
    <m/>
    <n v="511"/>
    <d v="2021-03-29T00:00:00"/>
    <n v="4263522"/>
    <n v="17054088"/>
    <n v="34108176"/>
    <x v="1"/>
    <s v="YESED ALEJANDRA RODRIGUEZ ROJAS_x000a_DIANAMARCELA RAMIREZ CASTILLO"/>
    <n v="0"/>
    <n v="0"/>
    <s v="24646_x000a_24648"/>
    <x v="3"/>
    <x v="1"/>
    <x v="1"/>
    <n v="120"/>
    <x v="0"/>
  </r>
  <r>
    <x v="0"/>
    <m/>
    <x v="6"/>
    <x v="12"/>
    <x v="5"/>
    <x v="16"/>
    <x v="0"/>
    <x v="0"/>
    <x v="0"/>
    <x v="2"/>
    <x v="1"/>
    <x v="0"/>
    <x v="1"/>
    <s v="Servicios secretariales o de administración de oficinas  "/>
    <x v="0"/>
    <n v="80161501"/>
    <s v="Prestación de servicios profesionales  para apoyar al área de talento humano en temas jurídicos relativos a la carrera administrativa y la gestión de la planta de personal y colaboradores del IGAC"/>
    <x v="0"/>
    <x v="0"/>
    <n v="134"/>
    <x v="0"/>
    <x v="1"/>
    <x v="2"/>
    <n v="28532749"/>
    <n v="28532749"/>
    <x v="1"/>
    <x v="2"/>
    <x v="0"/>
    <x v="1"/>
    <s v="Secretaría General - GIT th"/>
    <s v="Secretaría General - GIT th"/>
    <x v="0"/>
    <s v="secretaria general"/>
    <x v="9"/>
    <x v="22"/>
    <s v="N/A"/>
    <s v="N/A"/>
    <n v="735"/>
    <d v="2021-08-18T00:00:00"/>
    <n v="5757793"/>
    <n v="23031172"/>
    <n v="23031172"/>
    <x v="1"/>
    <s v="DIANA MARCELA RAMIREZ CASTILLO"/>
    <n v="5501577"/>
    <n v="0"/>
    <n v="24829"/>
    <x v="1"/>
    <x v="1"/>
    <x v="1"/>
    <n v="120"/>
    <x v="0"/>
  </r>
  <r>
    <x v="11"/>
    <n v="1"/>
    <x v="1"/>
    <x v="0"/>
    <x v="5"/>
    <x v="16"/>
    <x v="6"/>
    <x v="26"/>
    <x v="0"/>
    <x v="2"/>
    <x v="1"/>
    <x v="4"/>
    <x v="1"/>
    <s v="Desfibrilador cardiovertidor implantable icd o desfibrilador para terapia de re sincronización cardíaca crt-d"/>
    <x v="0"/>
    <n v="42203505"/>
    <s v="Adquisición de desfibrilador para las direcciones territoriales"/>
    <x v="1"/>
    <x v="1"/>
    <n v="1"/>
    <x v="1"/>
    <x v="2"/>
    <x v="1"/>
    <n v="20000000"/>
    <n v="20000000"/>
    <x v="1"/>
    <x v="2"/>
    <x v="0"/>
    <x v="1"/>
    <s v="Secretaria General - GIT Talento Humano"/>
    <s v="Secretaria General - GIT Talento Humano"/>
    <x v="0"/>
    <s v="Coordinador GIT Talento Humano"/>
    <x v="9"/>
    <x v="22"/>
    <s v="N/A"/>
    <s v="N/A"/>
    <n v="591"/>
    <d v="2021-05-19T00:00:00"/>
    <n v="12530700"/>
    <n v="12530700"/>
    <n v="12530700"/>
    <x v="1"/>
    <s v="HEALTHCORP SAS"/>
    <n v="7469300"/>
    <n v="0"/>
    <n v="24745"/>
    <x v="1"/>
    <x v="1"/>
    <x v="1"/>
    <m/>
    <x v="0"/>
  </r>
  <r>
    <x v="11"/>
    <s v="3--4"/>
    <x v="1"/>
    <x v="0"/>
    <x v="5"/>
    <x v="16"/>
    <x v="6"/>
    <x v="26"/>
    <x v="0"/>
    <x v="2"/>
    <x v="1"/>
    <x v="2"/>
    <x v="1"/>
    <s v="Ropa de seguridad"/>
    <x v="0"/>
    <n v="46181500"/>
    <s v="Adquisición de elementos de Protección Personal (EPP) para la protección de los colaboradores del IGAC a nivel nacional en el marco de la emergencia declarada&quot; COVD-19&quot;"/>
    <x v="2"/>
    <x v="2"/>
    <n v="1"/>
    <x v="1"/>
    <x v="5"/>
    <x v="1"/>
    <n v="100000000"/>
    <n v="100000000"/>
    <x v="1"/>
    <x v="5"/>
    <x v="0"/>
    <x v="1"/>
    <s v="Secretaria General - GIT Talento Humano"/>
    <s v="Secretaria General - GIT Talento Humano"/>
    <x v="0"/>
    <s v="Coordinador GIT Talento Humano"/>
    <x v="9"/>
    <x v="22"/>
    <s v="N/A"/>
    <s v="N/A"/>
    <n v="487"/>
    <d v="2021-03-18T00:00:00"/>
    <e v="#N/A"/>
    <n v="84103190"/>
    <n v="84103190"/>
    <x v="1"/>
    <s v="BON SANTE SAS_x000a_LOGISTICA Y GESTION DE NEGOCIOS SAS"/>
    <n v="15896810"/>
    <n v="0"/>
    <s v="24621_x000a_24635"/>
    <x v="1"/>
    <x v="1"/>
    <x v="0"/>
    <m/>
    <x v="2"/>
  </r>
  <r>
    <x v="10"/>
    <n v="72"/>
    <x v="1"/>
    <x v="0"/>
    <x v="5"/>
    <x v="16"/>
    <x v="6"/>
    <x v="26"/>
    <x v="1"/>
    <x v="1"/>
    <x v="1"/>
    <x v="3"/>
    <x v="1"/>
    <s v="Servicios de capacitación vocacional científica"/>
    <x v="0"/>
    <n v="86101600"/>
    <s v="Prestación de servicios de apoyo a la Gestión para llevar a cabo los programas y proyectos del Plan Institucional de Capacitación de la entidad."/>
    <x v="3"/>
    <x v="3"/>
    <n v="8"/>
    <x v="1"/>
    <x v="1"/>
    <x v="1"/>
    <n v="374494211"/>
    <n v="374494211"/>
    <x v="1"/>
    <x v="1"/>
    <x v="1"/>
    <x v="0"/>
    <s v="Secretaria General"/>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3"/>
    <x v="1"/>
    <x v="0"/>
    <m/>
    <x v="0"/>
  </r>
  <r>
    <x v="10"/>
    <n v="62"/>
    <x v="1"/>
    <x v="0"/>
    <x v="5"/>
    <x v="16"/>
    <x v="6"/>
    <x v="26"/>
    <x v="0"/>
    <x v="2"/>
    <x v="1"/>
    <x v="2"/>
    <x v="1"/>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1"/>
    <x v="1"/>
    <x v="1"/>
    <n v="250000000"/>
    <n v="250000000"/>
    <x v="1"/>
    <x v="5"/>
    <x v="0"/>
    <x v="1"/>
    <s v="Secretaria General - GIT Talento Humano"/>
    <s v="Secretaria General - GIT Talento Humano"/>
    <x v="0"/>
    <s v="Coordinador GIT Talento Humano"/>
    <x v="9"/>
    <x v="22"/>
    <s v="N/A"/>
    <s v="N/A"/>
    <n v="499"/>
    <d v="2021-03-25T00:00:00"/>
    <n v="0"/>
    <n v="142694916"/>
    <n v="142694916"/>
    <x v="1"/>
    <s v="CAFAM"/>
    <n v="107305084"/>
    <n v="0"/>
    <n v="24632"/>
    <x v="1"/>
    <x v="1"/>
    <x v="0"/>
    <m/>
    <x v="0"/>
  </r>
  <r>
    <x v="11"/>
    <s v="19-20-21-22-23-24-25-26-27-28-29-30-31-32-33-34-35-36-37-38"/>
    <x v="1"/>
    <x v="0"/>
    <x v="5"/>
    <x v="16"/>
    <x v="6"/>
    <x v="26"/>
    <x v="0"/>
    <x v="2"/>
    <x v="1"/>
    <x v="4"/>
    <x v="1"/>
    <s v="Batas protectoras"/>
    <x v="0"/>
    <n v="46181533"/>
    <s v="Adquisición de elementos de seguridad industrial "/>
    <x v="1"/>
    <x v="1"/>
    <n v="11"/>
    <x v="1"/>
    <x v="5"/>
    <x v="1"/>
    <n v="400000000"/>
    <n v="400000000"/>
    <x v="1"/>
    <x v="2"/>
    <x v="0"/>
    <x v="1"/>
    <s v="Secretaria General - GIT Talento Humano"/>
    <s v="Secretaria General - GIT Talento Humano"/>
    <x v="0"/>
    <s v="Coordinador GIT Talento Humano"/>
    <x v="9"/>
    <x v="22"/>
    <s v="N/A"/>
    <s v="N/A"/>
    <n v="603"/>
    <d v="2021-05-21T00:00:00"/>
    <n v="39174441"/>
    <n v="39174441"/>
    <n v="39174441"/>
    <x v="1"/>
    <s v="CENCOSUD_x000a_PANAMERICANA LIBRERIA Y PAPELERIA SA_x000a_PROVEER INSTITUCIONAL SAS_x000a_ALMACENES EXITO S A"/>
    <n v="360825559"/>
    <n v="0"/>
    <s v="24739_x000a_24740_x000a_24741_x000a_24742"/>
    <x v="1"/>
    <x v="1"/>
    <x v="0"/>
    <m/>
    <x v="0"/>
  </r>
  <r>
    <x v="10"/>
    <m/>
    <x v="1"/>
    <x v="0"/>
    <x v="5"/>
    <x v="16"/>
    <x v="6"/>
    <x v="26"/>
    <x v="0"/>
    <x v="0"/>
    <x v="0"/>
    <x v="10"/>
    <x v="1"/>
    <s v="Batas protectoras"/>
    <x v="0"/>
    <n v="46181533"/>
    <s v="Adquisición de elementos de protección personal para el personal que desarrolla actividades a nivel territorial en el desarrollo de la misionalidad del IGAC. "/>
    <x v="4"/>
    <x v="4"/>
    <n v="16"/>
    <x v="1"/>
    <x v="5"/>
    <x v="1"/>
    <n v="40000000"/>
    <n v="4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10"/>
    <x v="1"/>
    <s v="Servicios de compra de vestuario"/>
    <x v="0"/>
    <n v="91111703"/>
    <s v="Adquición de zapatos y elementos de vestuario de protección "/>
    <x v="4"/>
    <x v="4"/>
    <n v="16"/>
    <x v="1"/>
    <x v="5"/>
    <x v="1"/>
    <n v="20000000"/>
    <n v="2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4"/>
    <x v="1"/>
    <s v="Centros o servicios móviles de atención de salud"/>
    <x v="0"/>
    <n v="85101508"/>
    <s v="Prestación de servicios para la realización de los exámenes ocupacionales para los funcionarios de la entidad a nivel nacional"/>
    <x v="4"/>
    <x v="4"/>
    <n v="7"/>
    <x v="1"/>
    <x v="3"/>
    <x v="1"/>
    <n v="80000000"/>
    <n v="80000000"/>
    <x v="1"/>
    <x v="2"/>
    <x v="0"/>
    <x v="1"/>
    <s v="Secretaria General - GIT Talento Humano"/>
    <s v="Secretaria General - GIT Talento Humano"/>
    <x v="0"/>
    <s v="Coordinador GIT Talento Humano"/>
    <x v="9"/>
    <x v="22"/>
    <s v="N/A"/>
    <s v="N/A"/>
    <m/>
    <m/>
    <e v="#N/A"/>
    <e v="#N/A"/>
    <e v="#N/A"/>
    <x v="0"/>
    <m/>
    <n v="0"/>
    <n v="0"/>
    <m/>
    <x v="0"/>
    <x v="0"/>
    <x v="0"/>
    <n v="1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08946A-BEB3-471D-AAC2-03EC10C51B3F}" name="TablaDinámica8" cacheId="3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W1:CM29" firstHeaderRow="1" firstDataRow="3"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2"/>
        <item x="1"/>
        <item m="1" x="5"/>
        <item m="1" x="4"/>
        <item m="1" x="3"/>
        <item t="default"/>
      </items>
    </pivotField>
    <pivotField showAll="0"/>
    <pivotField axis="axisRow" showAll="0">
      <items count="31">
        <item x="0"/>
        <item x="1"/>
        <item x="2"/>
        <item x="3"/>
        <item x="4"/>
        <item x="5"/>
        <item x="6"/>
        <item x="7"/>
        <item x="8"/>
        <item x="9"/>
        <item x="10"/>
        <item x="11"/>
        <item x="12"/>
        <item x="13"/>
        <item x="14"/>
        <item x="15"/>
        <item x="16"/>
        <item x="17"/>
        <item x="18"/>
        <item x="19"/>
        <item x="20"/>
        <item x="21"/>
        <item x="22"/>
        <item m="1" x="26"/>
        <item m="1" x="27"/>
        <item m="1" x="29"/>
        <item m="1" x="28"/>
        <item m="1" x="25"/>
        <item x="23"/>
        <item x="24"/>
        <item t="default"/>
      </items>
    </pivotField>
    <pivotField showAll="0"/>
    <pivotField numFmtId="169" showAll="0"/>
    <pivotField numFmtId="169" showAll="0"/>
    <pivotField numFmtId="169" showAll="0"/>
    <pivotField numFmtId="169" showAll="0"/>
    <pivotField numFmtId="169" showAll="0"/>
    <pivotField dataField="1" numFmtId="169" showAll="0"/>
    <pivotField numFmtId="169" showAll="0"/>
    <pivotField dataField="1" numFmtId="169" showAll="0"/>
    <pivotField dataField="1" numFmtId="169" showAll="0"/>
    <pivotField numFmtId="169" showAll="0"/>
    <pivotField dataField="1" numFmtId="169" showAll="0"/>
  </pivotFields>
  <rowFields count="1">
    <field x="15"/>
  </rowFields>
  <rowItems count="26">
    <i>
      <x/>
    </i>
    <i>
      <x v="1"/>
    </i>
    <i>
      <x v="2"/>
    </i>
    <i>
      <x v="3"/>
    </i>
    <i>
      <x v="4"/>
    </i>
    <i>
      <x v="5"/>
    </i>
    <i>
      <x v="6"/>
    </i>
    <i>
      <x v="7"/>
    </i>
    <i>
      <x v="8"/>
    </i>
    <i>
      <x v="9"/>
    </i>
    <i>
      <x v="10"/>
    </i>
    <i>
      <x v="11"/>
    </i>
    <i>
      <x v="12"/>
    </i>
    <i>
      <x v="13"/>
    </i>
    <i>
      <x v="14"/>
    </i>
    <i>
      <x v="15"/>
    </i>
    <i>
      <x v="16"/>
    </i>
    <i>
      <x v="17"/>
    </i>
    <i>
      <x v="18"/>
    </i>
    <i>
      <x v="19"/>
    </i>
    <i>
      <x v="20"/>
    </i>
    <i>
      <x v="21"/>
    </i>
    <i>
      <x v="22"/>
    </i>
    <i>
      <x v="28"/>
    </i>
    <i>
      <x v="29"/>
    </i>
    <i t="grand">
      <x/>
    </i>
  </rowItems>
  <colFields count="2">
    <field x="13"/>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7A8F4B4-7ACB-4012-AE48-0600D7493A32}" name="TablaDinámica6"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59:D70" firstHeaderRow="0" firstDataRow="1" firstDataCol="1"/>
  <pivotFields count="48">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81">
      <pivotArea outline="0" collapsedLevelsAreSubtotals="1" fieldPosition="0"/>
    </format>
    <format dxfId="80">
      <pivotArea field="3" type="button" dataOnly="0" labelOnly="1" outline="0" axis="axisRow" fieldPosition="0"/>
    </format>
    <format dxfId="7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04:D116"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84">
      <pivotArea outline="0" collapsedLevelsAreSubtotals="1" fieldPosition="0"/>
    </format>
    <format dxfId="83">
      <pivotArea field="3" type="button" dataOnly="0" labelOnly="1" outline="0" axis="axisRow" fieldPosition="0"/>
    </format>
    <format dxfId="8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500F958-442D-477E-B0D1-CA975C83EBF8}" name="TablaDinámica38" cacheId="8"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7" firstHeaderRow="0" firstDataRow="1" firstDataCol="1"/>
  <pivotFields count="52">
    <pivotField showAll="0"/>
    <pivotField showAll="0"/>
    <pivotField showAll="0"/>
    <pivotField showAll="0"/>
    <pivotField showAll="0"/>
    <pivotField axis="axisRow" showAll="0" sortType="ascending">
      <items count="22">
        <item m="1" x="19"/>
        <item m="1" x="20"/>
        <item x="0"/>
        <item x="4"/>
        <item x="5"/>
        <item x="13"/>
        <item m="1" x="18"/>
        <item x="3"/>
        <item x="7"/>
        <item x="8"/>
        <item x="9"/>
        <item x="10"/>
        <item x="11"/>
        <item x="12"/>
        <item x="14"/>
        <item x="15"/>
        <item x="1"/>
        <item x="2"/>
        <item x="6"/>
        <item x="16"/>
        <item m="1" x="17"/>
        <item t="default"/>
      </items>
    </pivotField>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2"/>
        <item x="0"/>
        <item x="1"/>
        <item x="3"/>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5"/>
  </rowFields>
  <rowItems count="18">
    <i>
      <x v="2"/>
    </i>
    <i>
      <x v="3"/>
    </i>
    <i>
      <x v="4"/>
    </i>
    <i>
      <x v="5"/>
    </i>
    <i>
      <x v="7"/>
    </i>
    <i>
      <x v="8"/>
    </i>
    <i>
      <x v="9"/>
    </i>
    <i>
      <x v="10"/>
    </i>
    <i>
      <x v="11"/>
    </i>
    <i>
      <x v="12"/>
    </i>
    <i>
      <x v="13"/>
    </i>
    <i>
      <x v="14"/>
    </i>
    <i>
      <x v="15"/>
    </i>
    <i>
      <x v="16"/>
    </i>
    <i>
      <x v="17"/>
    </i>
    <i>
      <x v="18"/>
    </i>
    <i>
      <x v="19"/>
    </i>
    <i t="grand">
      <x/>
    </i>
  </rowItems>
  <colFields count="1">
    <field x="-2"/>
  </colFields>
  <colItems count="2">
    <i>
      <x/>
    </i>
    <i i="1">
      <x v="1"/>
    </i>
  </colItems>
  <dataFields count="2">
    <dataField name=" Ahorro con proceso " fld="44" baseField="0" baseItem="0"/>
    <dataField name="Ahorro sin proceso " fld="45" baseField="0" baseItem="0"/>
  </dataFields>
  <formats count="3">
    <format dxfId="87">
      <pivotArea outline="0" collapsedLevelsAreSubtotals="1" fieldPosition="0"/>
    </format>
    <format dxfId="86">
      <pivotArea field="5" type="button" dataOnly="0" labelOnly="1" outline="0" axis="axisRow" fieldPosition="0"/>
    </format>
    <format dxfId="85">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188AA62-B454-4824-BB51-7FB7289CC5FA}" name="TablaDinámica9" cacheId="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89:D100" firstHeaderRow="0" firstDataRow="1" firstDataCol="1"/>
  <pivotFields count="44">
    <pivotField showAll="0"/>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90">
      <pivotArea outline="0" collapsedLevelsAreSubtotals="1" fieldPosition="0"/>
    </format>
    <format dxfId="89">
      <pivotArea field="4" type="button" dataOnly="0" labelOnly="1" outline="0" axis="axisRow" fieldPosition="0"/>
    </format>
    <format dxfId="8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F5FC8BA-412B-4A38-AC76-67C8FC509974}" name="TablaDinámica5"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74:D85" firstHeaderRow="0" firstDataRow="1" firstDataCol="1"/>
  <pivotFields count="43">
    <pivotField showAll="0"/>
    <pivotField showAll="0"/>
    <pivotField showAll="0"/>
    <pivotField axis="axisRow" showAll="0" sortType="ascending">
      <items count="11">
        <item x="0"/>
        <item x="1"/>
        <item x="3"/>
        <item x="4"/>
        <item x="9"/>
        <item x="5"/>
        <item x="6"/>
        <item x="7"/>
        <item x="8"/>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93">
      <pivotArea outline="0" collapsedLevelsAreSubtotals="1" fieldPosition="0"/>
    </format>
    <format dxfId="92">
      <pivotArea field="3" type="button" dataOnly="0" labelOnly="1" outline="0" axis="axisRow" fieldPosition="0"/>
    </format>
    <format dxfId="91">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23853E-2AFB-384D-BAA2-53718DE0E654}" name="TablaDinámica7"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45:D55" firstHeaderRow="0" firstDataRow="1" firstDataCol="1"/>
  <pivotFields count="48">
    <pivotField showAll="0"/>
    <pivotField showAll="0"/>
    <pivotField showAll="0"/>
    <pivotField axis="axisRow" showAll="0" sortType="ascending">
      <items count="10">
        <item x="0"/>
        <item x="1"/>
        <item x="2"/>
        <item x="4"/>
        <item x="3"/>
        <item x="7"/>
        <item x="5"/>
        <item x="6"/>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96">
      <pivotArea outline="0" collapsedLevelsAreSubtotals="1" fieldPosition="0"/>
    </format>
    <format dxfId="95">
      <pivotArea field="3" type="button" dataOnly="0" labelOnly="1" outline="0" axis="axisRow" fieldPosition="0"/>
    </format>
    <format dxfId="9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79AB903-B597-491B-A6D5-1C1738BE4D8B}" name="TablaDinámica10" cacheId="39"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3"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1"/>
        <item x="2"/>
        <item m="1" x="5"/>
        <item m="1" x="4"/>
        <item m="1" x="3"/>
        <item t="default"/>
      </items>
    </pivotField>
    <pivotField showAll="0"/>
    <pivotField axis="axisRow" showAll="0">
      <items count="31">
        <item x="0"/>
        <item x="1"/>
        <item x="2"/>
        <item x="3"/>
        <item x="4"/>
        <item x="6"/>
        <item x="8"/>
        <item x="9"/>
        <item x="10"/>
        <item x="11"/>
        <item x="12"/>
        <item x="13"/>
        <item x="14"/>
        <item x="15"/>
        <item x="16"/>
        <item x="17"/>
        <item x="18"/>
        <item x="19"/>
        <item x="20"/>
        <item x="21"/>
        <item x="22"/>
        <item x="7"/>
        <item x="5"/>
        <item m="1" x="26"/>
        <item m="1" x="27"/>
        <item m="1" x="29"/>
        <item m="1" x="28"/>
        <item m="1" x="25"/>
        <item x="23"/>
        <item x="24"/>
        <item t="default"/>
      </items>
    </pivotField>
    <pivotField showAll="0">
      <items count="14">
        <item x="6"/>
        <item m="1" x="12"/>
        <item m="1" x="11"/>
        <item x="3"/>
        <item x="2"/>
        <item x="4"/>
        <item x="1"/>
        <item x="5"/>
        <item x="8"/>
        <item x="0"/>
        <item x="7"/>
        <item x="9"/>
        <item x="10"/>
        <item t="default"/>
      </items>
    </pivotField>
    <pivotField showAll="0"/>
    <pivotField showAll="0"/>
    <pivotField showAll="0"/>
    <pivotField showAll="0"/>
    <pivotField numFmtId="165" showAll="0"/>
    <pivotField dataField="1" numFmtId="165" showAll="0"/>
    <pivotField showAll="0"/>
    <pivotField dataField="1" numFmtId="165" showAll="0"/>
    <pivotField dataField="1" numFmtId="165" showAll="0"/>
    <pivotField numFmtId="165" showAll="0"/>
    <pivotField dataField="1" numFmtId="165" showAll="0"/>
  </pivotFields>
  <rowFields count="1">
    <field x="15"/>
  </rowFields>
  <rowItems count="26">
    <i>
      <x/>
    </i>
    <i>
      <x v="1"/>
    </i>
    <i>
      <x v="2"/>
    </i>
    <i>
      <x v="3"/>
    </i>
    <i>
      <x v="4"/>
    </i>
    <i>
      <x v="5"/>
    </i>
    <i>
      <x v="6"/>
    </i>
    <i>
      <x v="7"/>
    </i>
    <i>
      <x v="8"/>
    </i>
    <i>
      <x v="9"/>
    </i>
    <i>
      <x v="10"/>
    </i>
    <i>
      <x v="11"/>
    </i>
    <i>
      <x v="12"/>
    </i>
    <i>
      <x v="13"/>
    </i>
    <i>
      <x v="14"/>
    </i>
    <i>
      <x v="15"/>
    </i>
    <i>
      <x v="16"/>
    </i>
    <i>
      <x v="17"/>
    </i>
    <i>
      <x v="18"/>
    </i>
    <i>
      <x v="19"/>
    </i>
    <i>
      <x v="20"/>
    </i>
    <i>
      <x v="21"/>
    </i>
    <i>
      <x v="22"/>
    </i>
    <i>
      <x v="28"/>
    </i>
    <i>
      <x v="29"/>
    </i>
    <i t="grand">
      <x/>
    </i>
  </rowItems>
  <colFields count="1">
    <field x="-2"/>
  </colFields>
  <colItems count="4">
    <i>
      <x/>
    </i>
    <i i="1">
      <x v="1"/>
    </i>
    <i i="2">
      <x v="2"/>
    </i>
    <i i="3">
      <x v="3"/>
    </i>
  </colItems>
  <pageFields count="1">
    <pageField fld="13" hier="-1"/>
  </pageFields>
  <dataFields count="4">
    <dataField name=" CDP´S" fld="22" baseField="15" baseItem="6" numFmtId="166"/>
    <dataField name=" COMPROMISOS" fld="24" baseField="15" baseItem="10" numFmtId="166"/>
    <dataField name="OBLIGACIONES" fld="25" baseField="15" baseItem="8" numFmtId="166"/>
    <dataField name="PAGOS " fld="27" baseField="15" baseItem="15" numFmtId="166"/>
  </dataFields>
  <formats count="5">
    <format dxfId="69">
      <pivotArea field="15" type="button" dataOnly="0" labelOnly="1" outline="0" axis="axisRow" fieldPosition="0"/>
    </format>
    <format dxfId="68">
      <pivotArea outline="0" fieldPosition="0">
        <references count="1">
          <reference field="4294967294" count="1">
            <x v="0"/>
          </reference>
        </references>
      </pivotArea>
    </format>
    <format dxfId="67">
      <pivotArea outline="0" fieldPosition="0">
        <references count="1">
          <reference field="4294967294" count="1">
            <x v="1"/>
          </reference>
        </references>
      </pivotArea>
    </format>
    <format dxfId="66">
      <pivotArea outline="0" fieldPosition="0">
        <references count="1">
          <reference field="4294967294" count="1">
            <x v="2"/>
          </reference>
        </references>
      </pivotArea>
    </format>
    <format dxfId="65">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A036DA1-FF39-4B3F-8029-ECDECEFFF95A}" name="TablaDinámica1" cacheId="15"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23" firstHeaderRow="0" firstDataRow="1" firstDataCol="1"/>
  <pivotFields count="32">
    <pivotField showAll="0"/>
    <pivotField showAll="0"/>
    <pivotField showAll="0"/>
    <pivotField showAll="0"/>
    <pivotField showAll="0"/>
    <pivotField showAll="0"/>
    <pivotField showAll="0">
      <items count="24">
        <item x="0"/>
        <item x="1"/>
        <item x="2"/>
        <item x="3"/>
        <item x="4"/>
        <item x="5"/>
        <item x="6"/>
        <item x="7"/>
        <item x="8"/>
        <item x="9"/>
        <item x="22"/>
        <item x="10"/>
        <item x="11"/>
        <item x="12"/>
        <item x="13"/>
        <item x="14"/>
        <item x="15"/>
        <item x="16"/>
        <item x="17"/>
        <item x="18"/>
        <item x="19"/>
        <item x="20"/>
        <item x="21"/>
        <item t="default"/>
      </items>
    </pivotField>
    <pivotField showAll="0">
      <items count="96">
        <item m="1" x="61"/>
        <item m="1" x="62"/>
        <item m="1" x="63"/>
        <item m="1" x="64"/>
        <item m="1" x="65"/>
        <item m="1" x="66"/>
        <item m="1" x="67"/>
        <item m="1" x="51"/>
        <item m="1" x="52"/>
        <item m="1" x="41"/>
        <item m="1" x="31"/>
        <item m="1" x="93"/>
        <item m="1" x="78"/>
        <item m="1" x="53"/>
        <item m="1" x="39"/>
        <item m="1" x="29"/>
        <item m="1" x="46"/>
        <item m="1" x="47"/>
        <item m="1" x="48"/>
        <item m="1" x="56"/>
        <item m="1" x="72"/>
        <item m="1" x="88"/>
        <item m="1" x="60"/>
        <item m="1" x="40"/>
        <item m="1" x="42"/>
        <item m="1" x="35"/>
        <item m="1" x="43"/>
        <item m="1" x="30"/>
        <item m="1" x="33"/>
        <item m="1" x="37"/>
        <item m="1" x="38"/>
        <item m="1" x="91"/>
        <item m="1" x="92"/>
        <item m="1" x="76"/>
        <item m="1" x="77"/>
        <item m="1" x="79"/>
        <item m="1" x="80"/>
        <item m="1" x="81"/>
        <item m="1" x="82"/>
        <item m="1" x="83"/>
        <item m="1" x="55"/>
        <item m="1" x="58"/>
        <item m="1" x="71"/>
        <item m="1" x="22"/>
        <item m="1" x="24"/>
        <item m="1" x="32"/>
        <item m="1" x="54"/>
        <item x="10"/>
        <item m="1" x="87"/>
        <item x="9"/>
        <item x="11"/>
        <item m="1" x="85"/>
        <item m="1" x="69"/>
        <item m="1" x="50"/>
        <item x="17"/>
        <item x="12"/>
        <item x="4"/>
        <item x="14"/>
        <item x="13"/>
        <item x="1"/>
        <item m="1" x="28"/>
        <item x="16"/>
        <item x="20"/>
        <item x="5"/>
        <item m="1" x="89"/>
        <item x="6"/>
        <item x="21"/>
        <item x="7"/>
        <item x="0"/>
        <item m="1" x="49"/>
        <item x="18"/>
        <item x="19"/>
        <item x="8"/>
        <item x="15"/>
        <item x="2"/>
        <item x="3"/>
        <item m="1" x="57"/>
        <item m="1" x="75"/>
        <item m="1" x="25"/>
        <item m="1" x="74"/>
        <item m="1" x="34"/>
        <item m="1" x="94"/>
        <item m="1" x="84"/>
        <item m="1" x="68"/>
        <item m="1" x="26"/>
        <item m="1" x="73"/>
        <item m="1" x="27"/>
        <item m="1" x="23"/>
        <item m="1" x="70"/>
        <item m="1" x="86"/>
        <item m="1" x="36"/>
        <item m="1" x="45"/>
        <item m="1" x="90"/>
        <item m="1" x="44"/>
        <item m="1" x="59"/>
        <item t="default"/>
      </items>
    </pivotField>
    <pivotField showAll="0"/>
    <pivotField showAll="0"/>
    <pivotField showAll="0">
      <items count="3">
        <item x="1"/>
        <item h="1" x="0"/>
        <item t="default"/>
      </items>
    </pivotField>
    <pivotField showAll="0"/>
    <pivotField numFmtId="167" showAll="0"/>
    <pivotField numFmtId="167" showAll="0"/>
    <pivotField dataField="1" numFmtId="167" showAll="0"/>
    <pivotField dataField="1" numFmtId="167" showAll="0"/>
    <pivotField showAll="0"/>
    <pivotField showAll="0"/>
    <pivotField showAll="0"/>
    <pivotField showAll="0"/>
    <pivotField showAll="0"/>
    <pivotField showAll="0"/>
    <pivotField showAll="0"/>
    <pivotField axis="axisRow" showAll="0">
      <items count="2">
        <item x="0"/>
        <item t="default"/>
      </items>
    </pivotField>
    <pivotField showAll="0">
      <items count="8">
        <item x="5"/>
        <item x="3"/>
        <item x="1"/>
        <item x="6"/>
        <item x="4"/>
        <item x="2"/>
        <item x="0"/>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0">
    <i>
      <x/>
    </i>
    <i r="1">
      <x v="4"/>
    </i>
    <i r="1">
      <x v="5"/>
    </i>
    <i r="1">
      <x v="6"/>
    </i>
    <i r="1">
      <x v="7"/>
    </i>
    <i r="1">
      <x v="8"/>
    </i>
    <i r="1">
      <x v="9"/>
    </i>
    <i r="1">
      <x v="10"/>
    </i>
    <i r="1">
      <x v="12"/>
    </i>
    <i t="grand">
      <x/>
    </i>
  </rowItems>
  <colFields count="1">
    <field x="-2"/>
  </colFields>
  <colItems count="4">
    <i>
      <x/>
    </i>
    <i i="1">
      <x v="1"/>
    </i>
    <i i="2">
      <x v="2"/>
    </i>
    <i i="3">
      <x v="3"/>
    </i>
  </colItems>
  <dataFields count="4">
    <dataField name="Valor CDP" fld="14" baseField="23" baseItem="0" numFmtId="166"/>
    <dataField name="Valor por Comprometer" fld="15" baseField="23" baseItem="0" numFmtId="166"/>
    <dataField name="Suma de Comprometido" fld="30" baseField="0" baseItem="0" numFmtId="167"/>
    <dataField name="% por ejecutar" fld="25" baseField="23" baseItem="0" numFmtId="10"/>
  </dataFields>
  <formats count="4">
    <format dxfId="64">
      <pivotArea field="23" type="button" dataOnly="0" labelOnly="1" outline="0" axis="axisRow" fieldPosition="0"/>
    </format>
    <format dxfId="63">
      <pivotArea dataOnly="0" labelOnly="1" outline="0" fieldPosition="0">
        <references count="1">
          <reference field="4294967294" count="3">
            <x v="0"/>
            <x v="1"/>
            <x v="3"/>
          </reference>
        </references>
      </pivotArea>
    </format>
    <format dxfId="62">
      <pivotArea field="23" type="button" dataOnly="0" labelOnly="1" outline="0" axis="axisRow" fieldPosition="0"/>
    </format>
    <format dxfId="61">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14"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5" outline="0" showAll="0"/>
    <pivotField dataField="1" compact="0" numFmtId="165" outline="0" showAll="0"/>
    <pivotField dataField="1" compact="0" numFmtId="165"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6"/>
    <dataField name="Obligaciones" fld="17" baseField="12" baseItem="1" numFmtId="166"/>
    <dataField name="% Obligación" fld="20" baseField="3" baseItem="1" numFmtId="10"/>
    <dataField name="Pagos " fld="18" baseField="12" baseItem="0" numFmtId="166"/>
    <dataField name="% Pagos" fld="21" baseField="12" baseItem="0" numFmtId="10"/>
    <dataField name="Saldo" fld="22" baseField="3" baseItem="0" numFmtId="166"/>
  </dataFields>
  <formats count="2">
    <format dxfId="60">
      <pivotArea field="3" type="button" dataOnly="0" labelOnly="1" outline="0" axis="axisRow" fieldPosition="0"/>
    </format>
    <format dxfId="59">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3"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54">
      <pivotArea field="3" type="button" dataOnly="0" labelOnly="1" outline="0" axis="axisRow" fieldPosition="0"/>
    </format>
    <format dxfId="53">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52">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51">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50">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4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48">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47">
      <pivotArea dataOnly="0" labelOnly="1" outline="0" fieldPosition="0">
        <references count="2">
          <reference field="3" count="1" selected="0">
            <x v="3"/>
          </reference>
          <reference field="4" count="1">
            <x v="5"/>
          </reference>
        </references>
      </pivotArea>
    </format>
    <format dxfId="46">
      <pivotArea dataOnly="0" labelOnly="1" outline="0" fieldPosition="0">
        <references count="2">
          <reference field="3" count="1" selected="0">
            <x v="4"/>
          </reference>
          <reference field="4" count="1">
            <x v="2"/>
          </reference>
        </references>
      </pivotArea>
    </format>
    <format dxfId="45">
      <pivotArea dataOnly="0" labelOnly="1" outline="0" fieldPosition="0">
        <references count="2">
          <reference field="3" count="1" selected="0">
            <x v="5"/>
          </reference>
          <reference field="4" count="1">
            <x v="1"/>
          </reference>
        </references>
      </pivotArea>
    </format>
    <format dxfId="44">
      <pivotArea dataOnly="0" labelOnly="1" outline="0" fieldPosition="0">
        <references count="2">
          <reference field="3" count="1" selected="0">
            <x v="6"/>
          </reference>
          <reference field="4" count="1">
            <x v="0"/>
          </reference>
        </references>
      </pivotArea>
    </format>
    <format dxfId="43">
      <pivotArea dataOnly="0" labelOnly="1" outline="0" fieldPosition="0">
        <references count="3">
          <reference field="3" count="1" selected="0">
            <x v="3"/>
          </reference>
          <reference field="4" count="1" selected="0">
            <x v="5"/>
          </reference>
          <reference field="5" count="1">
            <x v="2"/>
          </reference>
        </references>
      </pivotArea>
    </format>
    <format dxfId="42">
      <pivotArea dataOnly="0" labelOnly="1" outline="0" fieldPosition="0">
        <references count="3">
          <reference field="3" count="1" selected="0">
            <x v="4"/>
          </reference>
          <reference field="4" count="1" selected="0">
            <x v="2"/>
          </reference>
          <reference field="5" count="1">
            <x v="1"/>
          </reference>
        </references>
      </pivotArea>
    </format>
    <format dxfId="41">
      <pivotArea dataOnly="0" labelOnly="1" outline="0" fieldPosition="0">
        <references count="3">
          <reference field="3" count="1" selected="0">
            <x v="5"/>
          </reference>
          <reference field="4" count="1" selected="0">
            <x v="1"/>
          </reference>
          <reference field="5" count="1">
            <x v="0"/>
          </reference>
        </references>
      </pivotArea>
    </format>
    <format dxfId="40">
      <pivotArea dataOnly="0" labelOnly="1" outline="0" fieldPosition="0">
        <references count="2">
          <reference field="3" count="1" selected="0">
            <x v="35"/>
          </reference>
          <reference field="4" count="1">
            <x v="4"/>
          </reference>
        </references>
      </pivotArea>
    </format>
    <format dxfId="39">
      <pivotArea dataOnly="0" labelOnly="1" outline="0" fieldPosition="0">
        <references count="3">
          <reference field="3" count="1" selected="0">
            <x v="35"/>
          </reference>
          <reference field="4" count="1" selected="0">
            <x v="4"/>
          </reference>
          <reference field="5" count="1">
            <x v="6"/>
          </reference>
        </references>
      </pivotArea>
    </format>
    <format dxfId="38">
      <pivotArea dataOnly="0" labelOnly="1" outline="0" fieldPosition="0">
        <references count="3">
          <reference field="3" count="1" selected="0">
            <x v="3"/>
          </reference>
          <reference field="4" count="1" selected="0">
            <x v="5"/>
          </reference>
          <reference field="5" count="1">
            <x v="33"/>
          </reference>
        </references>
      </pivotArea>
    </format>
    <format dxfId="37">
      <pivotArea dataOnly="0" labelOnly="1" outline="0" fieldPosition="0">
        <references count="3">
          <reference field="3" count="1" selected="0">
            <x v="4"/>
          </reference>
          <reference field="4" count="1" selected="0">
            <x v="2"/>
          </reference>
          <reference field="5" count="1">
            <x v="32"/>
          </reference>
        </references>
      </pivotArea>
    </format>
    <format dxfId="36">
      <pivotArea dataOnly="0" labelOnly="1" outline="0" fieldPosition="0">
        <references count="3">
          <reference field="3" count="1" selected="0">
            <x v="6"/>
          </reference>
          <reference field="4" count="1" selected="0">
            <x v="0"/>
          </reference>
          <reference field="5" count="1">
            <x v="0"/>
          </reference>
        </references>
      </pivotArea>
    </format>
    <format dxfId="35">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3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33">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32">
      <pivotArea dataOnly="0" labelOnly="1" outline="0" fieldPosition="0">
        <references count="3">
          <reference field="3" count="1" selected="0">
            <x v="35"/>
          </reference>
          <reference field="4" count="1" selected="0">
            <x v="4"/>
          </reference>
          <reference field="5" count="1">
            <x v="34"/>
          </reference>
        </references>
      </pivotArea>
    </format>
    <format dxfId="31">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30">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28">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27">
      <pivotArea dataOnly="0" labelOnly="1" outline="0" fieldPosition="0">
        <references count="2">
          <reference field="3" count="1" selected="0">
            <x v="83"/>
          </reference>
          <reference field="4" count="1">
            <x v="1"/>
          </reference>
        </references>
      </pivotArea>
    </format>
    <format dxfId="26">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E2D656E-7C0F-4B7D-B27D-037EBAAF64F7}" name="TablaDinámica1" cacheId="21"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61"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2"/>
        <item n="Otros recursos del tesoro" x="1"/>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60">
    <i>
      <x/>
    </i>
    <i r="1">
      <x/>
    </i>
    <i r="2">
      <x v="3"/>
    </i>
    <i r="3">
      <x/>
    </i>
    <i r="2">
      <x v="15"/>
    </i>
    <i r="3">
      <x/>
    </i>
    <i r="2">
      <x v="16"/>
    </i>
    <i r="3">
      <x/>
    </i>
    <i r="1">
      <x v="1"/>
    </i>
    <i r="2">
      <x v="1"/>
    </i>
    <i r="3">
      <x/>
    </i>
    <i r="3">
      <x v="1"/>
    </i>
    <i r="3">
      <x v="2"/>
    </i>
    <i r="1">
      <x v="2"/>
    </i>
    <i r="2">
      <x v="2"/>
    </i>
    <i r="3">
      <x v="1"/>
    </i>
    <i r="2">
      <x v="13"/>
    </i>
    <i r="3">
      <x/>
    </i>
    <i r="2">
      <x v="17"/>
    </i>
    <i r="3">
      <x v="1"/>
    </i>
    <i r="2">
      <x v="19"/>
    </i>
    <i r="3">
      <x/>
    </i>
    <i r="3">
      <x v="2"/>
    </i>
    <i r="1">
      <x v="3"/>
    </i>
    <i r="2">
      <x v="4"/>
    </i>
    <i r="3">
      <x v="1"/>
    </i>
    <i r="3">
      <x v="2"/>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formats count="6">
    <format dxfId="102">
      <pivotArea dataOnly="0" labelOnly="1" fieldPosition="0">
        <references count="2">
          <reference field="28" count="1">
            <x v="3"/>
          </reference>
          <reference field="31" count="0" selected="0"/>
        </references>
      </pivotArea>
    </format>
    <format dxfId="101">
      <pivotArea dataOnly="0" labelOnly="1" fieldPosition="0">
        <references count="1">
          <reference field="31" count="0"/>
        </references>
      </pivotArea>
    </format>
    <format dxfId="100">
      <pivotArea dataOnly="0" labelOnly="1" fieldPosition="0">
        <references count="2">
          <reference field="28" count="4">
            <x v="0"/>
            <x v="1"/>
            <x v="2"/>
            <x v="3"/>
          </reference>
          <reference field="31" count="0" selected="0"/>
        </references>
      </pivotArea>
    </format>
    <format dxfId="99">
      <pivotArea dataOnly="0" labelOnly="1" outline="0" fieldPosition="0">
        <references count="1">
          <reference field="4294967294" count="8">
            <x v="0"/>
            <x v="1"/>
            <x v="2"/>
            <x v="3"/>
            <x v="4"/>
            <x v="5"/>
            <x v="6"/>
            <x v="7"/>
          </reference>
        </references>
      </pivotArea>
    </format>
    <format dxfId="98">
      <pivotArea dataOnly="0" labelOnly="1" outline="0" fieldPosition="0">
        <references count="1">
          <reference field="4294967294" count="8">
            <x v="0"/>
            <x v="1"/>
            <x v="2"/>
            <x v="3"/>
            <x v="4"/>
            <x v="5"/>
            <x v="6"/>
            <x v="7"/>
          </reference>
        </references>
      </pivotArea>
    </format>
    <format dxfId="9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1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1" firstHeaderRow="0" firstDataRow="1" firstDataCol="1"/>
  <pivotFields count="54">
    <pivotField showAll="0"/>
    <pivotField axis="axisRow" dataField="1" showAll="0">
      <items count="31">
        <item m="1" x="24"/>
        <item x="0"/>
        <item m="1" x="19"/>
        <item m="1" x="21"/>
        <item x="2"/>
        <item x="4"/>
        <item m="1" x="17"/>
        <item m="1" x="29"/>
        <item m="1" x="20"/>
        <item m="1" x="26"/>
        <item x="10"/>
        <item x="12"/>
        <item x="13"/>
        <item m="1" x="23"/>
        <item m="1" x="27"/>
        <item m="1" x="18"/>
        <item x="14"/>
        <item m="1" x="28"/>
        <item m="1" x="22"/>
        <item m="1" x="25"/>
        <item x="1"/>
        <item x="5"/>
        <item x="7"/>
        <item x="3"/>
        <item x="8"/>
        <item x="6"/>
        <item x="9"/>
        <item x="11"/>
        <item x="15"/>
        <item x="16"/>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x="3"/>
        <item t="default"/>
      </items>
    </pivotField>
    <pivotField showAll="0">
      <items count="6">
        <item x="0"/>
        <item x="4"/>
        <item x="2"/>
        <item x="1"/>
        <item x="3"/>
        <item t="default"/>
      </items>
    </pivotField>
    <pivotField showAll="0">
      <items count="5">
        <item x="0"/>
        <item x="2"/>
        <item x="1"/>
        <item m="1" x="3"/>
        <item t="default"/>
      </items>
    </pivotField>
    <pivotField showAll="0">
      <items count="2">
        <item x="0"/>
        <item t="default"/>
      </items>
    </pivotField>
    <pivotField showAll="0"/>
    <pivotField showAll="0"/>
    <pivotField showAll="0"/>
    <pivotField showAll="0"/>
  </pivotFields>
  <rowFields count="1">
    <field x="1"/>
  </rowFields>
  <rowItems count="18">
    <i>
      <x v="1"/>
    </i>
    <i>
      <x v="4"/>
    </i>
    <i>
      <x v="5"/>
    </i>
    <i>
      <x v="10"/>
    </i>
    <i>
      <x v="11"/>
    </i>
    <i>
      <x v="12"/>
    </i>
    <i>
      <x v="16"/>
    </i>
    <i>
      <x v="20"/>
    </i>
    <i>
      <x v="21"/>
    </i>
    <i>
      <x v="22"/>
    </i>
    <i>
      <x v="23"/>
    </i>
    <i>
      <x v="24"/>
    </i>
    <i>
      <x v="25"/>
    </i>
    <i>
      <x v="26"/>
    </i>
    <i>
      <x v="27"/>
    </i>
    <i>
      <x v="28"/>
    </i>
    <i>
      <x v="2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1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m="1" x="3"/>
        <item t="default"/>
      </items>
    </pivotField>
    <pivotField showAll="0">
      <items count="5">
        <item x="0"/>
        <item x="2"/>
        <item x="1"/>
        <item m="1" x="3"/>
        <item t="default"/>
      </items>
    </pivotField>
    <pivotField showAll="0">
      <items count="5">
        <item x="0"/>
        <item x="1"/>
        <item x="2"/>
        <item x="3"/>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C960A6-9616-4C4F-B429-540B9F0CD5D7}" name="TablaDinámica3" cacheId="26"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5"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axis="axisRow" compact="0" outline="0" showAll="0">
      <items count="51">
        <item x="41"/>
        <item x="42"/>
        <item x="44"/>
        <item x="45"/>
        <item x="46"/>
        <item x="47"/>
        <item x="48"/>
        <item x="49"/>
        <item x="11"/>
        <item x="16"/>
        <item x="15"/>
        <item x="9"/>
        <item x="10"/>
        <item x="13"/>
        <item x="14"/>
        <item x="12"/>
        <item x="8"/>
        <item x="19"/>
        <item x="5"/>
        <item x="35"/>
        <item x="28"/>
        <item x="27"/>
        <item x="29"/>
        <item x="26"/>
        <item x="18"/>
        <item x="31"/>
        <item x="34"/>
        <item x="40"/>
        <item x="37"/>
        <item x="6"/>
        <item x="4"/>
        <item x="7"/>
        <item x="20"/>
        <item x="32"/>
        <item x="24"/>
        <item x="22"/>
        <item x="39"/>
        <item x="23"/>
        <item x="21"/>
        <item x="36"/>
        <item x="30"/>
        <item x="33"/>
        <item x="2"/>
        <item x="0"/>
        <item x="17"/>
        <item x="25"/>
        <item x="38"/>
        <item x="43"/>
        <item x="1"/>
        <item x="3"/>
        <item t="default"/>
      </items>
    </pivotField>
    <pivotField compact="0" outline="0" showAll="0"/>
    <pivotField compact="0" numFmtId="169" outline="0" showAll="0"/>
    <pivotField compact="0" numFmtId="169" outline="0" showAll="0"/>
    <pivotField compact="0" numFmtId="169" outline="0" showAll="0"/>
    <pivotField dataField="1" compact="0" numFmtId="169" outline="0" showAll="0"/>
    <pivotField compact="0" numFmtId="169" outline="0" showAll="0"/>
    <pivotField dataField="1" compact="0" numFmtId="169" outline="0" showAll="0"/>
    <pivotField compact="0" numFmtId="169" outline="0" showAll="0"/>
    <pivotField dataField="1" compact="0" numFmtId="169" outline="0" showAll="0"/>
    <pivotField dataField="1" compact="0" numFmtId="169" outline="0" showAll="0"/>
    <pivotField compact="0" numFmtId="169" outline="0" showAll="0"/>
    <pivotField dataField="1" compact="0" numFmtId="169" outline="0" showAll="0"/>
  </pivotFields>
  <rowFields count="1">
    <field x="15"/>
  </rowFields>
  <rowItems count="10">
    <i>
      <x/>
    </i>
    <i>
      <x v="1"/>
    </i>
    <i>
      <x v="2"/>
    </i>
    <i>
      <x v="3"/>
    </i>
    <i>
      <x v="4"/>
    </i>
    <i>
      <x v="5"/>
    </i>
    <i>
      <x v="6"/>
    </i>
    <i>
      <x v="7"/>
    </i>
    <i>
      <x v="47"/>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formats count="6">
    <format dxfId="108">
      <pivotArea dataOnly="0" labelOnly="1" outline="0" fieldPosition="0">
        <references count="1">
          <reference field="15" count="1">
            <x v="3"/>
          </reference>
        </references>
      </pivotArea>
    </format>
    <format dxfId="107">
      <pivotArea dataOnly="0" labelOnly="1" outline="0" fieldPosition="0">
        <references count="1">
          <reference field="15" count="1">
            <x v="0"/>
          </reference>
        </references>
      </pivotArea>
    </format>
    <format dxfId="106">
      <pivotArea dataOnly="0" labelOnly="1" outline="0" fieldPosition="0">
        <references count="1">
          <reference field="15" count="2">
            <x v="1"/>
            <x v="2"/>
          </reference>
        </references>
      </pivotArea>
    </format>
    <format dxfId="105">
      <pivotArea dataOnly="0" labelOnly="1" outline="0" fieldPosition="0">
        <references count="1">
          <reference field="15" count="1">
            <x v="4"/>
          </reference>
        </references>
      </pivotArea>
    </format>
    <format dxfId="104">
      <pivotArea dataOnly="0" labelOnly="1" outline="0" fieldPosition="0">
        <references count="1">
          <reference field="15" count="1">
            <x v="5"/>
          </reference>
        </references>
      </pivotArea>
    </format>
    <format dxfId="103">
      <pivotArea dataOnly="0" labelOnly="1" outline="0" fieldPosition="0">
        <references count="1">
          <reference field="15"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2"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69"/>
        <item m="1" x="72"/>
        <item x="39"/>
        <item x="60"/>
        <item x="59"/>
        <item m="1" x="81"/>
        <item x="62"/>
        <item x="25"/>
        <item x="6"/>
        <item x="5"/>
        <item x="56"/>
        <item x="57"/>
        <item x="29"/>
        <item x="11"/>
        <item x="54"/>
        <item x="46"/>
        <item m="1" x="79"/>
        <item x="53"/>
        <item m="1" x="66"/>
        <item x="43"/>
        <item x="40"/>
        <item x="41"/>
        <item x="33"/>
        <item m="1" x="71"/>
        <item x="13"/>
        <item x="45"/>
        <item x="10"/>
        <item x="18"/>
        <item m="1" x="82"/>
        <item x="9"/>
        <item m="1" x="75"/>
        <item x="65"/>
        <item x="64"/>
        <item x="55"/>
        <item m="1" x="73"/>
        <item x="63"/>
        <item m="1" x="78"/>
        <item x="8"/>
        <item x="2"/>
        <item x="0"/>
        <item m="1" x="77"/>
        <item x="16"/>
        <item m="1" x="83"/>
        <item m="1" x="84"/>
        <item m="1" x="74"/>
        <item m="1" x="80"/>
        <item m="1" x="85"/>
        <item x="1"/>
        <item x="36"/>
        <item x="50"/>
        <item x="42"/>
        <item x="20"/>
        <item x="27"/>
        <item x="26"/>
        <item x="28"/>
        <item x="48"/>
        <item x="15"/>
        <item x="37"/>
        <item x="4"/>
        <item x="7"/>
        <item m="1" x="70"/>
        <item x="32"/>
        <item x="3"/>
        <item x="44"/>
        <item x="21"/>
        <item x="51"/>
        <item x="52"/>
        <item m="1" x="76"/>
        <item m="1" x="68"/>
        <item x="38"/>
        <item m="1" x="67"/>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extLst>
        <ext xmlns:x14="http://schemas.microsoft.com/office/spreadsheetml/2009/9/main" uri="{2946ED86-A175-432a-8AC1-64E0C546D7DE}">
          <x14:pivotField fillDownLabels="1"/>
        </ext>
      </extLst>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2CE3058-DB02-4613-81F9-D1D07069E3AE}" name="TablaDinámica2" cacheId="2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x="1"/>
        <item x="2"/>
        <item t="default"/>
      </items>
    </pivotField>
    <pivotField showAll="0"/>
    <pivotField showAll="0"/>
    <pivotField showAll="0"/>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6"/>
    <dataField name=" APR. ADICIONADA" fld="18" baseField="1" baseItem="9" numFmtId="166"/>
    <dataField name="APR. REDUCIDA " fld="19" baseField="1" baseItem="20" numFmtId="166"/>
    <dataField name="APR. VIGENTE " fld="20" baseField="1" baseItem="12" numFmtId="166"/>
    <dataField name="CDP´s" fld="22" baseField="1" baseItem="2" numFmtId="166"/>
    <dataField name="DISPONIBLE" fld="23" baseField="1" baseItem="9" numFmtId="166"/>
    <dataField name="COMPROMISOS" fld="24" baseField="1" baseItem="10" numFmtId="166"/>
    <dataField name="OBLIGACIÓN" fld="25" baseField="1" baseItem="15" numFmtId="166"/>
    <dataField name=" PAGOS" fld="27" baseField="1" baseItem="10" numFmtId="166"/>
  </dataFields>
  <formats count="4">
    <format dxfId="112">
      <pivotArea field="1" type="button" dataOnly="0" labelOnly="1" outline="0" axis="axisPage" fieldPosition="1"/>
    </format>
    <format dxfId="111">
      <pivotArea field="1" type="button" dataOnly="0" labelOnly="1" outline="0" axis="axisPage" fieldPosition="1"/>
    </format>
    <format dxfId="110">
      <pivotArea dataOnly="0" labelOnly="1" outline="0" fieldPosition="0">
        <references count="1">
          <reference field="4294967294" count="9">
            <x v="0"/>
            <x v="1"/>
            <x v="2"/>
            <x v="3"/>
            <x v="4"/>
            <x v="5"/>
            <x v="6"/>
            <x v="7"/>
            <x v="8"/>
          </reference>
        </references>
      </pivotArea>
    </format>
    <format dxfId="109">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2"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69"/>
        <item m="1" x="72"/>
        <item x="24"/>
        <item m="1" x="68"/>
        <item x="39"/>
        <item x="60"/>
        <item x="59"/>
        <item x="61"/>
        <item m="1" x="81"/>
        <item x="62"/>
        <item x="25"/>
        <item x="6"/>
        <item x="5"/>
        <item x="56"/>
        <item x="57"/>
        <item x="29"/>
        <item x="11"/>
        <item x="54"/>
        <item x="46"/>
        <item m="1" x="79"/>
        <item x="53"/>
        <item m="1" x="66"/>
        <item x="23"/>
        <item m="1" x="67"/>
        <item x="43"/>
        <item x="40"/>
        <item x="41"/>
        <item x="33"/>
        <item m="1" x="71"/>
        <item x="14"/>
        <item x="13"/>
        <item x="45"/>
        <item x="10"/>
        <item x="18"/>
        <item x="17"/>
        <item m="1" x="82"/>
        <item x="9"/>
        <item x="34"/>
        <item m="1" x="75"/>
        <item x="65"/>
        <item x="64"/>
        <item x="38"/>
        <item x="55"/>
        <item x="49"/>
        <item m="1" x="73"/>
        <item x="63"/>
        <item x="12"/>
        <item m="1" x="78"/>
        <item x="8"/>
        <item x="2"/>
        <item x="0"/>
        <item x="31"/>
        <item m="1" x="77"/>
        <item x="16"/>
        <item m="1" x="74"/>
        <item x="19"/>
        <item m="1" x="83"/>
        <item x="22"/>
        <item m="1" x="84"/>
        <item x="58"/>
        <item m="1" x="80"/>
        <item x="35"/>
        <item m="1" x="85"/>
        <item x="47"/>
        <item x="1"/>
        <item x="36"/>
        <item x="50"/>
        <item x="42"/>
        <item x="20"/>
        <item x="27"/>
        <item x="26"/>
        <item x="28"/>
        <item x="48"/>
        <item x="15"/>
        <item x="37"/>
        <item x="4"/>
        <item x="7"/>
        <item m="1" x="70"/>
        <item x="32"/>
        <item x="3"/>
        <item x="44"/>
        <item x="21"/>
        <item x="51"/>
        <item x="52"/>
        <item m="1" x="76"/>
        <item x="30"/>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2"/>
      <x v="10"/>
      <x v="16"/>
      <x v="34"/>
      <x/>
    </i>
    <i>
      <x v="33"/>
      <x v="16"/>
      <x/>
      <x/>
      <x/>
    </i>
    <i>
      <x v="34"/>
      <x v="11"/>
      <x v="15"/>
      <x v="22"/>
      <x/>
    </i>
    <i>
      <x v="37"/>
      <x v="14"/>
      <x v="17"/>
      <x v="25"/>
      <x/>
    </i>
    <i>
      <x v="41"/>
      <x v="36"/>
      <x/>
      <x/>
      <x/>
    </i>
    <i>
      <x v="43"/>
      <x v="3"/>
      <x v="3"/>
      <x v="14"/>
      <x v="2"/>
    </i>
    <i>
      <x v="51"/>
      <x v="8"/>
      <x/>
      <x/>
      <x/>
    </i>
    <i>
      <x v="55"/>
      <x v="7"/>
      <x v="7"/>
      <x v="18"/>
      <x v="2"/>
    </i>
    <i>
      <x v="57"/>
      <x v="6"/>
      <x v="5"/>
      <x v="13"/>
      <x v="2"/>
    </i>
    <i>
      <x v="59"/>
      <x v="37"/>
      <x v="9"/>
      <x v="32"/>
      <x/>
    </i>
    <i>
      <x v="61"/>
      <x v="6"/>
      <x/>
      <x/>
      <x v="2"/>
    </i>
    <i>
      <x v="63"/>
      <x v="7"/>
      <x v="10"/>
      <x v="22"/>
      <x v="2"/>
    </i>
    <i>
      <x v="68"/>
      <x v="8"/>
      <x/>
      <x/>
      <x/>
    </i>
    <i>
      <x v="76"/>
      <x v="7"/>
      <x v="12"/>
      <x v="26"/>
      <x/>
    </i>
    <i>
      <x v="81"/>
      <x v="13"/>
      <x/>
      <x/>
      <x/>
    </i>
    <i>
      <x v="85"/>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20:D132"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72">
      <pivotArea outline="0" collapsedLevelsAreSubtotals="1" fieldPosition="0"/>
    </format>
    <format dxfId="71">
      <pivotArea field="3" type="button" dataOnly="0" labelOnly="1" outline="0" axis="axisRow" fieldPosition="0"/>
    </format>
    <format dxfId="7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26D7B1F-5C3D-4246-AD75-40E1E7356642}" name="TablaDinámica10" cacheId="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31:D41" firstHeaderRow="0" firstDataRow="1" firstDataCol="1"/>
  <pivotFields count="47">
    <pivotField showAll="0"/>
    <pivotField showAll="0"/>
    <pivotField showAll="0"/>
    <pivotField axis="axisRow" showAll="0" sortType="ascending">
      <items count="10">
        <item x="0"/>
        <item x="1"/>
        <item x="2"/>
        <item x="3"/>
        <item x="4"/>
        <item x="5"/>
        <item x="6"/>
        <item x="7"/>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75">
      <pivotArea outline="0" collapsedLevelsAreSubtotals="1" fieldPosition="0"/>
    </format>
    <format dxfId="74">
      <pivotArea field="3" type="button" dataOnly="0" labelOnly="1" outline="0" axis="axisRow" fieldPosition="0"/>
    </format>
    <format dxfId="73">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36:D148"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78">
      <pivotArea outline="0" collapsedLevelsAreSubtotals="1" fieldPosition="0"/>
    </format>
    <format dxfId="77">
      <pivotArea field="3" type="button" dataOnly="0" labelOnly="1" outline="0" axis="axisRow" fieldPosition="0"/>
    </format>
    <format dxfId="7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137831509">
      <items count="4">
        <i x="2" s="1"/>
        <i x="1"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62596949">
      <items count="6">
        <i x="0" s="1"/>
        <i x="2" s="1"/>
        <i x="1" s="1"/>
        <i x="5" s="1" nd="1"/>
        <i x="3" s="1" nd="1"/>
        <i x="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657721680">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479019913">
      <items count="7">
        <i x="5" s="1"/>
        <i x="3" s="1"/>
        <i x="1" s="1"/>
        <i x="6" s="1"/>
        <i x="4" s="1"/>
        <i x="2" s="1"/>
        <i x="0"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137831509">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137831509">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4">
        <i x="0" s="1"/>
        <i x="2" s="1"/>
        <i x="1" s="1"/>
        <i x="3"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5">
        <i x="0" s="1"/>
        <i x="4" s="1"/>
        <i x="2" s="1"/>
        <i x="1" s="1"/>
        <i x="3"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4">
        <i x="0" s="1"/>
        <i x="2" s="1"/>
        <i x="1" s="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137831509">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4">
        <i x="0" s="1"/>
        <i x="1" s="1"/>
        <i x="2" s="1"/>
        <i x="3"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3" xr10:uid="{B0D4FDDF-3644-45DB-A4C4-1134040D8297}" sourceName="FUENTE DE LOS RECURSOS">
  <pivotTables>
    <pivotTable tabId="50" name="TablaDinámica9"/>
  </pivotTables>
  <data>
    <tabular pivotCacheId="1803688463">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657721680">
      <items count="2">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3" xr10:uid="{DFB8AE2F-4F63-489A-8376-FD8442ABD2CA}" sourceName="Tipo de Recurso">
  <pivotTables>
    <pivotTable tabId="50" name="TablaDinámica9"/>
  </pivotTables>
  <data>
    <tabular pivotCacheId="1803688463">
      <items count="3">
        <i x="1" s="1"/>
        <i x="0" s="1"/>
        <i x="2"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4" xr10:uid="{8426566A-CDCA-4190-B7F0-1762D30E1984}" sourceName="FUENTE DE LOS RECURSOS">
  <pivotTables>
    <pivotTable tabId="50" name="TablaDinámica5"/>
  </pivotTables>
  <data>
    <tabular pivotCacheId="1202735562">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4" xr10:uid="{7BC3802C-54D6-43A8-9FB0-0F7B0875282D}" sourceName="Tipo de Recurso">
  <pivotTables>
    <pivotTable tabId="50" name="TablaDinámica5"/>
  </pivotTables>
  <data>
    <tabular pivotCacheId="1202735562">
      <items count="3">
        <i x="1" s="1"/>
        <i x="0" s="1"/>
        <i x="2" s="1" nd="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5" xr10:uid="{E2D04E9F-27DF-47D8-914C-07B47E94187D}" sourceName="FUENTE DE LOS RECURSOS">
  <pivotTables>
    <pivotTable tabId="50" name="TablaDinámica6"/>
  </pivotTables>
  <data>
    <tabular pivotCacheId="630251538">
      <items count="3">
        <i x="0" s="1"/>
        <i x="2" s="1"/>
        <i x="1"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5" xr10:uid="{F44C5283-4AF3-49F4-AC74-49A61871B916}" sourceName="Tipo de Recurso">
  <pivotTables>
    <pivotTable tabId="50" name="TablaDinámica6"/>
  </pivotTables>
  <data>
    <tabular pivotCacheId="630251538">
      <items count="2">
        <i x="1" s="1"/>
        <i x="0"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6" xr10:uid="{B92C8D18-D376-F44D-AC3E-E2D6A756A683}" sourceName="FUENTE DE LOS RECURSOS">
  <pivotTables>
    <pivotTable tabId="50" name="TablaDinámica7"/>
  </pivotTables>
  <data>
    <tabular pivotCacheId="342492603">
      <items count="3">
        <i x="0" s="1"/>
        <i x="2" s="1"/>
        <i x="1"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6" xr10:uid="{0C72A5FE-C2EF-BC4C-B1DB-C9D4E470FE18}" sourceName="Tipo de Recurso">
  <pivotTables>
    <pivotTable tabId="50" name="TablaDinámica7"/>
  </pivotTables>
  <data>
    <tabular pivotCacheId="342492603">
      <items count="2">
        <i x="1" s="1"/>
        <i x="0"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7" xr10:uid="{C53829BD-0287-4F28-92B1-60E5837F0902}" sourceName="FUENTE DE LOS RECURSOS">
  <pivotTables>
    <pivotTable tabId="50" name="TablaDinámica10"/>
  </pivotTables>
  <data>
    <tabular pivotCacheId="884323943">
      <items count="3">
        <i x="1" s="1"/>
        <i x="2" s="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7" xr10:uid="{374B8652-3C57-4311-B939-51D8CFA206D0}" sourceName="Tipo de Recurso">
  <pivotTables>
    <pivotTable tabId="50" name="TablaDinámica10"/>
  </pivotTables>
  <data>
    <tabular pivotCacheId="884323943">
      <items count="3">
        <i x="1" s="1"/>
        <i x="0" s="1"/>
        <i x="2" s="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8" xr10:uid="{0D13955F-9E1F-404E-8C96-77198A9C3A73}" sourceName="FUENTE DE LOS RECURSOS">
  <pivotTables>
    <pivotTable tabId="50" name="TablaDinámica38"/>
  </pivotTables>
  <data>
    <tabular pivotCacheId="1142849027">
      <items count="4">
        <i x="2" s="1"/>
        <i x="0" s="1"/>
        <i x="1"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657721680">
      <items count="3">
        <i x="0" s="1"/>
        <i x="2" s="1"/>
        <i x="1" s="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8" xr10:uid="{707B8D1F-DECF-4C3E-86C8-56A03BF2DFA7}" sourceName="Tipo de Recurso">
  <pivotTables>
    <pivotTable tabId="50" name="TablaDinámica38"/>
  </pivotTables>
  <data>
    <tabular pivotCacheId="1142849027">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62596949">
      <items count="13">
        <i x="6" s="1"/>
        <i x="3" s="1"/>
        <i x="2" s="1"/>
        <i x="4" s="1"/>
        <i x="1" s="1"/>
        <i x="5" s="1"/>
        <i x="8" s="1"/>
        <i x="0" s="1"/>
        <i x="7" s="1"/>
        <i x="9" s="1"/>
        <i x="10" s="1"/>
        <i x="12"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479019913">
      <items count="23">
        <i x="0" s="1"/>
        <i x="1" s="1"/>
        <i x="2" s="1"/>
        <i x="3" s="1"/>
        <i x="4" s="1"/>
        <i x="5" s="1"/>
        <i x="6" s="1"/>
        <i x="7" s="1"/>
        <i x="8" s="1"/>
        <i x="9" s="1"/>
        <i x="22" s="1"/>
        <i x="10" s="1"/>
        <i x="11" s="1"/>
        <i x="12" s="1"/>
        <i x="13" s="1"/>
        <i x="14" s="1"/>
        <i x="15" s="1"/>
        <i x="16" s="1"/>
        <i x="17" s="1"/>
        <i x="18" s="1"/>
        <i x="19" s="1"/>
        <i x="20" s="1"/>
        <i x="2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479019913">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 name="FUENTE DE LOS RECURSOS 3" xr10:uid="{0839FA81-53BE-48F2-955D-9AC0222118FA}" cache="SegmentaciónDeDatos_FUENTE_DE_LOS_RECURSOS3" caption="FUENTE DE LOS RECURSOS" style="SlicerStyleDark1" rowHeight="257175"/>
  <slicer name="Tipo de Recurso 3" xr10:uid="{3AE922A3-B823-41C9-AD9D-AF4B7ADEA039}" cache="SegmentaciónDeDatos_Tipo_de_Recurso3" caption="Tipo de Recurso" style="SlicerStyleDark1" rowHeight="257175"/>
  <slicer name="FUENTE DE LOS RECURSOS 4" xr10:uid="{2484F2FC-BADF-4DCE-A1E9-261035D90241}" cache="SegmentaciónDeDatos_FUENTE_DE_LOS_RECURSOS4" caption="FUENTE DE LOS RECURSOS" style="SlicerStyleDark1" rowHeight="257175"/>
  <slicer name="Tipo de Recurso 4" xr10:uid="{13B572DA-D7A7-4557-A903-4E24F2B1A2A9}" cache="SegmentaciónDeDatos_Tipo_de_Recurso4" caption="Tipo de Recurso" style="SlicerStyleDark1" rowHeight="257175"/>
  <slicer name="FUENTE DE LOS RECURSOS 5" xr10:uid="{3A8D41C4-19B3-4885-9BC0-1D4A1637B55E}" cache="SegmentaciónDeDatos_FUENTE_DE_LOS_RECURSOS5" caption="FUENTE DE LOS RECURSOS" style="SlicerStyleDark1" rowHeight="257175"/>
  <slicer name="Tipo de Recurso 5" xr10:uid="{217EAC0F-18A4-426C-9D5A-CC5578A5D033}" cache="SegmentaciónDeDatos_Tipo_de_Recurso5" caption="Tipo de Recurso" style="SlicerStyleDark1" rowHeight="257175"/>
  <slicer name="FUENTE DE LOS RECURSOS 6" xr10:uid="{B22FAE77-540B-A44D-BEC4-D0E821D51A96}" cache="SegmentaciónDeDatos_FUENTE_DE_LOS_RECURSOS6" caption="FUENTE DE LOS RECURSOS" style="SlicerStyleDark1" rowHeight="251883"/>
  <slicer name="Tipo de Recurso 7" xr10:uid="{754DA4C5-06A6-E541-8118-D1405E46256C}" cache="SegmentaciónDeDatos_Tipo_de_Recurso6" caption="Tipo de Recurso" style="SlicerStyleDark1" rowHeight="251883"/>
  <slicer name="FUENTE DE LOS RECURSOS 7" xr10:uid="{B115E8EC-837A-4CF4-AC25-BD74C5CB7529}" cache="SegmentaciónDeDatos_FUENTE_DE_LOS_RECURSOS7" caption="FUENTE DE LOS RECURSOS" style="SlicerStyleDark1" rowHeight="257175"/>
  <slicer name="Tipo de Recurso 6" xr10:uid="{50BE22BF-7F33-4A3B-893E-858A54F89B26}" cache="SegmentaciónDeDatos_Tipo_de_Recurso7" caption="Tipo de Recurso" style="SlicerStyleDark1" rowHeight="257175"/>
  <slicer name="FUENTE DE LOS RECURSOS 8" xr10:uid="{E5C290D9-CD07-4BB2-B784-1B5223D0ED33}" cache="SegmentaciónDeDatos_FUENTE_DE_LOS_RECURSOS8" caption="FUENTE DE LOS RECURSOS" style="SlicerStyleDark1" rowHeight="257175"/>
  <slicer name="Tipo de Recurso 8" xr10:uid="{ECB5E4EB-6991-4E3B-9279-270C2EAE48BD}" cache="SegmentaciónDeDatos_Tipo_de_Recurso8"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3"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artItem="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1.xml"/><Relationship Id="rId5" Type="http://schemas.openxmlformats.org/officeDocument/2006/relationships/pivotTable" Target="../pivotTables/pivotTable11.xml"/><Relationship Id="rId10" Type="http://schemas.openxmlformats.org/officeDocument/2006/relationships/drawing" Target="../drawings/drawing3.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microsoft.com/office/2019/04/relationships/namedSheetView" Target="../namedSheetViews/namedSheetView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16.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7.xml"/><Relationship Id="rId1" Type="http://schemas.openxmlformats.org/officeDocument/2006/relationships/pivotTable" Target="../pivotTables/pivotTable2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M71"/>
  <sheetViews>
    <sheetView topLeftCell="BX1" zoomScale="60" zoomScaleNormal="60" workbookViewId="0">
      <selection activeCell="CF14" sqref="CF14"/>
    </sheetView>
  </sheetViews>
  <sheetFormatPr baseColWidth="10" defaultColWidth="11" defaultRowHeight="15.75" x14ac:dyDescent="0.25"/>
  <cols>
    <col min="1" max="1" width="211.75" bestFit="1" customWidth="1"/>
    <col min="2" max="2" width="24.875" bestFit="1" customWidth="1"/>
    <col min="3" max="3" width="28.875" bestFit="1" customWidth="1"/>
    <col min="4" max="4" width="23.25" bestFit="1" customWidth="1"/>
    <col min="5" max="5" width="28.5" bestFit="1" customWidth="1"/>
    <col min="6" max="6" width="23.25" bestFit="1" customWidth="1"/>
    <col min="7" max="7" width="26" bestFit="1" customWidth="1"/>
    <col min="8" max="8" width="22.375" bestFit="1" customWidth="1"/>
    <col min="9" max="9" width="22.625" bestFit="1" customWidth="1"/>
    <col min="29" max="29" width="116.125" bestFit="1" customWidth="1"/>
    <col min="30" max="31" width="36.625" bestFit="1" customWidth="1"/>
    <col min="32" max="32" width="11.875" customWidth="1"/>
    <col min="33" max="33" width="18.125" bestFit="1" customWidth="1"/>
    <col min="37" max="37" width="11.875" bestFit="1" customWidth="1"/>
    <col min="42" max="42" width="11.875" bestFit="1" customWidth="1"/>
    <col min="43" max="43" width="13.5" bestFit="1" customWidth="1"/>
    <col min="48" max="48" width="18.625" bestFit="1" customWidth="1"/>
    <col min="49" max="49" width="19.875" bestFit="1" customWidth="1"/>
    <col min="50" max="50" width="17.625" bestFit="1" customWidth="1"/>
    <col min="51" max="51" width="18.25" bestFit="1" customWidth="1"/>
    <col min="52" max="53" width="17.375" bestFit="1" customWidth="1"/>
    <col min="54" max="54" width="18.625" bestFit="1" customWidth="1"/>
    <col min="55" max="55" width="18.25" bestFit="1" customWidth="1"/>
    <col min="56" max="56" width="17.875" bestFit="1" customWidth="1"/>
    <col min="57" max="57" width="16.125" bestFit="1" customWidth="1"/>
    <col min="58" max="58" width="89.875" bestFit="1" customWidth="1"/>
    <col min="59" max="68" width="29.5" bestFit="1" customWidth="1"/>
    <col min="69" max="69" width="36.125" bestFit="1" customWidth="1"/>
    <col min="70" max="70" width="24.125" bestFit="1" customWidth="1"/>
    <col min="71" max="71" width="36.125" bestFit="1" customWidth="1"/>
    <col min="72" max="72" width="34.5" bestFit="1" customWidth="1"/>
    <col min="73" max="73" width="28" bestFit="1" customWidth="1"/>
    <col min="74" max="74" width="19.625" bestFit="1" customWidth="1"/>
    <col min="75" max="75" width="93.875" bestFit="1" customWidth="1"/>
    <col min="76" max="76" width="30.375" bestFit="1" customWidth="1"/>
    <col min="77" max="77" width="29.5" bestFit="1" customWidth="1"/>
    <col min="78" max="78" width="27.875" bestFit="1" customWidth="1"/>
    <col min="79" max="79" width="21.375" bestFit="1" customWidth="1"/>
    <col min="80" max="80" width="17.875" bestFit="1" customWidth="1"/>
    <col min="81" max="81" width="29.5" bestFit="1" customWidth="1"/>
    <col min="82" max="82" width="27.875" bestFit="1" customWidth="1"/>
    <col min="83" max="83" width="21.375" bestFit="1" customWidth="1"/>
    <col min="84" max="84" width="17.875" bestFit="1" customWidth="1"/>
    <col min="85" max="85" width="29.5" bestFit="1" customWidth="1"/>
    <col min="86" max="86" width="27.875" bestFit="1" customWidth="1"/>
    <col min="87" max="87" width="21.375" bestFit="1" customWidth="1"/>
    <col min="88" max="88" width="24.125" bestFit="1" customWidth="1"/>
    <col min="89" max="89" width="36.125" bestFit="1" customWidth="1"/>
    <col min="90" max="90" width="34.5" bestFit="1" customWidth="1"/>
    <col min="91" max="91" width="28" bestFit="1" customWidth="1"/>
  </cols>
  <sheetData>
    <row r="1" spans="1:91" ht="15.75" customHeight="1" x14ac:dyDescent="0.25">
      <c r="A1" s="5" t="s">
        <v>0</v>
      </c>
      <c r="B1" s="142" t="s">
        <v>1</v>
      </c>
      <c r="C1" s="142" t="s">
        <v>2</v>
      </c>
      <c r="D1" s="142" t="s">
        <v>3</v>
      </c>
      <c r="E1" s="142" t="s">
        <v>4</v>
      </c>
      <c r="F1" s="142" t="s">
        <v>5</v>
      </c>
      <c r="G1" s="142" t="s">
        <v>6</v>
      </c>
      <c r="H1" s="142" t="s">
        <v>7</v>
      </c>
      <c r="I1" s="142"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c r="BX1" s="5" t="s">
        <v>23</v>
      </c>
    </row>
    <row r="2" spans="1:91" ht="15.75" customHeight="1" x14ac:dyDescent="0.25">
      <c r="A2" s="141" t="s">
        <v>24</v>
      </c>
      <c r="B2" s="4">
        <v>86158256866</v>
      </c>
      <c r="C2" s="4">
        <v>4590312563</v>
      </c>
      <c r="D2" s="4">
        <v>62341556315.470001</v>
      </c>
      <c r="E2" s="4">
        <v>19226387987.530003</v>
      </c>
      <c r="F2" s="4">
        <v>60978955013.870003</v>
      </c>
      <c r="G2" s="7">
        <v>1362601301.5999985</v>
      </c>
      <c r="H2" s="4">
        <v>57695910945.040001</v>
      </c>
      <c r="I2" s="4">
        <v>57573817577.040001</v>
      </c>
      <c r="P2" s="16" t="s">
        <v>11</v>
      </c>
      <c r="Q2" s="17" t="s">
        <v>25</v>
      </c>
      <c r="R2" s="18" t="s">
        <v>26</v>
      </c>
      <c r="S2" s="18" t="s">
        <v>27</v>
      </c>
      <c r="T2" s="19">
        <v>2</v>
      </c>
      <c r="U2" s="16">
        <v>2</v>
      </c>
      <c r="V2" s="20">
        <v>0.4</v>
      </c>
      <c r="W2" s="26" t="s">
        <v>28</v>
      </c>
      <c r="X2" s="44" t="s">
        <v>29</v>
      </c>
      <c r="Y2" t="s">
        <v>30</v>
      </c>
      <c r="AV2" s="40" t="s">
        <v>31</v>
      </c>
      <c r="AW2" t="s">
        <v>21</v>
      </c>
      <c r="AX2" s="3"/>
      <c r="AY2" s="3"/>
      <c r="AZ2" s="3"/>
      <c r="BA2" s="3"/>
      <c r="BB2" s="3"/>
      <c r="BC2" s="3"/>
      <c r="BD2" s="3"/>
      <c r="BE2" s="3"/>
      <c r="BX2" t="s">
        <v>32</v>
      </c>
      <c r="CB2" t="s">
        <v>33</v>
      </c>
      <c r="CF2" t="s">
        <v>34</v>
      </c>
      <c r="CJ2" t="s">
        <v>35</v>
      </c>
      <c r="CK2" t="s">
        <v>36</v>
      </c>
      <c r="CL2" t="s">
        <v>37</v>
      </c>
      <c r="CM2" t="s">
        <v>38</v>
      </c>
    </row>
    <row r="3" spans="1:91" ht="15" customHeight="1" x14ac:dyDescent="0.25">
      <c r="A3" s="205" t="s">
        <v>39</v>
      </c>
      <c r="B3" s="4"/>
      <c r="C3" s="4"/>
      <c r="D3" s="4"/>
      <c r="E3" s="4"/>
      <c r="F3" s="4"/>
      <c r="G3" s="7"/>
      <c r="H3" s="4"/>
      <c r="I3" s="4"/>
      <c r="P3" s="16" t="s">
        <v>11</v>
      </c>
      <c r="Q3" s="17" t="s">
        <v>25</v>
      </c>
      <c r="R3" s="18" t="s">
        <v>26</v>
      </c>
      <c r="S3" s="18" t="s">
        <v>40</v>
      </c>
      <c r="T3" s="19">
        <v>14037</v>
      </c>
      <c r="U3" s="16">
        <v>0</v>
      </c>
      <c r="V3" s="20">
        <v>0</v>
      </c>
      <c r="W3" s="26" t="s">
        <v>41</v>
      </c>
      <c r="X3" s="44" t="s">
        <v>29</v>
      </c>
      <c r="Y3" t="s">
        <v>30</v>
      </c>
      <c r="AC3" s="5" t="s">
        <v>12</v>
      </c>
      <c r="AD3" s="5" t="s">
        <v>13</v>
      </c>
      <c r="AE3" s="5" t="s">
        <v>14</v>
      </c>
      <c r="AF3" s="5" t="s">
        <v>15</v>
      </c>
      <c r="AG3" s="5" t="s">
        <v>18</v>
      </c>
      <c r="AM3" s="5" t="s">
        <v>11</v>
      </c>
      <c r="AN3" s="5" t="s">
        <v>12</v>
      </c>
      <c r="AO3" s="5" t="s">
        <v>13</v>
      </c>
      <c r="AP3" s="5" t="s">
        <v>14</v>
      </c>
      <c r="AQ3" s="5" t="s">
        <v>15</v>
      </c>
      <c r="AV3" s="5" t="s">
        <v>42</v>
      </c>
      <c r="AW3" t="s">
        <v>21</v>
      </c>
      <c r="AX3" s="3"/>
      <c r="AY3" s="3"/>
      <c r="AZ3" s="3"/>
      <c r="BA3" s="3"/>
      <c r="BB3" s="3"/>
      <c r="BC3" s="3"/>
      <c r="BD3" s="3"/>
      <c r="BE3" s="3"/>
      <c r="BG3" s="5" t="s">
        <v>43</v>
      </c>
      <c r="BH3" s="5" t="s">
        <v>42</v>
      </c>
      <c r="BW3" s="5" t="s">
        <v>0</v>
      </c>
      <c r="BX3" t="s">
        <v>44</v>
      </c>
      <c r="BY3" t="s">
        <v>45</v>
      </c>
      <c r="BZ3" t="s">
        <v>46</v>
      </c>
      <c r="CA3" t="s">
        <v>47</v>
      </c>
      <c r="CB3" t="s">
        <v>44</v>
      </c>
      <c r="CC3" t="s">
        <v>45</v>
      </c>
      <c r="CD3" t="s">
        <v>46</v>
      </c>
      <c r="CE3" t="s">
        <v>47</v>
      </c>
      <c r="CF3" t="s">
        <v>44</v>
      </c>
      <c r="CG3" t="s">
        <v>45</v>
      </c>
      <c r="CH3" t="s">
        <v>46</v>
      </c>
      <c r="CI3" t="s">
        <v>47</v>
      </c>
    </row>
    <row r="4" spans="1:91" ht="15" customHeight="1" x14ac:dyDescent="0.25">
      <c r="A4" s="9" t="s">
        <v>48</v>
      </c>
      <c r="B4" s="4">
        <v>14435977472</v>
      </c>
      <c r="C4" s="4">
        <v>0</v>
      </c>
      <c r="D4" s="4">
        <v>10554833007</v>
      </c>
      <c r="E4" s="4">
        <v>3881144465</v>
      </c>
      <c r="F4" s="4">
        <v>10249413207</v>
      </c>
      <c r="G4" s="7">
        <v>305419800</v>
      </c>
      <c r="H4" s="4">
        <v>10249413207</v>
      </c>
      <c r="I4" s="4">
        <v>10249413207</v>
      </c>
      <c r="P4" s="16" t="s">
        <v>11</v>
      </c>
      <c r="Q4" s="17" t="s">
        <v>25</v>
      </c>
      <c r="R4" s="18" t="s">
        <v>26</v>
      </c>
      <c r="S4" s="18" t="s">
        <v>49</v>
      </c>
      <c r="T4" s="19">
        <v>1000684</v>
      </c>
      <c r="U4" s="25">
        <v>133742</v>
      </c>
      <c r="V4" s="20">
        <v>0.1336</v>
      </c>
      <c r="W4" s="26" t="s">
        <v>50</v>
      </c>
      <c r="X4" s="44" t="s">
        <v>29</v>
      </c>
      <c r="Y4" t="s">
        <v>30</v>
      </c>
      <c r="AC4" t="s">
        <v>51</v>
      </c>
      <c r="AD4">
        <v>8000</v>
      </c>
      <c r="AE4">
        <v>2980</v>
      </c>
      <c r="AF4">
        <v>0.3725</v>
      </c>
      <c r="AG4" t="s">
        <v>30</v>
      </c>
      <c r="AM4" t="s">
        <v>52</v>
      </c>
      <c r="AN4" t="s">
        <v>53</v>
      </c>
      <c r="AO4">
        <v>60000</v>
      </c>
      <c r="AP4">
        <v>0</v>
      </c>
      <c r="AQ4">
        <v>0</v>
      </c>
      <c r="BG4" t="s">
        <v>54</v>
      </c>
      <c r="BI4" t="s">
        <v>44</v>
      </c>
      <c r="BK4" t="s">
        <v>45</v>
      </c>
      <c r="BM4" t="s">
        <v>46</v>
      </c>
      <c r="BO4" t="s">
        <v>47</v>
      </c>
      <c r="BQ4" t="s">
        <v>55</v>
      </c>
      <c r="BR4" t="s">
        <v>35</v>
      </c>
      <c r="BS4" t="s">
        <v>36</v>
      </c>
      <c r="BT4" t="s">
        <v>37</v>
      </c>
      <c r="BU4" t="s">
        <v>38</v>
      </c>
      <c r="BW4" s="6" t="s">
        <v>56</v>
      </c>
      <c r="BX4" s="284">
        <v>505740193</v>
      </c>
      <c r="BY4" s="284">
        <v>483990284</v>
      </c>
      <c r="BZ4" s="284">
        <v>432257297</v>
      </c>
      <c r="CA4" s="284">
        <v>403446299</v>
      </c>
      <c r="CB4" s="284"/>
      <c r="CC4" s="284"/>
      <c r="CD4" s="284"/>
      <c r="CE4" s="284"/>
      <c r="CF4" s="284"/>
      <c r="CG4" s="284"/>
      <c r="CH4" s="284"/>
      <c r="CI4" s="284"/>
      <c r="CJ4" s="284">
        <v>505740193</v>
      </c>
      <c r="CK4" s="284">
        <v>483990284</v>
      </c>
      <c r="CL4" s="284">
        <v>432257297</v>
      </c>
      <c r="CM4" s="284">
        <v>403446299</v>
      </c>
    </row>
    <row r="5" spans="1:91" ht="15.75" customHeight="1" x14ac:dyDescent="0.25">
      <c r="A5" s="10" t="s">
        <v>57</v>
      </c>
      <c r="B5" s="4">
        <v>14435977472</v>
      </c>
      <c r="C5" s="4">
        <v>0</v>
      </c>
      <c r="D5" s="4">
        <v>10554833007</v>
      </c>
      <c r="E5" s="4">
        <v>3881144465</v>
      </c>
      <c r="F5" s="4">
        <v>10249413207</v>
      </c>
      <c r="G5" s="7">
        <v>305419800</v>
      </c>
      <c r="H5" s="4">
        <v>10249413207</v>
      </c>
      <c r="I5" s="4">
        <v>10249413207</v>
      </c>
      <c r="P5" s="16" t="s">
        <v>11</v>
      </c>
      <c r="Q5" s="17" t="s">
        <v>25</v>
      </c>
      <c r="R5" s="18" t="s">
        <v>26</v>
      </c>
      <c r="S5" s="18" t="s">
        <v>58</v>
      </c>
      <c r="T5" s="22">
        <v>1</v>
      </c>
      <c r="U5" s="16">
        <v>545</v>
      </c>
      <c r="V5" s="20">
        <v>0.155</v>
      </c>
      <c r="W5" s="26" t="s">
        <v>59</v>
      </c>
      <c r="X5" s="44" t="s">
        <v>29</v>
      </c>
      <c r="Y5" t="s">
        <v>60</v>
      </c>
      <c r="AC5" t="s">
        <v>61</v>
      </c>
      <c r="AD5">
        <v>45000</v>
      </c>
      <c r="AE5">
        <v>0</v>
      </c>
      <c r="AF5">
        <v>0</v>
      </c>
      <c r="AG5" t="s">
        <v>30</v>
      </c>
      <c r="AM5" t="s">
        <v>62</v>
      </c>
      <c r="AN5" t="s">
        <v>62</v>
      </c>
      <c r="AO5">
        <v>158</v>
      </c>
      <c r="AP5">
        <v>30</v>
      </c>
      <c r="AQ5">
        <v>0.18990000000000001</v>
      </c>
      <c r="AV5" s="41" t="s">
        <v>63</v>
      </c>
      <c r="AW5" s="41" t="s">
        <v>64</v>
      </c>
      <c r="AX5" s="41" t="s">
        <v>65</v>
      </c>
      <c r="AY5" s="41" t="s">
        <v>66</v>
      </c>
      <c r="AZ5" s="41" t="s">
        <v>67</v>
      </c>
      <c r="BA5" s="41" t="s">
        <v>68</v>
      </c>
      <c r="BB5" s="41" t="s">
        <v>69</v>
      </c>
      <c r="BC5" s="41" t="s">
        <v>70</v>
      </c>
      <c r="BD5" s="41" t="s">
        <v>71</v>
      </c>
      <c r="BF5" s="5" t="s">
        <v>72</v>
      </c>
      <c r="BG5" t="s">
        <v>34</v>
      </c>
      <c r="BH5" t="s">
        <v>32</v>
      </c>
      <c r="BI5" t="s">
        <v>34</v>
      </c>
      <c r="BJ5" t="s">
        <v>32</v>
      </c>
      <c r="BK5" t="s">
        <v>34</v>
      </c>
      <c r="BL5" t="s">
        <v>32</v>
      </c>
      <c r="BM5" t="s">
        <v>34</v>
      </c>
      <c r="BN5" t="s">
        <v>32</v>
      </c>
      <c r="BO5" t="s">
        <v>34</v>
      </c>
      <c r="BP5" t="s">
        <v>32</v>
      </c>
      <c r="BW5" s="6" t="s">
        <v>73</v>
      </c>
      <c r="BX5" s="284">
        <v>394124866</v>
      </c>
      <c r="BY5" s="284">
        <v>394124865</v>
      </c>
      <c r="BZ5" s="284">
        <v>342498835</v>
      </c>
      <c r="CA5" s="284">
        <v>339557055</v>
      </c>
      <c r="CB5" s="284"/>
      <c r="CC5" s="284"/>
      <c r="CD5" s="284"/>
      <c r="CE5" s="284"/>
      <c r="CF5" s="284">
        <v>267563729</v>
      </c>
      <c r="CG5" s="284">
        <v>244037465</v>
      </c>
      <c r="CH5" s="284">
        <v>218029382</v>
      </c>
      <c r="CI5" s="284">
        <v>209744636</v>
      </c>
      <c r="CJ5" s="284">
        <v>661688595</v>
      </c>
      <c r="CK5" s="284">
        <v>638162330</v>
      </c>
      <c r="CL5" s="284">
        <v>560528217</v>
      </c>
      <c r="CM5" s="284">
        <v>549301691</v>
      </c>
    </row>
    <row r="6" spans="1:91" ht="15.75" customHeight="1" x14ac:dyDescent="0.25">
      <c r="A6" s="9" t="s">
        <v>74</v>
      </c>
      <c r="B6" s="4">
        <v>3600687803</v>
      </c>
      <c r="C6" s="4">
        <v>0</v>
      </c>
      <c r="D6" s="4">
        <v>2512942158</v>
      </c>
      <c r="E6" s="4">
        <v>1087745645</v>
      </c>
      <c r="F6" s="4">
        <v>2511796894</v>
      </c>
      <c r="G6" s="7">
        <v>1145264</v>
      </c>
      <c r="H6" s="4">
        <v>2504044784</v>
      </c>
      <c r="I6" s="4">
        <v>2504044784</v>
      </c>
      <c r="P6" s="16" t="s">
        <v>11</v>
      </c>
      <c r="Q6" s="17" t="s">
        <v>25</v>
      </c>
      <c r="R6" s="18" t="s">
        <v>26</v>
      </c>
      <c r="S6" s="18" t="s">
        <v>75</v>
      </c>
      <c r="T6" s="19">
        <v>1</v>
      </c>
      <c r="U6" s="32">
        <v>0.3</v>
      </c>
      <c r="V6" s="20">
        <v>0.3</v>
      </c>
      <c r="W6" s="26" t="s">
        <v>76</v>
      </c>
      <c r="X6" s="44" t="s">
        <v>29</v>
      </c>
      <c r="Y6" t="s">
        <v>30</v>
      </c>
      <c r="AC6" t="s">
        <v>77</v>
      </c>
      <c r="AD6">
        <v>1</v>
      </c>
      <c r="AE6">
        <v>0</v>
      </c>
      <c r="AF6">
        <v>0</v>
      </c>
      <c r="AG6" t="s">
        <v>30</v>
      </c>
      <c r="AM6" t="s">
        <v>78</v>
      </c>
      <c r="AN6" t="s">
        <v>79</v>
      </c>
      <c r="AO6">
        <v>100</v>
      </c>
      <c r="AP6">
        <v>7</v>
      </c>
      <c r="AQ6">
        <v>7.0000000000000007E-2</v>
      </c>
      <c r="AV6" s="4">
        <v>24529253778</v>
      </c>
      <c r="AW6" s="4">
        <v>19827886421.32</v>
      </c>
      <c r="AX6" s="4">
        <v>1117278929.6700001</v>
      </c>
      <c r="AY6" s="4">
        <v>43239861269.650002</v>
      </c>
      <c r="AZ6" s="4">
        <v>39630191590.630005</v>
      </c>
      <c r="BA6" s="4">
        <v>3609669679.02</v>
      </c>
      <c r="BB6" s="4">
        <v>38009286389.540001</v>
      </c>
      <c r="BC6" s="4">
        <v>34750585430.919998</v>
      </c>
      <c r="BD6" s="4">
        <v>34747163418.919998</v>
      </c>
      <c r="BF6" s="165" t="s">
        <v>56</v>
      </c>
      <c r="BG6" s="284"/>
      <c r="BH6" s="284">
        <v>1714223</v>
      </c>
      <c r="BI6" s="284"/>
      <c r="BJ6" s="284">
        <v>1437034</v>
      </c>
      <c r="BK6" s="284"/>
      <c r="BL6" s="284">
        <v>1437034</v>
      </c>
      <c r="BM6" s="284"/>
      <c r="BN6" s="284">
        <v>1437034</v>
      </c>
      <c r="BO6" s="284"/>
      <c r="BP6" s="284">
        <v>1437034</v>
      </c>
      <c r="BQ6" s="284">
        <v>1714223</v>
      </c>
      <c r="BR6" s="284">
        <v>1437034</v>
      </c>
      <c r="BS6" s="284">
        <v>1437034</v>
      </c>
      <c r="BT6" s="284">
        <v>1437034</v>
      </c>
      <c r="BU6" s="284">
        <v>1437034</v>
      </c>
      <c r="BW6" s="6" t="s">
        <v>80</v>
      </c>
      <c r="BX6" s="284"/>
      <c r="BY6" s="284"/>
      <c r="BZ6" s="284"/>
      <c r="CA6" s="284"/>
      <c r="CB6" s="284"/>
      <c r="CC6" s="284"/>
      <c r="CD6" s="284"/>
      <c r="CE6" s="284"/>
      <c r="CF6" s="284">
        <v>162016224</v>
      </c>
      <c r="CG6" s="284">
        <v>161985860</v>
      </c>
      <c r="CH6" s="284">
        <v>124478799</v>
      </c>
      <c r="CI6" s="284">
        <v>121537019</v>
      </c>
      <c r="CJ6" s="284">
        <v>162016224</v>
      </c>
      <c r="CK6" s="284">
        <v>161985860</v>
      </c>
      <c r="CL6" s="284">
        <v>124478799</v>
      </c>
      <c r="CM6" s="284">
        <v>121537019</v>
      </c>
    </row>
    <row r="7" spans="1:91" ht="15" customHeight="1" x14ac:dyDescent="0.25">
      <c r="A7" s="10" t="s">
        <v>57</v>
      </c>
      <c r="B7" s="4">
        <v>3600687803</v>
      </c>
      <c r="C7" s="4">
        <v>0</v>
      </c>
      <c r="D7" s="4">
        <v>2512942158</v>
      </c>
      <c r="E7" s="4">
        <v>1087745645</v>
      </c>
      <c r="F7" s="4">
        <v>2511796894</v>
      </c>
      <c r="G7" s="7">
        <v>1145264</v>
      </c>
      <c r="H7" s="4">
        <v>2504044784</v>
      </c>
      <c r="I7" s="4">
        <v>2504044784</v>
      </c>
      <c r="P7" s="16" t="s">
        <v>11</v>
      </c>
      <c r="Q7" s="17" t="s">
        <v>25</v>
      </c>
      <c r="R7" s="18" t="s">
        <v>81</v>
      </c>
      <c r="S7" s="18" t="s">
        <v>82</v>
      </c>
      <c r="T7" s="19">
        <v>8078</v>
      </c>
      <c r="U7" s="16">
        <v>110</v>
      </c>
      <c r="V7" s="20">
        <v>1.3599999999999999E-2</v>
      </c>
      <c r="W7" s="26" t="s">
        <v>83</v>
      </c>
      <c r="X7" s="44" t="s">
        <v>29</v>
      </c>
      <c r="Y7" t="s">
        <v>30</v>
      </c>
      <c r="AC7" t="s">
        <v>84</v>
      </c>
      <c r="AD7">
        <v>7055</v>
      </c>
      <c r="AE7">
        <v>110</v>
      </c>
      <c r="AF7">
        <v>1.5599999999999999E-2</v>
      </c>
      <c r="AG7" t="s">
        <v>30</v>
      </c>
      <c r="AM7" t="s">
        <v>85</v>
      </c>
      <c r="AN7" t="s">
        <v>86</v>
      </c>
      <c r="AO7">
        <v>2</v>
      </c>
      <c r="AP7">
        <v>0</v>
      </c>
      <c r="AQ7">
        <v>0</v>
      </c>
      <c r="BF7" s="165" t="s">
        <v>87</v>
      </c>
      <c r="BG7" s="284"/>
      <c r="BH7" s="284">
        <v>42598249</v>
      </c>
      <c r="BI7" s="284"/>
      <c r="BJ7" s="284">
        <v>42598249</v>
      </c>
      <c r="BK7" s="284"/>
      <c r="BL7" s="284">
        <v>42598249</v>
      </c>
      <c r="BM7" s="284"/>
      <c r="BN7" s="284">
        <v>42598249</v>
      </c>
      <c r="BO7" s="284"/>
      <c r="BP7" s="284">
        <v>42598249</v>
      </c>
      <c r="BQ7" s="284">
        <v>42598249</v>
      </c>
      <c r="BR7" s="284">
        <v>42598249</v>
      </c>
      <c r="BS7" s="284">
        <v>42598249</v>
      </c>
      <c r="BT7" s="284">
        <v>42598249</v>
      </c>
      <c r="BU7" s="284">
        <v>42598249</v>
      </c>
      <c r="BW7" s="6" t="s">
        <v>88</v>
      </c>
      <c r="BX7" s="284">
        <v>525359945</v>
      </c>
      <c r="BY7" s="284">
        <v>525359945</v>
      </c>
      <c r="BZ7" s="284">
        <v>450654040</v>
      </c>
      <c r="CA7" s="284">
        <v>398668924</v>
      </c>
      <c r="CB7" s="284"/>
      <c r="CC7" s="284"/>
      <c r="CD7" s="284"/>
      <c r="CE7" s="284"/>
      <c r="CF7" s="284">
        <v>609532873</v>
      </c>
      <c r="CG7" s="284">
        <v>609532873</v>
      </c>
      <c r="CH7" s="284">
        <v>521544797</v>
      </c>
      <c r="CI7" s="284">
        <v>514861343</v>
      </c>
      <c r="CJ7" s="284">
        <v>1134892818</v>
      </c>
      <c r="CK7" s="284">
        <v>1134892818</v>
      </c>
      <c r="CL7" s="284">
        <v>972198837</v>
      </c>
      <c r="CM7" s="284">
        <v>913530267</v>
      </c>
    </row>
    <row r="8" spans="1:91" ht="15.75" customHeight="1" x14ac:dyDescent="0.25">
      <c r="A8" s="9" t="s">
        <v>89</v>
      </c>
      <c r="B8" s="4">
        <v>40818571415</v>
      </c>
      <c r="C8" s="4">
        <v>0</v>
      </c>
      <c r="D8" s="4">
        <v>29572683318</v>
      </c>
      <c r="E8" s="4">
        <v>11245888097</v>
      </c>
      <c r="F8" s="4">
        <v>29565934242</v>
      </c>
      <c r="G8" s="7">
        <v>6749076</v>
      </c>
      <c r="H8" s="4">
        <v>29554839717</v>
      </c>
      <c r="I8" s="4">
        <v>29554839717</v>
      </c>
      <c r="P8" s="23" t="s">
        <v>19</v>
      </c>
      <c r="Q8" s="17" t="s">
        <v>25</v>
      </c>
      <c r="R8" s="18"/>
      <c r="S8" s="18" t="s">
        <v>84</v>
      </c>
      <c r="T8" s="19">
        <v>7055</v>
      </c>
      <c r="U8" s="16">
        <v>110</v>
      </c>
      <c r="V8" s="20">
        <v>1.5599999999999999E-2</v>
      </c>
      <c r="W8" s="26" t="s">
        <v>83</v>
      </c>
      <c r="X8" s="44" t="s">
        <v>29</v>
      </c>
      <c r="Y8" t="s">
        <v>30</v>
      </c>
      <c r="AC8" t="s">
        <v>90</v>
      </c>
      <c r="AD8">
        <v>2</v>
      </c>
      <c r="AE8">
        <v>0</v>
      </c>
      <c r="AF8">
        <v>0</v>
      </c>
      <c r="AG8" t="s">
        <v>30</v>
      </c>
      <c r="AM8" t="s">
        <v>91</v>
      </c>
      <c r="AN8" t="s">
        <v>92</v>
      </c>
      <c r="AO8">
        <v>2</v>
      </c>
      <c r="AP8">
        <v>0.25</v>
      </c>
      <c r="AQ8">
        <v>0.25</v>
      </c>
      <c r="BF8" s="165" t="s">
        <v>93</v>
      </c>
      <c r="BG8" s="284">
        <v>0</v>
      </c>
      <c r="BH8" s="284">
        <v>351756985</v>
      </c>
      <c r="BI8" s="284">
        <v>0</v>
      </c>
      <c r="BJ8" s="284">
        <v>349256985</v>
      </c>
      <c r="BK8" s="284">
        <v>0</v>
      </c>
      <c r="BL8" s="284">
        <v>116107106</v>
      </c>
      <c r="BM8" s="284">
        <v>0</v>
      </c>
      <c r="BN8" s="284">
        <v>43549910</v>
      </c>
      <c r="BO8" s="284">
        <v>0</v>
      </c>
      <c r="BP8" s="284">
        <v>43549910</v>
      </c>
      <c r="BQ8" s="284">
        <v>351756985</v>
      </c>
      <c r="BR8" s="284">
        <v>349256985</v>
      </c>
      <c r="BS8" s="284">
        <v>116107106</v>
      </c>
      <c r="BT8" s="284">
        <v>43549910</v>
      </c>
      <c r="BU8" s="284">
        <v>43549910</v>
      </c>
      <c r="BW8" s="6" t="s">
        <v>94</v>
      </c>
      <c r="BX8" s="284"/>
      <c r="BY8" s="284"/>
      <c r="BZ8" s="284"/>
      <c r="CA8" s="284"/>
      <c r="CB8" s="284"/>
      <c r="CC8" s="284"/>
      <c r="CD8" s="284"/>
      <c r="CE8" s="284"/>
      <c r="CF8" s="284">
        <v>0</v>
      </c>
      <c r="CG8" s="284">
        <v>0</v>
      </c>
      <c r="CH8" s="284">
        <v>0</v>
      </c>
      <c r="CI8" s="284">
        <v>0</v>
      </c>
      <c r="CJ8" s="284">
        <v>0</v>
      </c>
      <c r="CK8" s="284">
        <v>0</v>
      </c>
      <c r="CL8" s="284">
        <v>0</v>
      </c>
      <c r="CM8" s="284">
        <v>0</v>
      </c>
    </row>
    <row r="9" spans="1:91" ht="15" customHeight="1" x14ac:dyDescent="0.25">
      <c r="A9" s="10" t="s">
        <v>57</v>
      </c>
      <c r="B9" s="4">
        <v>40818571415</v>
      </c>
      <c r="C9" s="4">
        <v>0</v>
      </c>
      <c r="D9" s="4">
        <v>29572683318</v>
      </c>
      <c r="E9" s="4">
        <v>11245888097</v>
      </c>
      <c r="F9" s="4">
        <v>29565934242</v>
      </c>
      <c r="G9" s="7">
        <v>6749076</v>
      </c>
      <c r="H9" s="4">
        <v>29554839717</v>
      </c>
      <c r="I9" s="4">
        <v>29554839717</v>
      </c>
      <c r="P9" s="23" t="s">
        <v>19</v>
      </c>
      <c r="Q9" s="17" t="s">
        <v>25</v>
      </c>
      <c r="R9" s="18"/>
      <c r="S9" s="18" t="s">
        <v>95</v>
      </c>
      <c r="T9" s="19">
        <v>1</v>
      </c>
      <c r="U9" s="32">
        <v>0.3</v>
      </c>
      <c r="V9" s="20">
        <v>0.3</v>
      </c>
      <c r="W9" s="26" t="s">
        <v>76</v>
      </c>
      <c r="X9" s="44" t="s">
        <v>29</v>
      </c>
      <c r="Y9" t="s">
        <v>30</v>
      </c>
      <c r="AC9" t="s">
        <v>96</v>
      </c>
      <c r="AD9">
        <v>10</v>
      </c>
      <c r="AE9">
        <v>1</v>
      </c>
      <c r="AF9">
        <v>0.1</v>
      </c>
      <c r="AG9" t="s">
        <v>30</v>
      </c>
      <c r="AM9" t="s">
        <v>97</v>
      </c>
      <c r="AN9" t="s">
        <v>98</v>
      </c>
      <c r="AO9">
        <v>2</v>
      </c>
      <c r="AP9">
        <v>0</v>
      </c>
      <c r="AQ9">
        <v>0</v>
      </c>
      <c r="BF9" s="165" t="s">
        <v>99</v>
      </c>
      <c r="BG9" s="284">
        <v>895138537</v>
      </c>
      <c r="BH9" s="284"/>
      <c r="BI9" s="284">
        <v>818998398</v>
      </c>
      <c r="BJ9" s="284"/>
      <c r="BK9" s="284">
        <v>759136843</v>
      </c>
      <c r="BL9" s="284"/>
      <c r="BM9" s="284">
        <v>465548394</v>
      </c>
      <c r="BN9" s="284"/>
      <c r="BO9" s="284">
        <v>465548394</v>
      </c>
      <c r="BP9" s="284"/>
      <c r="BQ9" s="284">
        <v>895138537</v>
      </c>
      <c r="BR9" s="284">
        <v>818998398</v>
      </c>
      <c r="BS9" s="284">
        <v>759136843</v>
      </c>
      <c r="BT9" s="284">
        <v>465548394</v>
      </c>
      <c r="BU9" s="284">
        <v>465548394</v>
      </c>
      <c r="BW9" s="6" t="s">
        <v>100</v>
      </c>
      <c r="BX9" s="284">
        <v>0</v>
      </c>
      <c r="BY9" s="284">
        <v>0</v>
      </c>
      <c r="BZ9" s="284">
        <v>0</v>
      </c>
      <c r="CA9" s="284">
        <v>0</v>
      </c>
      <c r="CB9" s="284"/>
      <c r="CC9" s="284"/>
      <c r="CD9" s="284"/>
      <c r="CE9" s="284"/>
      <c r="CF9" s="284">
        <v>0</v>
      </c>
      <c r="CG9" s="284">
        <v>0</v>
      </c>
      <c r="CH9" s="284">
        <v>0</v>
      </c>
      <c r="CI9" s="284">
        <v>0</v>
      </c>
      <c r="CJ9" s="284">
        <v>0</v>
      </c>
      <c r="CK9" s="284">
        <v>0</v>
      </c>
      <c r="CL9" s="284">
        <v>0</v>
      </c>
      <c r="CM9" s="284">
        <v>0</v>
      </c>
    </row>
    <row r="10" spans="1:91" ht="15" customHeight="1" x14ac:dyDescent="0.25">
      <c r="A10" s="205" t="s">
        <v>101</v>
      </c>
      <c r="B10" s="4"/>
      <c r="C10" s="4"/>
      <c r="D10" s="4"/>
      <c r="E10" s="4"/>
      <c r="F10" s="4"/>
      <c r="G10" s="7"/>
      <c r="H10" s="4"/>
      <c r="I10" s="4"/>
      <c r="P10" s="16" t="s">
        <v>11</v>
      </c>
      <c r="Q10" s="17" t="s">
        <v>102</v>
      </c>
      <c r="R10" s="18" t="s">
        <v>103</v>
      </c>
      <c r="S10" s="18" t="s">
        <v>104</v>
      </c>
      <c r="T10" s="19">
        <v>1</v>
      </c>
      <c r="U10" s="27">
        <v>0.2</v>
      </c>
      <c r="V10" s="28">
        <v>0.2</v>
      </c>
      <c r="W10" s="26"/>
      <c r="X10" s="23" t="s">
        <v>105</v>
      </c>
      <c r="Y10" t="s">
        <v>30</v>
      </c>
      <c r="AC10" t="s">
        <v>106</v>
      </c>
      <c r="AD10">
        <v>5</v>
      </c>
      <c r="AE10">
        <v>5</v>
      </c>
      <c r="AF10">
        <v>1</v>
      </c>
      <c r="AG10" t="s">
        <v>30</v>
      </c>
      <c r="AM10" t="s">
        <v>97</v>
      </c>
      <c r="AN10" t="s">
        <v>107</v>
      </c>
      <c r="AO10">
        <v>2</v>
      </c>
      <c r="AP10">
        <v>0</v>
      </c>
      <c r="AQ10">
        <v>0</v>
      </c>
      <c r="BF10" s="165" t="s">
        <v>108</v>
      </c>
      <c r="BG10" s="284">
        <v>0</v>
      </c>
      <c r="BH10" s="284">
        <v>9086443</v>
      </c>
      <c r="BI10" s="284">
        <v>0</v>
      </c>
      <c r="BJ10" s="284">
        <v>9086443</v>
      </c>
      <c r="BK10" s="284">
        <v>0</v>
      </c>
      <c r="BL10" s="284">
        <v>9086443</v>
      </c>
      <c r="BM10" s="284">
        <v>0</v>
      </c>
      <c r="BN10" s="284">
        <v>9086443</v>
      </c>
      <c r="BO10" s="284">
        <v>0</v>
      </c>
      <c r="BP10" s="284">
        <v>9086443</v>
      </c>
      <c r="BQ10" s="284">
        <v>9086443</v>
      </c>
      <c r="BR10" s="284">
        <v>9086443</v>
      </c>
      <c r="BS10" s="284">
        <v>9086443</v>
      </c>
      <c r="BT10" s="284">
        <v>9086443</v>
      </c>
      <c r="BU10" s="284">
        <v>9086443</v>
      </c>
      <c r="BW10" s="6" t="s">
        <v>87</v>
      </c>
      <c r="BX10" s="284">
        <v>119156249</v>
      </c>
      <c r="BY10" s="284">
        <v>119156249</v>
      </c>
      <c r="BZ10" s="284">
        <v>86866249</v>
      </c>
      <c r="CA10" s="284">
        <v>86866249</v>
      </c>
      <c r="CB10" s="284"/>
      <c r="CC10" s="284"/>
      <c r="CD10" s="284"/>
      <c r="CE10" s="284"/>
      <c r="CF10" s="284">
        <v>85758000</v>
      </c>
      <c r="CG10" s="284">
        <v>85758000</v>
      </c>
      <c r="CH10" s="284">
        <v>73780000</v>
      </c>
      <c r="CI10" s="284">
        <v>73780000</v>
      </c>
      <c r="CJ10" s="284">
        <v>204914249</v>
      </c>
      <c r="CK10" s="284">
        <v>204914249</v>
      </c>
      <c r="CL10" s="284">
        <v>160646249</v>
      </c>
      <c r="CM10" s="284">
        <v>160646249</v>
      </c>
    </row>
    <row r="11" spans="1:91" ht="15.75" customHeight="1" x14ac:dyDescent="0.25">
      <c r="A11" s="9" t="s">
        <v>109</v>
      </c>
      <c r="B11" s="4">
        <v>20238686345</v>
      </c>
      <c r="C11" s="4">
        <v>0</v>
      </c>
      <c r="D11" s="4">
        <v>18390684921.849998</v>
      </c>
      <c r="E11" s="4">
        <v>1848001423.1500001</v>
      </c>
      <c r="F11" s="4">
        <v>17772693169.25</v>
      </c>
      <c r="G11" s="7">
        <v>617991752.59999847</v>
      </c>
      <c r="H11" s="4">
        <v>14522373513.42</v>
      </c>
      <c r="I11" s="4">
        <v>14400280145.42</v>
      </c>
      <c r="P11" s="16" t="s">
        <v>11</v>
      </c>
      <c r="Q11" s="17" t="s">
        <v>102</v>
      </c>
      <c r="R11" s="18" t="s">
        <v>110</v>
      </c>
      <c r="S11" s="18" t="s">
        <v>111</v>
      </c>
      <c r="T11" s="19">
        <v>11</v>
      </c>
      <c r="U11" s="23">
        <v>1</v>
      </c>
      <c r="V11" s="24">
        <f>1/11</f>
        <v>9.0909090909090912E-2</v>
      </c>
      <c r="W11" s="26"/>
      <c r="X11" s="23" t="s">
        <v>105</v>
      </c>
      <c r="Y11" t="s">
        <v>30</v>
      </c>
      <c r="AC11" t="s">
        <v>112</v>
      </c>
      <c r="AD11">
        <v>30</v>
      </c>
      <c r="AE11">
        <v>0</v>
      </c>
      <c r="AF11">
        <v>0</v>
      </c>
      <c r="AG11" t="s">
        <v>30</v>
      </c>
      <c r="AM11" t="s">
        <v>113</v>
      </c>
      <c r="AN11" t="s">
        <v>114</v>
      </c>
      <c r="AO11">
        <v>100</v>
      </c>
      <c r="AP11">
        <v>7</v>
      </c>
      <c r="AQ11">
        <v>7.0000000000000007E-2</v>
      </c>
      <c r="BF11" s="165" t="s">
        <v>115</v>
      </c>
      <c r="BG11" s="284">
        <v>9183567115</v>
      </c>
      <c r="BH11" s="284">
        <v>5287588194</v>
      </c>
      <c r="BI11" s="284">
        <v>9013600150.9799995</v>
      </c>
      <c r="BJ11" s="284">
        <v>5255894324</v>
      </c>
      <c r="BK11" s="284">
        <v>8089150222.7800007</v>
      </c>
      <c r="BL11" s="284">
        <v>5034796504.5299997</v>
      </c>
      <c r="BM11" s="284">
        <v>5955974804.7900009</v>
      </c>
      <c r="BN11" s="284">
        <v>4374988453.1999998</v>
      </c>
      <c r="BO11" s="284">
        <v>5953601899.7900009</v>
      </c>
      <c r="BP11" s="284">
        <v>4374988453.1999998</v>
      </c>
      <c r="BQ11" s="284">
        <v>14471155309</v>
      </c>
      <c r="BR11" s="284">
        <v>14269494474.98</v>
      </c>
      <c r="BS11" s="284">
        <v>13123946727.310001</v>
      </c>
      <c r="BT11" s="284">
        <v>10330963257.990002</v>
      </c>
      <c r="BU11" s="284">
        <v>10328590352.990002</v>
      </c>
      <c r="BW11" s="6" t="s">
        <v>116</v>
      </c>
      <c r="BX11" s="284">
        <v>40000000</v>
      </c>
      <c r="BY11" s="284">
        <v>0</v>
      </c>
      <c r="BZ11" s="284">
        <v>0</v>
      </c>
      <c r="CA11" s="284">
        <v>0</v>
      </c>
      <c r="CB11" s="284"/>
      <c r="CC11" s="284"/>
      <c r="CD11" s="284"/>
      <c r="CE11" s="284"/>
      <c r="CF11" s="284">
        <v>0</v>
      </c>
      <c r="CG11" s="284">
        <v>0</v>
      </c>
      <c r="CH11" s="284">
        <v>0</v>
      </c>
      <c r="CI11" s="284">
        <v>0</v>
      </c>
      <c r="CJ11" s="284">
        <v>40000000</v>
      </c>
      <c r="CK11" s="284">
        <v>0</v>
      </c>
      <c r="CL11" s="284">
        <v>0</v>
      </c>
      <c r="CM11" s="284">
        <v>0</v>
      </c>
    </row>
    <row r="12" spans="1:91" ht="15" customHeight="1" x14ac:dyDescent="0.25">
      <c r="A12" s="10" t="s">
        <v>57</v>
      </c>
      <c r="B12" s="4">
        <v>10884686345</v>
      </c>
      <c r="C12" s="4">
        <v>0</v>
      </c>
      <c r="D12" s="4">
        <v>10816500323.85</v>
      </c>
      <c r="E12" s="4">
        <v>68186021.150000006</v>
      </c>
      <c r="F12" s="4">
        <v>10476659011.25</v>
      </c>
      <c r="G12" s="7">
        <v>339841312.60000038</v>
      </c>
      <c r="H12" s="4">
        <v>8414620971.7600002</v>
      </c>
      <c r="I12" s="4">
        <v>8386845705.7600002</v>
      </c>
      <c r="P12" s="16" t="s">
        <v>11</v>
      </c>
      <c r="Q12" s="17" t="s">
        <v>102</v>
      </c>
      <c r="R12" s="18" t="s">
        <v>117</v>
      </c>
      <c r="S12" s="18" t="s">
        <v>118</v>
      </c>
      <c r="T12" s="19">
        <v>2</v>
      </c>
      <c r="U12" s="23">
        <v>0</v>
      </c>
      <c r="V12" s="20">
        <v>0</v>
      </c>
      <c r="W12" s="17"/>
      <c r="X12" s="23" t="s">
        <v>105</v>
      </c>
      <c r="Y12" t="s">
        <v>30</v>
      </c>
      <c r="AC12" t="s">
        <v>119</v>
      </c>
      <c r="AD12">
        <v>10</v>
      </c>
      <c r="AE12">
        <v>2</v>
      </c>
      <c r="AF12">
        <v>0.2</v>
      </c>
      <c r="AG12" t="s">
        <v>30</v>
      </c>
      <c r="AM12" t="s">
        <v>117</v>
      </c>
      <c r="AN12" t="s">
        <v>118</v>
      </c>
      <c r="AO12">
        <v>2</v>
      </c>
      <c r="AP12">
        <v>0</v>
      </c>
      <c r="AQ12">
        <v>0</v>
      </c>
      <c r="BF12" s="165" t="s">
        <v>120</v>
      </c>
      <c r="BG12" s="284">
        <v>1866167</v>
      </c>
      <c r="BH12" s="284"/>
      <c r="BI12" s="284">
        <v>0</v>
      </c>
      <c r="BJ12" s="284"/>
      <c r="BK12" s="284">
        <v>0</v>
      </c>
      <c r="BL12" s="284"/>
      <c r="BM12" s="284">
        <v>0</v>
      </c>
      <c r="BN12" s="284"/>
      <c r="BO12" s="284">
        <v>0</v>
      </c>
      <c r="BP12" s="284"/>
      <c r="BQ12" s="284">
        <v>1866167</v>
      </c>
      <c r="BR12" s="284">
        <v>0</v>
      </c>
      <c r="BS12" s="284">
        <v>0</v>
      </c>
      <c r="BT12" s="284">
        <v>0</v>
      </c>
      <c r="BU12" s="284">
        <v>0</v>
      </c>
      <c r="BW12" s="6" t="s">
        <v>93</v>
      </c>
      <c r="BX12" s="284">
        <v>776026754.40999997</v>
      </c>
      <c r="BY12" s="284">
        <v>320262947.94</v>
      </c>
      <c r="BZ12" s="284">
        <v>142346945</v>
      </c>
      <c r="CA12" s="284">
        <v>135016579</v>
      </c>
      <c r="CB12" s="284"/>
      <c r="CC12" s="284"/>
      <c r="CD12" s="284"/>
      <c r="CE12" s="284"/>
      <c r="CF12" s="284">
        <v>18329600</v>
      </c>
      <c r="CG12" s="284">
        <v>18329600</v>
      </c>
      <c r="CH12" s="284">
        <v>9798903.8699999992</v>
      </c>
      <c r="CI12" s="284">
        <v>9798903.8699999992</v>
      </c>
      <c r="CJ12" s="284">
        <v>794356354.40999997</v>
      </c>
      <c r="CK12" s="284">
        <v>338592547.94</v>
      </c>
      <c r="CL12" s="284">
        <v>152145848.87</v>
      </c>
      <c r="CM12" s="284">
        <v>144815482.87</v>
      </c>
    </row>
    <row r="13" spans="1:91" ht="15" customHeight="1" x14ac:dyDescent="0.25">
      <c r="A13" s="10" t="s">
        <v>121</v>
      </c>
      <c r="B13" s="4">
        <v>7737000000</v>
      </c>
      <c r="C13" s="4">
        <v>0</v>
      </c>
      <c r="D13" s="4">
        <v>5957184598</v>
      </c>
      <c r="E13" s="4">
        <v>1779815402</v>
      </c>
      <c r="F13" s="4">
        <v>5679034158</v>
      </c>
      <c r="G13" s="7">
        <v>278150440</v>
      </c>
      <c r="H13" s="4">
        <v>4777752541.6599998</v>
      </c>
      <c r="I13" s="4">
        <v>4683434439.6599998</v>
      </c>
      <c r="P13" s="23" t="s">
        <v>19</v>
      </c>
      <c r="Q13" s="17" t="s">
        <v>102</v>
      </c>
      <c r="R13" s="18"/>
      <c r="S13" s="18" t="s">
        <v>96</v>
      </c>
      <c r="T13" s="19">
        <v>10</v>
      </c>
      <c r="U13" s="19">
        <v>1</v>
      </c>
      <c r="V13" s="24">
        <f>1/10</f>
        <v>0.1</v>
      </c>
      <c r="W13" s="17"/>
      <c r="X13" s="23" t="s">
        <v>105</v>
      </c>
      <c r="Y13" t="s">
        <v>30</v>
      </c>
      <c r="AC13" t="s">
        <v>122</v>
      </c>
      <c r="AD13">
        <v>22</v>
      </c>
      <c r="AE13">
        <v>6</v>
      </c>
      <c r="AF13">
        <v>0.2727</v>
      </c>
      <c r="AG13" t="s">
        <v>30</v>
      </c>
      <c r="AM13" t="s">
        <v>123</v>
      </c>
      <c r="AN13" t="s">
        <v>123</v>
      </c>
      <c r="AO13">
        <v>2</v>
      </c>
      <c r="AP13">
        <v>0</v>
      </c>
      <c r="AQ13">
        <v>0</v>
      </c>
      <c r="BF13" t="s">
        <v>124</v>
      </c>
      <c r="BG13" s="284"/>
      <c r="BH13" s="284">
        <v>25481652</v>
      </c>
      <c r="BI13" s="284"/>
      <c r="BJ13" s="284">
        <v>25481652</v>
      </c>
      <c r="BK13" s="284"/>
      <c r="BL13" s="284">
        <v>25481652</v>
      </c>
      <c r="BM13" s="284"/>
      <c r="BN13" s="284">
        <v>16745086</v>
      </c>
      <c r="BO13" s="284"/>
      <c r="BP13" s="284">
        <v>16745086</v>
      </c>
      <c r="BQ13" s="284">
        <v>25481652</v>
      </c>
      <c r="BR13" s="284">
        <v>25481652</v>
      </c>
      <c r="BS13" s="284">
        <v>25481652</v>
      </c>
      <c r="BT13" s="284">
        <v>16745086</v>
      </c>
      <c r="BU13" s="284">
        <v>16745086</v>
      </c>
      <c r="BW13" s="6" t="s">
        <v>125</v>
      </c>
      <c r="BX13" s="284">
        <v>248413202</v>
      </c>
      <c r="BY13" s="284">
        <v>248413201</v>
      </c>
      <c r="BZ13" s="284">
        <v>232188034</v>
      </c>
      <c r="CA13" s="284">
        <v>232188034</v>
      </c>
      <c r="CB13" s="284"/>
      <c r="CC13" s="284"/>
      <c r="CD13" s="284"/>
      <c r="CE13" s="284"/>
      <c r="CF13" s="284">
        <v>710755105</v>
      </c>
      <c r="CG13" s="284">
        <v>95425251</v>
      </c>
      <c r="CH13" s="284">
        <v>17707050</v>
      </c>
      <c r="CI13" s="284">
        <v>7966351</v>
      </c>
      <c r="CJ13" s="284">
        <v>959168307</v>
      </c>
      <c r="CK13" s="284">
        <v>343838452</v>
      </c>
      <c r="CL13" s="284">
        <v>249895084</v>
      </c>
      <c r="CM13" s="284">
        <v>240154385</v>
      </c>
    </row>
    <row r="14" spans="1:91" ht="15" customHeight="1" x14ac:dyDescent="0.25">
      <c r="A14" s="10" t="s">
        <v>126</v>
      </c>
      <c r="B14" s="4">
        <v>1617000000</v>
      </c>
      <c r="C14" s="4">
        <v>0</v>
      </c>
      <c r="D14" s="4">
        <v>1617000000</v>
      </c>
      <c r="E14" s="4">
        <v>0</v>
      </c>
      <c r="F14" s="4">
        <v>1617000000</v>
      </c>
      <c r="G14" s="7">
        <v>0</v>
      </c>
      <c r="H14" s="4">
        <v>1330000000</v>
      </c>
      <c r="I14" s="4">
        <v>1330000000</v>
      </c>
      <c r="P14" s="16" t="s">
        <v>11</v>
      </c>
      <c r="Q14" s="17" t="s">
        <v>127</v>
      </c>
      <c r="R14" s="18" t="s">
        <v>128</v>
      </c>
      <c r="S14" s="18" t="s">
        <v>129</v>
      </c>
      <c r="T14" s="22">
        <v>0.9</v>
      </c>
      <c r="U14" s="46">
        <v>0.495</v>
      </c>
      <c r="V14" s="22">
        <f t="shared" ref="V14:V33" si="0">(U14/T14)</f>
        <v>0.54999999999999993</v>
      </c>
      <c r="W14" s="17"/>
      <c r="X14" s="44" t="s">
        <v>130</v>
      </c>
      <c r="Y14" t="s">
        <v>60</v>
      </c>
      <c r="AC14" t="s">
        <v>131</v>
      </c>
      <c r="AD14">
        <v>6100000</v>
      </c>
      <c r="AE14">
        <v>0</v>
      </c>
      <c r="AF14">
        <v>0</v>
      </c>
      <c r="AG14" t="s">
        <v>30</v>
      </c>
      <c r="AM14" t="s">
        <v>132</v>
      </c>
      <c r="AN14" t="s">
        <v>132</v>
      </c>
      <c r="AO14">
        <v>2</v>
      </c>
      <c r="AP14">
        <v>0</v>
      </c>
      <c r="AQ14">
        <v>0</v>
      </c>
      <c r="BF14" t="s">
        <v>116</v>
      </c>
      <c r="BG14" s="284"/>
      <c r="BH14" s="284">
        <v>40000000</v>
      </c>
      <c r="BI14" s="284"/>
      <c r="BJ14" s="284">
        <v>40000000</v>
      </c>
      <c r="BK14" s="284"/>
      <c r="BL14" s="284">
        <v>0</v>
      </c>
      <c r="BM14" s="284"/>
      <c r="BN14" s="284">
        <v>0</v>
      </c>
      <c r="BO14" s="284"/>
      <c r="BP14" s="284">
        <v>0</v>
      </c>
      <c r="BQ14" s="284">
        <v>40000000</v>
      </c>
      <c r="BR14" s="284">
        <v>40000000</v>
      </c>
      <c r="BS14" s="284">
        <v>0</v>
      </c>
      <c r="BT14" s="284">
        <v>0</v>
      </c>
      <c r="BU14" s="284">
        <v>0</v>
      </c>
      <c r="BW14" s="6" t="s">
        <v>133</v>
      </c>
      <c r="BX14" s="284">
        <v>117774174</v>
      </c>
      <c r="BY14" s="284">
        <v>117774174</v>
      </c>
      <c r="BZ14" s="284">
        <v>117529828</v>
      </c>
      <c r="CA14" s="284">
        <v>117529828</v>
      </c>
      <c r="CB14" s="284"/>
      <c r="CC14" s="284"/>
      <c r="CD14" s="284"/>
      <c r="CE14" s="284"/>
      <c r="CF14" s="284">
        <v>937950160.82000005</v>
      </c>
      <c r="CG14" s="284">
        <v>921657768.82000005</v>
      </c>
      <c r="CH14" s="284">
        <v>736483665.82000005</v>
      </c>
      <c r="CI14" s="284">
        <v>679030682.82000005</v>
      </c>
      <c r="CJ14" s="284">
        <v>1055724334.8200001</v>
      </c>
      <c r="CK14" s="284">
        <v>1039431942.8200001</v>
      </c>
      <c r="CL14" s="284">
        <v>854013493.82000005</v>
      </c>
      <c r="CM14" s="284">
        <v>796560510.82000005</v>
      </c>
    </row>
    <row r="15" spans="1:91" ht="15" customHeight="1" x14ac:dyDescent="0.25">
      <c r="A15" s="205" t="s">
        <v>134</v>
      </c>
      <c r="B15" s="4"/>
      <c r="C15" s="4"/>
      <c r="D15" s="4"/>
      <c r="E15" s="4"/>
      <c r="F15" s="4"/>
      <c r="G15" s="7"/>
      <c r="H15" s="4"/>
      <c r="I15" s="4"/>
      <c r="P15" s="16" t="s">
        <v>11</v>
      </c>
      <c r="Q15" s="17" t="s">
        <v>127</v>
      </c>
      <c r="R15" s="18" t="s">
        <v>97</v>
      </c>
      <c r="S15" s="18" t="s">
        <v>98</v>
      </c>
      <c r="T15" s="19">
        <v>2</v>
      </c>
      <c r="U15" s="19">
        <v>0</v>
      </c>
      <c r="V15" s="22">
        <f t="shared" si="0"/>
        <v>0</v>
      </c>
      <c r="W15" s="17"/>
      <c r="X15" s="44" t="s">
        <v>135</v>
      </c>
      <c r="Y15" t="s">
        <v>30</v>
      </c>
      <c r="AC15" t="s">
        <v>136</v>
      </c>
      <c r="AD15">
        <v>0.25</v>
      </c>
      <c r="AE15">
        <v>0.03</v>
      </c>
      <c r="AF15">
        <v>0.12</v>
      </c>
      <c r="AG15" t="s">
        <v>60</v>
      </c>
      <c r="AM15" t="s">
        <v>137</v>
      </c>
      <c r="AN15" t="s">
        <v>137</v>
      </c>
      <c r="AO15">
        <v>22</v>
      </c>
      <c r="AP15">
        <v>9</v>
      </c>
      <c r="AQ15">
        <v>0.40909090909090912</v>
      </c>
      <c r="BF15" t="s">
        <v>138</v>
      </c>
      <c r="BG15" s="284">
        <v>10080571819</v>
      </c>
      <c r="BH15" s="284">
        <v>5758225746</v>
      </c>
      <c r="BI15" s="284">
        <v>9832598548.9799995</v>
      </c>
      <c r="BJ15" s="284">
        <v>5723754687</v>
      </c>
      <c r="BK15" s="284">
        <v>8848287065.7800007</v>
      </c>
      <c r="BL15" s="284">
        <v>5229506988.5299997</v>
      </c>
      <c r="BM15" s="284">
        <v>6421523198.7900009</v>
      </c>
      <c r="BN15" s="284">
        <v>4488405175.1999998</v>
      </c>
      <c r="BO15" s="284">
        <v>6419150293.7900009</v>
      </c>
      <c r="BP15" s="284">
        <v>4488405175.1999998</v>
      </c>
      <c r="BQ15" s="284">
        <v>15838797565</v>
      </c>
      <c r="BR15" s="284">
        <v>15556353235.98</v>
      </c>
      <c r="BS15" s="284">
        <v>14077794054.310001</v>
      </c>
      <c r="BT15" s="284">
        <v>10909928373.990002</v>
      </c>
      <c r="BU15" s="284">
        <v>10907555468.990002</v>
      </c>
      <c r="BW15" s="6" t="s">
        <v>99</v>
      </c>
      <c r="BX15" s="284">
        <v>171544207</v>
      </c>
      <c r="BY15" s="284">
        <v>171544207</v>
      </c>
      <c r="BZ15" s="284">
        <v>141018987</v>
      </c>
      <c r="CA15" s="284">
        <v>138077207</v>
      </c>
      <c r="CB15" s="284"/>
      <c r="CC15" s="284"/>
      <c r="CD15" s="284"/>
      <c r="CE15" s="284"/>
      <c r="CF15" s="284">
        <v>2629280944.9699998</v>
      </c>
      <c r="CG15" s="284">
        <v>2346833043.4099998</v>
      </c>
      <c r="CH15" s="284">
        <v>1674677169.1700001</v>
      </c>
      <c r="CI15" s="284">
        <v>1608645465.1700001</v>
      </c>
      <c r="CJ15" s="284">
        <v>2800825151.9699998</v>
      </c>
      <c r="CK15" s="284">
        <v>2518377250.4099998</v>
      </c>
      <c r="CL15" s="284">
        <v>1815696156.1700001</v>
      </c>
      <c r="CM15" s="284">
        <v>1746722672.1700001</v>
      </c>
    </row>
    <row r="16" spans="1:91" ht="15" customHeight="1" x14ac:dyDescent="0.25">
      <c r="A16" s="9" t="s">
        <v>139</v>
      </c>
      <c r="B16" s="4">
        <v>52000000</v>
      </c>
      <c r="C16" s="4">
        <v>0</v>
      </c>
      <c r="D16" s="4">
        <v>0</v>
      </c>
      <c r="E16" s="4">
        <v>52000000</v>
      </c>
      <c r="F16" s="4">
        <v>0</v>
      </c>
      <c r="G16" s="7">
        <v>0</v>
      </c>
      <c r="H16" s="4">
        <v>0</v>
      </c>
      <c r="I16" s="4">
        <v>0</v>
      </c>
      <c r="P16" s="16" t="s">
        <v>11</v>
      </c>
      <c r="Q16" s="17" t="s">
        <v>127</v>
      </c>
      <c r="R16" s="18" t="s">
        <v>97</v>
      </c>
      <c r="S16" s="18" t="s">
        <v>107</v>
      </c>
      <c r="T16" s="19">
        <v>2</v>
      </c>
      <c r="U16" s="19">
        <v>0</v>
      </c>
      <c r="V16" s="22">
        <f t="shared" si="0"/>
        <v>0</v>
      </c>
      <c r="W16" s="17"/>
      <c r="X16" s="44" t="s">
        <v>135</v>
      </c>
      <c r="Y16" t="s">
        <v>30</v>
      </c>
      <c r="AC16" t="s">
        <v>140</v>
      </c>
      <c r="AD16">
        <v>2</v>
      </c>
      <c r="AE16">
        <v>0</v>
      </c>
      <c r="AF16">
        <v>0</v>
      </c>
      <c r="AG16" t="s">
        <v>30</v>
      </c>
      <c r="AM16" t="s">
        <v>141</v>
      </c>
      <c r="AN16" t="s">
        <v>142</v>
      </c>
      <c r="AO16">
        <v>120000</v>
      </c>
      <c r="AP16">
        <v>2241</v>
      </c>
      <c r="AQ16">
        <v>1.8675000000000001E-2</v>
      </c>
      <c r="BW16" s="6" t="s">
        <v>143</v>
      </c>
      <c r="BX16" s="284">
        <v>67198875</v>
      </c>
      <c r="BY16" s="284">
        <v>53163622</v>
      </c>
      <c r="BZ16" s="284">
        <v>37617541</v>
      </c>
      <c r="CA16" s="284">
        <v>29364744</v>
      </c>
      <c r="CB16" s="284"/>
      <c r="CC16" s="284"/>
      <c r="CD16" s="284"/>
      <c r="CE16" s="284"/>
      <c r="CF16" s="284">
        <v>174494211</v>
      </c>
      <c r="CG16" s="284">
        <v>174494211</v>
      </c>
      <c r="CH16" s="284">
        <v>162050000</v>
      </c>
      <c r="CI16" s="284">
        <v>162050000</v>
      </c>
      <c r="CJ16" s="284">
        <v>241693086</v>
      </c>
      <c r="CK16" s="284">
        <v>227657833</v>
      </c>
      <c r="CL16" s="284">
        <v>199667541</v>
      </c>
      <c r="CM16" s="284">
        <v>191414744</v>
      </c>
    </row>
    <row r="17" spans="1:91" ht="15" customHeight="1" x14ac:dyDescent="0.25">
      <c r="A17" s="10" t="s">
        <v>121</v>
      </c>
      <c r="B17" s="4">
        <v>52000000</v>
      </c>
      <c r="C17" s="4">
        <v>0</v>
      </c>
      <c r="D17" s="4">
        <v>0</v>
      </c>
      <c r="E17" s="4">
        <v>52000000</v>
      </c>
      <c r="F17" s="4">
        <v>0</v>
      </c>
      <c r="G17" s="7">
        <v>0</v>
      </c>
      <c r="H17" s="4">
        <v>0</v>
      </c>
      <c r="I17" s="4">
        <v>0</v>
      </c>
      <c r="P17" s="16" t="s">
        <v>11</v>
      </c>
      <c r="Q17" s="17" t="s">
        <v>127</v>
      </c>
      <c r="R17" s="18" t="s">
        <v>144</v>
      </c>
      <c r="S17" s="18" t="s">
        <v>145</v>
      </c>
      <c r="T17" s="19">
        <v>1</v>
      </c>
      <c r="U17" s="19">
        <v>0</v>
      </c>
      <c r="V17" s="22">
        <f t="shared" si="0"/>
        <v>0</v>
      </c>
      <c r="W17" s="17"/>
      <c r="X17" s="44" t="s">
        <v>135</v>
      </c>
      <c r="Y17" t="s">
        <v>30</v>
      </c>
      <c r="AC17" t="s">
        <v>146</v>
      </c>
      <c r="AD17">
        <v>1</v>
      </c>
      <c r="AE17">
        <v>0.16250000000000001</v>
      </c>
      <c r="AF17">
        <v>0.16250000000000001</v>
      </c>
      <c r="AG17" t="s">
        <v>60</v>
      </c>
      <c r="AM17" t="s">
        <v>147</v>
      </c>
      <c r="AN17" t="s">
        <v>148</v>
      </c>
      <c r="AO17">
        <v>28</v>
      </c>
      <c r="AP17">
        <v>6</v>
      </c>
      <c r="AQ17">
        <v>0.21429999999999999</v>
      </c>
      <c r="BW17" s="6" t="s">
        <v>149</v>
      </c>
      <c r="BX17" s="284"/>
      <c r="BY17" s="284"/>
      <c r="BZ17" s="284"/>
      <c r="CA17" s="284"/>
      <c r="CB17" s="284"/>
      <c r="CC17" s="284"/>
      <c r="CD17" s="284"/>
      <c r="CE17" s="284"/>
      <c r="CF17" s="284">
        <v>142473412</v>
      </c>
      <c r="CG17" s="284">
        <v>129473412</v>
      </c>
      <c r="CH17" s="284">
        <v>103695832</v>
      </c>
      <c r="CI17" s="284">
        <v>93106559</v>
      </c>
      <c r="CJ17" s="284">
        <v>142473412</v>
      </c>
      <c r="CK17" s="284">
        <v>129473412</v>
      </c>
      <c r="CL17" s="284">
        <v>103695832</v>
      </c>
      <c r="CM17" s="284">
        <v>93106559</v>
      </c>
    </row>
    <row r="18" spans="1:91" ht="15" customHeight="1" x14ac:dyDescent="0.25">
      <c r="A18" s="9" t="s">
        <v>150</v>
      </c>
      <c r="B18" s="4">
        <v>242402700</v>
      </c>
      <c r="C18" s="4">
        <v>0</v>
      </c>
      <c r="D18" s="4">
        <v>181484915</v>
      </c>
      <c r="E18" s="4">
        <v>60917785</v>
      </c>
      <c r="F18" s="4">
        <v>149615419</v>
      </c>
      <c r="G18" s="7">
        <v>31869496</v>
      </c>
      <c r="H18" s="4">
        <v>140129641</v>
      </c>
      <c r="I18" s="4">
        <v>140129641</v>
      </c>
      <c r="P18" s="16" t="s">
        <v>11</v>
      </c>
      <c r="Q18" s="17" t="s">
        <v>127</v>
      </c>
      <c r="R18" s="18" t="s">
        <v>151</v>
      </c>
      <c r="S18" s="18" t="s">
        <v>152</v>
      </c>
      <c r="T18" s="19">
        <v>677</v>
      </c>
      <c r="U18" s="19">
        <v>0</v>
      </c>
      <c r="V18" s="22">
        <f t="shared" si="0"/>
        <v>0</v>
      </c>
      <c r="W18" s="17"/>
      <c r="X18" s="44" t="s">
        <v>153</v>
      </c>
      <c r="Y18" t="s">
        <v>30</v>
      </c>
      <c r="AC18" t="s">
        <v>154</v>
      </c>
      <c r="AD18">
        <v>0.9</v>
      </c>
      <c r="AE18">
        <v>0.1</v>
      </c>
      <c r="AF18">
        <v>0.11111111111111112</v>
      </c>
      <c r="AG18" t="s">
        <v>60</v>
      </c>
      <c r="AM18" t="s">
        <v>110</v>
      </c>
      <c r="AN18" t="s">
        <v>111</v>
      </c>
      <c r="AO18">
        <v>11</v>
      </c>
      <c r="AP18">
        <v>1</v>
      </c>
      <c r="AQ18">
        <v>9.0909090909090912E-2</v>
      </c>
      <c r="BW18" s="6" t="s">
        <v>155</v>
      </c>
      <c r="BX18" s="284">
        <v>125895224</v>
      </c>
      <c r="BY18" s="284">
        <v>125895224</v>
      </c>
      <c r="BZ18" s="284">
        <v>118965891</v>
      </c>
      <c r="CA18" s="284">
        <v>113768891</v>
      </c>
      <c r="CB18" s="284"/>
      <c r="CC18" s="284"/>
      <c r="CD18" s="284"/>
      <c r="CE18" s="284"/>
      <c r="CF18" s="284"/>
      <c r="CG18" s="284"/>
      <c r="CH18" s="284"/>
      <c r="CI18" s="284"/>
      <c r="CJ18" s="284">
        <v>125895224</v>
      </c>
      <c r="CK18" s="284">
        <v>125895224</v>
      </c>
      <c r="CL18" s="284">
        <v>118965891</v>
      </c>
      <c r="CM18" s="284">
        <v>113768891</v>
      </c>
    </row>
    <row r="19" spans="1:91" ht="15" customHeight="1" x14ac:dyDescent="0.25">
      <c r="A19" s="10" t="s">
        <v>57</v>
      </c>
      <c r="B19" s="4">
        <v>242402700</v>
      </c>
      <c r="C19" s="4">
        <v>0</v>
      </c>
      <c r="D19" s="4">
        <v>181484915</v>
      </c>
      <c r="E19" s="4">
        <v>60917785</v>
      </c>
      <c r="F19" s="4">
        <v>149615419</v>
      </c>
      <c r="G19" s="7">
        <v>31869496</v>
      </c>
      <c r="H19" s="4">
        <v>140129641</v>
      </c>
      <c r="I19" s="4">
        <v>140129641</v>
      </c>
      <c r="P19" s="23" t="s">
        <v>19</v>
      </c>
      <c r="Q19" s="17" t="s">
        <v>127</v>
      </c>
      <c r="R19" s="18"/>
      <c r="S19" s="18" t="s">
        <v>119</v>
      </c>
      <c r="T19" s="19">
        <v>10</v>
      </c>
      <c r="U19" s="19">
        <v>2</v>
      </c>
      <c r="V19" s="22">
        <f t="shared" si="0"/>
        <v>0.2</v>
      </c>
      <c r="W19" s="17"/>
      <c r="X19" s="44" t="s">
        <v>156</v>
      </c>
      <c r="Y19" t="s">
        <v>30</v>
      </c>
      <c r="AC19" t="s">
        <v>157</v>
      </c>
      <c r="AD19">
        <v>25</v>
      </c>
      <c r="AE19">
        <v>0.17499999999999999</v>
      </c>
      <c r="AF19">
        <v>0.7</v>
      </c>
      <c r="AG19" t="s">
        <v>30</v>
      </c>
      <c r="AM19" t="s">
        <v>81</v>
      </c>
      <c r="AN19" t="s">
        <v>82</v>
      </c>
      <c r="AO19">
        <v>8078</v>
      </c>
      <c r="AP19">
        <v>110</v>
      </c>
      <c r="AQ19">
        <v>1.3599999999999999E-2</v>
      </c>
      <c r="BW19" s="6" t="s">
        <v>158</v>
      </c>
      <c r="BX19" s="284">
        <v>83495404</v>
      </c>
      <c r="BY19" s="284">
        <v>15647940</v>
      </c>
      <c r="BZ19" s="284">
        <v>0</v>
      </c>
      <c r="CA19" s="284">
        <v>0</v>
      </c>
      <c r="CB19" s="284"/>
      <c r="CC19" s="284"/>
      <c r="CD19" s="284"/>
      <c r="CE19" s="284"/>
      <c r="CF19" s="284">
        <v>565729862</v>
      </c>
      <c r="CG19" s="284">
        <v>565729862</v>
      </c>
      <c r="CH19" s="284">
        <v>487868500</v>
      </c>
      <c r="CI19" s="284">
        <v>482834982</v>
      </c>
      <c r="CJ19" s="284">
        <v>649225266</v>
      </c>
      <c r="CK19" s="284">
        <v>581377802</v>
      </c>
      <c r="CL19" s="284">
        <v>487868500</v>
      </c>
      <c r="CM19" s="284">
        <v>482834982</v>
      </c>
    </row>
    <row r="20" spans="1:91" ht="15" customHeight="1" x14ac:dyDescent="0.25">
      <c r="A20" s="9" t="s">
        <v>159</v>
      </c>
      <c r="B20" s="4">
        <v>721000000</v>
      </c>
      <c r="C20" s="4">
        <v>0</v>
      </c>
      <c r="D20" s="4">
        <v>1505209.62</v>
      </c>
      <c r="E20" s="4">
        <v>719494790.38</v>
      </c>
      <c r="F20" s="4">
        <v>1505209.62</v>
      </c>
      <c r="G20" s="7">
        <v>0</v>
      </c>
      <c r="H20" s="4">
        <v>1505209.62</v>
      </c>
      <c r="I20" s="4">
        <v>1505209.62</v>
      </c>
      <c r="P20" s="23" t="s">
        <v>19</v>
      </c>
      <c r="Q20" s="17" t="s">
        <v>127</v>
      </c>
      <c r="R20" s="18"/>
      <c r="S20" s="18" t="s">
        <v>112</v>
      </c>
      <c r="T20" s="19">
        <v>30</v>
      </c>
      <c r="U20" s="19">
        <v>0</v>
      </c>
      <c r="V20" s="22">
        <f t="shared" si="0"/>
        <v>0</v>
      </c>
      <c r="W20" s="17"/>
      <c r="X20" s="44" t="s">
        <v>135</v>
      </c>
      <c r="Y20" t="s">
        <v>30</v>
      </c>
      <c r="AC20" t="s">
        <v>160</v>
      </c>
      <c r="AD20">
        <v>0.9</v>
      </c>
      <c r="AE20">
        <v>0</v>
      </c>
      <c r="AF20">
        <v>0</v>
      </c>
      <c r="AG20" t="s">
        <v>60</v>
      </c>
      <c r="AM20" t="s">
        <v>151</v>
      </c>
      <c r="AN20" t="s">
        <v>152</v>
      </c>
      <c r="AO20">
        <v>677</v>
      </c>
      <c r="AP20">
        <v>0</v>
      </c>
      <c r="AQ20">
        <v>0</v>
      </c>
      <c r="BW20" s="6" t="s">
        <v>161</v>
      </c>
      <c r="BX20" s="284">
        <v>920502639</v>
      </c>
      <c r="BY20" s="284">
        <v>920502639</v>
      </c>
      <c r="BZ20" s="284">
        <v>905407882</v>
      </c>
      <c r="CA20" s="284">
        <v>900424837</v>
      </c>
      <c r="CB20" s="284"/>
      <c r="CC20" s="284"/>
      <c r="CD20" s="284"/>
      <c r="CE20" s="284"/>
      <c r="CF20" s="284">
        <v>338302153.77999997</v>
      </c>
      <c r="CG20" s="284">
        <v>317125564.77999997</v>
      </c>
      <c r="CH20" s="284">
        <v>200671209.78</v>
      </c>
      <c r="CI20" s="284">
        <v>200671209.78</v>
      </c>
      <c r="CJ20" s="284">
        <v>1258804792.78</v>
      </c>
      <c r="CK20" s="284">
        <v>1237628203.78</v>
      </c>
      <c r="CL20" s="284">
        <v>1106079091.78</v>
      </c>
      <c r="CM20" s="284">
        <v>1101096046.78</v>
      </c>
    </row>
    <row r="21" spans="1:91" ht="15" customHeight="1" x14ac:dyDescent="0.25">
      <c r="A21" s="10" t="s">
        <v>121</v>
      </c>
      <c r="B21" s="4">
        <v>721000000</v>
      </c>
      <c r="C21" s="4">
        <v>0</v>
      </c>
      <c r="D21" s="4">
        <v>1505209.62</v>
      </c>
      <c r="E21" s="4">
        <v>719494790.38</v>
      </c>
      <c r="F21" s="4">
        <v>1505209.62</v>
      </c>
      <c r="G21" s="7">
        <v>0</v>
      </c>
      <c r="H21" s="4">
        <v>1505209.62</v>
      </c>
      <c r="I21" s="4">
        <v>1505209.62</v>
      </c>
      <c r="P21" s="23" t="s">
        <v>19</v>
      </c>
      <c r="Q21" s="17" t="s">
        <v>127</v>
      </c>
      <c r="R21" s="18"/>
      <c r="S21" s="18" t="s">
        <v>146</v>
      </c>
      <c r="T21" s="22">
        <v>1</v>
      </c>
      <c r="U21" s="24">
        <v>0.16250000000000001</v>
      </c>
      <c r="V21" s="24">
        <f t="shared" si="0"/>
        <v>0.16250000000000001</v>
      </c>
      <c r="W21" s="17"/>
      <c r="X21" s="44" t="s">
        <v>162</v>
      </c>
      <c r="Y21" t="s">
        <v>60</v>
      </c>
      <c r="AC21" t="s">
        <v>163</v>
      </c>
      <c r="AD21">
        <v>1</v>
      </c>
      <c r="AE21">
        <v>0.2</v>
      </c>
      <c r="AF21">
        <v>0.2</v>
      </c>
      <c r="AG21" t="s">
        <v>60</v>
      </c>
      <c r="AM21" t="s">
        <v>103</v>
      </c>
      <c r="AN21" t="s">
        <v>104</v>
      </c>
      <c r="AO21">
        <v>1</v>
      </c>
      <c r="AP21">
        <v>0.2</v>
      </c>
      <c r="AQ21">
        <v>0.2</v>
      </c>
      <c r="BW21" s="6" t="s">
        <v>108</v>
      </c>
      <c r="BX21" s="284">
        <v>2673351930.52</v>
      </c>
      <c r="BY21" s="284">
        <v>2588235720.52</v>
      </c>
      <c r="BZ21" s="284">
        <v>2191662961.8800001</v>
      </c>
      <c r="CA21" s="284">
        <v>2041440639.3800001</v>
      </c>
      <c r="CB21" s="284"/>
      <c r="CC21" s="284"/>
      <c r="CD21" s="284"/>
      <c r="CE21" s="284"/>
      <c r="CF21" s="284">
        <v>3968264664.7399998</v>
      </c>
      <c r="CG21" s="284">
        <v>3769474484.7399998</v>
      </c>
      <c r="CH21" s="284">
        <v>2435105364.3800001</v>
      </c>
      <c r="CI21" s="284">
        <v>2420977278.3800001</v>
      </c>
      <c r="CJ21" s="284">
        <v>6641616595.2600002</v>
      </c>
      <c r="CK21" s="284">
        <v>6357710205.2600002</v>
      </c>
      <c r="CL21" s="284">
        <v>4626768326.2600002</v>
      </c>
      <c r="CM21" s="284">
        <v>4462417917.7600002</v>
      </c>
    </row>
    <row r="22" spans="1:91" ht="15" customHeight="1" x14ac:dyDescent="0.25">
      <c r="A22" s="9" t="s">
        <v>164</v>
      </c>
      <c r="B22" s="4">
        <v>4590312563</v>
      </c>
      <c r="C22" s="4">
        <v>4590312563</v>
      </c>
      <c r="D22" s="4">
        <v>0</v>
      </c>
      <c r="E22" s="4">
        <v>0</v>
      </c>
      <c r="F22" s="4">
        <v>0</v>
      </c>
      <c r="G22" s="7">
        <v>0</v>
      </c>
      <c r="H22" s="4">
        <v>0</v>
      </c>
      <c r="I22" s="4">
        <v>0</v>
      </c>
      <c r="P22" s="23" t="s">
        <v>19</v>
      </c>
      <c r="Q22" s="17" t="s">
        <v>127</v>
      </c>
      <c r="R22" s="18"/>
      <c r="S22" s="18" t="s">
        <v>165</v>
      </c>
      <c r="T22" s="19">
        <v>2</v>
      </c>
      <c r="U22" s="19">
        <v>0</v>
      </c>
      <c r="V22" s="22">
        <f t="shared" si="0"/>
        <v>0</v>
      </c>
      <c r="W22" s="17"/>
      <c r="X22" s="44" t="s">
        <v>156</v>
      </c>
      <c r="Y22" t="s">
        <v>30</v>
      </c>
      <c r="AC22" t="s">
        <v>165</v>
      </c>
      <c r="AD22">
        <v>2</v>
      </c>
      <c r="AE22">
        <v>0</v>
      </c>
      <c r="AF22">
        <v>0</v>
      </c>
      <c r="AG22" t="s">
        <v>30</v>
      </c>
      <c r="AM22" t="s">
        <v>166</v>
      </c>
      <c r="AN22" t="s">
        <v>167</v>
      </c>
      <c r="AO22">
        <v>1</v>
      </c>
      <c r="AP22">
        <v>0.09</v>
      </c>
      <c r="AQ22">
        <v>0.09</v>
      </c>
      <c r="BW22" s="6" t="s">
        <v>115</v>
      </c>
      <c r="BX22" s="284">
        <v>9778242553</v>
      </c>
      <c r="BY22" s="284">
        <v>9082194681.0300007</v>
      </c>
      <c r="BZ22" s="284">
        <v>7274335526.9899998</v>
      </c>
      <c r="CA22" s="284">
        <v>7147035784.9899998</v>
      </c>
      <c r="CB22" s="284"/>
      <c r="CC22" s="284"/>
      <c r="CD22" s="284"/>
      <c r="CE22" s="284"/>
      <c r="CF22" s="284">
        <v>16360708473.98</v>
      </c>
      <c r="CG22" s="284">
        <v>13539704943.780001</v>
      </c>
      <c r="CH22" s="284">
        <v>9646186588.6800003</v>
      </c>
      <c r="CI22" s="284">
        <v>9492481619.6800003</v>
      </c>
      <c r="CJ22" s="284">
        <v>26138951026.98</v>
      </c>
      <c r="CK22" s="284">
        <v>22621899624.810001</v>
      </c>
      <c r="CL22" s="284">
        <v>16920522115.67</v>
      </c>
      <c r="CM22" s="284">
        <v>16639517404.67</v>
      </c>
    </row>
    <row r="23" spans="1:91" ht="15" customHeight="1" x14ac:dyDescent="0.25">
      <c r="A23" s="10" t="s">
        <v>57</v>
      </c>
      <c r="B23" s="4">
        <v>3015344783</v>
      </c>
      <c r="C23" s="4">
        <v>3015344783</v>
      </c>
      <c r="D23" s="4">
        <v>0</v>
      </c>
      <c r="E23" s="4">
        <v>0</v>
      </c>
      <c r="F23" s="4">
        <v>0</v>
      </c>
      <c r="G23" s="7">
        <v>0</v>
      </c>
      <c r="H23" s="4">
        <v>0</v>
      </c>
      <c r="I23" s="4">
        <v>0</v>
      </c>
      <c r="P23" s="23" t="s">
        <v>19</v>
      </c>
      <c r="Q23" s="17" t="s">
        <v>127</v>
      </c>
      <c r="R23" s="18"/>
      <c r="S23" s="18" t="s">
        <v>168</v>
      </c>
      <c r="T23" s="19">
        <v>20</v>
      </c>
      <c r="U23" s="19">
        <v>0</v>
      </c>
      <c r="V23" s="22">
        <f t="shared" si="0"/>
        <v>0</v>
      </c>
      <c r="W23" s="17"/>
      <c r="X23" s="44" t="s">
        <v>169</v>
      </c>
      <c r="Y23" t="s">
        <v>30</v>
      </c>
      <c r="AC23" t="s">
        <v>95</v>
      </c>
      <c r="AD23">
        <v>1</v>
      </c>
      <c r="AE23">
        <v>0.3</v>
      </c>
      <c r="AF23">
        <v>0.3</v>
      </c>
      <c r="AG23" t="s">
        <v>30</v>
      </c>
      <c r="AM23" t="s">
        <v>144</v>
      </c>
      <c r="AN23" t="s">
        <v>145</v>
      </c>
      <c r="AO23">
        <v>1</v>
      </c>
      <c r="AP23">
        <v>0</v>
      </c>
      <c r="AQ23">
        <v>0</v>
      </c>
      <c r="BW23" s="6" t="s">
        <v>170</v>
      </c>
      <c r="BX23" s="284">
        <v>181947323</v>
      </c>
      <c r="BY23" s="284">
        <v>181687569</v>
      </c>
      <c r="BZ23" s="284">
        <v>127178403</v>
      </c>
      <c r="CA23" s="284">
        <v>115681580</v>
      </c>
      <c r="CB23" s="284"/>
      <c r="CC23" s="284"/>
      <c r="CD23" s="284"/>
      <c r="CE23" s="284"/>
      <c r="CF23" s="284">
        <v>651862514</v>
      </c>
      <c r="CG23" s="284">
        <v>651862514</v>
      </c>
      <c r="CH23" s="284">
        <v>567290855</v>
      </c>
      <c r="CI23" s="284">
        <v>564619372</v>
      </c>
      <c r="CJ23" s="284">
        <v>833809837</v>
      </c>
      <c r="CK23" s="284">
        <v>833550083</v>
      </c>
      <c r="CL23" s="284">
        <v>694469258</v>
      </c>
      <c r="CM23" s="284">
        <v>680300952</v>
      </c>
    </row>
    <row r="24" spans="1:91" ht="15.75" customHeight="1" x14ac:dyDescent="0.25">
      <c r="A24" s="10" t="s">
        <v>126</v>
      </c>
      <c r="B24" s="4">
        <v>1574967780</v>
      </c>
      <c r="C24" s="4">
        <v>1574967780</v>
      </c>
      <c r="D24" s="4">
        <v>0</v>
      </c>
      <c r="E24" s="4">
        <v>0</v>
      </c>
      <c r="F24" s="4">
        <v>0</v>
      </c>
      <c r="G24" s="7">
        <v>0</v>
      </c>
      <c r="H24" s="4">
        <v>0</v>
      </c>
      <c r="I24" s="4">
        <v>0</v>
      </c>
      <c r="P24" s="23" t="s">
        <v>19</v>
      </c>
      <c r="Q24" s="17" t="s">
        <v>127</v>
      </c>
      <c r="R24" s="18"/>
      <c r="S24" s="18" t="s">
        <v>154</v>
      </c>
      <c r="T24" s="22">
        <v>0.9</v>
      </c>
      <c r="U24" s="22">
        <v>0.1</v>
      </c>
      <c r="V24" s="24">
        <f t="shared" si="0"/>
        <v>0.11111111111111112</v>
      </c>
      <c r="W24" s="17"/>
      <c r="X24" s="44" t="s">
        <v>135</v>
      </c>
      <c r="Y24" t="s">
        <v>60</v>
      </c>
      <c r="AC24" t="s">
        <v>168</v>
      </c>
      <c r="AD24">
        <v>20</v>
      </c>
      <c r="AE24">
        <v>0</v>
      </c>
      <c r="AF24">
        <v>0</v>
      </c>
      <c r="AG24" t="s">
        <v>30</v>
      </c>
      <c r="AM24" t="s">
        <v>171</v>
      </c>
      <c r="AN24" t="s">
        <v>172</v>
      </c>
      <c r="AO24">
        <v>3050000</v>
      </c>
      <c r="AP24">
        <v>590400</v>
      </c>
      <c r="AQ24">
        <v>0.19357377049180327</v>
      </c>
      <c r="BW24" s="6" t="s">
        <v>120</v>
      </c>
      <c r="BX24" s="284">
        <v>1120367264.7</v>
      </c>
      <c r="BY24" s="284">
        <v>1111012730.7</v>
      </c>
      <c r="BZ24" s="284">
        <v>1015915875.7</v>
      </c>
      <c r="CA24" s="284">
        <v>946315968.70000005</v>
      </c>
      <c r="CB24" s="284"/>
      <c r="CC24" s="284"/>
      <c r="CD24" s="284"/>
      <c r="CE24" s="284"/>
      <c r="CF24" s="284">
        <v>984147955.41999996</v>
      </c>
      <c r="CG24" s="284">
        <v>787659579.41999996</v>
      </c>
      <c r="CH24" s="284">
        <v>739854396.41999996</v>
      </c>
      <c r="CI24" s="284">
        <v>388818396.42000002</v>
      </c>
      <c r="CJ24" s="284">
        <v>2104515220.1199999</v>
      </c>
      <c r="CK24" s="284">
        <v>1898672310.1199999</v>
      </c>
      <c r="CL24" s="284">
        <v>1755770272.1199999</v>
      </c>
      <c r="CM24" s="284">
        <v>1335134365.1200001</v>
      </c>
    </row>
    <row r="25" spans="1:91" ht="15.75" customHeight="1" x14ac:dyDescent="0.25">
      <c r="A25" s="206" t="s">
        <v>173</v>
      </c>
      <c r="B25" s="4"/>
      <c r="C25" s="4"/>
      <c r="D25" s="4"/>
      <c r="E25" s="4"/>
      <c r="F25" s="4"/>
      <c r="G25" s="7"/>
      <c r="H25" s="4"/>
      <c r="I25" s="4"/>
      <c r="P25" s="23" t="s">
        <v>19</v>
      </c>
      <c r="Q25" s="17" t="s">
        <v>127</v>
      </c>
      <c r="R25" s="18"/>
      <c r="S25" s="18" t="s">
        <v>106</v>
      </c>
      <c r="T25" s="19">
        <v>5</v>
      </c>
      <c r="U25" s="19">
        <v>5</v>
      </c>
      <c r="V25" s="22">
        <f t="shared" si="0"/>
        <v>1</v>
      </c>
      <c r="W25" s="17"/>
      <c r="X25" s="44" t="s">
        <v>130</v>
      </c>
      <c r="Y25" t="s">
        <v>30</v>
      </c>
      <c r="AC25" t="s">
        <v>174</v>
      </c>
      <c r="AD25">
        <v>22</v>
      </c>
      <c r="AE25">
        <v>9</v>
      </c>
      <c r="AF25">
        <v>0.40909090909090912</v>
      </c>
      <c r="AG25" t="s">
        <v>30</v>
      </c>
      <c r="AM25" t="s">
        <v>175</v>
      </c>
      <c r="AN25" t="s">
        <v>176</v>
      </c>
      <c r="AO25">
        <v>283000</v>
      </c>
      <c r="AP25">
        <v>0</v>
      </c>
      <c r="AQ25">
        <v>0</v>
      </c>
      <c r="BW25" s="6" t="s">
        <v>177</v>
      </c>
      <c r="BX25" s="284">
        <v>107223722</v>
      </c>
      <c r="BY25" s="284">
        <v>101660327</v>
      </c>
      <c r="BZ25" s="284">
        <v>65261199</v>
      </c>
      <c r="CA25" s="284">
        <v>61620963</v>
      </c>
      <c r="CB25" s="284"/>
      <c r="CC25" s="284"/>
      <c r="CD25" s="284"/>
      <c r="CE25" s="284"/>
      <c r="CF25" s="284">
        <v>770719378</v>
      </c>
      <c r="CG25" s="284">
        <v>763096798</v>
      </c>
      <c r="CH25" s="284">
        <v>663065159</v>
      </c>
      <c r="CI25" s="284">
        <v>640902974</v>
      </c>
      <c r="CJ25" s="284">
        <v>877943100</v>
      </c>
      <c r="CK25" s="284">
        <v>864757125</v>
      </c>
      <c r="CL25" s="284">
        <v>728326358</v>
      </c>
      <c r="CM25" s="284">
        <v>702523937</v>
      </c>
    </row>
    <row r="26" spans="1:91" ht="15" customHeight="1" x14ac:dyDescent="0.25">
      <c r="A26" s="9" t="s">
        <v>178</v>
      </c>
      <c r="B26" s="4">
        <v>679304913</v>
      </c>
      <c r="C26" s="4">
        <v>0</v>
      </c>
      <c r="D26" s="4">
        <v>679304913</v>
      </c>
      <c r="E26" s="4">
        <v>0</v>
      </c>
      <c r="F26" s="4">
        <v>280000000</v>
      </c>
      <c r="G26" s="7">
        <v>399304913</v>
      </c>
      <c r="H26" s="4">
        <v>280000000</v>
      </c>
      <c r="I26" s="4">
        <v>280000000</v>
      </c>
      <c r="P26" s="23" t="s">
        <v>19</v>
      </c>
      <c r="Q26" s="17" t="s">
        <v>127</v>
      </c>
      <c r="R26" s="18"/>
      <c r="S26" s="18" t="s">
        <v>51</v>
      </c>
      <c r="T26" s="19">
        <v>8000</v>
      </c>
      <c r="U26" s="54">
        <v>2980</v>
      </c>
      <c r="V26" s="24">
        <f t="shared" si="0"/>
        <v>0.3725</v>
      </c>
      <c r="W26" s="17"/>
      <c r="X26" s="44" t="s">
        <v>130</v>
      </c>
      <c r="Y26" t="s">
        <v>30</v>
      </c>
      <c r="AM26" t="s">
        <v>175</v>
      </c>
      <c r="AN26" t="s">
        <v>179</v>
      </c>
      <c r="AO26">
        <v>5000000</v>
      </c>
      <c r="AP26">
        <v>101437.34</v>
      </c>
      <c r="AQ26">
        <v>2.0299999999999999E-2</v>
      </c>
      <c r="BW26" s="6" t="s">
        <v>124</v>
      </c>
      <c r="BX26" s="284">
        <v>1820563912.72</v>
      </c>
      <c r="BY26" s="284">
        <v>1800891777.76</v>
      </c>
      <c r="BZ26" s="284">
        <v>1443561387.24</v>
      </c>
      <c r="CA26" s="284">
        <v>1374992330.24</v>
      </c>
      <c r="CB26" s="284"/>
      <c r="CC26" s="284"/>
      <c r="CD26" s="284"/>
      <c r="CE26" s="284"/>
      <c r="CF26" s="284">
        <v>1875928548</v>
      </c>
      <c r="CG26" s="284">
        <v>1875928548</v>
      </c>
      <c r="CH26" s="284">
        <v>1704774055</v>
      </c>
      <c r="CI26" s="284">
        <v>1628631274</v>
      </c>
      <c r="CJ26" s="284">
        <v>3696492460.7200003</v>
      </c>
      <c r="CK26" s="284">
        <v>3676820325.7600002</v>
      </c>
      <c r="CL26" s="284">
        <v>3148335442.2399998</v>
      </c>
      <c r="CM26" s="284">
        <v>3003623604.2399998</v>
      </c>
    </row>
    <row r="27" spans="1:91" ht="15" customHeight="1" x14ac:dyDescent="0.25">
      <c r="A27" s="10" t="s">
        <v>121</v>
      </c>
      <c r="B27" s="4">
        <v>280000000</v>
      </c>
      <c r="C27" s="4">
        <v>0</v>
      </c>
      <c r="D27" s="4">
        <v>280000000</v>
      </c>
      <c r="E27" s="4">
        <v>0</v>
      </c>
      <c r="F27" s="4">
        <v>280000000</v>
      </c>
      <c r="G27" s="7">
        <v>0</v>
      </c>
      <c r="H27" s="4">
        <v>280000000</v>
      </c>
      <c r="I27" s="4">
        <v>280000000</v>
      </c>
      <c r="P27" s="23" t="s">
        <v>19</v>
      </c>
      <c r="Q27" s="17" t="s">
        <v>127</v>
      </c>
      <c r="R27" s="18"/>
      <c r="S27" s="18" t="s">
        <v>77</v>
      </c>
      <c r="T27" s="19">
        <v>1</v>
      </c>
      <c r="U27" s="19">
        <v>0</v>
      </c>
      <c r="V27" s="56">
        <f t="shared" si="0"/>
        <v>0</v>
      </c>
      <c r="W27" s="17"/>
      <c r="X27" s="44" t="s">
        <v>180</v>
      </c>
      <c r="Y27" t="s">
        <v>30</v>
      </c>
      <c r="AM27" t="s">
        <v>175</v>
      </c>
      <c r="AN27" t="s">
        <v>181</v>
      </c>
      <c r="AO27">
        <v>5000000</v>
      </c>
      <c r="AP27">
        <v>244705.47</v>
      </c>
      <c r="AQ27">
        <v>4.8899999999999999E-2</v>
      </c>
      <c r="BW27" s="6" t="s">
        <v>561</v>
      </c>
      <c r="BX27" s="284"/>
      <c r="BY27" s="284"/>
      <c r="BZ27" s="284"/>
      <c r="CA27" s="284"/>
      <c r="CB27" s="284">
        <v>18933730358.029999</v>
      </c>
      <c r="CC27" s="284">
        <v>12863502707.17</v>
      </c>
      <c r="CD27" s="284">
        <v>2542404768.9499998</v>
      </c>
      <c r="CE27" s="284">
        <v>2527304214.9499998</v>
      </c>
      <c r="CF27" s="284"/>
      <c r="CG27" s="284"/>
      <c r="CH27" s="284"/>
      <c r="CI27" s="284"/>
      <c r="CJ27" s="284">
        <v>18933730358.029999</v>
      </c>
      <c r="CK27" s="284">
        <v>12863502707.17</v>
      </c>
      <c r="CL27" s="284">
        <v>2542404768.9499998</v>
      </c>
      <c r="CM27" s="284">
        <v>2527304214.9499998</v>
      </c>
    </row>
    <row r="28" spans="1:91" ht="15" customHeight="1" x14ac:dyDescent="0.25">
      <c r="A28" s="10" t="s">
        <v>126</v>
      </c>
      <c r="B28" s="4">
        <v>399304913</v>
      </c>
      <c r="C28" s="4">
        <v>0</v>
      </c>
      <c r="D28" s="4">
        <v>399304913</v>
      </c>
      <c r="E28" s="4">
        <v>0</v>
      </c>
      <c r="F28" s="4">
        <v>0</v>
      </c>
      <c r="G28" s="7">
        <v>399304913</v>
      </c>
      <c r="H28" s="4">
        <v>0</v>
      </c>
      <c r="I28" s="4">
        <v>0</v>
      </c>
      <c r="P28" s="16" t="s">
        <v>11</v>
      </c>
      <c r="Q28" s="17" t="s">
        <v>182</v>
      </c>
      <c r="R28" s="18" t="s">
        <v>132</v>
      </c>
      <c r="S28" s="18" t="s">
        <v>132</v>
      </c>
      <c r="T28" s="19">
        <v>2</v>
      </c>
      <c r="U28" s="19">
        <v>0</v>
      </c>
      <c r="V28" s="56">
        <f t="shared" si="0"/>
        <v>0</v>
      </c>
      <c r="W28" s="17"/>
      <c r="X28" s="44" t="s">
        <v>183</v>
      </c>
      <c r="Y28" t="s">
        <v>30</v>
      </c>
      <c r="AM28" t="s">
        <v>175</v>
      </c>
      <c r="AN28" t="s">
        <v>95</v>
      </c>
      <c r="AO28">
        <v>1</v>
      </c>
      <c r="AP28">
        <v>0</v>
      </c>
      <c r="AQ28">
        <v>0</v>
      </c>
      <c r="BW28" s="6" t="s">
        <v>564</v>
      </c>
      <c r="BX28" s="284"/>
      <c r="BY28" s="284"/>
      <c r="BZ28" s="284"/>
      <c r="CA28" s="284"/>
      <c r="CB28" s="284">
        <v>41516935448.989998</v>
      </c>
      <c r="CC28" s="284">
        <v>16725809571.26</v>
      </c>
      <c r="CD28" s="284">
        <v>4963677517.0799999</v>
      </c>
      <c r="CE28" s="284">
        <v>4942028711.0799999</v>
      </c>
      <c r="CF28" s="284"/>
      <c r="CG28" s="284"/>
      <c r="CH28" s="284"/>
      <c r="CI28" s="284"/>
      <c r="CJ28" s="284">
        <v>41516935448.989998</v>
      </c>
      <c r="CK28" s="284">
        <v>16725809571.26</v>
      </c>
      <c r="CL28" s="284">
        <v>4963677517.0799999</v>
      </c>
      <c r="CM28" s="284">
        <v>4942028711.0799999</v>
      </c>
    </row>
    <row r="29" spans="1:91" ht="15" customHeight="1" x14ac:dyDescent="0.25">
      <c r="A29" s="9" t="s">
        <v>184</v>
      </c>
      <c r="B29" s="4">
        <v>779313655</v>
      </c>
      <c r="C29" s="4">
        <v>0</v>
      </c>
      <c r="D29" s="4">
        <v>448117873</v>
      </c>
      <c r="E29" s="4">
        <v>331195782</v>
      </c>
      <c r="F29" s="4">
        <v>447996873</v>
      </c>
      <c r="G29" s="7">
        <v>121000</v>
      </c>
      <c r="H29" s="4">
        <v>443604873</v>
      </c>
      <c r="I29" s="4">
        <v>443604873</v>
      </c>
      <c r="P29" s="16" t="s">
        <v>11</v>
      </c>
      <c r="Q29" s="17" t="s">
        <v>182</v>
      </c>
      <c r="R29" s="18" t="s">
        <v>123</v>
      </c>
      <c r="S29" s="18" t="s">
        <v>123</v>
      </c>
      <c r="T29" s="19">
        <v>2</v>
      </c>
      <c r="U29" s="19">
        <v>0</v>
      </c>
      <c r="V29" s="56">
        <f t="shared" si="0"/>
        <v>0</v>
      </c>
      <c r="W29" s="17"/>
      <c r="X29" s="44" t="s">
        <v>183</v>
      </c>
      <c r="Y29" t="s">
        <v>30</v>
      </c>
      <c r="AM29" t="s">
        <v>26</v>
      </c>
      <c r="AN29" t="s">
        <v>49</v>
      </c>
      <c r="AO29">
        <v>1000684</v>
      </c>
      <c r="AP29">
        <v>133742</v>
      </c>
      <c r="AQ29">
        <v>0.1336</v>
      </c>
      <c r="BW29" s="6" t="s">
        <v>138</v>
      </c>
      <c r="BX29" s="284">
        <v>19776928438.350002</v>
      </c>
      <c r="BY29" s="284">
        <v>18361518103.950001</v>
      </c>
      <c r="BZ29" s="284">
        <v>15125266882.809999</v>
      </c>
      <c r="CA29" s="284">
        <v>14581995913.309999</v>
      </c>
      <c r="CB29" s="284">
        <v>60450665807.019997</v>
      </c>
      <c r="CC29" s="284">
        <v>29589312278.43</v>
      </c>
      <c r="CD29" s="284">
        <v>7506082286.0299997</v>
      </c>
      <c r="CE29" s="284">
        <v>7469332926.0299997</v>
      </c>
      <c r="CF29" s="284">
        <v>31253817809.709999</v>
      </c>
      <c r="CG29" s="284">
        <v>27058109778.949997</v>
      </c>
      <c r="CH29" s="284">
        <v>20087061727.119999</v>
      </c>
      <c r="CI29" s="284">
        <v>19300458066.120003</v>
      </c>
      <c r="CJ29" s="284">
        <v>111481412055.07999</v>
      </c>
      <c r="CK29" s="284">
        <v>75008940161.330002</v>
      </c>
      <c r="CL29" s="284">
        <v>42718410895.959999</v>
      </c>
      <c r="CM29" s="284">
        <v>41351786905.459999</v>
      </c>
    </row>
    <row r="30" spans="1:91" ht="15" customHeight="1" x14ac:dyDescent="0.25">
      <c r="A30" s="10" t="s">
        <v>57</v>
      </c>
      <c r="B30" s="4">
        <v>310313655</v>
      </c>
      <c r="C30" s="4">
        <v>0</v>
      </c>
      <c r="D30" s="4">
        <v>309236554</v>
      </c>
      <c r="E30" s="4">
        <v>1077101</v>
      </c>
      <c r="F30" s="4">
        <v>309236554</v>
      </c>
      <c r="G30" s="7">
        <v>0</v>
      </c>
      <c r="H30" s="4">
        <v>304844554</v>
      </c>
      <c r="I30" s="4">
        <v>304844554</v>
      </c>
      <c r="P30" s="16" t="s">
        <v>11</v>
      </c>
      <c r="Q30" s="17" t="s">
        <v>182</v>
      </c>
      <c r="R30" s="18" t="s">
        <v>137</v>
      </c>
      <c r="S30" s="18" t="s">
        <v>137</v>
      </c>
      <c r="T30" s="19">
        <v>22</v>
      </c>
      <c r="U30" s="55">
        <v>9</v>
      </c>
      <c r="V30" s="57">
        <f t="shared" si="0"/>
        <v>0.40909090909090912</v>
      </c>
      <c r="W30" s="17"/>
      <c r="X30" s="44" t="s">
        <v>183</v>
      </c>
      <c r="Y30" t="s">
        <v>30</v>
      </c>
      <c r="AM30" t="s">
        <v>26</v>
      </c>
      <c r="AN30" t="s">
        <v>27</v>
      </c>
      <c r="AO30">
        <v>2</v>
      </c>
      <c r="AP30">
        <v>2</v>
      </c>
      <c r="AQ30">
        <v>0.4</v>
      </c>
    </row>
    <row r="31" spans="1:91" ht="15" customHeight="1" x14ac:dyDescent="0.25">
      <c r="A31" s="10" t="s">
        <v>121</v>
      </c>
      <c r="B31" s="4">
        <v>469000000</v>
      </c>
      <c r="C31" s="4">
        <v>0</v>
      </c>
      <c r="D31" s="4">
        <v>138881319</v>
      </c>
      <c r="E31" s="4">
        <v>330118681</v>
      </c>
      <c r="F31" s="4">
        <v>138760319</v>
      </c>
      <c r="G31" s="7">
        <v>121000</v>
      </c>
      <c r="H31" s="4">
        <v>138760319</v>
      </c>
      <c r="I31" s="4">
        <v>138760319</v>
      </c>
      <c r="P31" s="23" t="s">
        <v>19</v>
      </c>
      <c r="Q31" s="17" t="s">
        <v>182</v>
      </c>
      <c r="R31" s="18"/>
      <c r="S31" s="18" t="s">
        <v>90</v>
      </c>
      <c r="T31" s="19">
        <v>2</v>
      </c>
      <c r="U31" s="19">
        <v>0</v>
      </c>
      <c r="V31" s="56">
        <f t="shared" si="0"/>
        <v>0</v>
      </c>
      <c r="W31" s="17"/>
      <c r="X31" s="44" t="s">
        <v>183</v>
      </c>
      <c r="Y31" t="s">
        <v>30</v>
      </c>
      <c r="AM31" t="s">
        <v>26</v>
      </c>
      <c r="AN31" t="s">
        <v>40</v>
      </c>
      <c r="AO31">
        <v>14037</v>
      </c>
      <c r="AP31">
        <v>0</v>
      </c>
      <c r="AQ31">
        <v>0</v>
      </c>
    </row>
    <row r="32" spans="1:91" ht="15" customHeight="1" x14ac:dyDescent="0.25">
      <c r="A32" s="141" t="s">
        <v>185</v>
      </c>
      <c r="B32" s="4">
        <v>210063832018</v>
      </c>
      <c r="C32" s="4">
        <v>0</v>
      </c>
      <c r="D32" s="4">
        <v>111481412055.08002</v>
      </c>
      <c r="E32" s="4">
        <v>98582419962.919983</v>
      </c>
      <c r="F32" s="4">
        <v>75008940161.330002</v>
      </c>
      <c r="G32" s="7">
        <v>36472471893.750015</v>
      </c>
      <c r="H32" s="4">
        <v>42718410895.960007</v>
      </c>
      <c r="I32" s="4">
        <v>41351786905.460007</v>
      </c>
      <c r="P32" s="23" t="s">
        <v>19</v>
      </c>
      <c r="Q32" s="17" t="s">
        <v>182</v>
      </c>
      <c r="R32" s="18"/>
      <c r="S32" s="18" t="s">
        <v>174</v>
      </c>
      <c r="T32" s="19">
        <v>22</v>
      </c>
      <c r="U32" s="55">
        <v>9</v>
      </c>
      <c r="V32" s="57">
        <f t="shared" si="0"/>
        <v>0.40909090909090912</v>
      </c>
      <c r="W32" s="17"/>
      <c r="X32" s="44" t="s">
        <v>183</v>
      </c>
      <c r="Y32" t="s">
        <v>30</v>
      </c>
      <c r="AM32" t="s">
        <v>26</v>
      </c>
      <c r="AN32" t="s">
        <v>75</v>
      </c>
      <c r="AO32">
        <v>1</v>
      </c>
      <c r="AP32">
        <v>0.3</v>
      </c>
      <c r="AQ32">
        <v>0.3</v>
      </c>
    </row>
    <row r="33" spans="1:43" ht="15" customHeight="1" x14ac:dyDescent="0.25">
      <c r="A33" s="8" t="s">
        <v>185</v>
      </c>
      <c r="B33" s="4"/>
      <c r="C33" s="4"/>
      <c r="D33" s="4"/>
      <c r="E33" s="4"/>
      <c r="F33" s="4"/>
      <c r="G33" s="7"/>
      <c r="H33" s="4"/>
      <c r="I33" s="4"/>
      <c r="P33" s="23" t="s">
        <v>19</v>
      </c>
      <c r="Q33" s="17" t="s">
        <v>182</v>
      </c>
      <c r="R33" s="18"/>
      <c r="S33" s="18" t="s">
        <v>140</v>
      </c>
      <c r="T33" s="19">
        <v>2</v>
      </c>
      <c r="U33" s="19">
        <v>0</v>
      </c>
      <c r="V33" s="56">
        <f t="shared" si="0"/>
        <v>0</v>
      </c>
      <c r="W33" s="17"/>
      <c r="X33" s="44" t="s">
        <v>183</v>
      </c>
      <c r="Y33" t="s">
        <v>30</v>
      </c>
      <c r="AM33" t="s">
        <v>26</v>
      </c>
      <c r="AN33" t="s">
        <v>58</v>
      </c>
      <c r="AO33">
        <v>1</v>
      </c>
      <c r="AP33">
        <v>545</v>
      </c>
      <c r="AQ33">
        <v>0.155</v>
      </c>
    </row>
    <row r="34" spans="1:43" ht="15" customHeight="1" x14ac:dyDescent="0.25">
      <c r="A34" s="9" t="s">
        <v>186</v>
      </c>
      <c r="B34" s="4">
        <v>173295099562</v>
      </c>
      <c r="C34" s="4">
        <v>0</v>
      </c>
      <c r="D34" s="4">
        <v>89390441985.970001</v>
      </c>
      <c r="E34" s="4">
        <v>83904657576.029999</v>
      </c>
      <c r="F34" s="4">
        <v>54729589153.650002</v>
      </c>
      <c r="G34" s="7">
        <v>34660852832.32</v>
      </c>
      <c r="H34" s="4">
        <v>26242300557.869999</v>
      </c>
      <c r="I34" s="4">
        <v>25855573002.869999</v>
      </c>
      <c r="P34" s="16" t="s">
        <v>11</v>
      </c>
      <c r="Q34" s="17" t="s">
        <v>187</v>
      </c>
      <c r="R34" s="33" t="s">
        <v>188</v>
      </c>
      <c r="S34" s="18" t="s">
        <v>189</v>
      </c>
      <c r="T34" s="19">
        <v>3</v>
      </c>
      <c r="U34" s="16">
        <v>0.17</v>
      </c>
      <c r="V34" s="20">
        <v>0.17330000000000001</v>
      </c>
      <c r="W34" s="17"/>
      <c r="X34" s="44" t="s">
        <v>162</v>
      </c>
      <c r="Y34" t="s">
        <v>30</v>
      </c>
      <c r="AM34" t="s">
        <v>190</v>
      </c>
      <c r="AN34" t="s">
        <v>191</v>
      </c>
      <c r="AO34">
        <v>200</v>
      </c>
      <c r="AP34">
        <v>0</v>
      </c>
      <c r="AQ34">
        <v>0</v>
      </c>
    </row>
    <row r="35" spans="1:43" ht="15" customHeight="1" x14ac:dyDescent="0.25">
      <c r="A35" s="10" t="s">
        <v>121</v>
      </c>
      <c r="B35" s="4">
        <v>28514586583</v>
      </c>
      <c r="C35" s="4">
        <v>0</v>
      </c>
      <c r="D35" s="4">
        <v>18989989418.950001</v>
      </c>
      <c r="E35" s="4">
        <v>9524597164.0499992</v>
      </c>
      <c r="F35" s="4">
        <v>15886537987.190001</v>
      </c>
      <c r="G35" s="7">
        <v>3103451431.7600002</v>
      </c>
      <c r="H35" s="4">
        <v>11320863757.85</v>
      </c>
      <c r="I35" s="4">
        <v>11101127084.85</v>
      </c>
      <c r="P35" s="16" t="s">
        <v>11</v>
      </c>
      <c r="Q35" s="17" t="s">
        <v>187</v>
      </c>
      <c r="R35" s="18" t="s">
        <v>91</v>
      </c>
      <c r="S35" s="18" t="s">
        <v>92</v>
      </c>
      <c r="T35" s="19">
        <v>2</v>
      </c>
      <c r="U35" s="16">
        <v>0.25</v>
      </c>
      <c r="V35" s="20">
        <v>0.25</v>
      </c>
      <c r="W35" s="21"/>
      <c r="X35" s="44" t="s">
        <v>162</v>
      </c>
      <c r="Y35" t="s">
        <v>30</v>
      </c>
      <c r="AM35" t="s">
        <v>192</v>
      </c>
      <c r="AN35" t="s">
        <v>193</v>
      </c>
      <c r="AO35">
        <v>32</v>
      </c>
      <c r="AP35">
        <v>0</v>
      </c>
      <c r="AQ35">
        <v>0</v>
      </c>
    </row>
    <row r="36" spans="1:43" ht="15" customHeight="1" x14ac:dyDescent="0.25">
      <c r="A36" s="10" t="s">
        <v>126</v>
      </c>
      <c r="B36" s="4">
        <v>10334515783</v>
      </c>
      <c r="C36" s="4">
        <v>0</v>
      </c>
      <c r="D36" s="4">
        <v>9949786760</v>
      </c>
      <c r="E36" s="4">
        <v>384729023</v>
      </c>
      <c r="F36" s="4">
        <v>9253738888.0300007</v>
      </c>
      <c r="G36" s="7">
        <v>696047871.96999931</v>
      </c>
      <c r="H36" s="4">
        <v>7415354513.9899998</v>
      </c>
      <c r="I36" s="4">
        <v>7285112991.9899998</v>
      </c>
      <c r="P36" s="23" t="s">
        <v>19</v>
      </c>
      <c r="Q36" s="17" t="s">
        <v>187</v>
      </c>
      <c r="R36" s="18"/>
      <c r="S36" s="18" t="s">
        <v>122</v>
      </c>
      <c r="T36" s="19">
        <v>22</v>
      </c>
      <c r="U36" s="16">
        <v>6</v>
      </c>
      <c r="V36" s="20">
        <v>0.2727</v>
      </c>
      <c r="W36" s="17"/>
      <c r="X36" s="44" t="s">
        <v>162</v>
      </c>
      <c r="Y36" t="s">
        <v>30</v>
      </c>
      <c r="AM36" t="s">
        <v>192</v>
      </c>
      <c r="AN36" t="s">
        <v>194</v>
      </c>
      <c r="AO36">
        <v>12960</v>
      </c>
      <c r="AP36">
        <v>1647</v>
      </c>
      <c r="AQ36">
        <v>0.12709999999999999</v>
      </c>
    </row>
    <row r="37" spans="1:43" ht="15" customHeight="1" x14ac:dyDescent="0.25">
      <c r="A37" s="10" t="s">
        <v>195</v>
      </c>
      <c r="B37" s="4">
        <v>134445997196</v>
      </c>
      <c r="C37" s="4">
        <v>0</v>
      </c>
      <c r="D37" s="4">
        <v>60450665807.019997</v>
      </c>
      <c r="E37" s="4">
        <v>73995331388.979996</v>
      </c>
      <c r="F37" s="4">
        <v>29589312278.43</v>
      </c>
      <c r="G37" s="7">
        <v>30861353528.589996</v>
      </c>
      <c r="H37" s="4">
        <v>7506082286.0299997</v>
      </c>
      <c r="I37" s="4">
        <v>7469332926.0299997</v>
      </c>
      <c r="P37" s="23" t="s">
        <v>19</v>
      </c>
      <c r="Q37" s="17" t="s">
        <v>187</v>
      </c>
      <c r="R37" s="18"/>
      <c r="S37" s="18" t="s">
        <v>160</v>
      </c>
      <c r="T37" s="22">
        <v>0.9</v>
      </c>
      <c r="U37" s="20">
        <v>0</v>
      </c>
      <c r="V37" s="20">
        <v>0</v>
      </c>
      <c r="W37" s="17"/>
      <c r="X37" s="44" t="s">
        <v>162</v>
      </c>
      <c r="Y37" t="s">
        <v>60</v>
      </c>
      <c r="AM37" t="s">
        <v>192</v>
      </c>
      <c r="AN37" t="s">
        <v>196</v>
      </c>
      <c r="AO37">
        <v>52</v>
      </c>
      <c r="AP37">
        <v>0</v>
      </c>
      <c r="AQ37">
        <v>0</v>
      </c>
    </row>
    <row r="38" spans="1:43" ht="15" customHeight="1" x14ac:dyDescent="0.25">
      <c r="A38" s="9" t="s">
        <v>197</v>
      </c>
      <c r="B38" s="4">
        <v>3791745803</v>
      </c>
      <c r="C38" s="4">
        <v>0</v>
      </c>
      <c r="D38" s="4">
        <v>1198197746.8199999</v>
      </c>
      <c r="E38" s="4">
        <v>2593548056.1799998</v>
      </c>
      <c r="F38" s="4">
        <v>1168905354.8200002</v>
      </c>
      <c r="G38" s="7">
        <v>29292391.999999762</v>
      </c>
      <c r="H38" s="4">
        <v>957709325.82000005</v>
      </c>
      <c r="I38" s="4">
        <v>889667069.82000005</v>
      </c>
      <c r="P38" s="16" t="s">
        <v>11</v>
      </c>
      <c r="Q38" s="17" t="s">
        <v>198</v>
      </c>
      <c r="R38" s="18" t="s">
        <v>141</v>
      </c>
      <c r="S38" s="18" t="s">
        <v>142</v>
      </c>
      <c r="T38" s="25">
        <v>120000</v>
      </c>
      <c r="U38" s="16">
        <v>2241</v>
      </c>
      <c r="V38" s="24">
        <f>U38/T38</f>
        <v>1.8675000000000001E-2</v>
      </c>
      <c r="W38" s="17"/>
      <c r="X38" s="44" t="s">
        <v>199</v>
      </c>
      <c r="Y38" t="s">
        <v>30</v>
      </c>
      <c r="AM38" t="s">
        <v>192</v>
      </c>
      <c r="AN38" t="s">
        <v>95</v>
      </c>
      <c r="AO38">
        <v>1</v>
      </c>
      <c r="AP38">
        <v>0</v>
      </c>
      <c r="AQ38">
        <v>0</v>
      </c>
    </row>
    <row r="39" spans="1:43" ht="15" customHeight="1" x14ac:dyDescent="0.25">
      <c r="A39" s="10" t="s">
        <v>121</v>
      </c>
      <c r="B39" s="4">
        <v>3673814716</v>
      </c>
      <c r="C39" s="4">
        <v>0</v>
      </c>
      <c r="D39" s="4">
        <v>1080423572.8199999</v>
      </c>
      <c r="E39" s="4">
        <v>2593391143.1799998</v>
      </c>
      <c r="F39" s="4">
        <v>1051131180.8200001</v>
      </c>
      <c r="G39" s="7">
        <v>29292391.999999881</v>
      </c>
      <c r="H39" s="4">
        <v>840179497.82000005</v>
      </c>
      <c r="I39" s="4">
        <v>772137241.82000005</v>
      </c>
      <c r="P39" s="16" t="s">
        <v>11</v>
      </c>
      <c r="Q39" s="17" t="s">
        <v>198</v>
      </c>
      <c r="R39" s="18" t="s">
        <v>171</v>
      </c>
      <c r="S39" s="18" t="s">
        <v>172</v>
      </c>
      <c r="T39" s="30">
        <v>3050000</v>
      </c>
      <c r="U39" s="16">
        <v>590400</v>
      </c>
      <c r="V39" s="24">
        <f>U39/T39</f>
        <v>0.19357377049180327</v>
      </c>
      <c r="W39" s="17"/>
      <c r="X39" s="44" t="s">
        <v>199</v>
      </c>
      <c r="Y39" t="s">
        <v>30</v>
      </c>
      <c r="AM39" t="s">
        <v>192</v>
      </c>
      <c r="AN39" t="s">
        <v>200</v>
      </c>
      <c r="AO39">
        <v>20</v>
      </c>
      <c r="AP39">
        <v>0</v>
      </c>
      <c r="AQ39">
        <v>0</v>
      </c>
    </row>
    <row r="40" spans="1:43" ht="15" customHeight="1" x14ac:dyDescent="0.25">
      <c r="A40" s="10" t="s">
        <v>126</v>
      </c>
      <c r="B40" s="4">
        <v>117931087</v>
      </c>
      <c r="C40" s="4">
        <v>0</v>
      </c>
      <c r="D40" s="4">
        <v>117774174</v>
      </c>
      <c r="E40" s="4">
        <v>156913</v>
      </c>
      <c r="F40" s="4">
        <v>117774174</v>
      </c>
      <c r="G40" s="7">
        <v>0</v>
      </c>
      <c r="H40" s="4">
        <v>117529828</v>
      </c>
      <c r="I40" s="4">
        <v>117529828</v>
      </c>
      <c r="P40" s="23" t="s">
        <v>19</v>
      </c>
      <c r="Q40" s="17" t="s">
        <v>198</v>
      </c>
      <c r="R40" s="18"/>
      <c r="S40" s="18" t="s">
        <v>131</v>
      </c>
      <c r="T40" s="19">
        <v>6100000</v>
      </c>
      <c r="U40" s="16">
        <v>0</v>
      </c>
      <c r="V40" s="20">
        <v>0</v>
      </c>
      <c r="W40" s="45"/>
      <c r="X40" s="44" t="s">
        <v>199</v>
      </c>
      <c r="Y40" t="s">
        <v>30</v>
      </c>
      <c r="AM40" t="s">
        <v>192</v>
      </c>
      <c r="AN40" t="s">
        <v>201</v>
      </c>
      <c r="AO40">
        <v>20</v>
      </c>
      <c r="AP40">
        <v>0</v>
      </c>
      <c r="AQ40">
        <v>0</v>
      </c>
    </row>
    <row r="41" spans="1:43" ht="15" customHeight="1" x14ac:dyDescent="0.25">
      <c r="A41" s="9" t="s">
        <v>202</v>
      </c>
      <c r="B41" s="4">
        <v>5965250338</v>
      </c>
      <c r="C41" s="4">
        <v>0</v>
      </c>
      <c r="D41" s="4">
        <v>5722303630.7199993</v>
      </c>
      <c r="E41" s="4">
        <v>242946707.28</v>
      </c>
      <c r="F41" s="4">
        <v>5620748778.7600002</v>
      </c>
      <c r="G41" s="7">
        <v>101554851.95999908</v>
      </c>
      <c r="H41" s="4">
        <v>4808070320.2399998</v>
      </c>
      <c r="I41" s="4">
        <v>4591403597.2399998</v>
      </c>
      <c r="P41" s="23" t="s">
        <v>19</v>
      </c>
      <c r="Q41" s="17" t="s">
        <v>198</v>
      </c>
      <c r="R41" s="18" t="s">
        <v>203</v>
      </c>
      <c r="S41" s="18" t="s">
        <v>61</v>
      </c>
      <c r="T41" s="19">
        <v>45000</v>
      </c>
      <c r="U41" s="16">
        <v>0</v>
      </c>
      <c r="V41" s="20">
        <v>0</v>
      </c>
      <c r="W41" s="26"/>
      <c r="X41" s="44" t="s">
        <v>199</v>
      </c>
      <c r="Y41" t="s">
        <v>30</v>
      </c>
      <c r="AM41" t="s">
        <v>204</v>
      </c>
      <c r="AN41" t="s">
        <v>191</v>
      </c>
      <c r="AO41">
        <v>5012960</v>
      </c>
      <c r="AP41">
        <v>1647</v>
      </c>
      <c r="AQ41">
        <v>2.9999999999999997E-4</v>
      </c>
    </row>
    <row r="42" spans="1:43" ht="15" customHeight="1" x14ac:dyDescent="0.25">
      <c r="A42" s="10" t="s">
        <v>121</v>
      </c>
      <c r="B42" s="4">
        <v>3402445240</v>
      </c>
      <c r="C42" s="4">
        <v>0</v>
      </c>
      <c r="D42" s="4">
        <v>3225685494</v>
      </c>
      <c r="E42" s="4">
        <v>176759746</v>
      </c>
      <c r="F42" s="4">
        <v>3225685494</v>
      </c>
      <c r="G42" s="7">
        <v>0</v>
      </c>
      <c r="H42" s="4">
        <v>2876237352</v>
      </c>
      <c r="I42" s="4">
        <v>2788377599</v>
      </c>
      <c r="P42" s="16" t="s">
        <v>11</v>
      </c>
      <c r="Q42" s="17" t="s">
        <v>205</v>
      </c>
      <c r="R42" s="18" t="s">
        <v>78</v>
      </c>
      <c r="S42" s="18" t="s">
        <v>79</v>
      </c>
      <c r="T42" s="19">
        <v>100</v>
      </c>
      <c r="U42" s="16">
        <v>7</v>
      </c>
      <c r="V42" s="20">
        <v>7.0000000000000007E-2</v>
      </c>
      <c r="W42" s="17"/>
      <c r="X42" s="44" t="s">
        <v>206</v>
      </c>
      <c r="Y42" t="s">
        <v>30</v>
      </c>
      <c r="AM42" t="s">
        <v>188</v>
      </c>
      <c r="AN42" t="s">
        <v>189</v>
      </c>
      <c r="AO42">
        <v>1</v>
      </c>
      <c r="AP42">
        <v>0</v>
      </c>
      <c r="AQ42">
        <v>0</v>
      </c>
    </row>
    <row r="43" spans="1:43" ht="15" customHeight="1" x14ac:dyDescent="0.25">
      <c r="A43" s="10" t="s">
        <v>126</v>
      </c>
      <c r="B43" s="4">
        <v>2562805098</v>
      </c>
      <c r="C43" s="4">
        <v>0</v>
      </c>
      <c r="D43" s="4">
        <v>2496618136.7199998</v>
      </c>
      <c r="E43" s="4">
        <v>66186961.280000001</v>
      </c>
      <c r="F43" s="4">
        <v>2395063284.7600002</v>
      </c>
      <c r="G43" s="7">
        <v>101554851.95999956</v>
      </c>
      <c r="H43" s="4">
        <v>1931832968.24</v>
      </c>
      <c r="I43" s="4">
        <v>1803025998.24</v>
      </c>
      <c r="P43" s="16" t="s">
        <v>11</v>
      </c>
      <c r="Q43" s="17" t="s">
        <v>205</v>
      </c>
      <c r="R43" s="18" t="s">
        <v>85</v>
      </c>
      <c r="S43" s="18" t="s">
        <v>86</v>
      </c>
      <c r="T43" s="19">
        <v>2</v>
      </c>
      <c r="U43" s="16">
        <v>0</v>
      </c>
      <c r="V43" s="20">
        <v>0</v>
      </c>
      <c r="W43" s="17"/>
      <c r="X43" s="44" t="s">
        <v>206</v>
      </c>
      <c r="Y43" t="s">
        <v>30</v>
      </c>
      <c r="AM43" t="s">
        <v>188</v>
      </c>
      <c r="AN43" t="s">
        <v>189</v>
      </c>
      <c r="AO43">
        <v>3</v>
      </c>
      <c r="AP43">
        <v>0.17</v>
      </c>
      <c r="AQ43">
        <v>0.17330000000000001</v>
      </c>
    </row>
    <row r="44" spans="1:43" ht="15" customHeight="1" x14ac:dyDescent="0.25">
      <c r="A44" s="9" t="s">
        <v>207</v>
      </c>
      <c r="B44" s="4">
        <v>1793530741</v>
      </c>
      <c r="C44" s="4">
        <v>0</v>
      </c>
      <c r="D44" s="4">
        <v>1039270603.41</v>
      </c>
      <c r="E44" s="4">
        <v>754260137.59000003</v>
      </c>
      <c r="F44" s="4">
        <v>543506796.94000006</v>
      </c>
      <c r="G44" s="7">
        <v>495763806.46999991</v>
      </c>
      <c r="H44" s="4">
        <v>312792097.87</v>
      </c>
      <c r="I44" s="4">
        <v>305461731.87</v>
      </c>
      <c r="P44" s="16" t="s">
        <v>11</v>
      </c>
      <c r="Q44" s="17" t="s">
        <v>205</v>
      </c>
      <c r="R44" s="18" t="s">
        <v>52</v>
      </c>
      <c r="S44" s="18" t="s">
        <v>53</v>
      </c>
      <c r="T44" s="19">
        <v>60000</v>
      </c>
      <c r="U44" s="16">
        <v>0</v>
      </c>
      <c r="V44" s="20">
        <v>0</v>
      </c>
      <c r="W44" s="17"/>
      <c r="X44" s="44" t="s">
        <v>206</v>
      </c>
      <c r="Y44" t="s">
        <v>30</v>
      </c>
      <c r="AM44" t="s">
        <v>128</v>
      </c>
      <c r="AN44" t="s">
        <v>129</v>
      </c>
      <c r="AO44">
        <v>0.9</v>
      </c>
      <c r="AP44">
        <v>0.495</v>
      </c>
      <c r="AQ44">
        <v>0.54999999999999993</v>
      </c>
    </row>
    <row r="45" spans="1:43" ht="15" customHeight="1" x14ac:dyDescent="0.25">
      <c r="A45" s="10" t="s">
        <v>121</v>
      </c>
      <c r="B45" s="4">
        <v>793530741</v>
      </c>
      <c r="C45" s="4">
        <v>0</v>
      </c>
      <c r="D45" s="4">
        <v>104087600</v>
      </c>
      <c r="E45" s="4">
        <v>689443141</v>
      </c>
      <c r="F45" s="4">
        <v>104087600</v>
      </c>
      <c r="G45" s="7">
        <v>0</v>
      </c>
      <c r="H45" s="4">
        <v>83578903.870000005</v>
      </c>
      <c r="I45" s="4">
        <v>83578903.870000005</v>
      </c>
      <c r="P45" s="16" t="s">
        <v>11</v>
      </c>
      <c r="Q45" s="17" t="s">
        <v>205</v>
      </c>
      <c r="R45" s="18" t="s">
        <v>62</v>
      </c>
      <c r="S45" s="18" t="s">
        <v>62</v>
      </c>
      <c r="T45" s="19">
        <v>158</v>
      </c>
      <c r="U45" s="16">
        <v>30</v>
      </c>
      <c r="V45" s="20">
        <v>0.18990000000000001</v>
      </c>
      <c r="W45" s="17"/>
      <c r="X45" s="44" t="s">
        <v>206</v>
      </c>
      <c r="Y45" t="s">
        <v>30</v>
      </c>
    </row>
    <row r="46" spans="1:43" ht="15" customHeight="1" x14ac:dyDescent="0.25">
      <c r="A46" s="10" t="s">
        <v>126</v>
      </c>
      <c r="B46" s="4">
        <v>1000000000</v>
      </c>
      <c r="C46" s="4">
        <v>0</v>
      </c>
      <c r="D46" s="4">
        <v>935183003.40999997</v>
      </c>
      <c r="E46" s="4">
        <v>64816996.590000004</v>
      </c>
      <c r="F46" s="4">
        <v>439419196.94</v>
      </c>
      <c r="G46" s="7">
        <v>495763806.46999997</v>
      </c>
      <c r="H46" s="4">
        <v>229213194</v>
      </c>
      <c r="I46" s="4">
        <v>221882828</v>
      </c>
      <c r="P46" s="16" t="s">
        <v>11</v>
      </c>
      <c r="Q46" s="17" t="s">
        <v>205</v>
      </c>
      <c r="R46" s="18" t="s">
        <v>147</v>
      </c>
      <c r="S46" s="18" t="s">
        <v>148</v>
      </c>
      <c r="T46" s="19">
        <v>28</v>
      </c>
      <c r="U46" s="16">
        <v>6</v>
      </c>
      <c r="V46" s="20">
        <v>0.21429999999999999</v>
      </c>
      <c r="W46" s="17"/>
      <c r="X46" s="44" t="s">
        <v>206</v>
      </c>
      <c r="Y46" t="s">
        <v>30</v>
      </c>
    </row>
    <row r="47" spans="1:43" ht="15" customHeight="1" x14ac:dyDescent="0.25">
      <c r="A47" s="9" t="s">
        <v>208</v>
      </c>
      <c r="B47" s="4">
        <v>1023047918</v>
      </c>
      <c r="C47" s="4">
        <v>0</v>
      </c>
      <c r="D47" s="4">
        <v>961513642</v>
      </c>
      <c r="E47" s="4">
        <v>61534276</v>
      </c>
      <c r="F47" s="4">
        <v>948297303</v>
      </c>
      <c r="G47" s="7">
        <v>13216339</v>
      </c>
      <c r="H47" s="4">
        <v>798878171</v>
      </c>
      <c r="I47" s="4">
        <v>773774206</v>
      </c>
      <c r="P47" s="16" t="s">
        <v>11</v>
      </c>
      <c r="Q47" s="17" t="s">
        <v>205</v>
      </c>
      <c r="R47" s="18" t="s">
        <v>113</v>
      </c>
      <c r="S47" s="18" t="s">
        <v>114</v>
      </c>
      <c r="T47" s="19">
        <v>100</v>
      </c>
      <c r="U47" s="16">
        <v>7</v>
      </c>
      <c r="V47" s="20">
        <v>7.0000000000000007E-2</v>
      </c>
      <c r="W47" s="17"/>
      <c r="X47" s="44" t="s">
        <v>206</v>
      </c>
      <c r="Y47" t="s">
        <v>30</v>
      </c>
    </row>
    <row r="48" spans="1:43" ht="15" customHeight="1" x14ac:dyDescent="0.25">
      <c r="A48" s="10" t="s">
        <v>121</v>
      </c>
      <c r="B48" s="4">
        <v>969041818</v>
      </c>
      <c r="C48" s="4">
        <v>0</v>
      </c>
      <c r="D48" s="4">
        <v>932735602</v>
      </c>
      <c r="E48" s="4">
        <v>36306216</v>
      </c>
      <c r="F48" s="4">
        <v>925082658</v>
      </c>
      <c r="G48" s="7">
        <v>7652944</v>
      </c>
      <c r="H48" s="4">
        <v>787543958</v>
      </c>
      <c r="I48" s="4">
        <v>762439993</v>
      </c>
      <c r="P48" s="16" t="s">
        <v>11</v>
      </c>
      <c r="Q48" s="17" t="s">
        <v>205</v>
      </c>
      <c r="R48" s="18" t="s">
        <v>190</v>
      </c>
      <c r="S48" s="18" t="s">
        <v>191</v>
      </c>
      <c r="T48" s="19">
        <v>200</v>
      </c>
      <c r="U48" s="16">
        <v>0</v>
      </c>
      <c r="V48" s="20">
        <v>0</v>
      </c>
      <c r="W48" s="17"/>
      <c r="X48" s="44" t="s">
        <v>206</v>
      </c>
      <c r="Y48" t="s">
        <v>30</v>
      </c>
    </row>
    <row r="49" spans="1:25" ht="15" customHeight="1" x14ac:dyDescent="0.25">
      <c r="A49" s="10" t="s">
        <v>126</v>
      </c>
      <c r="B49" s="4">
        <v>54006100</v>
      </c>
      <c r="C49" s="4">
        <v>0</v>
      </c>
      <c r="D49" s="4">
        <v>28778040</v>
      </c>
      <c r="E49" s="4">
        <v>25228060</v>
      </c>
      <c r="F49" s="4">
        <v>23214645</v>
      </c>
      <c r="G49" s="7">
        <v>5563395</v>
      </c>
      <c r="H49" s="4">
        <v>11334213</v>
      </c>
      <c r="I49" s="4">
        <v>11334213</v>
      </c>
      <c r="P49" s="23" t="s">
        <v>19</v>
      </c>
      <c r="Q49" s="17" t="s">
        <v>205</v>
      </c>
      <c r="R49" s="18"/>
      <c r="S49" s="18" t="s">
        <v>163</v>
      </c>
      <c r="T49" s="22">
        <v>1</v>
      </c>
      <c r="U49" s="32">
        <v>0.2</v>
      </c>
      <c r="V49" s="20">
        <v>0.2</v>
      </c>
      <c r="W49" s="17"/>
      <c r="X49" s="44" t="s">
        <v>206</v>
      </c>
      <c r="Y49" t="s">
        <v>60</v>
      </c>
    </row>
    <row r="50" spans="1:25" ht="15" customHeight="1" x14ac:dyDescent="0.25">
      <c r="A50" s="9" t="s">
        <v>209</v>
      </c>
      <c r="B50" s="4">
        <v>12286987159</v>
      </c>
      <c r="C50" s="4">
        <v>0</v>
      </c>
      <c r="D50" s="4">
        <v>2217973099.7799997</v>
      </c>
      <c r="E50" s="4">
        <v>10069014059.219999</v>
      </c>
      <c r="F50" s="4">
        <v>1581466655.78</v>
      </c>
      <c r="G50" s="7">
        <v>636506443.99999976</v>
      </c>
      <c r="H50" s="4">
        <v>1355974175.78</v>
      </c>
      <c r="I50" s="4">
        <v>1341250431.78</v>
      </c>
      <c r="P50" s="16" t="s">
        <v>11</v>
      </c>
      <c r="Q50" s="17" t="s">
        <v>210</v>
      </c>
      <c r="R50" s="18" t="s">
        <v>166</v>
      </c>
      <c r="S50" s="18" t="s">
        <v>167</v>
      </c>
      <c r="T50" s="19">
        <v>1</v>
      </c>
      <c r="U50" s="29">
        <v>0.09</v>
      </c>
      <c r="V50" s="24">
        <f>(U50/T50)</f>
        <v>0.09</v>
      </c>
      <c r="W50" s="17"/>
      <c r="X50" s="44" t="s">
        <v>211</v>
      </c>
      <c r="Y50" t="s">
        <v>30</v>
      </c>
    </row>
    <row r="51" spans="1:25" ht="15" customHeight="1" x14ac:dyDescent="0.25">
      <c r="A51" s="10" t="s">
        <v>121</v>
      </c>
      <c r="B51" s="4">
        <v>11116476893</v>
      </c>
      <c r="C51" s="4">
        <v>0</v>
      </c>
      <c r="D51" s="4">
        <v>1049057258.78</v>
      </c>
      <c r="E51" s="4">
        <v>10067419634.219999</v>
      </c>
      <c r="F51" s="4">
        <v>412550815.77999997</v>
      </c>
      <c r="G51" s="7">
        <v>636506443</v>
      </c>
      <c r="H51" s="4">
        <v>218378259.78</v>
      </c>
      <c r="I51" s="4">
        <v>208637560.78</v>
      </c>
      <c r="P51" s="16" t="s">
        <v>11</v>
      </c>
      <c r="Q51" s="17" t="s">
        <v>210</v>
      </c>
      <c r="R51" s="18" t="s">
        <v>188</v>
      </c>
      <c r="S51" s="18" t="s">
        <v>189</v>
      </c>
      <c r="T51" s="19">
        <v>1</v>
      </c>
      <c r="U51" s="19">
        <v>0</v>
      </c>
      <c r="V51" s="22">
        <f>(U51/T51)</f>
        <v>0</v>
      </c>
      <c r="W51" s="17"/>
      <c r="X51" s="44" t="s">
        <v>211</v>
      </c>
      <c r="Y51" t="s">
        <v>30</v>
      </c>
    </row>
    <row r="52" spans="1:25" ht="15" customHeight="1" x14ac:dyDescent="0.25">
      <c r="A52" s="10" t="s">
        <v>126</v>
      </c>
      <c r="B52" s="4">
        <v>1170510266</v>
      </c>
      <c r="C52" s="4">
        <v>0</v>
      </c>
      <c r="D52" s="4">
        <v>1168915841</v>
      </c>
      <c r="E52" s="4">
        <v>1594425</v>
      </c>
      <c r="F52" s="4">
        <v>1168915840</v>
      </c>
      <c r="G52" s="7">
        <v>1</v>
      </c>
      <c r="H52" s="4">
        <v>1137595916</v>
      </c>
      <c r="I52" s="4">
        <v>1132612871</v>
      </c>
      <c r="P52" s="23" t="s">
        <v>19</v>
      </c>
      <c r="Q52" s="17" t="s">
        <v>210</v>
      </c>
      <c r="R52" s="18"/>
      <c r="S52" s="18" t="s">
        <v>136</v>
      </c>
      <c r="T52" s="22">
        <v>0.25</v>
      </c>
      <c r="U52" s="16">
        <v>0.03</v>
      </c>
      <c r="V52" s="22">
        <f>U52/T52</f>
        <v>0.12</v>
      </c>
      <c r="W52" s="17"/>
      <c r="X52" s="44" t="s">
        <v>211</v>
      </c>
      <c r="Y52" t="s">
        <v>60</v>
      </c>
    </row>
    <row r="53" spans="1:25" ht="15" customHeight="1" x14ac:dyDescent="0.25">
      <c r="A53" s="9" t="s">
        <v>212</v>
      </c>
      <c r="B53" s="4">
        <v>1871337794</v>
      </c>
      <c r="C53" s="4">
        <v>0</v>
      </c>
      <c r="D53" s="4">
        <v>1833913208</v>
      </c>
      <c r="E53" s="4">
        <v>37424586</v>
      </c>
      <c r="F53" s="4">
        <v>1788377280</v>
      </c>
      <c r="G53" s="7">
        <v>45535928</v>
      </c>
      <c r="H53" s="4">
        <v>1570473315</v>
      </c>
      <c r="I53" s="4">
        <v>1521610451</v>
      </c>
      <c r="P53" s="16" t="s">
        <v>11</v>
      </c>
      <c r="Q53" s="17" t="s">
        <v>213</v>
      </c>
      <c r="R53" s="18" t="s">
        <v>204</v>
      </c>
      <c r="S53" s="18" t="s">
        <v>191</v>
      </c>
      <c r="T53" s="19">
        <v>5012960</v>
      </c>
      <c r="U53" s="25">
        <v>1647</v>
      </c>
      <c r="V53" s="20">
        <v>2.9999999999999997E-4</v>
      </c>
      <c r="W53" s="17"/>
      <c r="X53" s="44" t="s">
        <v>206</v>
      </c>
      <c r="Y53" t="s">
        <v>30</v>
      </c>
    </row>
    <row r="54" spans="1:25" ht="15" customHeight="1" x14ac:dyDescent="0.25">
      <c r="A54" s="10" t="s">
        <v>121</v>
      </c>
      <c r="B54" s="4">
        <v>834778626</v>
      </c>
      <c r="C54" s="4">
        <v>0</v>
      </c>
      <c r="D54" s="4">
        <v>797631229</v>
      </c>
      <c r="E54" s="4">
        <v>37147397</v>
      </c>
      <c r="F54" s="4">
        <v>774104965</v>
      </c>
      <c r="G54" s="7">
        <v>23526264</v>
      </c>
      <c r="H54" s="4">
        <v>691832122</v>
      </c>
      <c r="I54" s="4">
        <v>683547376</v>
      </c>
      <c r="P54" s="16" t="s">
        <v>11</v>
      </c>
      <c r="Q54" s="17" t="s">
        <v>213</v>
      </c>
      <c r="R54" s="18" t="s">
        <v>192</v>
      </c>
      <c r="S54" s="18" t="s">
        <v>95</v>
      </c>
      <c r="T54" s="23">
        <v>1</v>
      </c>
      <c r="U54" s="16">
        <v>0</v>
      </c>
      <c r="V54" s="20">
        <v>0</v>
      </c>
      <c r="W54" s="17"/>
      <c r="X54" s="44" t="s">
        <v>206</v>
      </c>
      <c r="Y54" t="s">
        <v>30</v>
      </c>
    </row>
    <row r="55" spans="1:25" ht="15" customHeight="1" x14ac:dyDescent="0.25">
      <c r="A55" s="10" t="s">
        <v>126</v>
      </c>
      <c r="B55" s="4">
        <v>1036559168</v>
      </c>
      <c r="C55" s="4">
        <v>0</v>
      </c>
      <c r="D55" s="4">
        <v>1036281979</v>
      </c>
      <c r="E55" s="4">
        <v>277189</v>
      </c>
      <c r="F55" s="4">
        <v>1014272315</v>
      </c>
      <c r="G55" s="7">
        <v>22009664</v>
      </c>
      <c r="H55" s="4">
        <v>878641193</v>
      </c>
      <c r="I55" s="4">
        <v>838063075</v>
      </c>
      <c r="P55" s="16" t="s">
        <v>11</v>
      </c>
      <c r="Q55" s="17" t="s">
        <v>213</v>
      </c>
      <c r="R55" s="18" t="s">
        <v>192</v>
      </c>
      <c r="S55" s="18" t="s">
        <v>196</v>
      </c>
      <c r="T55" s="23">
        <v>52</v>
      </c>
      <c r="U55" s="16">
        <v>0</v>
      </c>
      <c r="V55" s="20">
        <v>0</v>
      </c>
      <c r="W55" s="17"/>
      <c r="X55" s="44" t="s">
        <v>206</v>
      </c>
      <c r="Y55" t="s">
        <v>30</v>
      </c>
    </row>
    <row r="56" spans="1:25" ht="15" customHeight="1" x14ac:dyDescent="0.25">
      <c r="A56" s="9" t="s">
        <v>214</v>
      </c>
      <c r="B56" s="4">
        <v>206818844</v>
      </c>
      <c r="C56" s="4">
        <v>0</v>
      </c>
      <c r="D56" s="4">
        <v>204340906</v>
      </c>
      <c r="E56" s="4">
        <v>2477938</v>
      </c>
      <c r="F56" s="4">
        <v>204340906</v>
      </c>
      <c r="G56" s="7">
        <v>0</v>
      </c>
      <c r="H56" s="4">
        <v>172892877</v>
      </c>
      <c r="I56" s="4">
        <v>164055641</v>
      </c>
      <c r="P56" s="16" t="s">
        <v>11</v>
      </c>
      <c r="Q56" s="17" t="s">
        <v>213</v>
      </c>
      <c r="R56" s="18" t="s">
        <v>192</v>
      </c>
      <c r="S56" s="18" t="s">
        <v>200</v>
      </c>
      <c r="T56" s="23">
        <v>20</v>
      </c>
      <c r="U56" s="16">
        <v>0</v>
      </c>
      <c r="V56" s="20">
        <v>0</v>
      </c>
      <c r="W56" s="17"/>
      <c r="X56" s="44" t="s">
        <v>206</v>
      </c>
      <c r="Y56" t="s">
        <v>30</v>
      </c>
    </row>
    <row r="57" spans="1:25" ht="15" customHeight="1" x14ac:dyDescent="0.25">
      <c r="A57" s="10" t="s">
        <v>126</v>
      </c>
      <c r="B57" s="4">
        <v>206818844</v>
      </c>
      <c r="C57" s="4">
        <v>0</v>
      </c>
      <c r="D57" s="4">
        <v>204340906</v>
      </c>
      <c r="E57" s="4">
        <v>2477938</v>
      </c>
      <c r="F57" s="4">
        <v>204340906</v>
      </c>
      <c r="G57" s="7">
        <v>0</v>
      </c>
      <c r="H57" s="4">
        <v>172892877</v>
      </c>
      <c r="I57" s="4">
        <v>164055641</v>
      </c>
      <c r="P57" s="16" t="s">
        <v>11</v>
      </c>
      <c r="Q57" s="17" t="s">
        <v>213</v>
      </c>
      <c r="R57" s="18" t="s">
        <v>192</v>
      </c>
      <c r="S57" s="18" t="s">
        <v>201</v>
      </c>
      <c r="T57" s="23">
        <v>20</v>
      </c>
      <c r="U57" s="16">
        <v>0</v>
      </c>
      <c r="V57" s="20">
        <v>0</v>
      </c>
      <c r="W57" s="17"/>
      <c r="X57" s="44" t="s">
        <v>206</v>
      </c>
      <c r="Y57" t="s">
        <v>30</v>
      </c>
    </row>
    <row r="58" spans="1:25" ht="15" customHeight="1" x14ac:dyDescent="0.25">
      <c r="A58" s="9" t="s">
        <v>215</v>
      </c>
      <c r="B58" s="4">
        <v>9830013859</v>
      </c>
      <c r="C58" s="4">
        <v>0</v>
      </c>
      <c r="D58" s="4">
        <v>8913457232.3799992</v>
      </c>
      <c r="E58" s="4">
        <v>916556626.62</v>
      </c>
      <c r="F58" s="4">
        <v>8423707932.3799992</v>
      </c>
      <c r="G58" s="7">
        <v>489749300</v>
      </c>
      <c r="H58" s="4">
        <v>6499320055.3800001</v>
      </c>
      <c r="I58" s="4">
        <v>5908990773.8800001</v>
      </c>
      <c r="P58" s="16" t="s">
        <v>11</v>
      </c>
      <c r="Q58" s="17" t="s">
        <v>213</v>
      </c>
      <c r="R58" s="18" t="s">
        <v>192</v>
      </c>
      <c r="S58" s="18" t="s">
        <v>194</v>
      </c>
      <c r="T58" s="19">
        <v>12960</v>
      </c>
      <c r="U58" s="25">
        <v>1647</v>
      </c>
      <c r="V58" s="20">
        <v>0.12709999999999999</v>
      </c>
      <c r="W58" s="17"/>
      <c r="X58" s="44" t="s">
        <v>206</v>
      </c>
      <c r="Y58" t="s">
        <v>30</v>
      </c>
    </row>
    <row r="59" spans="1:25" ht="15" customHeight="1" x14ac:dyDescent="0.25">
      <c r="A59" s="10" t="s">
        <v>121</v>
      </c>
      <c r="B59" s="4">
        <v>5990764260</v>
      </c>
      <c r="C59" s="4">
        <v>0</v>
      </c>
      <c r="D59" s="4">
        <v>5074207634.1599998</v>
      </c>
      <c r="E59" s="4">
        <v>916556625.84000003</v>
      </c>
      <c r="F59" s="4">
        <v>4678929078.1599998</v>
      </c>
      <c r="G59" s="7">
        <v>395278556</v>
      </c>
      <c r="H59" s="4">
        <v>3268447875.8000002</v>
      </c>
      <c r="I59" s="4">
        <v>2900612306.8000002</v>
      </c>
      <c r="P59" s="16" t="s">
        <v>11</v>
      </c>
      <c r="Q59" s="17" t="s">
        <v>213</v>
      </c>
      <c r="R59" s="18" t="s">
        <v>192</v>
      </c>
      <c r="S59" s="18" t="s">
        <v>193</v>
      </c>
      <c r="T59" s="23">
        <v>32</v>
      </c>
      <c r="U59" s="16">
        <v>0</v>
      </c>
      <c r="V59" s="20">
        <v>0</v>
      </c>
      <c r="W59" s="17"/>
      <c r="X59" s="44" t="s">
        <v>206</v>
      </c>
      <c r="Y59" t="s">
        <v>30</v>
      </c>
    </row>
    <row r="60" spans="1:25" ht="15" customHeight="1" x14ac:dyDescent="0.25">
      <c r="A60" s="10" t="s">
        <v>126</v>
      </c>
      <c r="B60" s="4">
        <v>3839249599</v>
      </c>
      <c r="C60" s="4">
        <v>0</v>
      </c>
      <c r="D60" s="4">
        <v>3839249598.2199998</v>
      </c>
      <c r="E60" s="4">
        <v>0.78</v>
      </c>
      <c r="F60" s="4">
        <v>3744778854.2199998</v>
      </c>
      <c r="G60" s="7">
        <v>94470744</v>
      </c>
      <c r="H60" s="4">
        <v>3230872179.5799999</v>
      </c>
      <c r="I60" s="4">
        <v>3008378467.0799999</v>
      </c>
      <c r="P60" s="16" t="s">
        <v>11</v>
      </c>
      <c r="Q60" s="17" t="s">
        <v>213</v>
      </c>
      <c r="R60" s="18" t="s">
        <v>175</v>
      </c>
      <c r="S60" s="18" t="s">
        <v>95</v>
      </c>
      <c r="T60" s="19">
        <v>1</v>
      </c>
      <c r="U60" s="16">
        <v>0</v>
      </c>
      <c r="V60" s="20">
        <v>0</v>
      </c>
      <c r="W60" s="17"/>
      <c r="X60" s="44" t="s">
        <v>206</v>
      </c>
      <c r="Y60" t="s">
        <v>30</v>
      </c>
    </row>
    <row r="61" spans="1:25" ht="15" customHeight="1" x14ac:dyDescent="0.25">
      <c r="A61" s="6" t="s">
        <v>138</v>
      </c>
      <c r="B61" s="4">
        <v>296222088884</v>
      </c>
      <c r="C61" s="4">
        <v>4590312563</v>
      </c>
      <c r="D61" s="4">
        <v>173822968370.55002</v>
      </c>
      <c r="E61" s="4">
        <v>117808807950.44998</v>
      </c>
      <c r="F61" s="4">
        <v>135987895175.2</v>
      </c>
      <c r="G61" s="7">
        <v>37835073195.350021</v>
      </c>
      <c r="H61" s="4">
        <v>100414321841.00002</v>
      </c>
      <c r="I61" s="4">
        <v>98925604482.500015</v>
      </c>
      <c r="P61" s="16" t="s">
        <v>11</v>
      </c>
      <c r="Q61" s="17" t="s">
        <v>213</v>
      </c>
      <c r="R61" s="18" t="s">
        <v>175</v>
      </c>
      <c r="S61" s="18" t="s">
        <v>181</v>
      </c>
      <c r="T61" s="19">
        <v>5000000</v>
      </c>
      <c r="U61" s="31">
        <v>244705.47</v>
      </c>
      <c r="V61" s="20">
        <v>4.8899999999999999E-2</v>
      </c>
      <c r="W61" s="17"/>
      <c r="X61" s="44" t="s">
        <v>206</v>
      </c>
      <c r="Y61" t="s">
        <v>30</v>
      </c>
    </row>
    <row r="62" spans="1:25" ht="15" customHeight="1" x14ac:dyDescent="0.25">
      <c r="P62" s="16" t="s">
        <v>11</v>
      </c>
      <c r="Q62" s="17" t="s">
        <v>213</v>
      </c>
      <c r="R62" s="18" t="s">
        <v>175</v>
      </c>
      <c r="S62" s="18" t="s">
        <v>176</v>
      </c>
      <c r="T62" s="19">
        <v>283000</v>
      </c>
      <c r="U62" s="16">
        <v>0</v>
      </c>
      <c r="V62" s="20">
        <v>0</v>
      </c>
      <c r="W62" s="17"/>
      <c r="X62" s="44" t="s">
        <v>206</v>
      </c>
      <c r="Y62" t="s">
        <v>30</v>
      </c>
    </row>
    <row r="63" spans="1:25" ht="15" customHeight="1" x14ac:dyDescent="0.25">
      <c r="P63" s="16" t="s">
        <v>11</v>
      </c>
      <c r="Q63" s="17" t="s">
        <v>213</v>
      </c>
      <c r="R63" s="18" t="s">
        <v>175</v>
      </c>
      <c r="S63" s="18" t="s">
        <v>179</v>
      </c>
      <c r="T63" s="19">
        <v>5000000</v>
      </c>
      <c r="U63" s="31">
        <v>101437.34</v>
      </c>
      <c r="V63" s="20">
        <v>2.0299999999999999E-2</v>
      </c>
      <c r="W63" s="17"/>
      <c r="X63" s="44" t="s">
        <v>206</v>
      </c>
      <c r="Y63" t="s">
        <v>30</v>
      </c>
    </row>
    <row r="64" spans="1:25" ht="15" customHeight="1" x14ac:dyDescent="0.25">
      <c r="P64" s="23" t="s">
        <v>19</v>
      </c>
      <c r="Q64" s="17" t="s">
        <v>213</v>
      </c>
      <c r="R64" s="18"/>
      <c r="S64" s="18" t="s">
        <v>157</v>
      </c>
      <c r="T64" s="23">
        <v>25</v>
      </c>
      <c r="U64" s="20">
        <v>0.17499999999999999</v>
      </c>
      <c r="V64" s="20">
        <v>0.7</v>
      </c>
      <c r="W64" s="17"/>
      <c r="X64" s="44" t="s">
        <v>206</v>
      </c>
      <c r="Y64" t="s">
        <v>30</v>
      </c>
    </row>
    <row r="65" spans="16:25" ht="15" customHeight="1" x14ac:dyDescent="0.25">
      <c r="P65" s="23" t="s">
        <v>216</v>
      </c>
      <c r="Q65" s="17"/>
      <c r="R65" s="18"/>
      <c r="S65" s="18" t="s">
        <v>217</v>
      </c>
      <c r="T65" s="22">
        <v>0.23</v>
      </c>
      <c r="U65" s="78">
        <v>2.6372038361293898E-2</v>
      </c>
      <c r="V65" s="22">
        <f>+U65/T65</f>
        <v>0.11466103635345172</v>
      </c>
      <c r="W65" s="34" t="s">
        <v>218</v>
      </c>
      <c r="X65" s="44" t="s">
        <v>206</v>
      </c>
      <c r="Y65" t="s">
        <v>60</v>
      </c>
    </row>
    <row r="66" spans="16:25" ht="15" customHeight="1" x14ac:dyDescent="0.25">
      <c r="P66" s="23" t="s">
        <v>216</v>
      </c>
      <c r="Q66" s="17"/>
      <c r="R66" s="18"/>
      <c r="S66" s="33" t="s">
        <v>219</v>
      </c>
      <c r="T66" s="22">
        <v>0.37</v>
      </c>
      <c r="U66" s="79">
        <v>0.10393128881049657</v>
      </c>
      <c r="V66" s="22">
        <f>+U66/T66</f>
        <v>0.28089537516350427</v>
      </c>
      <c r="W66" s="34" t="s">
        <v>220</v>
      </c>
      <c r="X66" s="44" t="s">
        <v>206</v>
      </c>
      <c r="Y66" t="s">
        <v>60</v>
      </c>
    </row>
    <row r="67" spans="16:25" ht="15" customHeight="1" x14ac:dyDescent="0.25">
      <c r="P67" s="23" t="s">
        <v>216</v>
      </c>
      <c r="Q67" s="17"/>
      <c r="R67" s="18"/>
      <c r="S67" s="35" t="s">
        <v>221</v>
      </c>
      <c r="T67" s="24">
        <v>0.20100000000000001</v>
      </c>
      <c r="U67" s="80">
        <v>0</v>
      </c>
      <c r="V67" s="16">
        <v>0</v>
      </c>
      <c r="W67" s="36" t="s">
        <v>222</v>
      </c>
      <c r="X67" s="44" t="s">
        <v>29</v>
      </c>
      <c r="Y67" t="s">
        <v>60</v>
      </c>
    </row>
    <row r="68" spans="16:25" ht="15" customHeight="1" x14ac:dyDescent="0.25">
      <c r="P68" s="23" t="s">
        <v>216</v>
      </c>
      <c r="Q68" s="17"/>
      <c r="R68" s="18"/>
      <c r="S68" s="35" t="s">
        <v>223</v>
      </c>
      <c r="T68" s="24">
        <v>0.19900000000000001</v>
      </c>
      <c r="U68" s="80">
        <v>0</v>
      </c>
      <c r="V68" s="16">
        <v>0</v>
      </c>
      <c r="W68" s="26" t="s">
        <v>224</v>
      </c>
      <c r="X68" s="44" t="s">
        <v>29</v>
      </c>
      <c r="Y68" t="s">
        <v>60</v>
      </c>
    </row>
    <row r="69" spans="16:25" ht="15" customHeight="1" x14ac:dyDescent="0.25">
      <c r="P69" s="23" t="s">
        <v>216</v>
      </c>
      <c r="Q69" s="17"/>
      <c r="R69" s="18"/>
      <c r="S69" s="37" t="s">
        <v>225</v>
      </c>
      <c r="T69" s="38">
        <v>0.3</v>
      </c>
      <c r="U69" s="81">
        <v>0.15</v>
      </c>
      <c r="V69" s="38">
        <f>U69/T69</f>
        <v>0.5</v>
      </c>
      <c r="W69" s="34" t="s">
        <v>226</v>
      </c>
      <c r="X69" s="44" t="s">
        <v>29</v>
      </c>
      <c r="Y69" t="s">
        <v>60</v>
      </c>
    </row>
    <row r="70" spans="16:25" ht="15" customHeight="1" x14ac:dyDescent="0.25">
      <c r="P70" s="16" t="s">
        <v>216</v>
      </c>
      <c r="Q70" s="17"/>
      <c r="R70" s="33"/>
      <c r="S70" s="33" t="s">
        <v>227</v>
      </c>
      <c r="T70" s="16">
        <v>10</v>
      </c>
      <c r="U70" s="82">
        <v>11</v>
      </c>
      <c r="V70" s="22">
        <f>U70/T70</f>
        <v>1.1000000000000001</v>
      </c>
      <c r="W70" s="17"/>
      <c r="X70" s="44" t="s">
        <v>29</v>
      </c>
      <c r="Y70" t="s">
        <v>30</v>
      </c>
    </row>
    <row r="71" spans="16:25" ht="15" customHeight="1" x14ac:dyDescent="0.25">
      <c r="P71" s="16" t="s">
        <v>216</v>
      </c>
      <c r="Q71" s="17"/>
      <c r="R71" s="33"/>
      <c r="S71" s="33" t="s">
        <v>228</v>
      </c>
      <c r="T71" s="16">
        <v>200</v>
      </c>
      <c r="U71" s="16">
        <v>218</v>
      </c>
      <c r="V71" s="22">
        <f>U71/T71</f>
        <v>1.0900000000000001</v>
      </c>
      <c r="W71" s="21"/>
      <c r="X71" s="44" t="s">
        <v>105</v>
      </c>
      <c r="Y71" t="s">
        <v>30</v>
      </c>
    </row>
  </sheetData>
  <pageMargins left="0.7" right="0.7" top="0.75" bottom="0.75" header="0.3" footer="0.3"/>
  <pageSetup orientation="portrait" horizontalDpi="300" verticalDpi="300"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spans="8:11" x14ac:dyDescent="0.25"/>
    <row r="2" spans="8:11" x14ac:dyDescent="0.25"/>
    <row r="3" spans="8:11" x14ac:dyDescent="0.25"/>
    <row r="4" spans="8:11" x14ac:dyDescent="0.25">
      <c r="H4" s="248" t="s">
        <v>10633</v>
      </c>
      <c r="I4" s="248"/>
      <c r="J4" s="248"/>
      <c r="K4" s="248"/>
    </row>
    <row r="5" spans="8:11" x14ac:dyDescent="0.25"/>
    <row r="6" spans="8:11" x14ac:dyDescent="0.25">
      <c r="H6" s="248" t="s">
        <v>10634</v>
      </c>
      <c r="I6" s="248"/>
      <c r="J6" s="248"/>
      <c r="K6" s="248"/>
    </row>
    <row r="7" spans="8:11" x14ac:dyDescent="0.25"/>
    <row r="8" spans="8:11" x14ac:dyDescent="0.25">
      <c r="H8" s="248" t="s">
        <v>10635</v>
      </c>
      <c r="I8" s="248"/>
      <c r="J8" s="248"/>
      <c r="K8" s="248"/>
    </row>
    <row r="9" spans="8:11" x14ac:dyDescent="0.25"/>
    <row r="10" spans="8:11" x14ac:dyDescent="0.25">
      <c r="H10" s="248" t="s">
        <v>10636</v>
      </c>
      <c r="I10" s="248"/>
      <c r="J10" s="248"/>
      <c r="K10" s="248"/>
    </row>
    <row r="11" spans="8:11" x14ac:dyDescent="0.25"/>
    <row r="12" spans="8:11" x14ac:dyDescent="0.25">
      <c r="H12" s="248" t="s">
        <v>10637</v>
      </c>
      <c r="I12" s="248"/>
      <c r="J12" s="248"/>
      <c r="K12" s="248"/>
    </row>
    <row r="13" spans="8:11" x14ac:dyDescent="0.25"/>
    <row r="14" spans="8:11" x14ac:dyDescent="0.25">
      <c r="H14" s="248" t="s">
        <v>10638</v>
      </c>
      <c r="I14" s="248"/>
      <c r="J14" s="248"/>
      <c r="K14" s="248"/>
    </row>
    <row r="15" spans="8:11" x14ac:dyDescent="0.25"/>
    <row r="16" spans="8:11" x14ac:dyDescent="0.25">
      <c r="H16" s="248" t="s">
        <v>10639</v>
      </c>
      <c r="I16" s="248"/>
      <c r="J16" s="248"/>
      <c r="K16" s="248"/>
    </row>
    <row r="17" spans="8:11" x14ac:dyDescent="0.25"/>
    <row r="18" spans="8:11" x14ac:dyDescent="0.25">
      <c r="H18" s="248" t="s">
        <v>10640</v>
      </c>
      <c r="I18" s="248"/>
      <c r="J18" s="248"/>
      <c r="K18" s="248"/>
    </row>
    <row r="19" spans="8:11" x14ac:dyDescent="0.25"/>
    <row r="20" spans="8:11" x14ac:dyDescent="0.25">
      <c r="H20" s="248" t="s">
        <v>10641</v>
      </c>
      <c r="I20" s="248"/>
      <c r="J20" s="248"/>
      <c r="K20" s="248"/>
    </row>
    <row r="21" spans="8:11" x14ac:dyDescent="0.25"/>
    <row r="22" spans="8:11" x14ac:dyDescent="0.25">
      <c r="H22" s="248" t="s">
        <v>10642</v>
      </c>
      <c r="I22" s="248"/>
      <c r="J22" s="248"/>
      <c r="K22" s="248"/>
    </row>
    <row r="23" spans="8:11" x14ac:dyDescent="0.25"/>
    <row r="24" spans="8:11" x14ac:dyDescent="0.25"/>
    <row r="25" spans="8:11" x14ac:dyDescent="0.25"/>
    <row r="26" spans="8:11" x14ac:dyDescent="0.25"/>
    <row r="27" spans="8:11" x14ac:dyDescent="0.25"/>
    <row r="28" spans="8:11" x14ac:dyDescent="0.25"/>
  </sheetData>
  <mergeCells count="10">
    <mergeCell ref="H16:K16"/>
    <mergeCell ref="H18:K18"/>
    <mergeCell ref="H20:K20"/>
    <mergeCell ref="H22:K22"/>
    <mergeCell ref="H14:K14"/>
    <mergeCell ref="H12:K12"/>
    <mergeCell ref="H8:K8"/>
    <mergeCell ref="H4:K4"/>
    <mergeCell ref="H6:K6"/>
    <mergeCell ref="H10:K10"/>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CDP!A1" display="Saldos de CDP por Comrpometer"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4:R190"/>
  <sheetViews>
    <sheetView showGridLines="0" topLeftCell="A5" zoomScale="80" zoomScaleNormal="80" workbookViewId="0">
      <selection activeCell="C14" sqref="C14:C17"/>
    </sheetView>
  </sheetViews>
  <sheetFormatPr baseColWidth="10" defaultColWidth="0" defaultRowHeight="15.75" x14ac:dyDescent="0.25"/>
  <cols>
    <col min="1" max="1" width="3" customWidth="1"/>
    <col min="2" max="2" width="15.125" customWidth="1"/>
    <col min="3" max="3" width="25.875" customWidth="1"/>
    <col min="4" max="4" width="15.125" bestFit="1" customWidth="1"/>
    <col min="5" max="5" width="17.125" style="122" bestFit="1" customWidth="1"/>
    <col min="6" max="6" width="17.125" style="122" hidden="1" customWidth="1"/>
    <col min="7" max="7" width="16.125" style="122" bestFit="1" customWidth="1"/>
    <col min="8" max="8" width="18.125" style="122" bestFit="1" customWidth="1"/>
    <col min="9" max="9" width="17.125" bestFit="1" customWidth="1"/>
    <col min="10" max="10" width="8.375" bestFit="1" customWidth="1"/>
    <col min="11" max="11" width="17.375" bestFit="1" customWidth="1"/>
    <col min="12" max="12" width="8.375" bestFit="1" customWidth="1"/>
    <col min="13" max="13" width="17.375" bestFit="1" customWidth="1"/>
    <col min="14" max="14" width="7.375" bestFit="1" customWidth="1"/>
    <col min="15" max="15" width="17.375" bestFit="1" customWidth="1"/>
    <col min="16" max="16" width="7.375" bestFit="1" customWidth="1"/>
    <col min="17" max="17" width="17.375" bestFit="1" customWidth="1"/>
    <col min="18" max="18" width="7.375" bestFit="1" customWidth="1"/>
    <col min="19" max="19" width="4.125" customWidth="1"/>
  </cols>
  <sheetData>
    <row r="4" spans="2:18" s="83" customFormat="1" thickBot="1" x14ac:dyDescent="0.3"/>
    <row r="5" spans="2:18" ht="8.25" customHeight="1" x14ac:dyDescent="0.25"/>
    <row r="6" spans="2:18" ht="30" x14ac:dyDescent="0.25">
      <c r="C6" s="207" t="s">
        <v>5720</v>
      </c>
      <c r="D6" s="207" t="s">
        <v>5704</v>
      </c>
      <c r="E6" s="133" t="s">
        <v>10643</v>
      </c>
      <c r="F6" s="197" t="s">
        <v>10644</v>
      </c>
      <c r="G6" s="133" t="s">
        <v>10645</v>
      </c>
      <c r="H6" s="133" t="s">
        <v>10646</v>
      </c>
      <c r="I6" s="133" t="s">
        <v>254</v>
      </c>
      <c r="J6" s="207" t="s">
        <v>10647</v>
      </c>
      <c r="K6" s="134" t="s">
        <v>5</v>
      </c>
      <c r="L6" s="207" t="s">
        <v>10647</v>
      </c>
      <c r="M6" s="134" t="s">
        <v>7</v>
      </c>
      <c r="N6" s="207" t="s">
        <v>10647</v>
      </c>
      <c r="O6" s="134" t="s">
        <v>10648</v>
      </c>
      <c r="P6" s="207" t="s">
        <v>10647</v>
      </c>
      <c r="Q6" s="134" t="s">
        <v>10649</v>
      </c>
      <c r="R6" s="207" t="s">
        <v>10647</v>
      </c>
    </row>
    <row r="7" spans="2:18" x14ac:dyDescent="0.25">
      <c r="B7" s="255" t="s">
        <v>10650</v>
      </c>
      <c r="C7" s="256" t="s">
        <v>24</v>
      </c>
      <c r="D7" s="125" t="s">
        <v>266</v>
      </c>
      <c r="E7" s="126">
        <f>SUMIFS(archivo_ejec!T:T,archivo_ejec!D:D,"A",archivo_ejec!N:N,10)+SUMIFS(archivo_ejec!T:T,archivo_ejec!D:D,"A",archivo_ejec!N:N,11)</f>
        <v>76899256866</v>
      </c>
      <c r="F7" s="126">
        <v>0</v>
      </c>
      <c r="G7" s="126">
        <f>SUMIFS(archivo_ejec!U:U,archivo_ejec!D:D,"A",archivo_ejec!N:N,10)+SUMIFS(archivo_ejec!U:U,archivo_ejec!D:D,"A",archivo_ejec!N:N,11)</f>
        <v>4590312563</v>
      </c>
      <c r="H7" s="126">
        <f t="shared" ref="H7:H17" si="0">E7-G7</f>
        <v>72308944303</v>
      </c>
      <c r="I7" s="126">
        <f>SUMIFS(archivo_ejec!V:V,archivo_ejec!D:D,"A",archivo_ejec!N:N,10)+SUMIFS(archivo_ejec!V:V,archivo_ejec!D:D,"A",archivo_ejec!N:N,11)</f>
        <v>55963985188.849998</v>
      </c>
      <c r="J7" s="127">
        <f>I7/H7</f>
        <v>0.77395660700481461</v>
      </c>
      <c r="K7" s="128">
        <f>SUMIFS(archivo_ejec!X:X,archivo_ejec!D:D,"A",archivo_ejec!N:N,10)+SUMIFS(archivo_ejec!X:X,archivo_ejec!D:D,"A",archivo_ejec!N:N,11)</f>
        <v>54879655327.25</v>
      </c>
      <c r="L7" s="127">
        <f t="shared" ref="L7:L17" si="1">K7/E7</f>
        <v>0.71365651065887381</v>
      </c>
      <c r="M7" s="128">
        <f>SUMIFS(archivo_ejec!Y:Y,archivo_ejec!D:D,"A",archivo_ejec!N:N,10)+SUMIFS(archivo_ejec!Y:Y,archivo_ejec!D:D,"A",archivo_ejec!N:N,11)</f>
        <v>52497892874.760002</v>
      </c>
      <c r="N7" s="127">
        <f t="shared" ref="N7:N17" si="2">M7/E7</f>
        <v>0.68268400780828953</v>
      </c>
      <c r="O7" s="128">
        <f>SUMIFS(archivo_ejec!AA:AA,archivo_ejec!D:D,"A",archivo_ejec!N:N,10)+SUMIFS(archivo_ejec!A:A,archivo_ejec!D:D,"A",archivo_ejec!N:N,11)</f>
        <v>51140117608.760002</v>
      </c>
      <c r="P7" s="127">
        <f t="shared" ref="P7:P17" si="3">O7/E7</f>
        <v>0.6650274618111548</v>
      </c>
      <c r="Q7" s="128">
        <f t="shared" ref="Q7:Q17" si="4">H7-I7</f>
        <v>16344959114.150002</v>
      </c>
      <c r="R7" s="161">
        <f t="shared" ref="R7:R17" si="5">Q7/E7</f>
        <v>0.21255028696352346</v>
      </c>
    </row>
    <row r="8" spans="2:18" x14ac:dyDescent="0.25">
      <c r="B8" s="255"/>
      <c r="C8" s="257"/>
      <c r="D8" s="125" t="s">
        <v>273</v>
      </c>
      <c r="E8" s="126">
        <f>SUMIFS(archivo_ejec!T:T,archivo_ejec!D:D,"A",archivo_ejec!N:N,20)</f>
        <v>9259000000</v>
      </c>
      <c r="F8" s="126">
        <v>0</v>
      </c>
      <c r="G8" s="126">
        <f>SUMIFS(archivo_ejec!U:U,archivo_ejec!D:D,"A",archivo_ejec!N:N,20)</f>
        <v>0</v>
      </c>
      <c r="H8" s="126">
        <f t="shared" si="0"/>
        <v>9259000000</v>
      </c>
      <c r="I8" s="126">
        <f>SUMIFS(archivo_ejec!V:V,archivo_ejec!D:D,"A",archivo_ejec!N:N,20)</f>
        <v>6377571126.6199999</v>
      </c>
      <c r="J8" s="127">
        <f>I8/E8</f>
        <v>0.68879696799006374</v>
      </c>
      <c r="K8" s="128">
        <f>SUMIFS(archivo_ejec!X:X,archivo_ejec!D:D,"A",archivo_ejec!N:N,20)</f>
        <v>6099299686.6199999</v>
      </c>
      <c r="L8" s="127">
        <f t="shared" si="1"/>
        <v>0.65874281095366671</v>
      </c>
      <c r="M8" s="128">
        <f>SUMIFS(archivo_ejec!Y:Y,archivo_ejec!D:D,"A",archivo_ejec!N:N,20)</f>
        <v>5198018070.2799997</v>
      </c>
      <c r="N8" s="127">
        <f t="shared" si="2"/>
        <v>0.56140167083702341</v>
      </c>
      <c r="O8" s="128">
        <f>SUMIFS(archivo_ejec!AA:AA,archivo_ejec!D:D,"A",archivo_ejec!N:N,20)</f>
        <v>5103699968.2799997</v>
      </c>
      <c r="P8" s="127">
        <f t="shared" si="3"/>
        <v>0.55121503059509669</v>
      </c>
      <c r="Q8" s="128">
        <f t="shared" si="4"/>
        <v>2881428873.3800001</v>
      </c>
      <c r="R8" s="161">
        <f t="shared" si="5"/>
        <v>0.31120303200993626</v>
      </c>
    </row>
    <row r="9" spans="2:18" x14ac:dyDescent="0.25">
      <c r="B9" s="255"/>
      <c r="C9" s="258"/>
      <c r="D9" s="129" t="s">
        <v>10651</v>
      </c>
      <c r="E9" s="130">
        <f>SUM(E7:E8)</f>
        <v>86158256866</v>
      </c>
      <c r="F9" s="130">
        <v>0</v>
      </c>
      <c r="G9" s="130">
        <f>SUM(G7:G8)</f>
        <v>4590312563</v>
      </c>
      <c r="H9" s="130">
        <f t="shared" si="0"/>
        <v>81567944303</v>
      </c>
      <c r="I9" s="130">
        <f>SUM(I7:I8)</f>
        <v>62341556315.470001</v>
      </c>
      <c r="J9" s="131">
        <f>I9/H9</f>
        <v>0.76428990393444463</v>
      </c>
      <c r="K9" s="132">
        <f t="shared" ref="K9:O9" si="6">SUM(K7:K8)</f>
        <v>60978955013.870003</v>
      </c>
      <c r="L9" s="131">
        <f t="shared" si="1"/>
        <v>0.70775520805520942</v>
      </c>
      <c r="M9" s="132">
        <f t="shared" si="6"/>
        <v>57695910945.040001</v>
      </c>
      <c r="N9" s="131">
        <f t="shared" si="2"/>
        <v>0.66965039734697918</v>
      </c>
      <c r="O9" s="132">
        <f t="shared" si="6"/>
        <v>56243817577.040001</v>
      </c>
      <c r="P9" s="131">
        <f t="shared" si="3"/>
        <v>0.65279660502550263</v>
      </c>
      <c r="Q9" s="132">
        <f t="shared" si="4"/>
        <v>19226387987.529999</v>
      </c>
      <c r="R9" s="162">
        <f t="shared" si="5"/>
        <v>0.22315200756013864</v>
      </c>
    </row>
    <row r="10" spans="2:18" x14ac:dyDescent="0.25">
      <c r="B10" s="255"/>
      <c r="C10" s="256" t="s">
        <v>185</v>
      </c>
      <c r="D10" s="125" t="s">
        <v>266</v>
      </c>
      <c r="E10" s="126">
        <f>SUMIFS(archivo_ejec!T:T,archivo_ejec!D:D,"C",archivo_ejec!N:N,11)</f>
        <v>20322395945</v>
      </c>
      <c r="F10" s="126">
        <v>0</v>
      </c>
      <c r="G10" s="126">
        <f>SUMIFS(archivo_ejec!U:U,archivo_ejec!D:D,"C",archivo_ejec!N:N,11)</f>
        <v>0</v>
      </c>
      <c r="H10" s="126">
        <f t="shared" si="0"/>
        <v>20322395945</v>
      </c>
      <c r="I10" s="126">
        <f>SUMIFS(archivo_ejec!V:V,archivo_ejec!D:D,"C",archivo_ejec!N:N,11)</f>
        <v>19776928438.349998</v>
      </c>
      <c r="J10" s="127">
        <f t="shared" ref="J10:J17" si="7">I10/E10</f>
        <v>0.97315929144741398</v>
      </c>
      <c r="K10" s="128">
        <f>SUMIFS(archivo_ejec!X:X,archivo_ejec!D:D,"C",archivo_ejec!N:N,11)</f>
        <v>18361518103.950001</v>
      </c>
      <c r="L10" s="127">
        <f t="shared" si="1"/>
        <v>0.90351148327407516</v>
      </c>
      <c r="M10" s="128">
        <f>SUMIFS(archivo_ejec!Y:Y,archivo_ejec!D:D,"C",archivo_ejec!N:N,11)+SUMIFS(archivo_ejec!Y:Y,archivo_ejec!D:D,"C",archivo_ejec!N:N,10)</f>
        <v>15125266882.809999</v>
      </c>
      <c r="N10" s="127">
        <f t="shared" si="2"/>
        <v>0.74426592827659821</v>
      </c>
      <c r="O10" s="128">
        <f>SUMIFS(archivo_ejec!AA:AA,archivo_ejec!D:D,"C",archivo_ejec!N:N,11)</f>
        <v>14581995913.309999</v>
      </c>
      <c r="P10" s="127">
        <f t="shared" si="3"/>
        <v>0.71753330428037776</v>
      </c>
      <c r="Q10" s="128">
        <f t="shared" si="4"/>
        <v>545467506.65000153</v>
      </c>
      <c r="R10" s="161">
        <f t="shared" si="5"/>
        <v>2.6840708552586048E-2</v>
      </c>
    </row>
    <row r="11" spans="2:18" x14ac:dyDescent="0.25">
      <c r="B11" s="255"/>
      <c r="C11" s="257"/>
      <c r="D11" s="125" t="s">
        <v>273</v>
      </c>
      <c r="E11" s="126">
        <f>SUMIFS(archivo_ejec!T:T,archivo_ejec!D:D,"C",archivo_ejec!N:N,20)</f>
        <v>55295438877</v>
      </c>
      <c r="F11" s="126">
        <v>0</v>
      </c>
      <c r="G11" s="126">
        <f>SUMIFS(archivo_ejec!U:U,archivo_ejec!D:D,"C",archivo_ejec!N:N,20)</f>
        <v>0</v>
      </c>
      <c r="H11" s="126">
        <f t="shared" si="0"/>
        <v>55295438877</v>
      </c>
      <c r="I11" s="126">
        <f>SUMIFS(archivo_ejec!V:V,archivo_ejec!D:D,"C",archivo_ejec!N:N,20)</f>
        <v>31253817809.709999</v>
      </c>
      <c r="J11" s="127">
        <f t="shared" si="7"/>
        <v>0.56521511438278771</v>
      </c>
      <c r="K11" s="128">
        <f>SUMIFS(archivo_ejec!X:X,archivo_ejec!D:D,"C",archivo_ejec!N:N,20)</f>
        <v>27058109778.950001</v>
      </c>
      <c r="L11" s="127">
        <f t="shared" si="1"/>
        <v>0.48933710136813391</v>
      </c>
      <c r="M11" s="128">
        <f>SUMIFS(archivo_ejec!Y:Y,archivo_ejec!D:D,"C",archivo_ejec!N:N,20)</f>
        <v>20087061727.119999</v>
      </c>
      <c r="N11" s="127">
        <f t="shared" si="2"/>
        <v>0.36326796811943129</v>
      </c>
      <c r="O11" s="128">
        <f>SUMIFS(archivo_ejec!AA:AA,archivo_ejec!D:D,"C",archivo_ejec!N:N,20)</f>
        <v>19300458066.119999</v>
      </c>
      <c r="P11" s="127">
        <f t="shared" si="3"/>
        <v>0.34904249714071761</v>
      </c>
      <c r="Q11" s="128">
        <f t="shared" si="4"/>
        <v>24041621067.290001</v>
      </c>
      <c r="R11" s="161">
        <f t="shared" si="5"/>
        <v>0.43478488561721235</v>
      </c>
    </row>
    <row r="12" spans="2:18" x14ac:dyDescent="0.25">
      <c r="B12" s="255"/>
      <c r="C12" s="257"/>
      <c r="D12" s="125" t="s">
        <v>10652</v>
      </c>
      <c r="E12" s="126">
        <f>SUMIFS(archivo_ejec!T:T,archivo_ejec!D:D,"C",archivo_ejec!N:N,14)</f>
        <v>134445997196</v>
      </c>
      <c r="F12" s="126">
        <v>0</v>
      </c>
      <c r="G12" s="126">
        <f>SUMIFS(archivo_ejec!U:U,archivo_ejec!D:D,"C",archivo_ejec!N:N,14)</f>
        <v>0</v>
      </c>
      <c r="H12" s="126">
        <f t="shared" si="0"/>
        <v>134445997196</v>
      </c>
      <c r="I12" s="126">
        <f>SUMIFS(archivo_ejec!V:V,archivo_ejec!D:D,"C",archivo_ejec!N:N,14)</f>
        <v>60450665807.019997</v>
      </c>
      <c r="J12" s="127">
        <f t="shared" si="7"/>
        <v>0.44962785852890019</v>
      </c>
      <c r="K12" s="128">
        <f>SUMIFS(archivo_ejec!X:X,archivo_ejec!D:D,"C",archivo_ejec!N:N,14)</f>
        <v>29589312278.43</v>
      </c>
      <c r="L12" s="127">
        <f t="shared" si="1"/>
        <v>0.22008325197881259</v>
      </c>
      <c r="M12" s="128">
        <f>SUMIFS(archivo_ejec!Y:Y,archivo_ejec!D:D,"C",archivo_ejec!N:N,14)</f>
        <v>7506082286.0299997</v>
      </c>
      <c r="N12" s="127">
        <f t="shared" si="2"/>
        <v>5.5829719311668122E-2</v>
      </c>
      <c r="O12" s="128">
        <f>SUMIFS(archivo_ejec!AA:AA,archivo_ejec!D:D,"C",archivo_ejec!N:N,14)</f>
        <v>7469332926.0299997</v>
      </c>
      <c r="P12" s="127">
        <f t="shared" si="3"/>
        <v>5.5556380121462072E-2</v>
      </c>
      <c r="Q12" s="128">
        <f t="shared" si="4"/>
        <v>73995331388.980011</v>
      </c>
      <c r="R12" s="161">
        <f t="shared" si="5"/>
        <v>0.55037214147109992</v>
      </c>
    </row>
    <row r="13" spans="2:18" x14ac:dyDescent="0.25">
      <c r="B13" s="255"/>
      <c r="C13" s="258"/>
      <c r="D13" s="129" t="s">
        <v>10651</v>
      </c>
      <c r="E13" s="130">
        <f>SUM(E10:E12)</f>
        <v>210063832018</v>
      </c>
      <c r="F13" s="130">
        <v>0</v>
      </c>
      <c r="G13" s="130">
        <f>SUM(G10:G12)</f>
        <v>0</v>
      </c>
      <c r="H13" s="130">
        <f t="shared" si="0"/>
        <v>210063832018</v>
      </c>
      <c r="I13" s="130">
        <f t="shared" ref="I13:O13" si="8">SUM(I10:I12)</f>
        <v>111481412055.07999</v>
      </c>
      <c r="J13" s="131">
        <f t="shared" si="7"/>
        <v>0.53070255352443219</v>
      </c>
      <c r="K13" s="132">
        <f t="shared" si="8"/>
        <v>75008940161.330002</v>
      </c>
      <c r="L13" s="131">
        <f t="shared" si="1"/>
        <v>0.35707689153696204</v>
      </c>
      <c r="M13" s="132">
        <f t="shared" si="8"/>
        <v>42718410895.959999</v>
      </c>
      <c r="N13" s="131">
        <f t="shared" si="2"/>
        <v>0.20335919080205836</v>
      </c>
      <c r="O13" s="132">
        <f t="shared" si="8"/>
        <v>41351786905.459999</v>
      </c>
      <c r="P13" s="131">
        <f t="shared" si="3"/>
        <v>0.19685343501644129</v>
      </c>
      <c r="Q13" s="132">
        <f t="shared" si="4"/>
        <v>98582419962.920013</v>
      </c>
      <c r="R13" s="162">
        <f t="shared" si="5"/>
        <v>0.46929744647556776</v>
      </c>
    </row>
    <row r="14" spans="2:18" x14ac:dyDescent="0.25">
      <c r="B14" s="255"/>
      <c r="C14" s="256" t="s">
        <v>10651</v>
      </c>
      <c r="D14" s="125" t="s">
        <v>266</v>
      </c>
      <c r="E14" s="126">
        <f>E7+E10</f>
        <v>97221652811</v>
      </c>
      <c r="F14" s="126">
        <v>0</v>
      </c>
      <c r="G14" s="126">
        <f>G7+G10</f>
        <v>4590312563</v>
      </c>
      <c r="H14" s="126">
        <f t="shared" si="0"/>
        <v>92631340248</v>
      </c>
      <c r="I14" s="126">
        <f t="shared" ref="I14:O14" si="9">I7+I10</f>
        <v>75740913627.199997</v>
      </c>
      <c r="J14" s="127">
        <f t="shared" si="7"/>
        <v>0.77905396007246652</v>
      </c>
      <c r="K14" s="128">
        <f t="shared" si="9"/>
        <v>73241173431.199997</v>
      </c>
      <c r="L14" s="127">
        <f t="shared" si="1"/>
        <v>0.75334219603920616</v>
      </c>
      <c r="M14" s="128">
        <f>M7+M10</f>
        <v>67623159757.57</v>
      </c>
      <c r="N14" s="127">
        <f t="shared" si="2"/>
        <v>0.69555657410011529</v>
      </c>
      <c r="O14" s="128">
        <f t="shared" si="9"/>
        <v>65722113522.07</v>
      </c>
      <c r="P14" s="127">
        <f t="shared" si="3"/>
        <v>0.67600284115550413</v>
      </c>
      <c r="Q14" s="128">
        <f t="shared" si="4"/>
        <v>16890426620.800003</v>
      </c>
      <c r="R14" s="161">
        <f t="shared" si="5"/>
        <v>0.17373111989399301</v>
      </c>
    </row>
    <row r="15" spans="2:18" s="239" customFormat="1" x14ac:dyDescent="0.25">
      <c r="B15" s="255"/>
      <c r="C15" s="257"/>
      <c r="D15" s="234" t="s">
        <v>273</v>
      </c>
      <c r="E15" s="235">
        <f>E8+E11</f>
        <v>64554438877</v>
      </c>
      <c r="F15" s="235">
        <v>0</v>
      </c>
      <c r="G15" s="235">
        <f t="shared" ref="G15" si="10">G8+G11</f>
        <v>0</v>
      </c>
      <c r="H15" s="235">
        <f t="shared" si="0"/>
        <v>64554438877</v>
      </c>
      <c r="I15" s="235">
        <f t="shared" ref="I15:O15" si="11">I8+I11</f>
        <v>37631388936.330002</v>
      </c>
      <c r="J15" s="236">
        <f t="shared" si="7"/>
        <v>0.58294037700539336</v>
      </c>
      <c r="K15" s="237">
        <f t="shared" si="11"/>
        <v>33157409465.57</v>
      </c>
      <c r="L15" s="236">
        <f t="shared" si="1"/>
        <v>0.5136348490108803</v>
      </c>
      <c r="M15" s="237">
        <f t="shared" si="11"/>
        <v>25285079797.399998</v>
      </c>
      <c r="N15" s="236">
        <f t="shared" si="2"/>
        <v>0.39168615260644424</v>
      </c>
      <c r="O15" s="237">
        <f t="shared" si="11"/>
        <v>24404158034.399998</v>
      </c>
      <c r="P15" s="236">
        <f t="shared" si="3"/>
        <v>0.37803996841950582</v>
      </c>
      <c r="Q15" s="237">
        <f t="shared" si="4"/>
        <v>26923049940.669998</v>
      </c>
      <c r="R15" s="238">
        <f t="shared" si="5"/>
        <v>0.41705962299460664</v>
      </c>
    </row>
    <row r="16" spans="2:18" x14ac:dyDescent="0.25">
      <c r="B16" s="255"/>
      <c r="C16" s="257"/>
      <c r="D16" s="125" t="s">
        <v>10652</v>
      </c>
      <c r="E16" s="126">
        <f>E12</f>
        <v>134445997196</v>
      </c>
      <c r="F16" s="126">
        <v>0</v>
      </c>
      <c r="G16" s="126">
        <f>G12</f>
        <v>0</v>
      </c>
      <c r="H16" s="126">
        <f t="shared" si="0"/>
        <v>134445997196</v>
      </c>
      <c r="I16" s="126">
        <f t="shared" ref="I16:O16" si="12">I12</f>
        <v>60450665807.019997</v>
      </c>
      <c r="J16" s="127">
        <f t="shared" si="7"/>
        <v>0.44962785852890019</v>
      </c>
      <c r="K16" s="128">
        <f t="shared" si="12"/>
        <v>29589312278.43</v>
      </c>
      <c r="L16" s="127">
        <f t="shared" si="1"/>
        <v>0.22008325197881259</v>
      </c>
      <c r="M16" s="128">
        <f t="shared" si="12"/>
        <v>7506082286.0299997</v>
      </c>
      <c r="N16" s="127">
        <f t="shared" si="2"/>
        <v>5.5829719311668122E-2</v>
      </c>
      <c r="O16" s="128">
        <f t="shared" si="12"/>
        <v>7469332926.0299997</v>
      </c>
      <c r="P16" s="127">
        <f t="shared" si="3"/>
        <v>5.5556380121462072E-2</v>
      </c>
      <c r="Q16" s="128">
        <f t="shared" si="4"/>
        <v>73995331388.980011</v>
      </c>
      <c r="R16" s="161">
        <f t="shared" si="5"/>
        <v>0.55037214147109992</v>
      </c>
    </row>
    <row r="17" spans="2:18" x14ac:dyDescent="0.25">
      <c r="B17" s="255"/>
      <c r="C17" s="258"/>
      <c r="D17" s="129" t="s">
        <v>10651</v>
      </c>
      <c r="E17" s="130">
        <f>SUM(E14:E16)</f>
        <v>296222088884</v>
      </c>
      <c r="F17" s="130">
        <v>0</v>
      </c>
      <c r="G17" s="130">
        <f>G9+G13</f>
        <v>4590312563</v>
      </c>
      <c r="H17" s="130">
        <f t="shared" si="0"/>
        <v>291631776321</v>
      </c>
      <c r="I17" s="130">
        <f t="shared" ref="I17:O17" si="13">SUM(I14:I16)</f>
        <v>173822968370.54999</v>
      </c>
      <c r="J17" s="131">
        <f t="shared" si="7"/>
        <v>0.58679948219060307</v>
      </c>
      <c r="K17" s="132">
        <f t="shared" si="13"/>
        <v>135987895175.19998</v>
      </c>
      <c r="L17" s="131">
        <f t="shared" si="1"/>
        <v>0.45907412133756365</v>
      </c>
      <c r="M17" s="132">
        <f t="shared" si="13"/>
        <v>100414321841</v>
      </c>
      <c r="N17" s="131">
        <f t="shared" si="2"/>
        <v>0.33898323457006629</v>
      </c>
      <c r="O17" s="132">
        <f t="shared" si="13"/>
        <v>97595604482.5</v>
      </c>
      <c r="P17" s="131">
        <f t="shared" si="3"/>
        <v>0.32946768031440848</v>
      </c>
      <c r="Q17" s="132">
        <f t="shared" si="4"/>
        <v>117808807950.45001</v>
      </c>
      <c r="R17" s="162">
        <f t="shared" si="5"/>
        <v>0.39770433188925258</v>
      </c>
    </row>
    <row r="18" spans="2:18" ht="9.75" customHeight="1" x14ac:dyDescent="0.25">
      <c r="E18"/>
      <c r="F18"/>
      <c r="G18"/>
      <c r="H18"/>
      <c r="K18" s="122">
        <f>I15-K15</f>
        <v>4473979470.7600021</v>
      </c>
    </row>
    <row r="19" spans="2:18" ht="21" x14ac:dyDescent="0.35">
      <c r="B19" s="253" t="s">
        <v>10653</v>
      </c>
      <c r="C19" s="253"/>
      <c r="D19" s="253"/>
      <c r="E19" s="253"/>
      <c r="F19" s="253"/>
      <c r="G19" s="253"/>
      <c r="H19"/>
      <c r="K19" s="204">
        <f>K11-I11</f>
        <v>-4195708030.7599983</v>
      </c>
    </row>
    <row r="20" spans="2:18" ht="9.75" customHeight="1" x14ac:dyDescent="0.25">
      <c r="E20"/>
      <c r="F20"/>
      <c r="G20"/>
      <c r="H20"/>
    </row>
    <row r="21" spans="2:18" ht="30" x14ac:dyDescent="0.25">
      <c r="B21" s="254" t="s">
        <v>10654</v>
      </c>
      <c r="C21" s="254"/>
      <c r="D21" s="195" t="s">
        <v>5704</v>
      </c>
      <c r="E21" s="196" t="s">
        <v>10655</v>
      </c>
      <c r="F21" s="197" t="s">
        <v>10644</v>
      </c>
      <c r="G21" s="197" t="s">
        <v>10656</v>
      </c>
      <c r="H21" s="197" t="s">
        <v>1</v>
      </c>
      <c r="I21" s="196" t="s">
        <v>254</v>
      </c>
      <c r="J21" s="195" t="s">
        <v>10647</v>
      </c>
      <c r="K21" s="196" t="s">
        <v>5</v>
      </c>
      <c r="L21" s="198" t="s">
        <v>10647</v>
      </c>
      <c r="M21" s="196" t="s">
        <v>7</v>
      </c>
      <c r="N21" s="195" t="s">
        <v>10647</v>
      </c>
      <c r="O21" s="196" t="s">
        <v>10648</v>
      </c>
      <c r="P21" s="195" t="s">
        <v>10647</v>
      </c>
      <c r="Q21" s="196" t="s">
        <v>10649</v>
      </c>
      <c r="R21" s="195" t="s">
        <v>10647</v>
      </c>
    </row>
    <row r="22" spans="2:18" ht="15.75" customHeight="1" x14ac:dyDescent="0.25">
      <c r="B22" s="249" t="s">
        <v>186</v>
      </c>
      <c r="C22" s="249"/>
      <c r="D22" s="192" t="s">
        <v>266</v>
      </c>
      <c r="E22" s="193">
        <v>10334515783</v>
      </c>
      <c r="F22" s="119">
        <v>0</v>
      </c>
      <c r="G22" s="119">
        <v>0</v>
      </c>
      <c r="H22" s="170">
        <f>E22+F22-G22</f>
        <v>10334515783</v>
      </c>
      <c r="I22" s="170">
        <f>GETPIVOTDATA("CDP ",Validaciones!$A$1,"REC","Otros recursos del tesoro","DESCRIPCION",$B$22,"DESCRIPCION3","Inversión","DESCRIPCION5","Inversión")</f>
        <v>9949786760</v>
      </c>
      <c r="J22" s="194">
        <f t="shared" ref="J22:J52" si="14">IFERROR(I22/H22,0)</f>
        <v>0.96277241903942234</v>
      </c>
      <c r="K22" s="170">
        <f>GETPIVOTDATA("Compromisos",Validaciones!$A$1,"REC","Otros recursos del tesoro","DESCRIPCION",$B$22,"DESCRIPCION3","Inversión","DESCRIPCION5","Inversión")</f>
        <v>9253738888.0300007</v>
      </c>
      <c r="L22" s="194">
        <f t="shared" ref="L22:L52" si="15">IFERROR(K22/H22,0)</f>
        <v>0.8954206546621325</v>
      </c>
      <c r="M22" s="170">
        <f>GETPIVOTDATA("Obligaciones",Validaciones!$A$1,"REC","Otros recursos del tesoro","DESCRIPCION",$B$22,"DESCRIPCION3","Inversión","DESCRIPCION5","Inversión")</f>
        <v>7415354513.9899998</v>
      </c>
      <c r="N22" s="194">
        <f t="shared" ref="N22:N52" si="16">IFERROR(M22/H22,0)</f>
        <v>0.71753284524351479</v>
      </c>
      <c r="O22" s="170">
        <f>GETPIVOTDATA("Pagos",Validaciones!$A$1,"REC","Otros recursos del tesoro","DESCRIPCION",$B$22,"DESCRIPCION3","Inversión","DESCRIPCION5","Inversión")</f>
        <v>7285112991.9899998</v>
      </c>
      <c r="P22" s="194">
        <f t="shared" ref="P22:P52" si="17">IFERROR(O22/H22,0)</f>
        <v>0.70493026910596179</v>
      </c>
      <c r="Q22" s="170">
        <f t="shared" ref="Q22:Q48" si="18">H22-I22</f>
        <v>384729023</v>
      </c>
      <c r="R22" s="194">
        <f t="shared" ref="R22:R51" si="19">IFERROR(Q22/H22,0)</f>
        <v>3.7227580960577648E-2</v>
      </c>
    </row>
    <row r="23" spans="2:18" x14ac:dyDescent="0.25">
      <c r="B23" s="249"/>
      <c r="C23" s="249"/>
      <c r="D23" s="192" t="s">
        <v>273</v>
      </c>
      <c r="E23" s="193">
        <v>28514586583</v>
      </c>
      <c r="F23" s="119">
        <v>0</v>
      </c>
      <c r="G23" s="119">
        <v>0</v>
      </c>
      <c r="H23" s="170">
        <f t="shared" ref="H23:H48" si="20">E23+F23-G23</f>
        <v>28514586583</v>
      </c>
      <c r="I23" s="170">
        <f>GETPIVOTDATA("CDP ",Validaciones!$A$1,"REC","Ingresos corrientes","DESCRIPCION",$B$22,"DESCRIPCION3","Inversión","DESCRIPCION5","Inversión")</f>
        <v>18989989418.950001</v>
      </c>
      <c r="J23" s="194">
        <f t="shared" si="14"/>
        <v>0.66597456581297831</v>
      </c>
      <c r="K23" s="170">
        <f>GETPIVOTDATA("Compromisos",Validaciones!$A$1,"REC","Ingresos corrientes","DESCRIPCION",$B$22,"DESCRIPCION3","Inversión","DESCRIPCION5","Inversión")</f>
        <v>15886537987.190001</v>
      </c>
      <c r="L23" s="194">
        <f t="shared" si="15"/>
        <v>0.5571372371451927</v>
      </c>
      <c r="M23" s="170">
        <f>GETPIVOTDATA("Obligaciones",Validaciones!$A$1,"REC","Ingresos corrientes","DESCRIPCION",$B$22,"DESCRIPCION3","Inversión","DESCRIPCION5","Inversión")</f>
        <v>11320863757.85</v>
      </c>
      <c r="N23" s="194">
        <f t="shared" si="16"/>
        <v>0.39702009092424795</v>
      </c>
      <c r="O23" s="170">
        <f>GETPIVOTDATA("Pagos",Validaciones!$A$1,"REC","Ingresos corrientes","DESCRIPCION",$B$22,"DESCRIPCION3","Inversión","DESCRIPCION5","Inversión")</f>
        <v>11101127084.85</v>
      </c>
      <c r="P23" s="194">
        <f t="shared" si="17"/>
        <v>0.38931397628848452</v>
      </c>
      <c r="Q23" s="170">
        <f t="shared" si="18"/>
        <v>9524597164.0499992</v>
      </c>
      <c r="R23" s="194">
        <f t="shared" si="19"/>
        <v>0.33402543418702174</v>
      </c>
    </row>
    <row r="24" spans="2:18" x14ac:dyDescent="0.25">
      <c r="B24" s="249"/>
      <c r="C24" s="249"/>
      <c r="D24" s="192" t="s">
        <v>10652</v>
      </c>
      <c r="E24" s="193">
        <v>134445997196</v>
      </c>
      <c r="F24" s="119">
        <v>0</v>
      </c>
      <c r="G24" s="119">
        <v>0</v>
      </c>
      <c r="H24" s="170">
        <f t="shared" si="20"/>
        <v>134445997196</v>
      </c>
      <c r="I24" s="170">
        <f>GETPIVOTDATA("CDP ",Validaciones!$A$1,"REC","Prestamos destinación específica","DESCRIPCION",$B$22,"DESCRIPCION3","Inversión","DESCRIPCION5","Inversión")</f>
        <v>60450665807.019997</v>
      </c>
      <c r="J24" s="194">
        <f t="shared" si="14"/>
        <v>0.44962785852890019</v>
      </c>
      <c r="K24" s="170">
        <f>GETPIVOTDATA("Compromisos",Validaciones!$A$1,"REC","Prestamos destinación específica","DESCRIPCION",$B$22,"DESCRIPCION3","Inversión","DESCRIPCION5","Inversión")</f>
        <v>29589312278.43</v>
      </c>
      <c r="L24" s="194">
        <f t="shared" si="15"/>
        <v>0.22008325197881259</v>
      </c>
      <c r="M24" s="170">
        <f>GETPIVOTDATA("Obligaciones",Validaciones!$A$1,"REC","Prestamos destinación específica","DESCRIPCION",$B$22,"DESCRIPCION3","Inversión","DESCRIPCION5","Inversión")</f>
        <v>7506082286.0299997</v>
      </c>
      <c r="N24" s="194">
        <f t="shared" si="16"/>
        <v>5.5829719311668122E-2</v>
      </c>
      <c r="O24" s="170">
        <f>GETPIVOTDATA("Pagos",Validaciones!$A$1,"REC","Prestamos destinación específica","DESCRIPCION",$B$22,"DESCRIPCION3","Inversión","DESCRIPCION5","Inversión")</f>
        <v>7469332926.0299997</v>
      </c>
      <c r="P24" s="194">
        <f t="shared" si="17"/>
        <v>5.5556380121462072E-2</v>
      </c>
      <c r="Q24" s="170">
        <f t="shared" si="18"/>
        <v>73995331388.980011</v>
      </c>
      <c r="R24" s="194">
        <f t="shared" si="19"/>
        <v>0.55037214147109992</v>
      </c>
    </row>
    <row r="25" spans="2:18" x14ac:dyDescent="0.25">
      <c r="B25" s="249"/>
      <c r="C25" s="249"/>
      <c r="D25" s="199" t="s">
        <v>10651</v>
      </c>
      <c r="E25" s="200">
        <f>SUM(E22:E24)</f>
        <v>173295099562</v>
      </c>
      <c r="F25" s="200">
        <v>0</v>
      </c>
      <c r="G25" s="200">
        <v>0</v>
      </c>
      <c r="H25" s="201">
        <f t="shared" si="20"/>
        <v>173295099562</v>
      </c>
      <c r="I25" s="201">
        <f>SUM(I22:I24)</f>
        <v>89390441985.970001</v>
      </c>
      <c r="J25" s="202">
        <f t="shared" si="14"/>
        <v>0.51582786940832492</v>
      </c>
      <c r="K25" s="201">
        <f>SUM(K22:K24)</f>
        <v>54729589153.650002</v>
      </c>
      <c r="L25" s="202">
        <f t="shared" si="15"/>
        <v>0.31581729253728452</v>
      </c>
      <c r="M25" s="201">
        <f>SUM(M22:M24)</f>
        <v>26242300557.869999</v>
      </c>
      <c r="N25" s="202">
        <f t="shared" si="16"/>
        <v>0.15143129046462886</v>
      </c>
      <c r="O25" s="201">
        <f>SUM(O22:O24)</f>
        <v>25855573002.869999</v>
      </c>
      <c r="P25" s="202">
        <f t="shared" si="17"/>
        <v>0.1491996777070988</v>
      </c>
      <c r="Q25" s="201">
        <f t="shared" si="18"/>
        <v>83904657576.029999</v>
      </c>
      <c r="R25" s="202">
        <f t="shared" si="19"/>
        <v>0.48417213059167508</v>
      </c>
    </row>
    <row r="26" spans="2:18" x14ac:dyDescent="0.25">
      <c r="B26" s="249" t="s">
        <v>197</v>
      </c>
      <c r="C26" s="249"/>
      <c r="D26" s="192" t="s">
        <v>266</v>
      </c>
      <c r="E26" s="193">
        <v>117931087</v>
      </c>
      <c r="F26" s="119">
        <v>0</v>
      </c>
      <c r="G26" s="119">
        <v>0</v>
      </c>
      <c r="H26" s="170">
        <f t="shared" si="20"/>
        <v>117931087</v>
      </c>
      <c r="I26" s="170">
        <f>GETPIVOTDATA("CDP ",Validaciones!$A$1,"REC","Otros recursos del tesoro","DESCRIPCION",$B$26,"DESCRIPCION3","Inversión","DESCRIPCION5","Inversión")</f>
        <v>117774174</v>
      </c>
      <c r="J26" s="194">
        <f t="shared" ref="J26:J27" si="21">IFERROR(I26/H26,0)</f>
        <v>0.99866945176211253</v>
      </c>
      <c r="K26" s="170">
        <f>GETPIVOTDATA("Compromisos",Validaciones!$A$1,"REC","Otros recursos del tesoro","DESCRIPCION",$B$26,"DESCRIPCION3","Inversión","DESCRIPCION5","Inversión")</f>
        <v>117774174</v>
      </c>
      <c r="L26" s="194">
        <f t="shared" ref="L26:L27" si="22">IFERROR(K26/H26,0)</f>
        <v>0.99866945176211253</v>
      </c>
      <c r="M26" s="170">
        <f>GETPIVOTDATA("Obligaciones",Validaciones!$A$1,"REC","Otros recursos del tesoro","DESCRIPCION",$B$26,"DESCRIPCION3","Inversión","DESCRIPCION5","Inversión")</f>
        <v>117529828</v>
      </c>
      <c r="N26" s="194">
        <f t="shared" ref="N26:N27" si="23">IFERROR(M26/H26,0)</f>
        <v>0.9965975129187099</v>
      </c>
      <c r="O26" s="170">
        <f>GETPIVOTDATA("Pagos",Validaciones!$A$1,"REC","Otros recursos del tesoro","DESCRIPCION",$B$26,"DESCRIPCION3","Inversión","DESCRIPCION5","Inversión")</f>
        <v>117529828</v>
      </c>
      <c r="P26" s="194">
        <f t="shared" ref="P26:P27" si="24">IFERROR(O26/H26,0)</f>
        <v>0.9965975129187099</v>
      </c>
      <c r="Q26" s="170">
        <f t="shared" ref="Q26:Q27" si="25">H26-I26</f>
        <v>156913</v>
      </c>
      <c r="R26" s="194">
        <f t="shared" ref="R26:R27" si="26">IFERROR(Q26/H26,0)</f>
        <v>1.3305482378874367E-3</v>
      </c>
    </row>
    <row r="27" spans="2:18" x14ac:dyDescent="0.25">
      <c r="B27" s="249"/>
      <c r="C27" s="249"/>
      <c r="D27" s="192" t="s">
        <v>273</v>
      </c>
      <c r="E27" s="193">
        <v>3673814716</v>
      </c>
      <c r="F27" s="119">
        <v>0</v>
      </c>
      <c r="G27" s="119">
        <v>0</v>
      </c>
      <c r="H27" s="170">
        <f t="shared" si="20"/>
        <v>3673814716</v>
      </c>
      <c r="I27" s="170">
        <f>GETPIVOTDATA("CDP ",Validaciones!$A$1,"REC","Ingresos corrientes","DESCRIPCION",$B$26,"DESCRIPCION3","Inversión","DESCRIPCION5","Inversión")</f>
        <v>1080423572.8199999</v>
      </c>
      <c r="J27" s="194">
        <f t="shared" si="21"/>
        <v>0.29408765992323926</v>
      </c>
      <c r="K27" s="170">
        <f>GETPIVOTDATA("Compromisos",Validaciones!$A$1,"REC","Ingresos corrientes","DESCRIPCION",$B$26,"DESCRIPCION3","Inversión","DESCRIPCION5","Inversión")</f>
        <v>1051131180.8200001</v>
      </c>
      <c r="L27" s="194">
        <f t="shared" si="22"/>
        <v>0.28611436941611945</v>
      </c>
      <c r="M27" s="170">
        <f>GETPIVOTDATA("Obligaciones",Validaciones!$A$1,"REC","Ingresos corrientes","DESCRIPCION",$B$26,"DESCRIPCION3","Inversión","DESCRIPCION5","Inversión")</f>
        <v>840179497.82000005</v>
      </c>
      <c r="N27" s="194">
        <f t="shared" si="23"/>
        <v>0.22869403134591834</v>
      </c>
      <c r="O27" s="170">
        <f>GETPIVOTDATA("Pagos",Validaciones!$A$1,"REC","Ingresos corrientes","DESCRIPCION",$B$26,"DESCRIPCION3","Inversión","DESCRIPCION5","Inversión")</f>
        <v>772137241.82000005</v>
      </c>
      <c r="P27" s="194">
        <f t="shared" si="24"/>
        <v>0.21017315828618943</v>
      </c>
      <c r="Q27" s="170">
        <f t="shared" si="25"/>
        <v>2593391143.1800003</v>
      </c>
      <c r="R27" s="194">
        <f t="shared" si="26"/>
        <v>0.70591234007676074</v>
      </c>
    </row>
    <row r="28" spans="2:18" x14ac:dyDescent="0.25">
      <c r="B28" s="249"/>
      <c r="C28" s="249"/>
      <c r="D28" s="199" t="s">
        <v>10651</v>
      </c>
      <c r="E28" s="200">
        <f>SUM(E26:E27)</f>
        <v>3791745803</v>
      </c>
      <c r="F28" s="200">
        <v>0</v>
      </c>
      <c r="G28" s="200">
        <v>0</v>
      </c>
      <c r="H28" s="201">
        <f t="shared" si="20"/>
        <v>3791745803</v>
      </c>
      <c r="I28" s="201">
        <f>SUM(I26:I27)</f>
        <v>1198197746.8199999</v>
      </c>
      <c r="J28" s="202">
        <f t="shared" si="14"/>
        <v>0.31600160165589031</v>
      </c>
      <c r="K28" s="201">
        <f>SUM(K26:K27)</f>
        <v>1168905354.8200002</v>
      </c>
      <c r="L28" s="202">
        <f t="shared" si="15"/>
        <v>0.30827629686968239</v>
      </c>
      <c r="M28" s="201">
        <f>SUM(M26:M27)</f>
        <v>957709325.82000005</v>
      </c>
      <c r="N28" s="202">
        <f t="shared" si="16"/>
        <v>0.2525774077635341</v>
      </c>
      <c r="O28" s="201">
        <f>SUM(O26:O27)</f>
        <v>889667069.82000005</v>
      </c>
      <c r="P28" s="202">
        <f t="shared" si="17"/>
        <v>0.23463257191874581</v>
      </c>
      <c r="Q28" s="201">
        <f t="shared" si="18"/>
        <v>2593548056.1800003</v>
      </c>
      <c r="R28" s="202">
        <f t="shared" si="19"/>
        <v>0.6839983983441098</v>
      </c>
    </row>
    <row r="29" spans="2:18" x14ac:dyDescent="0.25">
      <c r="B29" s="249" t="s">
        <v>202</v>
      </c>
      <c r="C29" s="249"/>
      <c r="D29" s="192" t="s">
        <v>266</v>
      </c>
      <c r="E29" s="193">
        <v>2562805098</v>
      </c>
      <c r="F29" s="119">
        <v>0</v>
      </c>
      <c r="G29" s="119">
        <v>0</v>
      </c>
      <c r="H29" s="170">
        <f t="shared" si="20"/>
        <v>2562805098</v>
      </c>
      <c r="I29" s="170">
        <f>GETPIVOTDATA("CDP ",Validaciones!$A$1,"REC","Otros recursos del tesoro","DESCRIPCION",$B$29,"DESCRIPCION3","Inversión","DESCRIPCION5","Inversión")</f>
        <v>2496618136.7199998</v>
      </c>
      <c r="J29" s="194">
        <f t="shared" si="14"/>
        <v>0.97417401684909544</v>
      </c>
      <c r="K29" s="170">
        <f>GETPIVOTDATA("Compromisos",Validaciones!$A$1,"REC","Otros recursos del tesoro","DESCRIPCION",$B$29,"DESCRIPCION3","Inversión","DESCRIPCION5","Inversión")</f>
        <v>2395063284.7600002</v>
      </c>
      <c r="L29" s="194">
        <f t="shared" si="15"/>
        <v>0.93454757313737802</v>
      </c>
      <c r="M29" s="170">
        <f>GETPIVOTDATA("Obligaciones",Validaciones!$A$1,"REC","Otros recursos del tesoro","DESCRIPCION",$B$29,"DESCRIPCION3","Inversión","DESCRIPCION5","Inversión")</f>
        <v>1931832968.24</v>
      </c>
      <c r="N29" s="194">
        <f t="shared" si="16"/>
        <v>0.75379628741475213</v>
      </c>
      <c r="O29" s="170">
        <f>GETPIVOTDATA("Pagos",Validaciones!$A$1,"REC","Otros recursos del tesoro","DESCRIPCION",$B$29,"DESCRIPCION3","Inversión","DESCRIPCION5","Inversión")</f>
        <v>1803025998.24</v>
      </c>
      <c r="P29" s="194">
        <f t="shared" si="17"/>
        <v>0.70353613688652028</v>
      </c>
      <c r="Q29" s="170">
        <f t="shared" si="18"/>
        <v>66186961.28000021</v>
      </c>
      <c r="R29" s="194">
        <f t="shared" si="19"/>
        <v>2.5825983150904522E-2</v>
      </c>
    </row>
    <row r="30" spans="2:18" x14ac:dyDescent="0.25">
      <c r="B30" s="249"/>
      <c r="C30" s="249"/>
      <c r="D30" s="192" t="s">
        <v>273</v>
      </c>
      <c r="E30" s="193">
        <v>3402445240</v>
      </c>
      <c r="F30" s="119">
        <v>0</v>
      </c>
      <c r="G30" s="119">
        <v>0</v>
      </c>
      <c r="H30" s="170">
        <f t="shared" si="20"/>
        <v>3402445240</v>
      </c>
      <c r="I30" s="170">
        <f>GETPIVOTDATA("CDP ",Validaciones!$A$1,"REC","Ingresos corrientes","DESCRIPCION",$B$29,"DESCRIPCION3","Inversión","DESCRIPCION5","Inversión")</f>
        <v>3225685494</v>
      </c>
      <c r="J30" s="194">
        <f t="shared" si="14"/>
        <v>0.94804920181463381</v>
      </c>
      <c r="K30" s="170">
        <f>GETPIVOTDATA("Compromisos",Validaciones!$A$1,"REC","Ingresos corrientes","DESCRIPCION",$B$29,"DESCRIPCION3","Inversión","DESCRIPCION5","Inversión")</f>
        <v>3225685494</v>
      </c>
      <c r="L30" s="194">
        <f t="shared" si="15"/>
        <v>0.94804920181463381</v>
      </c>
      <c r="M30" s="170">
        <f>GETPIVOTDATA("Obligaciones",Validaciones!$A$1,"REC","Ingresos corrientes","DESCRIPCION",$B$29,"DESCRIPCION3","Inversión","DESCRIPCION5","Inversión")</f>
        <v>2876237352</v>
      </c>
      <c r="N30" s="194">
        <f t="shared" si="16"/>
        <v>0.84534420074898842</v>
      </c>
      <c r="O30" s="170">
        <f>GETPIVOTDATA("Pagos",Validaciones!$A$1,"REC","Ingresos corrientes","DESCRIPCION",$B$29,"DESCRIPCION3","Inversión","DESCRIPCION5","Inversión")</f>
        <v>2788377599</v>
      </c>
      <c r="P30" s="194">
        <f t="shared" si="17"/>
        <v>0.81952166818708305</v>
      </c>
      <c r="Q30" s="170">
        <f t="shared" si="18"/>
        <v>176759746</v>
      </c>
      <c r="R30" s="194">
        <f t="shared" si="19"/>
        <v>5.1950798185366243E-2</v>
      </c>
    </row>
    <row r="31" spans="2:18" x14ac:dyDescent="0.25">
      <c r="B31" s="249"/>
      <c r="C31" s="249"/>
      <c r="D31" s="199" t="s">
        <v>10651</v>
      </c>
      <c r="E31" s="200">
        <f>SUM(E29:E30)</f>
        <v>5965250338</v>
      </c>
      <c r="F31" s="200">
        <v>0</v>
      </c>
      <c r="G31" s="200">
        <v>0</v>
      </c>
      <c r="H31" s="201">
        <f t="shared" si="20"/>
        <v>5965250338</v>
      </c>
      <c r="I31" s="201">
        <f>SUM(I29:I30)</f>
        <v>5722303630.7199993</v>
      </c>
      <c r="J31" s="202">
        <f t="shared" si="14"/>
        <v>0.95927300724793141</v>
      </c>
      <c r="K31" s="201">
        <f>SUM(K29:K30)</f>
        <v>5620748778.7600002</v>
      </c>
      <c r="L31" s="202">
        <f t="shared" si="15"/>
        <v>0.94224859985415088</v>
      </c>
      <c r="M31" s="201">
        <f>SUM(M29:M30)</f>
        <v>4808070320.2399998</v>
      </c>
      <c r="N31" s="202">
        <f t="shared" si="16"/>
        <v>0.80601316756339614</v>
      </c>
      <c r="O31" s="201">
        <f>SUM(O29:O30)</f>
        <v>4591403597.2399998</v>
      </c>
      <c r="P31" s="202">
        <f t="shared" si="17"/>
        <v>0.76969168720241554</v>
      </c>
      <c r="Q31" s="201">
        <f t="shared" si="18"/>
        <v>242946707.28000069</v>
      </c>
      <c r="R31" s="202">
        <f t="shared" si="19"/>
        <v>4.0726992752068585E-2</v>
      </c>
    </row>
    <row r="32" spans="2:18" x14ac:dyDescent="0.25">
      <c r="B32" s="249" t="s">
        <v>207</v>
      </c>
      <c r="C32" s="249"/>
      <c r="D32" s="192" t="s">
        <v>266</v>
      </c>
      <c r="E32" s="193">
        <v>1000000000</v>
      </c>
      <c r="F32" s="119">
        <v>0</v>
      </c>
      <c r="G32" s="119">
        <v>0</v>
      </c>
      <c r="H32" s="170">
        <f t="shared" si="20"/>
        <v>1000000000</v>
      </c>
      <c r="I32" s="170">
        <f>GETPIVOTDATA("CDP ",Validaciones!$A$1,"REC","Otros recursos del tesoro","DESCRIPCION",$B$32,"DESCRIPCION3","Inversión","DESCRIPCION5","Inversión")</f>
        <v>935183003.40999997</v>
      </c>
      <c r="J32" s="194">
        <f t="shared" si="14"/>
        <v>0.93518300340999994</v>
      </c>
      <c r="K32" s="170">
        <f>GETPIVOTDATA("Compromisos",Validaciones!$A$1,"REC","Otros recursos del tesoro","DESCRIPCION",$B$32,"DESCRIPCION3","Inversión","DESCRIPCION5","Inversión")</f>
        <v>439419196.94</v>
      </c>
      <c r="L32" s="194">
        <f t="shared" si="15"/>
        <v>0.43941919693999998</v>
      </c>
      <c r="M32" s="170">
        <f>GETPIVOTDATA("Obligaciones",Validaciones!$A$1,"REC","Otros recursos del tesoro","DESCRIPCION",$B$32,"DESCRIPCION3","Inversión","DESCRIPCION5","Inversión")</f>
        <v>229213194</v>
      </c>
      <c r="N32" s="194">
        <f t="shared" si="16"/>
        <v>0.22921319400000001</v>
      </c>
      <c r="O32" s="170">
        <f>GETPIVOTDATA("Pagos",Validaciones!$A$1,"REC","Otros recursos del tesoro","DESCRIPCION",$B$32,"DESCRIPCION3","Inversión","DESCRIPCION5","Inversión")</f>
        <v>221882828</v>
      </c>
      <c r="P32" s="194">
        <f t="shared" si="17"/>
        <v>0.221882828</v>
      </c>
      <c r="Q32" s="170">
        <f t="shared" si="18"/>
        <v>64816996.590000033</v>
      </c>
      <c r="R32" s="194">
        <f t="shared" si="19"/>
        <v>6.4816996590000037E-2</v>
      </c>
    </row>
    <row r="33" spans="2:18" x14ac:dyDescent="0.25">
      <c r="B33" s="249"/>
      <c r="C33" s="249"/>
      <c r="D33" s="192" t="s">
        <v>273</v>
      </c>
      <c r="E33" s="193">
        <v>793530741</v>
      </c>
      <c r="F33" s="119">
        <v>0</v>
      </c>
      <c r="G33" s="119">
        <v>0</v>
      </c>
      <c r="H33" s="170">
        <f t="shared" si="20"/>
        <v>793530741</v>
      </c>
      <c r="I33" s="170">
        <f>GETPIVOTDATA("CDP ",Validaciones!$A$1,"REC","Ingresos corrientes","DESCRIPCION",$B$32,"DESCRIPCION3","Inversión","DESCRIPCION5","Inversión")</f>
        <v>104087600</v>
      </c>
      <c r="J33" s="194">
        <f t="shared" si="14"/>
        <v>0.13117021763873921</v>
      </c>
      <c r="K33" s="170">
        <f>GETPIVOTDATA("Compromisos",Validaciones!$A$1,"REC","Ingresos corrientes","DESCRIPCION",$B$32,"DESCRIPCION3","Inversión","DESCRIPCION5","Inversión")</f>
        <v>104087600</v>
      </c>
      <c r="L33" s="194">
        <f t="shared" si="15"/>
        <v>0.13117021763873921</v>
      </c>
      <c r="M33" s="170">
        <f>GETPIVOTDATA("Obligaciones",Validaciones!$A$1,"REC","Ingresos corrientes","DESCRIPCION",$B$32,"DESCRIPCION3","Inversión","DESCRIPCION5","Inversión")</f>
        <v>83578903.870000005</v>
      </c>
      <c r="N33" s="194">
        <f t="shared" si="16"/>
        <v>0.10532535105656354</v>
      </c>
      <c r="O33" s="170">
        <f>GETPIVOTDATA("Pagos",Validaciones!$A$1,"REC","Ingresos corrientes","DESCRIPCION",$B$32,"DESCRIPCION3","Inversión","DESCRIPCION5","Inversión")</f>
        <v>83578903.870000005</v>
      </c>
      <c r="P33" s="194">
        <f t="shared" si="17"/>
        <v>0.10532535105656354</v>
      </c>
      <c r="Q33" s="170">
        <f t="shared" si="18"/>
        <v>689443141</v>
      </c>
      <c r="R33" s="194">
        <f t="shared" si="19"/>
        <v>0.86882978236126074</v>
      </c>
    </row>
    <row r="34" spans="2:18" x14ac:dyDescent="0.25">
      <c r="B34" s="249"/>
      <c r="C34" s="249"/>
      <c r="D34" s="199" t="s">
        <v>10651</v>
      </c>
      <c r="E34" s="200">
        <f>SUM(E32:E33)</f>
        <v>1793530741</v>
      </c>
      <c r="F34" s="200">
        <v>0</v>
      </c>
      <c r="G34" s="200">
        <v>0</v>
      </c>
      <c r="H34" s="201">
        <f t="shared" si="20"/>
        <v>1793530741</v>
      </c>
      <c r="I34" s="201">
        <f>SUM(I32:I33)</f>
        <v>1039270603.41</v>
      </c>
      <c r="J34" s="202">
        <f t="shared" si="14"/>
        <v>0.5794551382099784</v>
      </c>
      <c r="K34" s="201">
        <f>SUM(K32:K33)</f>
        <v>543506796.94000006</v>
      </c>
      <c r="L34" s="202">
        <f t="shared" si="15"/>
        <v>0.30303734667907767</v>
      </c>
      <c r="M34" s="201">
        <f>SUM(M32:M33)</f>
        <v>312792097.87</v>
      </c>
      <c r="N34" s="202">
        <f t="shared" si="16"/>
        <v>0.17440018769658769</v>
      </c>
      <c r="O34" s="201">
        <f>SUM(O32:O33)</f>
        <v>305461731.87</v>
      </c>
      <c r="P34" s="202">
        <f t="shared" si="17"/>
        <v>0.17031307291654613</v>
      </c>
      <c r="Q34" s="201">
        <f t="shared" si="18"/>
        <v>754260137.59000003</v>
      </c>
      <c r="R34" s="202">
        <f t="shared" si="19"/>
        <v>0.4205448617900216</v>
      </c>
    </row>
    <row r="35" spans="2:18" x14ac:dyDescent="0.25">
      <c r="B35" s="249" t="s">
        <v>208</v>
      </c>
      <c r="C35" s="249"/>
      <c r="D35" s="192" t="s">
        <v>266</v>
      </c>
      <c r="E35" s="193">
        <v>54006100</v>
      </c>
      <c r="F35" s="119">
        <v>0</v>
      </c>
      <c r="G35" s="119">
        <v>0</v>
      </c>
      <c r="H35" s="170">
        <f t="shared" si="20"/>
        <v>54006100</v>
      </c>
      <c r="I35" s="170">
        <f>GETPIVOTDATA("CDP ",Validaciones!$A$1,"REC","Otros recursos del tesoro","DESCRIPCION",$B$35,"DESCRIPCION3","Inversión","DESCRIPCION5","Inversión")</f>
        <v>28778040</v>
      </c>
      <c r="J35" s="194">
        <f t="shared" si="14"/>
        <v>0.53286647249107044</v>
      </c>
      <c r="K35" s="170">
        <f>GETPIVOTDATA("Compromisos",Validaciones!$A$1,"REC","Otros recursos del tesoro","DESCRIPCION",$B$35,"DESCRIPCION3","Inversión","DESCRIPCION5","Inversión")</f>
        <v>23214645</v>
      </c>
      <c r="L35" s="194">
        <f t="shared" si="15"/>
        <v>0.42985227594660602</v>
      </c>
      <c r="M35" s="170">
        <f>GETPIVOTDATA("Obligaciones",Validaciones!$A$1,"REC","Otros recursos del tesoro","DESCRIPCION",$B$35,"DESCRIPCION3","Inversión","DESCRIPCION5","Inversión")</f>
        <v>11334213</v>
      </c>
      <c r="N35" s="194">
        <f t="shared" si="16"/>
        <v>0.20986912589503778</v>
      </c>
      <c r="O35" s="170">
        <f>GETPIVOTDATA("Pagos",Validaciones!$A$1,"REC","Otros recursos del tesoro","DESCRIPCION",$B$35,"DESCRIPCION3","Inversión","DESCRIPCION5","Inversión")</f>
        <v>11334213</v>
      </c>
      <c r="P35" s="194">
        <f t="shared" si="17"/>
        <v>0.20986912589503778</v>
      </c>
      <c r="Q35" s="170">
        <f t="shared" si="18"/>
        <v>25228060</v>
      </c>
      <c r="R35" s="194">
        <f t="shared" si="19"/>
        <v>0.46713352750892956</v>
      </c>
    </row>
    <row r="36" spans="2:18" x14ac:dyDescent="0.25">
      <c r="B36" s="249"/>
      <c r="C36" s="249"/>
      <c r="D36" s="192" t="s">
        <v>273</v>
      </c>
      <c r="E36" s="193">
        <v>969041818</v>
      </c>
      <c r="F36" s="119">
        <v>0</v>
      </c>
      <c r="G36" s="119">
        <v>0</v>
      </c>
      <c r="H36" s="170">
        <f t="shared" si="20"/>
        <v>969041818</v>
      </c>
      <c r="I36" s="170">
        <f>GETPIVOTDATA("CDP ",Validaciones!$A$1,"REC","Ingresos corrientes","DESCRIPCION",$B$35,"DESCRIPCION3","Inversión","DESCRIPCION5","Inversión")</f>
        <v>932735602</v>
      </c>
      <c r="J36" s="194">
        <f t="shared" si="14"/>
        <v>0.96253390171031816</v>
      </c>
      <c r="K36" s="170">
        <f>GETPIVOTDATA("Compromisos",Validaciones!$A$1,"REC","Ingresos corrientes","DESCRIPCION",$B$35,"DESCRIPCION3","Inversión","DESCRIPCION5","Inversión")</f>
        <v>925082658</v>
      </c>
      <c r="L36" s="194">
        <f t="shared" si="15"/>
        <v>0.95463646750485232</v>
      </c>
      <c r="M36" s="170">
        <f>GETPIVOTDATA("Obligaciones",Validaciones!$A$1,"REC","Ingresos corrientes","DESCRIPCION",$B$35,"DESCRIPCION3","Inversión","DESCRIPCION5","Inversión")</f>
        <v>787543958</v>
      </c>
      <c r="N36" s="194">
        <f t="shared" si="16"/>
        <v>0.81270378983789116</v>
      </c>
      <c r="O36" s="170">
        <f>GETPIVOTDATA("Pagos",Validaciones!$A$1,"REC","Ingresos corrientes","DESCRIPCION",$B$35,"DESCRIPCION3","Inversión","DESCRIPCION5","Inversión")</f>
        <v>762439993</v>
      </c>
      <c r="P36" s="194">
        <f t="shared" si="17"/>
        <v>0.78679782320807956</v>
      </c>
      <c r="Q36" s="170">
        <f t="shared" si="18"/>
        <v>36306216</v>
      </c>
      <c r="R36" s="194">
        <f t="shared" si="19"/>
        <v>3.7466098289681858E-2</v>
      </c>
    </row>
    <row r="37" spans="2:18" x14ac:dyDescent="0.25">
      <c r="B37" s="249"/>
      <c r="C37" s="249"/>
      <c r="D37" s="199" t="s">
        <v>10651</v>
      </c>
      <c r="E37" s="200">
        <f>SUM(E35:E36)</f>
        <v>1023047918</v>
      </c>
      <c r="F37" s="200">
        <v>0</v>
      </c>
      <c r="G37" s="200">
        <v>0</v>
      </c>
      <c r="H37" s="201">
        <f t="shared" si="20"/>
        <v>1023047918</v>
      </c>
      <c r="I37" s="201">
        <f>SUM(I35:I36)</f>
        <v>961513642</v>
      </c>
      <c r="J37" s="202">
        <f t="shared" si="14"/>
        <v>0.93985200994270535</v>
      </c>
      <c r="K37" s="201">
        <f>SUM(K35:K36)</f>
        <v>948297303</v>
      </c>
      <c r="L37" s="202">
        <f t="shared" si="15"/>
        <v>0.92693341759970227</v>
      </c>
      <c r="M37" s="201">
        <f>SUM(M35:M36)</f>
        <v>798878171</v>
      </c>
      <c r="N37" s="202">
        <f t="shared" si="16"/>
        <v>0.78088050123963015</v>
      </c>
      <c r="O37" s="201">
        <f>SUM(O35:O36)</f>
        <v>773774206</v>
      </c>
      <c r="P37" s="202">
        <f t="shared" si="17"/>
        <v>0.75634209540515385</v>
      </c>
      <c r="Q37" s="201">
        <f t="shared" si="18"/>
        <v>61534276</v>
      </c>
      <c r="R37" s="202">
        <f t="shared" si="19"/>
        <v>6.014799005729466E-2</v>
      </c>
    </row>
    <row r="38" spans="2:18" x14ac:dyDescent="0.25">
      <c r="B38" s="249" t="s">
        <v>209</v>
      </c>
      <c r="C38" s="249"/>
      <c r="D38" s="192" t="s">
        <v>266</v>
      </c>
      <c r="E38" s="193">
        <v>1170510266</v>
      </c>
      <c r="F38" s="119">
        <v>0</v>
      </c>
      <c r="G38" s="119">
        <v>0</v>
      </c>
      <c r="H38" s="170">
        <f t="shared" si="20"/>
        <v>1170510266</v>
      </c>
      <c r="I38" s="170">
        <f>GETPIVOTDATA("CDP ",Validaciones!$A$1,"REC","Otros recursos del tesoro","DESCRIPCION",$B$38,"DESCRIPCION3","Inversión","DESCRIPCION5","Inversión")</f>
        <v>1168915841</v>
      </c>
      <c r="J38" s="194">
        <f t="shared" si="14"/>
        <v>0.99863783766250203</v>
      </c>
      <c r="K38" s="170">
        <f>GETPIVOTDATA("Compromisos",Validaciones!$A$1,"REC","Otros recursos del tesoro","DESCRIPCION",$B$38,"DESCRIPCION3","Inversión","DESCRIPCION5","Inversión")</f>
        <v>1168915840</v>
      </c>
      <c r="L38" s="194">
        <f t="shared" si="15"/>
        <v>0.99863783680817375</v>
      </c>
      <c r="M38" s="170">
        <f>GETPIVOTDATA("Obligaciones",Validaciones!$A$1,"REC","Otros recursos del tesoro","DESCRIPCION",$B$38,"DESCRIPCION3","Inversión","DESCRIPCION5","Inversión")</f>
        <v>1137595916</v>
      </c>
      <c r="N38" s="194">
        <f t="shared" si="16"/>
        <v>0.97188034060352269</v>
      </c>
      <c r="O38" s="170">
        <f>GETPIVOTDATA("Pagos",Validaciones!$A$1,"REC","Otros recursos del tesoro","DESCRIPCION",$B$38,"DESCRIPCION3","Inversión","DESCRIPCION5","Inversión")</f>
        <v>1132612871</v>
      </c>
      <c r="P38" s="194">
        <f t="shared" si="17"/>
        <v>0.96762318443433459</v>
      </c>
      <c r="Q38" s="170">
        <f t="shared" si="18"/>
        <v>1594425</v>
      </c>
      <c r="R38" s="194">
        <f t="shared" si="19"/>
        <v>1.3621623374980292E-3</v>
      </c>
    </row>
    <row r="39" spans="2:18" x14ac:dyDescent="0.25">
      <c r="B39" s="249"/>
      <c r="C39" s="249"/>
      <c r="D39" s="192" t="s">
        <v>273</v>
      </c>
      <c r="E39" s="193">
        <v>11116476893</v>
      </c>
      <c r="F39" s="119">
        <v>0</v>
      </c>
      <c r="G39" s="119">
        <v>0</v>
      </c>
      <c r="H39" s="170">
        <f t="shared" si="20"/>
        <v>11116476893</v>
      </c>
      <c r="I39" s="170">
        <f>GETPIVOTDATA("CDP ",Validaciones!$A$1,"REC","Ingresos corrientes","DESCRIPCION",$B$38,"DESCRIPCION3","Inversión","DESCRIPCION5","Inversión")</f>
        <v>1049057258.78</v>
      </c>
      <c r="J39" s="194">
        <f t="shared" si="14"/>
        <v>9.4369580297565953E-2</v>
      </c>
      <c r="K39" s="170">
        <f>GETPIVOTDATA("Compromisos",Validaciones!$A$1,"REC","Ingresos corrientes","DESCRIPCION",$B$38,"DESCRIPCION3","Inversión","DESCRIPCION5","Inversión")</f>
        <v>412550815.77999997</v>
      </c>
      <c r="L39" s="194">
        <f t="shared" si="15"/>
        <v>3.711165144775154E-2</v>
      </c>
      <c r="M39" s="170">
        <f>GETPIVOTDATA("Obligaciones",Validaciones!$A$1,"REC","Ingresos corrientes","DESCRIPCION",$B$38,"DESCRIPCION3","Inversión","DESCRIPCION5","Inversión")</f>
        <v>218378259.78</v>
      </c>
      <c r="N39" s="194">
        <f t="shared" si="16"/>
        <v>1.9644556623646822E-2</v>
      </c>
      <c r="O39" s="170">
        <f>GETPIVOTDATA("Pagos",Validaciones!$A$1,"REC","Ingresos corrientes","DESCRIPCION",$B$38,"DESCRIPCION3","Inversión","DESCRIPCION5","Inversión")</f>
        <v>208637560.78</v>
      </c>
      <c r="P39" s="194">
        <f t="shared" si="17"/>
        <v>1.8768316867673985E-2</v>
      </c>
      <c r="Q39" s="170">
        <f t="shared" si="18"/>
        <v>10067419634.219999</v>
      </c>
      <c r="R39" s="194">
        <f t="shared" si="19"/>
        <v>0.90563041970243396</v>
      </c>
    </row>
    <row r="40" spans="2:18" x14ac:dyDescent="0.25">
      <c r="B40" s="249"/>
      <c r="C40" s="249"/>
      <c r="D40" s="199" t="s">
        <v>10651</v>
      </c>
      <c r="E40" s="200">
        <f>SUM(E38:E39)</f>
        <v>12286987159</v>
      </c>
      <c r="F40" s="200">
        <v>0</v>
      </c>
      <c r="G40" s="200">
        <v>0</v>
      </c>
      <c r="H40" s="201">
        <f t="shared" si="20"/>
        <v>12286987159</v>
      </c>
      <c r="I40" s="201">
        <f>SUM(I38:I39)</f>
        <v>2217973099.7799997</v>
      </c>
      <c r="J40" s="202">
        <f t="shared" si="14"/>
        <v>0.18051399184179776</v>
      </c>
      <c r="K40" s="201">
        <f>SUM(K38:K39)</f>
        <v>1581466655.78</v>
      </c>
      <c r="L40" s="202">
        <f t="shared" si="15"/>
        <v>0.12871069492585932</v>
      </c>
      <c r="M40" s="201">
        <f>SUM(M38:M39)</f>
        <v>1355974175.78</v>
      </c>
      <c r="N40" s="202">
        <f t="shared" si="16"/>
        <v>0.11035855724702805</v>
      </c>
      <c r="O40" s="201">
        <f>SUM(O38:O39)</f>
        <v>1341250431.78</v>
      </c>
      <c r="P40" s="202">
        <f t="shared" si="17"/>
        <v>0.10916023712107145</v>
      </c>
      <c r="Q40" s="201">
        <f t="shared" si="18"/>
        <v>10069014059.220001</v>
      </c>
      <c r="R40" s="202">
        <f t="shared" si="19"/>
        <v>0.81948600815820227</v>
      </c>
    </row>
    <row r="41" spans="2:18" x14ac:dyDescent="0.25">
      <c r="B41" s="249" t="s">
        <v>212</v>
      </c>
      <c r="C41" s="249"/>
      <c r="D41" s="192" t="s">
        <v>266</v>
      </c>
      <c r="E41" s="193">
        <v>1036559168</v>
      </c>
      <c r="F41" s="119">
        <v>0</v>
      </c>
      <c r="G41" s="119">
        <v>0</v>
      </c>
      <c r="H41" s="170">
        <f t="shared" si="20"/>
        <v>1036559168</v>
      </c>
      <c r="I41" s="170">
        <f>GETPIVOTDATA("CDP ",Validaciones!$A$1,"REC","Otros recursos del tesoro","DESCRIPCION",$B$41,"DESCRIPCION3","Inversión","DESCRIPCION5","Inversión")</f>
        <v>1036281979</v>
      </c>
      <c r="J41" s="194">
        <f t="shared" si="14"/>
        <v>0.99973258738279758</v>
      </c>
      <c r="K41" s="170">
        <f>GETPIVOTDATA("Compromisos",Validaciones!$A$1,"REC","Otros recursos del tesoro","DESCRIPCION",$B$41,"DESCRIPCION3","Inversión","DESCRIPCION5","Inversión")</f>
        <v>1014272315</v>
      </c>
      <c r="L41" s="194">
        <f t="shared" si="15"/>
        <v>0.97849919841720023</v>
      </c>
      <c r="M41" s="170">
        <f>GETPIVOTDATA("Obligaciones",Validaciones!$A$1,"REC","Otros recursos del tesoro","DESCRIPCION",$B$41,"DESCRIPCION3","Inversión","DESCRIPCION5","Inversión")</f>
        <v>878641193</v>
      </c>
      <c r="N41" s="194">
        <f t="shared" si="16"/>
        <v>0.84765175025686523</v>
      </c>
      <c r="O41" s="170">
        <f>GETPIVOTDATA("Pagos",Validaciones!$A$1,"REC","Otros recursos del tesoro","DESCRIPCION",$B$41,"DESCRIPCION3","Inversión","DESCRIPCION5","Inversión")</f>
        <v>838063075</v>
      </c>
      <c r="P41" s="194">
        <f t="shared" si="17"/>
        <v>0.80850481175812627</v>
      </c>
      <c r="Q41" s="170">
        <f t="shared" si="18"/>
        <v>277189</v>
      </c>
      <c r="R41" s="194">
        <f t="shared" si="19"/>
        <v>2.6741261720237853E-4</v>
      </c>
    </row>
    <row r="42" spans="2:18" x14ac:dyDescent="0.25">
      <c r="B42" s="249"/>
      <c r="C42" s="249"/>
      <c r="D42" s="192" t="s">
        <v>273</v>
      </c>
      <c r="E42" s="193">
        <v>834778626</v>
      </c>
      <c r="F42" s="119">
        <v>0</v>
      </c>
      <c r="G42" s="119">
        <v>0</v>
      </c>
      <c r="H42" s="170">
        <f t="shared" si="20"/>
        <v>834778626</v>
      </c>
      <c r="I42" s="170">
        <f>GETPIVOTDATA("CDP ",Validaciones!$A$1,"REC","Ingresos corrientes","DESCRIPCION",$B$41,"DESCRIPCION3","Inversión","DESCRIPCION5","Inversión")</f>
        <v>797631229</v>
      </c>
      <c r="J42" s="194">
        <f t="shared" si="14"/>
        <v>0.95550030170513733</v>
      </c>
      <c r="K42" s="170">
        <f>GETPIVOTDATA("Compromisos",Validaciones!$A$1,"REC","Ingresos corrientes","DESCRIPCION",$B$41,"DESCRIPCION3","Inversión","DESCRIPCION5","Inversión")</f>
        <v>774104965</v>
      </c>
      <c r="L42" s="194">
        <f t="shared" si="15"/>
        <v>0.92731766349753186</v>
      </c>
      <c r="M42" s="170">
        <f>GETPIVOTDATA("Obligaciones",Validaciones!$A$1,"REC","Ingresos corrientes","DESCRIPCION",$B$41,"DESCRIPCION3","Inversión","DESCRIPCION5","Inversión")</f>
        <v>691832122</v>
      </c>
      <c r="N42" s="194">
        <f t="shared" si="16"/>
        <v>0.82876118344697536</v>
      </c>
      <c r="O42" s="170">
        <f>GETPIVOTDATA("Pagos",Validaciones!$A$1,"REC","Ingresos corrientes","DESCRIPCION",$B$41,"DESCRIPCION3","Inversión","DESCRIPCION5","Inversión")</f>
        <v>683547376</v>
      </c>
      <c r="P42" s="194">
        <f t="shared" si="17"/>
        <v>0.81883670078538884</v>
      </c>
      <c r="Q42" s="170">
        <f t="shared" si="18"/>
        <v>37147397</v>
      </c>
      <c r="R42" s="194">
        <f t="shared" si="19"/>
        <v>4.4499698294862666E-2</v>
      </c>
    </row>
    <row r="43" spans="2:18" x14ac:dyDescent="0.25">
      <c r="B43" s="249"/>
      <c r="C43" s="249"/>
      <c r="D43" s="199" t="s">
        <v>10651</v>
      </c>
      <c r="E43" s="200">
        <f>SUM(E41:E42)</f>
        <v>1871337794</v>
      </c>
      <c r="F43" s="200">
        <v>0</v>
      </c>
      <c r="G43" s="200">
        <v>0</v>
      </c>
      <c r="H43" s="201">
        <f t="shared" si="20"/>
        <v>1871337794</v>
      </c>
      <c r="I43" s="201">
        <f>SUM(I41:I42)</f>
        <v>1833913208</v>
      </c>
      <c r="J43" s="202">
        <f t="shared" si="14"/>
        <v>0.98000115953410816</v>
      </c>
      <c r="K43" s="201">
        <f>SUM(K41:K42)</f>
        <v>1788377280</v>
      </c>
      <c r="L43" s="202">
        <f t="shared" si="15"/>
        <v>0.95566780392829498</v>
      </c>
      <c r="M43" s="201">
        <f>SUM(M41:M42)</f>
        <v>1570473315</v>
      </c>
      <c r="N43" s="202">
        <f t="shared" si="16"/>
        <v>0.8392249224246684</v>
      </c>
      <c r="O43" s="201">
        <f>SUM(O41:O42)</f>
        <v>1521610451</v>
      </c>
      <c r="P43" s="202">
        <f t="shared" si="17"/>
        <v>0.81311372852014341</v>
      </c>
      <c r="Q43" s="201">
        <f t="shared" si="18"/>
        <v>37424586</v>
      </c>
      <c r="R43" s="202">
        <f t="shared" si="19"/>
        <v>1.9998840465891857E-2</v>
      </c>
    </row>
    <row r="44" spans="2:18" x14ac:dyDescent="0.25">
      <c r="B44" s="249" t="s">
        <v>214</v>
      </c>
      <c r="C44" s="249"/>
      <c r="D44" s="192" t="s">
        <v>266</v>
      </c>
      <c r="E44" s="193">
        <v>206818844</v>
      </c>
      <c r="F44" s="119">
        <v>0</v>
      </c>
      <c r="G44" s="119">
        <v>0</v>
      </c>
      <c r="H44" s="170">
        <f t="shared" si="20"/>
        <v>206818844</v>
      </c>
      <c r="I44" s="170">
        <f>GETPIVOTDATA("CDP ",Validaciones!$A$1,"REC","Otros recursos del tesoro","DESCRIPCION",$B$44,"DESCRIPCION3","Inversión","DESCRIPCION5","Inversión")</f>
        <v>204340906</v>
      </c>
      <c r="J44" s="194">
        <f t="shared" ref="J44" si="27">IFERROR(I44/H44,0)</f>
        <v>0.98801879967958817</v>
      </c>
      <c r="K44" s="170">
        <f>GETPIVOTDATA("Compromisos",Validaciones!$A$1,"REC","Otros recursos del tesoro","DESCRIPCION",$B$44,"DESCRIPCION3","Inversión","DESCRIPCION5","Inversión")</f>
        <v>204340906</v>
      </c>
      <c r="L44" s="194">
        <f t="shared" ref="L44" si="28">IFERROR(K44/H44,0)</f>
        <v>0.98801879967958817</v>
      </c>
      <c r="M44" s="170">
        <f>GETPIVOTDATA("Obligaciones",Validaciones!$A$1,"REC","Otros recursos del tesoro","DESCRIPCION",$B$44,"DESCRIPCION3","Inversión","DESCRIPCION5","Inversión")</f>
        <v>172892877</v>
      </c>
      <c r="N44" s="194">
        <f t="shared" ref="N44" si="29">IFERROR(M44/H44,0)</f>
        <v>0.83596288256983009</v>
      </c>
      <c r="O44" s="170">
        <f>GETPIVOTDATA("Pagos",Validaciones!$A$1,"REC","Otros recursos del tesoro","DESCRIPCION",$B$44,"DESCRIPCION3","Inversión","DESCRIPCION5","Inversión")</f>
        <v>164055641</v>
      </c>
      <c r="P44" s="194">
        <f t="shared" ref="P44" si="30">IFERROR(O44/H44,0)</f>
        <v>0.79323352663164481</v>
      </c>
      <c r="Q44" s="170">
        <f t="shared" ref="Q44" si="31">H44-I44</f>
        <v>2477938</v>
      </c>
      <c r="R44" s="194">
        <f t="shared" ref="R44" si="32">IFERROR(Q44/H44,0)</f>
        <v>1.1981200320411809E-2</v>
      </c>
    </row>
    <row r="45" spans="2:18" x14ac:dyDescent="0.25">
      <c r="B45" s="249"/>
      <c r="C45" s="249"/>
      <c r="D45" s="199" t="s">
        <v>10651</v>
      </c>
      <c r="E45" s="200">
        <f>E44</f>
        <v>206818844</v>
      </c>
      <c r="F45" s="200">
        <v>0</v>
      </c>
      <c r="G45" s="200">
        <v>0</v>
      </c>
      <c r="H45" s="201">
        <f t="shared" si="20"/>
        <v>206818844</v>
      </c>
      <c r="I45" s="201">
        <f>I44</f>
        <v>204340906</v>
      </c>
      <c r="J45" s="202">
        <f t="shared" si="14"/>
        <v>0.98801879967958817</v>
      </c>
      <c r="K45" s="201">
        <f>K44</f>
        <v>204340906</v>
      </c>
      <c r="L45" s="202">
        <f t="shared" si="15"/>
        <v>0.98801879967958817</v>
      </c>
      <c r="M45" s="201">
        <f>M44</f>
        <v>172892877</v>
      </c>
      <c r="N45" s="202">
        <f t="shared" si="16"/>
        <v>0.83596288256983009</v>
      </c>
      <c r="O45" s="201">
        <f>O44</f>
        <v>164055641</v>
      </c>
      <c r="P45" s="202">
        <f t="shared" si="17"/>
        <v>0.79323352663164481</v>
      </c>
      <c r="Q45" s="201">
        <f t="shared" si="18"/>
        <v>2477938</v>
      </c>
      <c r="R45" s="202">
        <f t="shared" si="19"/>
        <v>1.1981200320411809E-2</v>
      </c>
    </row>
    <row r="46" spans="2:18" x14ac:dyDescent="0.25">
      <c r="B46" s="249" t="s">
        <v>215</v>
      </c>
      <c r="C46" s="249"/>
      <c r="D46" s="192" t="s">
        <v>266</v>
      </c>
      <c r="E46" s="193">
        <v>3839249599</v>
      </c>
      <c r="F46" s="119">
        <v>0</v>
      </c>
      <c r="G46" s="119">
        <v>0</v>
      </c>
      <c r="H46" s="170">
        <f t="shared" si="20"/>
        <v>3839249599</v>
      </c>
      <c r="I46" s="170">
        <f>GETPIVOTDATA("CDP ",Validaciones!$A$1,"REC","Otros recursos del tesoro","DESCRIPCION",$B$46,"DESCRIPCION3","Inversión","DESCRIPCION5","Inversión")</f>
        <v>3839249598.2199998</v>
      </c>
      <c r="J46" s="194">
        <f t="shared" si="14"/>
        <v>0.99999999979683529</v>
      </c>
      <c r="K46" s="170">
        <f>GETPIVOTDATA("Compromisos",Validaciones!$A$1,"REC","Otros recursos del tesoro","DESCRIPCION",$B$46,"DESCRIPCION3","Inversión","DESCRIPCION5","Inversión")</f>
        <v>3744778854.2199998</v>
      </c>
      <c r="L46" s="194">
        <f t="shared" si="15"/>
        <v>0.97539343500755804</v>
      </c>
      <c r="M46" s="170">
        <f>GETPIVOTDATA("Obligaciones",Validaciones!$A$1,"REC","Otros recursos del tesoro","DESCRIPCION",$B$46,"DESCRIPCION3","Inversión","DESCRIPCION5","Inversión")</f>
        <v>3230872179.5799999</v>
      </c>
      <c r="N46" s="194">
        <f t="shared" si="16"/>
        <v>0.84153741408777838</v>
      </c>
      <c r="O46" s="170">
        <f>GETPIVOTDATA("Pagos",Validaciones!$A$1,"REC","Otros recursos del tesoro","DESCRIPCION",$B$46,"DESCRIPCION3","Inversión","DESCRIPCION5","Inversión")</f>
        <v>3008378467.0799999</v>
      </c>
      <c r="P46" s="194">
        <f t="shared" si="17"/>
        <v>0.78358501824512394</v>
      </c>
      <c r="Q46" s="170">
        <f t="shared" si="18"/>
        <v>0.78000020980834961</v>
      </c>
      <c r="R46" s="194">
        <f t="shared" si="19"/>
        <v>2.0316475646999203E-10</v>
      </c>
    </row>
    <row r="47" spans="2:18" x14ac:dyDescent="0.25">
      <c r="B47" s="249"/>
      <c r="C47" s="249"/>
      <c r="D47" s="192" t="s">
        <v>273</v>
      </c>
      <c r="E47" s="193">
        <v>5990764260</v>
      </c>
      <c r="F47" s="119">
        <v>0</v>
      </c>
      <c r="G47" s="119">
        <v>0</v>
      </c>
      <c r="H47" s="170">
        <f t="shared" si="20"/>
        <v>5990764260</v>
      </c>
      <c r="I47" s="170">
        <f>GETPIVOTDATA("CDP ",Validaciones!$A$1,"REC","Ingresos corrientes","DESCRIPCION",$B$46,"DESCRIPCION3","Inversión","DESCRIPCION5","Inversión")</f>
        <v>5074207634.1599998</v>
      </c>
      <c r="J47" s="194">
        <f t="shared" si="14"/>
        <v>0.84700505877692467</v>
      </c>
      <c r="K47" s="170">
        <f>GETPIVOTDATA("Compromisos",Validaciones!$A$1,"REC","Ingresos corrientes","DESCRIPCION",$B$46,"DESCRIPCION3","Inversión","DESCRIPCION5","Inversión")</f>
        <v>4678929078.1599998</v>
      </c>
      <c r="L47" s="194">
        <f t="shared" si="15"/>
        <v>0.78102373505179457</v>
      </c>
      <c r="M47" s="170">
        <f>GETPIVOTDATA("Obligaciones",Validaciones!$A$1,"REC","Ingresos corrientes","DESCRIPCION",$B$46,"DESCRIPCION3","Inversión","DESCRIPCION5","Inversión")</f>
        <v>3268447875.8000002</v>
      </c>
      <c r="N47" s="194">
        <f t="shared" si="16"/>
        <v>0.5455811201958396</v>
      </c>
      <c r="O47" s="170">
        <f>GETPIVOTDATA("Pagos",Validaciones!$A$1,"REC","Ingresos corrientes","DESCRIPCION",$B$46,"DESCRIPCION3","Inversión","DESCRIPCION5","Inversión")</f>
        <v>2900612306.8000002</v>
      </c>
      <c r="P47" s="194">
        <f t="shared" si="17"/>
        <v>0.48418067894395833</v>
      </c>
      <c r="Q47" s="170">
        <f t="shared" si="18"/>
        <v>916556625.84000015</v>
      </c>
      <c r="R47" s="194">
        <f t="shared" si="19"/>
        <v>0.1529949412230753</v>
      </c>
    </row>
    <row r="48" spans="2:18" x14ac:dyDescent="0.25">
      <c r="B48" s="249"/>
      <c r="C48" s="249"/>
      <c r="D48" s="199" t="s">
        <v>10651</v>
      </c>
      <c r="E48" s="200">
        <f>SUM(E46:E47)</f>
        <v>9830013859</v>
      </c>
      <c r="F48" s="200">
        <v>0</v>
      </c>
      <c r="G48" s="200">
        <v>0</v>
      </c>
      <c r="H48" s="201">
        <f t="shared" si="20"/>
        <v>9830013859</v>
      </c>
      <c r="I48" s="201">
        <f>SUM(I46:I47)</f>
        <v>8913457232.3799992</v>
      </c>
      <c r="J48" s="202">
        <f t="shared" si="14"/>
        <v>0.90675937595135381</v>
      </c>
      <c r="K48" s="201">
        <f>SUM(K46:K47)</f>
        <v>8423707932.3799992</v>
      </c>
      <c r="L48" s="202">
        <f t="shared" si="15"/>
        <v>0.85693754385377197</v>
      </c>
      <c r="M48" s="201">
        <f>SUM(M46:M47)</f>
        <v>6499320055.3800001</v>
      </c>
      <c r="N48" s="202">
        <f t="shared" si="16"/>
        <v>0.66117099615576447</v>
      </c>
      <c r="O48" s="201">
        <f>SUM(O46:O47)</f>
        <v>5908990773.8800001</v>
      </c>
      <c r="P48" s="202">
        <f t="shared" si="17"/>
        <v>0.601117237334304</v>
      </c>
      <c r="Q48" s="201">
        <f t="shared" si="18"/>
        <v>916556626.62000084</v>
      </c>
      <c r="R48" s="202">
        <f t="shared" si="19"/>
        <v>9.3240624048646206E-2</v>
      </c>
    </row>
    <row r="49" spans="2:18" x14ac:dyDescent="0.25">
      <c r="B49" s="142"/>
      <c r="C49" s="250" t="s">
        <v>10657</v>
      </c>
      <c r="D49" s="119" t="s">
        <v>266</v>
      </c>
      <c r="E49" s="170">
        <f>SUMIF($D$22:$D$48,$D49,E$22:E$48)</f>
        <v>20322395945</v>
      </c>
      <c r="F49" s="170">
        <f t="shared" ref="F49:Q49" si="33">SUMIF($D$22:$D$48,$D49,F$22:F$48)</f>
        <v>0</v>
      </c>
      <c r="G49" s="170">
        <f t="shared" si="33"/>
        <v>0</v>
      </c>
      <c r="H49" s="170">
        <f t="shared" si="33"/>
        <v>20322395945</v>
      </c>
      <c r="I49" s="170">
        <f t="shared" si="33"/>
        <v>19776928438.349998</v>
      </c>
      <c r="J49" s="194">
        <f t="shared" si="14"/>
        <v>0.97315929144741398</v>
      </c>
      <c r="K49" s="170">
        <f t="shared" si="33"/>
        <v>18361518103.950001</v>
      </c>
      <c r="L49" s="194">
        <f t="shared" si="15"/>
        <v>0.90351148327407516</v>
      </c>
      <c r="M49" s="170">
        <f t="shared" si="33"/>
        <v>15125266882.809999</v>
      </c>
      <c r="N49" s="194">
        <f t="shared" si="16"/>
        <v>0.74426592827659821</v>
      </c>
      <c r="O49" s="170">
        <f t="shared" si="33"/>
        <v>14581995913.309999</v>
      </c>
      <c r="P49" s="194">
        <f t="shared" si="17"/>
        <v>0.71753330428037776</v>
      </c>
      <c r="Q49" s="170">
        <f t="shared" si="33"/>
        <v>545467506.65000045</v>
      </c>
      <c r="R49" s="194">
        <f t="shared" si="19"/>
        <v>2.6840708552585996E-2</v>
      </c>
    </row>
    <row r="50" spans="2:18" x14ac:dyDescent="0.25">
      <c r="B50" s="142"/>
      <c r="C50" s="251"/>
      <c r="D50" s="119" t="s">
        <v>273</v>
      </c>
      <c r="E50" s="170">
        <f>SUMIF($D$22:$D$48,$D50,E$22:E$48)</f>
        <v>55295438877</v>
      </c>
      <c r="F50" s="170">
        <f t="shared" ref="F50:I52" si="34">SUMIF($D$22:$D$48,$D50,F$22:F$48)</f>
        <v>0</v>
      </c>
      <c r="G50" s="170">
        <f t="shared" si="34"/>
        <v>0</v>
      </c>
      <c r="H50" s="170">
        <f t="shared" si="34"/>
        <v>55295438877</v>
      </c>
      <c r="I50" s="170">
        <f t="shared" si="34"/>
        <v>31253817809.709999</v>
      </c>
      <c r="J50" s="194">
        <f t="shared" si="14"/>
        <v>0.56521511438278771</v>
      </c>
      <c r="K50" s="170">
        <f>SUMIF($D$22:$D$48,$D50,K$22:K$48)</f>
        <v>27058109778.950001</v>
      </c>
      <c r="L50" s="194">
        <f t="shared" si="15"/>
        <v>0.48933710136813391</v>
      </c>
      <c r="M50" s="170">
        <f>SUMIF($D$22:$D$48,$D50,M$22:M$48)</f>
        <v>20087061727.120003</v>
      </c>
      <c r="N50" s="194">
        <f t="shared" si="16"/>
        <v>0.36326796811943141</v>
      </c>
      <c r="O50" s="170">
        <f>SUMIF($D$22:$D$48,$D50,O$22:O$48)</f>
        <v>19300458066.120003</v>
      </c>
      <c r="P50" s="194">
        <f t="shared" si="17"/>
        <v>0.34904249714071772</v>
      </c>
      <c r="Q50" s="170">
        <f>SUMIF($D$22:$D$48,$D50,Q$22:Q$48)</f>
        <v>24041621067.289997</v>
      </c>
      <c r="R50" s="194">
        <f t="shared" si="19"/>
        <v>0.43478488561721224</v>
      </c>
    </row>
    <row r="51" spans="2:18" x14ac:dyDescent="0.25">
      <c r="B51" s="142"/>
      <c r="C51" s="251"/>
      <c r="D51" s="119" t="s">
        <v>10652</v>
      </c>
      <c r="E51" s="170">
        <f>SUMIF($D$22:$D$48,$D51,E$22:E$48)</f>
        <v>134445997196</v>
      </c>
      <c r="F51" s="170">
        <f t="shared" si="34"/>
        <v>0</v>
      </c>
      <c r="G51" s="170">
        <f t="shared" si="34"/>
        <v>0</v>
      </c>
      <c r="H51" s="170">
        <f t="shared" si="34"/>
        <v>134445997196</v>
      </c>
      <c r="I51" s="170">
        <f t="shared" si="34"/>
        <v>60450665807.019997</v>
      </c>
      <c r="J51" s="194">
        <f t="shared" si="14"/>
        <v>0.44962785852890019</v>
      </c>
      <c r="K51" s="170">
        <f>SUMIF($D$22:$D$48,$D51,K$22:K$48)</f>
        <v>29589312278.43</v>
      </c>
      <c r="L51" s="194">
        <f t="shared" si="15"/>
        <v>0.22008325197881259</v>
      </c>
      <c r="M51" s="170">
        <f>SUMIF($D$22:$D$48,$D51,M$22:M$48)</f>
        <v>7506082286.0299997</v>
      </c>
      <c r="N51" s="194">
        <f t="shared" si="16"/>
        <v>5.5829719311668122E-2</v>
      </c>
      <c r="O51" s="170">
        <f>SUMIF($D$22:$D$48,$D51,O$22:O$48)</f>
        <v>7469332926.0299997</v>
      </c>
      <c r="P51" s="194">
        <f t="shared" si="17"/>
        <v>5.5556380121462072E-2</v>
      </c>
      <c r="Q51" s="170">
        <f>SUMIF($D$22:$D$48,$D51,Q$22:Q$48)</f>
        <v>73995331388.980011</v>
      </c>
      <c r="R51" s="194">
        <f t="shared" si="19"/>
        <v>0.55037214147109992</v>
      </c>
    </row>
    <row r="52" spans="2:18" x14ac:dyDescent="0.25">
      <c r="C52" s="252"/>
      <c r="D52" s="199" t="s">
        <v>10651</v>
      </c>
      <c r="E52" s="201">
        <f>SUMIF($D$22:$D$48,$D52,E$22:E$48)</f>
        <v>210063832018</v>
      </c>
      <c r="F52" s="201">
        <f t="shared" si="34"/>
        <v>0</v>
      </c>
      <c r="G52" s="201">
        <f t="shared" si="34"/>
        <v>0</v>
      </c>
      <c r="H52" s="201">
        <f t="shared" si="34"/>
        <v>210063832018</v>
      </c>
      <c r="I52" s="201">
        <f t="shared" si="34"/>
        <v>111481412055.08002</v>
      </c>
      <c r="J52" s="203">
        <f t="shared" si="14"/>
        <v>0.53070255352443241</v>
      </c>
      <c r="K52" s="201">
        <f>SUMIF($D$22:$D$48,$D52,K$22:K$48)</f>
        <v>75008940161.330002</v>
      </c>
      <c r="L52" s="203">
        <f t="shared" si="15"/>
        <v>0.35707689153696204</v>
      </c>
      <c r="M52" s="201">
        <f>SUMIF($D$22:$D$48,$D52,M$22:M$48)</f>
        <v>42718410895.959999</v>
      </c>
      <c r="N52" s="203">
        <f t="shared" si="16"/>
        <v>0.20335919080205836</v>
      </c>
      <c r="O52" s="201">
        <f>SUMIF($D$22:$D$48,$D52,O$22:O$48)</f>
        <v>41351786905.459999</v>
      </c>
      <c r="P52" s="203">
        <f t="shared" si="17"/>
        <v>0.19685343501644129</v>
      </c>
      <c r="Q52" s="201">
        <f>SUMIF($D$22:$D$48,$D52,Q$22:Q$48)</f>
        <v>98582419962.919983</v>
      </c>
      <c r="R52" s="203">
        <f>IFERROR(Q52/H52,0)</f>
        <v>0.46929744647556765</v>
      </c>
    </row>
    <row r="53" spans="2:18" x14ac:dyDescent="0.25">
      <c r="E53"/>
      <c r="F53"/>
      <c r="G53"/>
      <c r="H53"/>
      <c r="I53" s="122"/>
      <c r="K53" s="122"/>
      <c r="M53" s="122"/>
      <c r="O53" s="122"/>
      <c r="Q53" s="122"/>
    </row>
    <row r="54" spans="2:18" ht="21" x14ac:dyDescent="0.35">
      <c r="B54" s="253" t="s">
        <v>10658</v>
      </c>
      <c r="C54" s="253"/>
      <c r="D54" s="253"/>
      <c r="E54" s="253"/>
      <c r="F54" s="253"/>
      <c r="G54" s="253"/>
      <c r="H54"/>
      <c r="I54" s="122"/>
      <c r="K54" s="122"/>
      <c r="M54" s="122"/>
      <c r="O54" s="122"/>
      <c r="Q54" s="122"/>
    </row>
    <row r="55" spans="2:18" x14ac:dyDescent="0.25">
      <c r="E55"/>
      <c r="F55"/>
      <c r="G55"/>
      <c r="H55"/>
      <c r="I55" s="122"/>
      <c r="K55" s="122"/>
      <c r="M55" s="122"/>
      <c r="O55" s="122"/>
      <c r="Q55" s="122"/>
    </row>
    <row r="56" spans="2:18" ht="30" x14ac:dyDescent="0.25">
      <c r="C56" s="195" t="s">
        <v>5699</v>
      </c>
      <c r="D56" s="195" t="s">
        <v>5704</v>
      </c>
      <c r="E56" s="196" t="s">
        <v>10655</v>
      </c>
      <c r="F56" s="197" t="s">
        <v>10644</v>
      </c>
      <c r="G56" s="197" t="s">
        <v>10656</v>
      </c>
      <c r="H56" s="197" t="s">
        <v>1</v>
      </c>
      <c r="I56" s="196" t="s">
        <v>254</v>
      </c>
      <c r="J56" s="195" t="s">
        <v>10647</v>
      </c>
      <c r="K56" s="196" t="s">
        <v>5</v>
      </c>
      <c r="L56" s="195" t="s">
        <v>10647</v>
      </c>
      <c r="M56" s="196" t="s">
        <v>7</v>
      </c>
      <c r="N56" s="195" t="s">
        <v>10647</v>
      </c>
      <c r="O56" s="196" t="s">
        <v>10648</v>
      </c>
      <c r="P56" s="195" t="s">
        <v>10647</v>
      </c>
      <c r="Q56" s="196" t="s">
        <v>10649</v>
      </c>
      <c r="R56" s="195" t="s">
        <v>10647</v>
      </c>
    </row>
    <row r="57" spans="2:18" ht="15" customHeight="1" x14ac:dyDescent="0.25">
      <c r="B57" s="249" t="s">
        <v>2962</v>
      </c>
      <c r="C57" s="259" t="s">
        <v>2846</v>
      </c>
      <c r="D57" s="173" t="s">
        <v>266</v>
      </c>
      <c r="E57" s="171">
        <v>177158518</v>
      </c>
      <c r="F57" s="171">
        <v>0</v>
      </c>
      <c r="G57" s="171">
        <f>GETPIVOTDATA("Suma de APR. VIGENTE",Validaciones!$BF$3,"REC","11","PRODUCTO"," SERVICIO DE AVALÚOS ")</f>
        <v>0</v>
      </c>
      <c r="H57" s="171">
        <f t="shared" ref="H57:H125" si="35">(E57+F57)-G57</f>
        <v>177158518</v>
      </c>
      <c r="I57" s="174">
        <f>GETPIVOTDATA("Suma de CDP",Validaciones!$BW$1,"REC","11","DESCRIPCION"," SERVICIO DE AVALÚOS ")-GETPIVOTDATA("Suma de CDP",Validaciones!$BF$3,"REC","11","PRODUCTO"," SERVICIO DE AVALÚOS ")</f>
        <v>171544207</v>
      </c>
      <c r="J57" s="175">
        <f t="shared" ref="J57:J123" si="36">IFERROR(I57/H57,0)</f>
        <v>0.96830911060116232</v>
      </c>
      <c r="K57" s="174">
        <f>GETPIVOTDATA("Suma de COMPROMISO",Validaciones!$BW$1,"REC","11","DESCRIPCION"," SERVICIO DE AVALÚOS ")-GETPIVOTDATA("Suma de COMPROMISO",Validaciones!$BF$3,"REC","11","PRODUCTO"," SERVICIO DE AVALÚOS ")</f>
        <v>171544207</v>
      </c>
      <c r="L57" s="175">
        <f t="shared" ref="L57:L124" si="37">IFERROR(K57/H57,0)</f>
        <v>0.96830911060116232</v>
      </c>
      <c r="M57" s="174">
        <f>GETPIVOTDATA("Suma de OBLIGACION",Validaciones!$BW$1,"REC","11","DESCRIPCION"," SERVICIO DE AVALÚOS ")-GETPIVOTDATA("Suma de OBLIGACION",Validaciones!$BF$3,"REC","11","PRODUCTO"," SERVICIO DE AVALÚOS ")</f>
        <v>141018987</v>
      </c>
      <c r="N57" s="175">
        <f t="shared" ref="N57:N124" si="38">IFERROR(M57/H57,0)</f>
        <v>0.79600455339099185</v>
      </c>
      <c r="O57" s="174">
        <f>GETPIVOTDATA("Suma de PAGOS",Validaciones!$BW$1,"REC","11","DESCRIPCION"," SERVICIO DE AVALÚOS ")-GETPIVOTDATA("Suma de PAGOS",Validaciones!$BF$3,"REC","11","PRODUCTO"," SERVICIO DE AVALÚOS ")</f>
        <v>138077207</v>
      </c>
      <c r="P57" s="175">
        <f>IFERROR(O57/H57,0)</f>
        <v>0.77939919885760167</v>
      </c>
      <c r="Q57" s="174">
        <f t="shared" ref="Q57:Q125" si="39">H57-I57</f>
        <v>5614311</v>
      </c>
      <c r="R57" s="176">
        <f>IFERROR(Q57/H57,0)</f>
        <v>3.1690889398837713E-2</v>
      </c>
    </row>
    <row r="58" spans="2:18" ht="15" customHeight="1" x14ac:dyDescent="0.25">
      <c r="B58" s="249"/>
      <c r="C58" s="260"/>
      <c r="D58" s="173" t="s">
        <v>273</v>
      </c>
      <c r="E58" s="171">
        <v>2139559118</v>
      </c>
      <c r="F58" s="171">
        <v>669600617</v>
      </c>
      <c r="G58" s="171">
        <f>GETPIVOTDATA("Suma de APR. VIGENTE",Validaciones!$BF$3,"REC","20","PRODUCTO"," SERVICIO DE AVALÚOS ")</f>
        <v>895138537</v>
      </c>
      <c r="H58" s="171">
        <f>(E58+F58)-G58</f>
        <v>1914021198</v>
      </c>
      <c r="I58" s="174">
        <f>GETPIVOTDATA("Suma de CDP",Validaciones!$BW$1,"REC","20","DESCRIPCION"," SERVICIO DE AVALÚOS ")-GETPIVOTDATA("Suma de CDP",Validaciones!$BF$3,"REC","20","PRODUCTO"," SERVICIO DE AVALÚOS ")</f>
        <v>1810282546.9699998</v>
      </c>
      <c r="J58" s="175">
        <f t="shared" si="36"/>
        <v>0.94580067810199864</v>
      </c>
      <c r="K58" s="174">
        <f>GETPIVOTDATA("Suma de COMPROMISO",Validaciones!$BW$1,"REC","20","DESCRIPCION"," SERVICIO DE AVALÚOS ")-GETPIVOTDATA("Suma de COMPROMISO",Validaciones!$BF$3,"REC","20","PRODUCTO"," SERVICIO DE AVALÚOS ")</f>
        <v>1587696200.4099998</v>
      </c>
      <c r="L58" s="175">
        <f t="shared" si="37"/>
        <v>0.8295081590888419</v>
      </c>
      <c r="M58" s="174">
        <f>GETPIVOTDATA("Suma de OBLIGACION",Validaciones!$BW$1,"REC","20","DESCRIPCION"," SERVICIO DE AVALÚOS ")-GETPIVOTDATA("Suma de OBLIGACION",Validaciones!$BF$3,"REC","20","PRODUCTO"," SERVICIO DE AVALÚOS ")</f>
        <v>1209128775.1700001</v>
      </c>
      <c r="N58" s="175">
        <f t="shared" si="38"/>
        <v>0.63172172619271072</v>
      </c>
      <c r="O58" s="174">
        <f>GETPIVOTDATA("Suma de PAGOS",Validaciones!$BW$1,"REC","20","DESCRIPCION"," SERVICIO DE AVALÚOS ")-GETPIVOTDATA("Suma de PAGOS",Validaciones!$BF$3,"REC","20","PRODUCTO"," SERVICIO DE AVALÚOS ")</f>
        <v>1143097071.1700001</v>
      </c>
      <c r="P58" s="175">
        <f t="shared" ref="P58:P125" si="40">IFERROR(O58/H58,0)</f>
        <v>0.59722278539257856</v>
      </c>
      <c r="Q58" s="174">
        <f t="shared" si="39"/>
        <v>103738651.03000021</v>
      </c>
      <c r="R58" s="176">
        <f t="shared" ref="R58:R125" si="41">IFERROR(Q58/H58,0)</f>
        <v>5.4199321898001369E-2</v>
      </c>
    </row>
    <row r="59" spans="2:18" ht="15" customHeight="1" x14ac:dyDescent="0.25">
      <c r="B59" s="249"/>
      <c r="C59" s="260"/>
      <c r="D59" s="177" t="s">
        <v>10659</v>
      </c>
      <c r="E59" s="178"/>
      <c r="F59" s="178">
        <v>0</v>
      </c>
      <c r="G59" s="178">
        <v>0</v>
      </c>
      <c r="H59" s="178">
        <f t="shared" si="35"/>
        <v>0</v>
      </c>
      <c r="I59" s="179">
        <v>0</v>
      </c>
      <c r="J59" s="180">
        <f t="shared" si="36"/>
        <v>0</v>
      </c>
      <c r="K59" s="179"/>
      <c r="L59" s="180">
        <f t="shared" si="37"/>
        <v>0</v>
      </c>
      <c r="M59" s="179"/>
      <c r="N59" s="180">
        <f t="shared" si="38"/>
        <v>0</v>
      </c>
      <c r="O59" s="177"/>
      <c r="P59" s="180">
        <f t="shared" si="40"/>
        <v>0</v>
      </c>
      <c r="Q59" s="179">
        <f t="shared" si="39"/>
        <v>0</v>
      </c>
      <c r="R59" s="181">
        <f t="shared" si="41"/>
        <v>0</v>
      </c>
    </row>
    <row r="60" spans="2:18" ht="15" customHeight="1" x14ac:dyDescent="0.25">
      <c r="B60" s="249"/>
      <c r="C60" s="261"/>
      <c r="D60" s="166" t="s">
        <v>10651</v>
      </c>
      <c r="E60" s="167">
        <f>SUM(E57:E59)</f>
        <v>2316717636</v>
      </c>
      <c r="F60" s="167">
        <f t="shared" ref="F60:Q60" si="42">SUM(F57:F59)</f>
        <v>669600617</v>
      </c>
      <c r="G60" s="167">
        <f t="shared" si="42"/>
        <v>895138537</v>
      </c>
      <c r="H60" s="167">
        <f t="shared" si="42"/>
        <v>2091179716</v>
      </c>
      <c r="I60" s="172">
        <f t="shared" si="42"/>
        <v>1981826753.9699998</v>
      </c>
      <c r="J60" s="168">
        <f t="shared" si="36"/>
        <v>0.94770752547314774</v>
      </c>
      <c r="K60" s="172">
        <f t="shared" si="42"/>
        <v>1759240407.4099998</v>
      </c>
      <c r="L60" s="168">
        <f t="shared" si="37"/>
        <v>0.84126696235131226</v>
      </c>
      <c r="M60" s="172">
        <f t="shared" si="42"/>
        <v>1350147762.1700001</v>
      </c>
      <c r="N60" s="168">
        <f t="shared" si="38"/>
        <v>0.64563927807819277</v>
      </c>
      <c r="O60" s="167">
        <f t="shared" si="42"/>
        <v>1281174278.1700001</v>
      </c>
      <c r="P60" s="168">
        <f t="shared" si="40"/>
        <v>0.61265622861942493</v>
      </c>
      <c r="Q60" s="167">
        <f t="shared" si="42"/>
        <v>109352962.03000021</v>
      </c>
      <c r="R60" s="169">
        <f t="shared" si="41"/>
        <v>5.2292474526852289E-2</v>
      </c>
    </row>
    <row r="61" spans="2:18" ht="15" customHeight="1" x14ac:dyDescent="0.25">
      <c r="B61" s="249"/>
      <c r="C61" s="259" t="s">
        <v>2902</v>
      </c>
      <c r="D61" s="173" t="s">
        <v>266</v>
      </c>
      <c r="E61" s="171">
        <v>9761868182</v>
      </c>
      <c r="F61" s="171">
        <v>0</v>
      </c>
      <c r="G61" s="171">
        <f>GETPIVOTDATA("Suma de APR. VIGENTE",Validaciones!$BF$3,"REC","11","PRODUCTO"," SERVICIO DE INFORMACIÓN CATASTRAL ")</f>
        <v>5287588194</v>
      </c>
      <c r="H61" s="171">
        <f t="shared" si="35"/>
        <v>4474279988</v>
      </c>
      <c r="I61" s="174">
        <f>GETPIVOTDATA("Suma de CDP",Validaciones!$BW$1,"REC","11","DESCRIPCION"," SERVICIO DE INFORMACIÓN CATASTRAL ")-GETPIVOTDATA("Suma de CDP",Validaciones!$BF$3,"REC","11","PRODUCTO"," SERVICIO DE INFORMACIÓN CATASTRAL ")-392690437-1401277</f>
        <v>4128256515</v>
      </c>
      <c r="J61" s="175">
        <f t="shared" ref="J61:J63" si="43">IFERROR(I61/H61,0)</f>
        <v>0.92266387576816078</v>
      </c>
      <c r="K61" s="174">
        <f>GETPIVOTDATA("Suma de COMPROMISO",Validaciones!$BW$1,"REC","11","DESCRIPCION"," SERVICIO DE INFORMACIÓN CATASTRAL ")-GETPIVOTDATA("Suma de COMPROMISO",Validaciones!$BF$3,"REC","11","PRODUCTO"," SERVICIO DE INFORMACIÓN CATASTRAL ")-392690437+68119204</f>
        <v>3722826943.500001</v>
      </c>
      <c r="L61" s="175">
        <f t="shared" ref="L61:L63" si="44">IFERROR(K61/H61,0)</f>
        <v>0.83205050946400472</v>
      </c>
      <c r="M61" s="174">
        <f>GETPIVOTDATA("Suma de OBLIGACION",Validaciones!$BW$1,"REC","11","DESCRIPCION"," SERVICIO DE INFORMACIÓN CATASTRAL ")-GETPIVOTDATA("Suma de OBLIGACION",Validaciones!$BF$3,"REC","11","PRODUCTO"," SERVICIO DE INFORMACIÓN CATASTRAL ")-223507723+27287185</f>
        <v>2703126535.79</v>
      </c>
      <c r="N61" s="175">
        <f t="shared" ref="N61:N63" si="45">IFERROR(M61/H61,0)</f>
        <v>0.60414782781582155</v>
      </c>
      <c r="O61" s="174">
        <f>GETPIVOTDATA("Suma de PAGOS",Validaciones!$BW$1,"REC","11","DESCRIPCION"," SERVICIO DE INFORMACIÓN CATASTRAL ")-GETPIVOTDATA("Suma de PAGOS",Validaciones!$BF$3,"REC","11","PRODUCTO"," SERVICIO DE INFORMACIÓN CATASTRAL ")-223507723+27287185</f>
        <v>2575826793.79</v>
      </c>
      <c r="P61" s="175">
        <f>IFERROR(O61/H61,0)</f>
        <v>0.57569638035580173</v>
      </c>
      <c r="Q61" s="174">
        <f t="shared" si="39"/>
        <v>346023473</v>
      </c>
      <c r="R61" s="176">
        <f t="shared" si="41"/>
        <v>7.7336124231839193E-2</v>
      </c>
    </row>
    <row r="62" spans="2:18" ht="15" customHeight="1" x14ac:dyDescent="0.25">
      <c r="B62" s="249"/>
      <c r="C62" s="260"/>
      <c r="D62" s="173" t="s">
        <v>273</v>
      </c>
      <c r="E62" s="171">
        <f>24975027467+1400000000</f>
        <v>26375027467</v>
      </c>
      <c r="F62" s="171">
        <v>0</v>
      </c>
      <c r="G62" s="171">
        <f>669600617+GETPIVOTDATA("Suma de APR. VIGENTE",Validaciones!$BF$3,"REC","20","PRODUCTO"," SERVICIO DE INFORMACIÓN CATASTRAL ")+1400000000</f>
        <v>11253167732</v>
      </c>
      <c r="H62" s="171">
        <f t="shared" si="35"/>
        <v>15121859735</v>
      </c>
      <c r="I62" s="174">
        <f>GETPIVOTDATA("Suma de CDP",Validaciones!$BW$1,"REC","20","DESCRIPCION"," SERVICIO DE INFORMACIÓN CATASTRAL ")-GETPIVOTDATA("Suma de CDP",Validaciones!$BF$3,"REC","20","PRODUCTO"," SERVICIO DE INFORMACIÓN CATASTRAL ")-1122095343+6377619</f>
        <v>6231390599</v>
      </c>
      <c r="J62" s="175">
        <f t="shared" si="43"/>
        <v>0.4120783229179979</v>
      </c>
      <c r="K62" s="174">
        <f>GETPIVOTDATA("Suma de COMPROMISO",Validaciones!$BW$1,"REC","20","DESCRIPCION"," SERVICIO DE INFORMACIÓN CATASTRAL ")-GETPIVOTDATA("Suma de COMPROMISO",Validaciones!$BF$3,"REC","20","PRODUCTO"," SERVICIO DE INFORMACIÓN CATASTRAL ")-1004260323+8747255</f>
        <v>4455041653</v>
      </c>
      <c r="L62" s="175">
        <f t="shared" si="44"/>
        <v>0.29460937550483107</v>
      </c>
      <c r="M62" s="174">
        <f>GETPIVOTDATA("Suma de OBLIGACION",Validaciones!$BW$1,"REC","20","DESCRIPCION"," SERVICIO DE INFORMACIÓN CATASTRAL ")-GETPIVOTDATA("Suma de OBLIGACION",Validaciones!$BF$3,"REC","20","PRODUCTO"," SERVICIO DE INFORMACIÓN CATASTRAL ")-477257955.06</f>
        <v>3212953828.8299994</v>
      </c>
      <c r="N62" s="175">
        <f t="shared" si="45"/>
        <v>0.21247081279252453</v>
      </c>
      <c r="O62" s="174">
        <f>GETPIVOTDATA("Suma de PAGOS",Validaciones!$BW$1,"REC","20","DESCRIPCION"," SERVICIO DE INFORMACIÓN CATASTRAL ")-GETPIVOTDATA("Suma de PAGOS",Validaciones!$BF$3,"REC","20","PRODUCTO"," SERVICIO DE INFORMACIÓN CATASTRAL ")-603354211.06</f>
        <v>2935525508.8299994</v>
      </c>
      <c r="P62" s="175">
        <f t="shared" ref="P62:P63" si="46">IFERROR(O62/H62,0)</f>
        <v>0.19412463547956588</v>
      </c>
      <c r="Q62" s="174">
        <f t="shared" si="39"/>
        <v>8890469136</v>
      </c>
      <c r="R62" s="176">
        <f t="shared" si="41"/>
        <v>0.58792167708200216</v>
      </c>
    </row>
    <row r="63" spans="2:18" ht="15" customHeight="1" x14ac:dyDescent="0.25">
      <c r="B63" s="249"/>
      <c r="C63" s="260"/>
      <c r="D63" s="177" t="s">
        <v>10659</v>
      </c>
      <c r="E63" s="178">
        <v>64595934331</v>
      </c>
      <c r="F63" s="178">
        <v>0</v>
      </c>
      <c r="G63" s="178">
        <v>0</v>
      </c>
      <c r="H63" s="178">
        <f t="shared" si="35"/>
        <v>64595934331</v>
      </c>
      <c r="I63" s="179">
        <v>25963114845</v>
      </c>
      <c r="J63" s="180">
        <f t="shared" si="43"/>
        <v>0.40193109851094971</v>
      </c>
      <c r="K63" s="179">
        <f>8729074804+1318812</f>
        <v>8730393616</v>
      </c>
      <c r="L63" s="180">
        <f t="shared" si="44"/>
        <v>0.13515391806648469</v>
      </c>
      <c r="M63" s="179">
        <f>15468023+834288260</f>
        <v>849756283</v>
      </c>
      <c r="N63" s="180">
        <f t="shared" si="45"/>
        <v>1.3154949948486101E-2</v>
      </c>
      <c r="O63" s="179">
        <f>6846943+4044941+10221760</f>
        <v>21113644</v>
      </c>
      <c r="P63" s="180">
        <f t="shared" si="46"/>
        <v>3.2685716552701717E-4</v>
      </c>
      <c r="Q63" s="179">
        <f t="shared" si="39"/>
        <v>38632819486</v>
      </c>
      <c r="R63" s="181">
        <f t="shared" si="41"/>
        <v>0.59806890148905023</v>
      </c>
    </row>
    <row r="64" spans="2:18" ht="15" customHeight="1" x14ac:dyDescent="0.25">
      <c r="B64" s="249"/>
      <c r="C64" s="261"/>
      <c r="D64" s="166" t="s">
        <v>10651</v>
      </c>
      <c r="E64" s="167">
        <f>SUM(E61:E63)</f>
        <v>100732829980</v>
      </c>
      <c r="F64" s="167">
        <f t="shared" ref="F64" si="47">SUM(F61:F63)</f>
        <v>0</v>
      </c>
      <c r="G64" s="167">
        <f t="shared" ref="G64" si="48">SUM(G61:G63)</f>
        <v>16540755926</v>
      </c>
      <c r="H64" s="167">
        <f t="shared" ref="H64" si="49">SUM(H61:H63)</f>
        <v>84192074054</v>
      </c>
      <c r="I64" s="172">
        <f t="shared" ref="I64" si="50">SUM(I61:I63)</f>
        <v>36322761959</v>
      </c>
      <c r="J64" s="168">
        <f t="shared" ref="J64" si="51">IFERROR(I64/H64,0)</f>
        <v>0.43142733288293772</v>
      </c>
      <c r="K64" s="172">
        <f t="shared" ref="K64" si="52">SUM(K61:K63)</f>
        <v>16908262212.5</v>
      </c>
      <c r="L64" s="168">
        <f t="shared" si="37"/>
        <v>0.20082961968195723</v>
      </c>
      <c r="M64" s="172">
        <f t="shared" ref="M64" si="53">SUM(M61:M63)</f>
        <v>6765836647.6199989</v>
      </c>
      <c r="N64" s="168">
        <f t="shared" si="38"/>
        <v>8.0361919143130442E-2</v>
      </c>
      <c r="O64" s="167">
        <f t="shared" ref="O64" si="54">SUM(O61:O63)</f>
        <v>5532465946.6199989</v>
      </c>
      <c r="P64" s="168">
        <f t="shared" si="40"/>
        <v>6.5712432064228846E-2</v>
      </c>
      <c r="Q64" s="167">
        <f t="shared" ref="Q64" si="55">SUM(Q61:Q63)</f>
        <v>47869312095</v>
      </c>
      <c r="R64" s="169">
        <f t="shared" si="41"/>
        <v>0.56857266711706234</v>
      </c>
    </row>
    <row r="65" spans="2:18" ht="15" customHeight="1" x14ac:dyDescent="0.25">
      <c r="B65" s="249" t="s">
        <v>3670</v>
      </c>
      <c r="C65" s="259" t="s">
        <v>10660</v>
      </c>
      <c r="D65" s="173" t="s">
        <v>266</v>
      </c>
      <c r="E65" s="171">
        <v>248862633</v>
      </c>
      <c r="F65" s="171">
        <v>0</v>
      </c>
      <c r="G65" s="171">
        <v>0</v>
      </c>
      <c r="H65" s="171">
        <f t="shared" si="35"/>
        <v>248862633</v>
      </c>
      <c r="I65" s="174">
        <f>GETPIVOTDATA("Suma de CDP",Validaciones!$BW$1,"REC","11","DESCRIPCION"," SERVICIO DE ANÁLISIS QUÍMICOS, FÍSICOS, MINERALÓGICOS Y BIOLÓGICOS DE SUELOS ")</f>
        <v>248413202</v>
      </c>
      <c r="J65" s="175">
        <f t="shared" si="36"/>
        <v>0.99819405993345733</v>
      </c>
      <c r="K65" s="174">
        <f>GETPIVOTDATA("Suma de COMPROMISO",Validaciones!$BW$1,"REC","11","DESCRIPCION"," SERVICIO DE ANÁLISIS QUÍMICOS, FÍSICOS, MINERALÓGICOS Y BIOLÓGICOS DE SUELOS ")</f>
        <v>248413201</v>
      </c>
      <c r="L65" s="175">
        <f t="shared" si="37"/>
        <v>0.99819405591517629</v>
      </c>
      <c r="M65" s="174">
        <f>GETPIVOTDATA("Suma de OBLIGACION",Validaciones!$BW$1,"REC","11","DESCRIPCION"," SERVICIO DE ANÁLISIS QUÍMICOS, FÍSICOS, MINERALÓGICOS Y BIOLÓGICOS DE SUELOS ")</f>
        <v>232188034</v>
      </c>
      <c r="N65" s="175">
        <f t="shared" si="38"/>
        <v>0.93299677497183753</v>
      </c>
      <c r="O65" s="174">
        <f>GETPIVOTDATA("Suma de PAGOS",Validaciones!$BW$1,"REC","11","DESCRIPCION"," SERVICIO DE ANÁLISIS QUÍMICOS, FÍSICOS, MINERALÓGICOS Y BIOLÓGICOS DE SUELOS ")</f>
        <v>232188034</v>
      </c>
      <c r="P65" s="175">
        <f t="shared" si="40"/>
        <v>0.93299677497183753</v>
      </c>
      <c r="Q65" s="174">
        <f t="shared" si="39"/>
        <v>449431</v>
      </c>
      <c r="R65" s="176">
        <f t="shared" si="41"/>
        <v>1.8059400665426536E-3</v>
      </c>
    </row>
    <row r="66" spans="2:18" ht="15" customHeight="1" x14ac:dyDescent="0.25">
      <c r="B66" s="249"/>
      <c r="C66" s="260"/>
      <c r="D66" s="173" t="s">
        <v>273</v>
      </c>
      <c r="E66" s="171">
        <v>9216091434</v>
      </c>
      <c r="F66" s="171">
        <v>0</v>
      </c>
      <c r="G66" s="171">
        <v>0</v>
      </c>
      <c r="H66" s="171">
        <f t="shared" si="35"/>
        <v>9216091434</v>
      </c>
      <c r="I66" s="174">
        <f>GETPIVOTDATA("Suma de CDP",Validaciones!$BW$1,"REC","20","DESCRIPCION"," SERVICIO DE ANÁLISIS QUÍMICOS, FÍSICOS, MINERALÓGICOS Y BIOLÓGICOS DE SUELOS ")</f>
        <v>710755105</v>
      </c>
      <c r="J66" s="175">
        <f t="shared" si="36"/>
        <v>7.7121099556139674E-2</v>
      </c>
      <c r="K66" s="174">
        <f>GETPIVOTDATA("Suma de COMPROMISO",Validaciones!$BW$1,"REC","20","DESCRIPCION"," SERVICIO DE ANÁLISIS QUÍMICOS, FÍSICOS, MINERALÓGICOS Y BIOLÓGICOS DE SUELOS ")</f>
        <v>95425251</v>
      </c>
      <c r="L66" s="175">
        <f t="shared" si="37"/>
        <v>1.0354199682520207E-2</v>
      </c>
      <c r="M66" s="174">
        <f>GETPIVOTDATA("Suma de OBLIGACION",Validaciones!$BW$1,"REC","20","DESCRIPCION"," SERVICIO DE ANÁLISIS QUÍMICOS, FÍSICOS, MINERALÓGICOS Y BIOLÓGICOS DE SUELOS ")</f>
        <v>17707050</v>
      </c>
      <c r="N66" s="175">
        <f t="shared" si="38"/>
        <v>1.9213188287906043E-3</v>
      </c>
      <c r="O66" s="174">
        <f>GETPIVOTDATA("Suma de PAGOS",Validaciones!$BW$1,"REC","20","DESCRIPCION"," SERVICIO DE ANÁLISIS QUÍMICOS, FÍSICOS, MINERALÓGICOS Y BIOLÓGICOS DE SUELOS ")</f>
        <v>7966351</v>
      </c>
      <c r="P66" s="175">
        <f t="shared" si="40"/>
        <v>8.6439582951733113E-4</v>
      </c>
      <c r="Q66" s="174">
        <f t="shared" si="39"/>
        <v>8505336329</v>
      </c>
      <c r="R66" s="176">
        <f t="shared" si="41"/>
        <v>0.92287890044386034</v>
      </c>
    </row>
    <row r="67" spans="2:18" ht="15" customHeight="1" x14ac:dyDescent="0.25">
      <c r="B67" s="249"/>
      <c r="C67" s="260"/>
      <c r="D67" s="177" t="s">
        <v>10659</v>
      </c>
      <c r="E67" s="178"/>
      <c r="F67" s="178">
        <v>0</v>
      </c>
      <c r="G67" s="178">
        <v>0</v>
      </c>
      <c r="H67" s="178">
        <f t="shared" si="35"/>
        <v>0</v>
      </c>
      <c r="I67" s="179"/>
      <c r="J67" s="180">
        <f t="shared" si="36"/>
        <v>0</v>
      </c>
      <c r="K67" s="179"/>
      <c r="L67" s="180">
        <f t="shared" si="37"/>
        <v>0</v>
      </c>
      <c r="M67" s="179"/>
      <c r="N67" s="180">
        <f t="shared" si="38"/>
        <v>0</v>
      </c>
      <c r="O67" s="177"/>
      <c r="P67" s="180">
        <f t="shared" si="40"/>
        <v>0</v>
      </c>
      <c r="Q67" s="179">
        <f t="shared" si="39"/>
        <v>0</v>
      </c>
      <c r="R67" s="181">
        <f t="shared" si="41"/>
        <v>0</v>
      </c>
    </row>
    <row r="68" spans="2:18" ht="15" customHeight="1" x14ac:dyDescent="0.25">
      <c r="B68" s="249"/>
      <c r="C68" s="261"/>
      <c r="D68" s="166" t="s">
        <v>10651</v>
      </c>
      <c r="E68" s="167">
        <f>SUM(E65:E67)</f>
        <v>9464954067</v>
      </c>
      <c r="F68" s="167">
        <f t="shared" ref="F68" si="56">SUM(F65:F67)</f>
        <v>0</v>
      </c>
      <c r="G68" s="167">
        <f t="shared" ref="G68" si="57">SUM(G65:G67)</f>
        <v>0</v>
      </c>
      <c r="H68" s="167">
        <f t="shared" ref="H68" si="58">SUM(H65:H67)</f>
        <v>9464954067</v>
      </c>
      <c r="I68" s="172">
        <f t="shared" ref="I68" si="59">SUM(I65:I67)</f>
        <v>959168307</v>
      </c>
      <c r="J68" s="168">
        <f t="shared" ref="J68" si="60">IFERROR(I68/H68,0)</f>
        <v>0.10133892887490967</v>
      </c>
      <c r="K68" s="172">
        <f t="shared" ref="K68" si="61">SUM(K65:K67)</f>
        <v>343838452</v>
      </c>
      <c r="L68" s="168">
        <f t="shared" si="37"/>
        <v>3.6327535196267739E-2</v>
      </c>
      <c r="M68" s="172">
        <f t="shared" ref="M68" si="62">SUM(M65:M67)</f>
        <v>249895084</v>
      </c>
      <c r="N68" s="168">
        <f t="shared" si="38"/>
        <v>2.6402144398277722E-2</v>
      </c>
      <c r="O68" s="167">
        <f t="shared" ref="O68" si="63">SUM(O65:O67)</f>
        <v>240154385</v>
      </c>
      <c r="P68" s="168">
        <f t="shared" si="40"/>
        <v>2.5373011141946199E-2</v>
      </c>
      <c r="Q68" s="167">
        <f t="shared" ref="Q68" si="64">SUM(Q65:Q67)</f>
        <v>8505785760</v>
      </c>
      <c r="R68" s="169">
        <f t="shared" si="41"/>
        <v>0.8986610711250903</v>
      </c>
    </row>
    <row r="69" spans="2:18" ht="15" customHeight="1" x14ac:dyDescent="0.25">
      <c r="B69" s="249"/>
      <c r="C69" s="259" t="s">
        <v>10661</v>
      </c>
      <c r="D69" s="173" t="s">
        <v>266</v>
      </c>
      <c r="E69" s="171">
        <v>3839249599</v>
      </c>
      <c r="F69" s="171">
        <v>0</v>
      </c>
      <c r="G69" s="171">
        <f>GETPIVOTDATA("Suma de APR. VIGENTE",Validaciones!$BF$3,"REC","11","PRODUCTO"," SERVICIO DE INFORMACIÓN CARTOGRÁFICA ACTUALIZADO ")+GETPIVOTDATA("Suma de APR. VIGENTE",Validaciones!$BF$3,"REC","11","PRODUCTO"," SERVICIOS DE INFORMACIÓN GEODÉSICA ACTUALIZADO ")</f>
        <v>9086443</v>
      </c>
      <c r="H69" s="171">
        <f t="shared" si="35"/>
        <v>3830163156</v>
      </c>
      <c r="I69" s="174">
        <f>GETPIVOTDATA("CDP ",Validaciones!$A$1,"REC","Otros recursos del tesoro","DESCRIPCION","LEVANTAMIENTO , GENERACIÓN Y ACTUALIZACIÓN DE LA RED GEODÉSICA Y LA CARTOGRAFÍA BÁSICA A NIVEL   NACIONAL","DESCRIPCION3","Inversión","DESCRIPCION5","Inversión")-(GETPIVOTDATA("Suma de CDP",Validaciones!$BF$3,"REC","11","PRODUCTO"," SERVICIO DE INFORMACIÓN CARTOGRÁFICA ACTUALIZADO ")+GETPIVOTDATA("Suma de CDP",Validaciones!$BF$3,"REC","11","PRODUCTO"," SERVICIOS DE INFORMACIÓN GEODÉSICA ACTUALIZADO "))</f>
        <v>3830163155.2199998</v>
      </c>
      <c r="J69" s="175">
        <f t="shared" si="36"/>
        <v>0.99999999979635323</v>
      </c>
      <c r="K69" s="174">
        <f>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COMPROMISO",Validaciones!$BF$3,"REC","11","PRODUCTO"," SERVICIO DE INFORMACIÓN CARTOGRÁFICA ACTUALIZADO ")+GETPIVOTDATA("Suma de COMPROMISO",Validaciones!$BF$3,"REC","11","PRODUCTO"," SERVICIOS DE INFORMACIÓN GEODÉSICA ACTUALIZADO "))</f>
        <v>3735692411.2199998</v>
      </c>
      <c r="L69" s="175">
        <f t="shared" si="37"/>
        <v>0.9753350599093904</v>
      </c>
      <c r="M69" s="174">
        <f>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OBLIGACION",Validaciones!$BF$3,"REC","11","PRODUCTO"," SERVICIO DE INFORMACIÓN CARTOGRÁFICA ACTUALIZADO ")+GETPIVOTDATA("Suma de OBLIGACION",Validaciones!$BF$3,"REC","11","PRODUCTO"," SERVICIOS DE INFORMACIÓN GEODÉSICA ACTUALIZADO "))</f>
        <v>3221785736.5799999</v>
      </c>
      <c r="N69" s="175">
        <f t="shared" si="38"/>
        <v>0.84116148721576811</v>
      </c>
      <c r="O69" s="174">
        <f>GETPIVOTDATA("Pagos",Validaciones!$A$1,"REC","Otros recursos del tesoro","DESCRIPCION","LEVANTAMIENTO , GENERACIÓN Y ACTUALIZACIÓN DE LA RED GEODÉSICA Y LA CARTOGRAFÍA BÁSICA A NIVEL   NACIONAL","DESCRIPCION3","Inversión","DESCRIPCION5","Inversión")-(GETPIVOTDATA("Suma de PAGOS",Validaciones!$BF$3,"REC","11","PRODUCTO"," SERVICIO DE INFORMACIÓN CARTOGRÁFICA ACTUALIZADO ")+GETPIVOTDATA("Suma de PAGOS",Validaciones!$BF$3,"REC","11","PRODUCTO"," SERVICIOS DE INFORMACIÓN GEODÉSICA ACTUALIZADO "))</f>
        <v>2999292024.0799999</v>
      </c>
      <c r="P69" s="175">
        <f t="shared" si="40"/>
        <v>0.78307160868110026</v>
      </c>
      <c r="Q69" s="174">
        <f t="shared" si="39"/>
        <v>0.78000020980834961</v>
      </c>
      <c r="R69" s="176">
        <f t="shared" si="41"/>
        <v>2.0364673201622475E-10</v>
      </c>
    </row>
    <row r="70" spans="2:18" ht="15" customHeight="1" x14ac:dyDescent="0.25">
      <c r="B70" s="249"/>
      <c r="C70" s="260"/>
      <c r="D70" s="173" t="s">
        <v>273</v>
      </c>
      <c r="E70" s="171">
        <v>5990764260</v>
      </c>
      <c r="F70" s="171">
        <v>0</v>
      </c>
      <c r="G70" s="171">
        <f>GETPIVOTDATA("Suma de APR. VIGENTE",Validaciones!$BF$3,"REC","20","PRODUCTO"," SERVICIO DE INFORMACIÓN CARTOGRÁFICA ACTUALIZADO ")+GETPIVOTDATA("Suma de APR. VIGENTE",Validaciones!$BF$3,"REC","20","PRODUCTO"," SERVICIOS DE INFORMACIÓN GEODÉSICA ACTUALIZADO ")</f>
        <v>1866167</v>
      </c>
      <c r="H70" s="171">
        <f t="shared" si="35"/>
        <v>5988898093</v>
      </c>
      <c r="I70" s="174">
        <f>GETPIVOTDATA("CDP ",Validaciones!$A$1,"REC","Ingresos corrientes","DESCRIPCION","LEVANTAMIENTO , GENERACIÓN Y ACTUALIZACIÓN DE LA RED GEODÉSICA Y LA CARTOGRAFÍA BÁSICA A NIVEL   NACIONAL","DESCRIPCION3","Inversión","DESCRIPCION5","Inversión")-(GETPIVOTDATA("Suma de CDP",Validaciones!$BF$3,"REC","20","PRODUCTO"," SERVICIO DE INFORMACIÓN CARTOGRÁFICA ACTUALIZADO ")+GETPIVOTDATA("Suma de CDP",Validaciones!$BF$3,"REC","20","PRODUCTO"," SERVICIOS DE INFORMACIÓN GEODÉSICA ACTUALIZADO "))</f>
        <v>5074207634.1599998</v>
      </c>
      <c r="J70" s="175">
        <f t="shared" si="36"/>
        <v>0.84726898928049599</v>
      </c>
      <c r="K70" s="174">
        <f>GETPIVOTDATA("Compromisos",Validaciones!$A$1,"REC","Ingresos corrientes","DESCRIPCION","LEVANTAMIENTO , GENERACIÓN Y ACTUALIZACIÓN DE LA RED GEODÉSICA Y LA CARTOGRAFÍA BÁSICA A NIVEL   NACIONAL","DESCRIPCION3","Inversión","DESCRIPCION5","Inversión")-(GETPIVOTDATA("Suma de COMPROMISO",Validaciones!$BF$3,"REC","20","PRODUCTO"," SERVICIO DE INFORMACIÓN CARTOGRÁFICA ACTUALIZADO ")+GETPIVOTDATA("Suma de COMPROMISO",Validaciones!$BF$3,"REC","20","PRODUCTO"," SERVICIOS DE INFORMACIÓN GEODÉSICA ACTUALIZADO "))</f>
        <v>4678929078.1599998</v>
      </c>
      <c r="L70" s="175">
        <f t="shared" si="37"/>
        <v>0.78126710548454137</v>
      </c>
      <c r="M70" s="174">
        <f>GETPIVOTDATA("Obligaciones",Validaciones!$A$1,"REC","Ingresos corrientes","DESCRIPCION","LEVANTAMIENTO , GENERACIÓN Y ACTUALIZACIÓN DE LA RED GEODÉSICA Y LA CARTOGRAFÍA BÁSICA A NIVEL   NACIONAL","DESCRIPCION3","Inversión","DESCRIPCION5","Inversión")-(GETPIVOTDATA("Suma de OBLIGACION",Validaciones!$BF$3,"REC","20","PRODUCTO"," SERVICIO DE INFORMACIÓN CARTOGRÁFICA ACTUALIZADO ")+GETPIVOTDATA("Suma de OBLIGACION",Validaciones!$BF$3,"REC","20","PRODUCTO"," SERVICIOS DE INFORMACIÓN GEODÉSICA ACTUALIZADO "))</f>
        <v>3268447875.8000002</v>
      </c>
      <c r="N70" s="175">
        <f t="shared" si="38"/>
        <v>0.54575112567372919</v>
      </c>
      <c r="O70" s="174">
        <f>GETPIVOTDATA("Pagos",Validaciones!$A$1,"REC","Ingresos corrientes","DESCRIPCION","LEVANTAMIENTO , GENERACIÓN Y ACTUALIZACIÓN DE LA RED GEODÉSICA Y LA CARTOGRAFÍA BÁSICA A NIVEL   NACIONAL","DESCRIPCION3","Inversión","DESCRIPCION5","Inversión")-(GETPIVOTDATA("Suma de PAGOS",Validaciones!$BF$3,"REC","20","PRODUCTO"," SERVICIO DE INFORMACIÓN CARTOGRÁFICA ACTUALIZADO ")+GETPIVOTDATA("Suma de PAGOS",Validaciones!$BF$3,"REC","20","PRODUCTO"," SERVICIOS DE INFORMACIÓN GEODÉSICA ACTUALIZADO "))</f>
        <v>2900612306.8000002</v>
      </c>
      <c r="P70" s="175">
        <f t="shared" si="40"/>
        <v>0.48433155177416043</v>
      </c>
      <c r="Q70" s="174">
        <f t="shared" si="39"/>
        <v>914690458.84000015</v>
      </c>
      <c r="R70" s="176">
        <f t="shared" si="41"/>
        <v>0.15273101071950401</v>
      </c>
    </row>
    <row r="71" spans="2:18" ht="15" customHeight="1" x14ac:dyDescent="0.25">
      <c r="B71" s="249"/>
      <c r="C71" s="260"/>
      <c r="D71" s="177" t="s">
        <v>10659</v>
      </c>
      <c r="E71" s="178">
        <v>30734260738</v>
      </c>
      <c r="F71" s="178">
        <v>0</v>
      </c>
      <c r="G71" s="178">
        <v>0</v>
      </c>
      <c r="H71" s="178">
        <f t="shared" si="35"/>
        <v>30734260738</v>
      </c>
      <c r="I71" s="179">
        <v>22000113954</v>
      </c>
      <c r="J71" s="180">
        <f t="shared" si="36"/>
        <v>0.71581724842982619</v>
      </c>
      <c r="K71" s="179">
        <f>7214040462+41434193+8147889828</f>
        <v>15403364483</v>
      </c>
      <c r="L71" s="180">
        <f t="shared" si="37"/>
        <v>0.50117894861076651</v>
      </c>
      <c r="M71" s="179">
        <v>517932021</v>
      </c>
      <c r="N71" s="180">
        <f t="shared" si="38"/>
        <v>1.6851943354525726E-2</v>
      </c>
      <c r="O71" s="179">
        <v>522508160</v>
      </c>
      <c r="P71" s="180">
        <f t="shared" si="40"/>
        <v>1.7000837093633692E-2</v>
      </c>
      <c r="Q71" s="179">
        <f t="shared" si="39"/>
        <v>8734146784</v>
      </c>
      <c r="R71" s="181">
        <f t="shared" si="41"/>
        <v>0.28418275157017381</v>
      </c>
    </row>
    <row r="72" spans="2:18" ht="15" customHeight="1" x14ac:dyDescent="0.25">
      <c r="B72" s="249"/>
      <c r="C72" s="261"/>
      <c r="D72" s="166" t="s">
        <v>10651</v>
      </c>
      <c r="E72" s="167">
        <f>SUM(E69:E71)</f>
        <v>40564274597</v>
      </c>
      <c r="F72" s="167">
        <f t="shared" ref="F72" si="65">SUM(F69:F71)</f>
        <v>0</v>
      </c>
      <c r="G72" s="167">
        <f t="shared" ref="G72" si="66">SUM(G69:G71)</f>
        <v>10952610</v>
      </c>
      <c r="H72" s="167">
        <f t="shared" ref="H72" si="67">SUM(H69:H71)</f>
        <v>40553321987</v>
      </c>
      <c r="I72" s="172">
        <f t="shared" ref="I72" si="68">SUM(I69:I71)</f>
        <v>30904484743.379997</v>
      </c>
      <c r="J72" s="168">
        <f t="shared" ref="J72" si="69">IFERROR(I72/H72,0)</f>
        <v>0.76207036141914375</v>
      </c>
      <c r="K72" s="172">
        <f t="shared" ref="K72" si="70">SUM(K69:K71)</f>
        <v>23817985972.379997</v>
      </c>
      <c r="L72" s="168">
        <f t="shared" si="37"/>
        <v>0.58732515131596919</v>
      </c>
      <c r="M72" s="172">
        <f t="shared" ref="M72" si="71">SUM(M69:M71)</f>
        <v>7008165633.3800001</v>
      </c>
      <c r="N72" s="168">
        <f t="shared" si="38"/>
        <v>0.17281360169770005</v>
      </c>
      <c r="O72" s="167">
        <f t="shared" ref="O72" si="72">SUM(O69:O71)</f>
        <v>6422412490.8800001</v>
      </c>
      <c r="P72" s="168">
        <f t="shared" si="40"/>
        <v>0.15836957803207355</v>
      </c>
      <c r="Q72" s="167">
        <f t="shared" ref="Q72" si="73">SUM(Q69:Q71)</f>
        <v>9648837243.6200008</v>
      </c>
      <c r="R72" s="169">
        <f t="shared" si="41"/>
        <v>0.23792963858085625</v>
      </c>
    </row>
    <row r="73" spans="2:18" ht="15" customHeight="1" x14ac:dyDescent="0.25">
      <c r="B73" s="249"/>
      <c r="C73" s="259" t="s">
        <v>517</v>
      </c>
      <c r="D73" s="173" t="s">
        <v>266</v>
      </c>
      <c r="E73" s="171">
        <v>921647633</v>
      </c>
      <c r="F73" s="171">
        <v>0</v>
      </c>
      <c r="G73" s="171">
        <v>0</v>
      </c>
      <c r="H73" s="171">
        <f t="shared" si="35"/>
        <v>921647633</v>
      </c>
      <c r="I73" s="174">
        <f>GETPIVOTDATA("Suma de CDP",Validaciones!$BW$1,"REC","11","DESCRIPCION"," SERVICIO DE INFORMACIÓN AGROLÓGICA ")</f>
        <v>920502639</v>
      </c>
      <c r="J73" s="175">
        <f t="shared" si="36"/>
        <v>0.99875766620669004</v>
      </c>
      <c r="K73" s="174">
        <f>GETPIVOTDATA("Suma de COMPROMISO",Validaciones!$BW$1,"REC","11","DESCRIPCION"," SERVICIO DE INFORMACIÓN AGROLÓGICA ")</f>
        <v>920502639</v>
      </c>
      <c r="L73" s="175">
        <f t="shared" si="37"/>
        <v>0.99875766620669004</v>
      </c>
      <c r="M73" s="174">
        <f>GETPIVOTDATA("Suma de OBLIGACION",Validaciones!$BW$1,"REC","11","DESCRIPCION"," SERVICIO DE INFORMACIÓN AGROLÓGICA ")</f>
        <v>905407882</v>
      </c>
      <c r="N73" s="175">
        <f t="shared" si="38"/>
        <v>0.98237965311413111</v>
      </c>
      <c r="O73" s="174">
        <f>GETPIVOTDATA("Suma de PAGOS",Validaciones!$BW$1,"REC","11","DESCRIPCION"," SERVICIO DE INFORMACIÓN AGROLÓGICA ")</f>
        <v>900424837</v>
      </c>
      <c r="P73" s="175">
        <f t="shared" si="40"/>
        <v>0.97697298268871047</v>
      </c>
      <c r="Q73" s="174">
        <f t="shared" si="39"/>
        <v>1144994</v>
      </c>
      <c r="R73" s="176">
        <f t="shared" si="41"/>
        <v>1.242333793309921E-3</v>
      </c>
    </row>
    <row r="74" spans="2:18" ht="15" customHeight="1" x14ac:dyDescent="0.25">
      <c r="B74" s="249"/>
      <c r="C74" s="260"/>
      <c r="D74" s="173" t="s">
        <v>273</v>
      </c>
      <c r="E74" s="171">
        <v>1900385459</v>
      </c>
      <c r="F74" s="171">
        <v>0</v>
      </c>
      <c r="G74" s="171">
        <v>0</v>
      </c>
      <c r="H74" s="171">
        <f t="shared" si="35"/>
        <v>1900385459</v>
      </c>
      <c r="I74" s="174">
        <f>GETPIVOTDATA("Suma de CDP",Validaciones!$BW$1,"REC","20","DESCRIPCION"," SERVICIO DE INFORMACIÓN AGROLÓGICA ")</f>
        <v>338302153.77999997</v>
      </c>
      <c r="J74" s="175">
        <f t="shared" si="36"/>
        <v>0.17801765014452259</v>
      </c>
      <c r="K74" s="174">
        <f>GETPIVOTDATA("Suma de COMPROMISO",Validaciones!$BW$1,"REC","20","DESCRIPCION"," SERVICIO DE INFORMACIÓN AGROLÓGICA ")</f>
        <v>317125564.77999997</v>
      </c>
      <c r="L74" s="175">
        <f t="shared" si="37"/>
        <v>0.16687433766561985</v>
      </c>
      <c r="M74" s="174">
        <f>GETPIVOTDATA("Suma de OBLIGACION",Validaciones!$BW$1,"REC","20","DESCRIPCION"," SERVICIO DE INFORMACIÓN AGROLÓGICA ")</f>
        <v>200671209.78</v>
      </c>
      <c r="N74" s="175">
        <f t="shared" si="38"/>
        <v>0.10559500380811954</v>
      </c>
      <c r="O74" s="174">
        <f>GETPIVOTDATA("Suma de PAGOS",Validaciones!$BW$1,"REC","20","DESCRIPCION"," SERVICIO DE INFORMACIÓN AGROLÓGICA ")</f>
        <v>200671209.78</v>
      </c>
      <c r="P74" s="175">
        <f t="shared" si="40"/>
        <v>0.10559500380811954</v>
      </c>
      <c r="Q74" s="174">
        <f t="shared" si="39"/>
        <v>1562083305.22</v>
      </c>
      <c r="R74" s="176">
        <f t="shared" si="41"/>
        <v>0.82198234985547747</v>
      </c>
    </row>
    <row r="75" spans="2:18" ht="15" customHeight="1" x14ac:dyDescent="0.25">
      <c r="B75" s="249"/>
      <c r="C75" s="260"/>
      <c r="D75" s="177" t="s">
        <v>10659</v>
      </c>
      <c r="E75" s="178">
        <v>3705794144</v>
      </c>
      <c r="F75" s="178">
        <v>0</v>
      </c>
      <c r="G75" s="178">
        <v>0</v>
      </c>
      <c r="H75" s="178">
        <f t="shared" si="35"/>
        <v>3705794144</v>
      </c>
      <c r="I75" s="179">
        <v>493164000</v>
      </c>
      <c r="J75" s="180">
        <f t="shared" si="36"/>
        <v>0.13307916760526889</v>
      </c>
      <c r="K75" s="179">
        <v>417781952</v>
      </c>
      <c r="L75" s="180">
        <f t="shared" si="37"/>
        <v>0.1127374958688477</v>
      </c>
      <c r="M75" s="179">
        <f>154971241+24535760</f>
        <v>179507001</v>
      </c>
      <c r="N75" s="180">
        <f t="shared" si="38"/>
        <v>4.8439550073399867E-2</v>
      </c>
      <c r="O75" s="179">
        <v>154971241</v>
      </c>
      <c r="P75" s="180">
        <f t="shared" si="40"/>
        <v>4.1818631844651108E-2</v>
      </c>
      <c r="Q75" s="179">
        <f t="shared" si="39"/>
        <v>3212630144</v>
      </c>
      <c r="R75" s="181">
        <f t="shared" si="41"/>
        <v>0.86692083239473106</v>
      </c>
    </row>
    <row r="76" spans="2:18" ht="15" customHeight="1" x14ac:dyDescent="0.25">
      <c r="B76" s="249"/>
      <c r="C76" s="261"/>
      <c r="D76" s="166" t="s">
        <v>10651</v>
      </c>
      <c r="E76" s="167">
        <f>SUM(E73:E75)</f>
        <v>6527827236</v>
      </c>
      <c r="F76" s="167">
        <f t="shared" ref="F76" si="74">SUM(F73:F75)</f>
        <v>0</v>
      </c>
      <c r="G76" s="167">
        <f t="shared" ref="G76" si="75">SUM(G73:G75)</f>
        <v>0</v>
      </c>
      <c r="H76" s="167">
        <f t="shared" ref="H76" si="76">SUM(H73:H75)</f>
        <v>6527827236</v>
      </c>
      <c r="I76" s="172">
        <f t="shared" ref="I76" si="77">SUM(I73:I75)</f>
        <v>1751968792.78</v>
      </c>
      <c r="J76" s="168">
        <f t="shared" ref="J76" si="78">IFERROR(I76/H76,0)</f>
        <v>0.26838467524357135</v>
      </c>
      <c r="K76" s="172">
        <f t="shared" ref="K76" si="79">SUM(K73:K75)</f>
        <v>1655410155.78</v>
      </c>
      <c r="L76" s="168">
        <f t="shared" si="37"/>
        <v>0.25359282590241639</v>
      </c>
      <c r="M76" s="172">
        <f t="shared" ref="M76" si="80">SUM(M73:M75)</f>
        <v>1285586092.78</v>
      </c>
      <c r="N76" s="168">
        <f t="shared" si="38"/>
        <v>0.19693935612912411</v>
      </c>
      <c r="O76" s="167">
        <f t="shared" ref="O76" si="81">SUM(O73:O75)</f>
        <v>1256067287.78</v>
      </c>
      <c r="P76" s="168">
        <f t="shared" si="40"/>
        <v>0.19241736068825091</v>
      </c>
      <c r="Q76" s="167">
        <f t="shared" ref="Q76" si="82">SUM(Q73:Q75)</f>
        <v>4775858443.2200003</v>
      </c>
      <c r="R76" s="169">
        <f t="shared" si="41"/>
        <v>0.73161532475642865</v>
      </c>
    </row>
    <row r="77" spans="2:18" ht="15" customHeight="1" x14ac:dyDescent="0.25">
      <c r="B77" s="249"/>
      <c r="C77" s="259" t="s">
        <v>3822</v>
      </c>
      <c r="D77" s="173" t="s">
        <v>266</v>
      </c>
      <c r="E77" s="171">
        <v>1036559170</v>
      </c>
      <c r="F77" s="171">
        <v>0</v>
      </c>
      <c r="G77" s="171">
        <f>GETPIVOTDATA("Suma de APR. VIGENTE",Validaciones!$BF$3,"REC","11","PRODUCTO"," DOCUMENTOS DE ESTUDIOS TÉCNICOS DE DESLINDES Y DE TERRITORIOS INDÍGENAS ")</f>
        <v>1714223</v>
      </c>
      <c r="H77" s="171">
        <f t="shared" si="35"/>
        <v>1034844947</v>
      </c>
      <c r="I77" s="174">
        <f>GETPIVOTDATA("CDP ",Validaciones!$A$1,"REC","Otros recursos del tesoro","DESCRIPCION","GENERACIÓN DE ESTUDIOS GEOGRÁFICOS E INVESTIGACIONES PARA LA CARACTERIZACIÓN, ANÁLISIS Y DELIMITACIÓN GEOGRÁFICA DEL TERRITORIO  NACIONAL","DESCRIPCION3","Inversión","DESCRIPCION5","Inversión")-GETPIVOTDATA("Suma de CDP",Validaciones!$BF$3,"REC","11","PRODUCTO"," DOCUMENTOS DE ESTUDIOS TÉCNICOS DE DESLINDES Y DE TERRITORIOS INDÍGENAS ")</f>
        <v>1034844945</v>
      </c>
      <c r="J77" s="175">
        <f t="shared" si="36"/>
        <v>0.9999999980673433</v>
      </c>
      <c r="K77" s="174">
        <f>GETPIVOTDATA("Compromisos",Validaciones!$A$1,"REC","Otros recursos del tesoro","DESCRIPCION","GENERACIÓN DE ESTUDIOS GEOGRÁFICOS E INVESTIGACIONES PARA LA CARACTERIZACIÓN, ANÁLISIS Y DELIMITACIÓN GEOGRÁFICA DEL TERRITORIO  NACIONAL","DESCRIPCION3","Inversión","DESCRIPCION5","Inversión")-GETPIVOTDATA("Suma de COMPROMISO",Validaciones!$BF$3,"REC","11","PRODUCTO"," DOCUMENTOS DE ESTUDIOS TÉCNICOS DE DESLINDES Y DE TERRITORIOS INDÍGENAS ")</f>
        <v>1012835281</v>
      </c>
      <c r="L77" s="175">
        <f t="shared" si="37"/>
        <v>0.97873143598583956</v>
      </c>
      <c r="M77" s="174">
        <f>GETPIVOTDATA("Obligaciones",Validaciones!$A$1,"REC","Otros recursos del tesoro","DESCRIPCION","GENERACIÓN DE ESTUDIOS GEOGRÁFICOS E INVESTIGACIONES PARA LA CARACTERIZACIÓN, ANÁLISIS Y DELIMITACIÓN GEOGRÁFICA DEL TERRITORIO  NACIONAL","DESCRIPCION3","Inversión","DESCRIPCION5","Inversión")-GETPIVOTDATA("Suma de OBLIGACION",Validaciones!$BF$3,"REC","11","PRODUCTO"," DOCUMENTOS DE ESTUDIOS TÉCNICOS DE DESLINDES Y DE TERRITORIOS INDÍGENAS ")</f>
        <v>877204159</v>
      </c>
      <c r="N77" s="175">
        <f t="shared" si="38"/>
        <v>0.84766723898396734</v>
      </c>
      <c r="O77" s="174">
        <f>GETPIVOTDATA("Pagos",Validaciones!$A$1,"REC","Otros recursos del tesoro","DESCRIPCION","GENERACIÓN DE ESTUDIOS GEOGRÁFICOS E INVESTIGACIONES PARA LA CARACTERIZACIÓN, ANÁLISIS Y DELIMITACIÓN GEOGRÁFICA DEL TERRITORIO  NACIONAL","DESCRIPCION3","Inversión","DESCRIPCION5","Inversión")-GETPIVOTDATA("Suma de PAGOS",Validaciones!$BF$3,"REC","11","PRODUCTO"," DOCUMENTOS DE ESTUDIOS TÉCNICOS DE DESLINDES Y DE TERRITORIOS INDÍGENAS ")</f>
        <v>836626041</v>
      </c>
      <c r="P77" s="175">
        <f t="shared" si="40"/>
        <v>0.8084554535685432</v>
      </c>
      <c r="Q77" s="174">
        <f t="shared" si="39"/>
        <v>2</v>
      </c>
      <c r="R77" s="176">
        <f t="shared" si="41"/>
        <v>1.9326566804021896E-9</v>
      </c>
    </row>
    <row r="78" spans="2:18" ht="15" customHeight="1" x14ac:dyDescent="0.25">
      <c r="B78" s="249"/>
      <c r="C78" s="260"/>
      <c r="D78" s="173" t="s">
        <v>273</v>
      </c>
      <c r="E78" s="171">
        <v>834778624</v>
      </c>
      <c r="F78" s="171">
        <v>0</v>
      </c>
      <c r="G78" s="171">
        <f>GETPIVOTDATA("Suma de APR. VIGENTE",Validaciones!$BF$3,"REC","20","PRODUCTO"," DOCUMENTOS DE ESTUDIOS TÉCNICOS DE DESLINDES Y DE TERRITORIOS INDÍGENAS ")</f>
        <v>0</v>
      </c>
      <c r="H78" s="171">
        <f t="shared" si="35"/>
        <v>834778624</v>
      </c>
      <c r="I78" s="174">
        <f>GETPIVOTDATA("CDP ",Validaciones!$A$1,"REC","Ingresos corrientes","DESCRIPCION","GENERACIÓN DE ESTUDIOS GEOGRÁFICOS E INVESTIGACIONES PARA LA CARACTERIZACIÓN, ANÁLISIS Y DELIMITACIÓN GEOGRÁFICA DEL TERRITORIO  NACIONAL","DESCRIPCION3","Inversión","DESCRIPCION5","Inversión")-GETPIVOTDATA("Suma de CDP",Validaciones!$BF$3,"REC","20","PRODUCTO"," DOCUMENTOS DE ESTUDIOS TÉCNICOS DE DESLINDES Y DE TERRITORIOS INDÍGENAS ")</f>
        <v>797631229</v>
      </c>
      <c r="J78" s="175">
        <f t="shared" si="36"/>
        <v>0.95550030399436769</v>
      </c>
      <c r="K78" s="174">
        <f>GETPIVOTDATA("Compromisos",Validaciones!$A$1,"REC","Ingresos corrientes","DESCRIPCION","GENERACIÓN DE ESTUDIOS GEOGRÁFICOS E INVESTIGACIONES PARA LA CARACTERIZACIÓN, ANÁLISIS Y DELIMITACIÓN GEOGRÁFICA DEL TERRITORIO  NACIONAL","DESCRIPCION3","Inversión","DESCRIPCION5","Inversión")-GETPIVOTDATA("Suma de COMPROMISO",Validaciones!$BF$3,"REC","20","PRODUCTO"," DOCUMENTOS DE ESTUDIOS TÉCNICOS DE DESLINDES Y DE TERRITORIOS INDÍGENAS ")</f>
        <v>774104965</v>
      </c>
      <c r="L78" s="175">
        <f t="shared" si="37"/>
        <v>0.92731766571924101</v>
      </c>
      <c r="M78" s="174">
        <f>GETPIVOTDATA("Obligaciones",Validaciones!$A$1,"REC","Ingresos corrientes","DESCRIPCION","GENERACIÓN DE ESTUDIOS GEOGRÁFICOS E INVESTIGACIONES PARA LA CARACTERIZACIÓN, ANÁLISIS Y DELIMITACIÓN GEOGRÁFICA DEL TERRITORIO  NACIONAL","DESCRIPCION3","Inversión","DESCRIPCION5","Inversión")-GETPIVOTDATA("Suma de OBLIGACION",Validaciones!$BF$3,"REC","20","PRODUCTO"," DOCUMENTOS DE ESTUDIOS TÉCNICOS DE DESLINDES Y DE TERRITORIOS INDÍGENAS ")</f>
        <v>691832122</v>
      </c>
      <c r="N78" s="175">
        <f t="shared" si="38"/>
        <v>0.8287611854325585</v>
      </c>
      <c r="O78" s="174">
        <f>GETPIVOTDATA("Pagos",Validaciones!$A$1,"REC","Ingresos corrientes","DESCRIPCION","GENERACIÓN DE ESTUDIOS GEOGRÁFICOS E INVESTIGACIONES PARA LA CARACTERIZACIÓN, ANÁLISIS Y DELIMITACIÓN GEOGRÁFICA DEL TERRITORIO  NACIONAL","DESCRIPCION3","Inversión","DESCRIPCION5","Inversión")-GETPIVOTDATA("Suma de PAGOS",Validaciones!$BF$3,"REC","20","PRODUCTO"," DOCUMENTOS DE ESTUDIOS TÉCNICOS DE DESLINDES Y DE TERRITORIOS INDÍGENAS ")</f>
        <v>683547376</v>
      </c>
      <c r="P78" s="175">
        <f t="shared" si="40"/>
        <v>0.81883670274719444</v>
      </c>
      <c r="Q78" s="174">
        <f t="shared" si="39"/>
        <v>37147395</v>
      </c>
      <c r="R78" s="176">
        <f t="shared" si="41"/>
        <v>4.4499696005632264E-2</v>
      </c>
    </row>
    <row r="79" spans="2:18" ht="15" customHeight="1" x14ac:dyDescent="0.25">
      <c r="B79" s="249"/>
      <c r="C79" s="260"/>
      <c r="D79" s="177" t="s">
        <v>10659</v>
      </c>
      <c r="E79" s="178"/>
      <c r="F79" s="178">
        <v>0</v>
      </c>
      <c r="G79" s="178">
        <v>0</v>
      </c>
      <c r="H79" s="178">
        <f t="shared" si="35"/>
        <v>0</v>
      </c>
      <c r="I79" s="179"/>
      <c r="J79" s="180">
        <f t="shared" si="36"/>
        <v>0</v>
      </c>
      <c r="K79" s="179"/>
      <c r="L79" s="180">
        <f t="shared" si="37"/>
        <v>0</v>
      </c>
      <c r="M79" s="179"/>
      <c r="N79" s="180">
        <f t="shared" si="38"/>
        <v>0</v>
      </c>
      <c r="O79" s="177"/>
      <c r="P79" s="180">
        <f t="shared" si="40"/>
        <v>0</v>
      </c>
      <c r="Q79" s="179">
        <f t="shared" si="39"/>
        <v>0</v>
      </c>
      <c r="R79" s="181">
        <f t="shared" si="41"/>
        <v>0</v>
      </c>
    </row>
    <row r="80" spans="2:18" ht="15" customHeight="1" x14ac:dyDescent="0.25">
      <c r="B80" s="249"/>
      <c r="C80" s="261"/>
      <c r="D80" s="166" t="s">
        <v>10651</v>
      </c>
      <c r="E80" s="167">
        <f>SUM(E77:E79)</f>
        <v>1871337794</v>
      </c>
      <c r="F80" s="167">
        <f t="shared" ref="F80" si="83">SUM(F77:F79)</f>
        <v>0</v>
      </c>
      <c r="G80" s="167">
        <f t="shared" ref="G80" si="84">SUM(G77:G79)</f>
        <v>1714223</v>
      </c>
      <c r="H80" s="167">
        <f t="shared" ref="H80" si="85">SUM(H77:H79)</f>
        <v>1869623571</v>
      </c>
      <c r="I80" s="172">
        <f t="shared" ref="I80" si="86">SUM(I77:I79)</f>
        <v>1832476174</v>
      </c>
      <c r="J80" s="168">
        <f t="shared" ref="J80" si="87">IFERROR(I80/H80,0)</f>
        <v>0.9801310822262842</v>
      </c>
      <c r="K80" s="172">
        <f t="shared" ref="K80" si="88">SUM(K77:K79)</f>
        <v>1786940246</v>
      </c>
      <c r="L80" s="168">
        <f t="shared" si="37"/>
        <v>0.95577541582032188</v>
      </c>
      <c r="M80" s="172">
        <f t="shared" ref="M80" si="89">SUM(M77:M79)</f>
        <v>1569036281</v>
      </c>
      <c r="N80" s="168">
        <f t="shared" si="38"/>
        <v>0.83922577000929344</v>
      </c>
      <c r="O80" s="167">
        <f t="shared" ref="O80" si="90">SUM(O77:O79)</f>
        <v>1520173417</v>
      </c>
      <c r="P80" s="168">
        <f t="shared" si="40"/>
        <v>0.81309063523782454</v>
      </c>
      <c r="Q80" s="167">
        <f t="shared" ref="Q80" si="91">SUM(Q77:Q79)</f>
        <v>37147397</v>
      </c>
      <c r="R80" s="169">
        <f t="shared" si="41"/>
        <v>1.9868917773715852E-2</v>
      </c>
    </row>
    <row r="81" spans="2:18" ht="15" customHeight="1" x14ac:dyDescent="0.25">
      <c r="B81" s="249" t="s">
        <v>10662</v>
      </c>
      <c r="C81" s="264" t="s">
        <v>10663</v>
      </c>
      <c r="D81" s="173" t="s">
        <v>266</v>
      </c>
      <c r="E81" s="171">
        <v>117931087</v>
      </c>
      <c r="F81" s="171">
        <v>0</v>
      </c>
      <c r="G81" s="171">
        <v>0</v>
      </c>
      <c r="H81" s="171">
        <f t="shared" si="35"/>
        <v>117931087</v>
      </c>
      <c r="I81" s="174">
        <f>GETPIVOTDATA("CDP ",Validaciones!$A$1,"REC","Otros recursos del tesoro","DESCRIPCION","FORTALECIMIENTO DE LA GESTIÓN DEL CONOCIMIENTO Y LA INNOVACIÓN EN EL ÁMBITO GEOGRÁFICO DEL  TERRITORIO   NACIONAL","DESCRIPCION3","Inversión","DESCRIPCION5","Inversión")</f>
        <v>117774174</v>
      </c>
      <c r="J81" s="175">
        <f t="shared" si="36"/>
        <v>0.99866945176211253</v>
      </c>
      <c r="K81" s="174">
        <f>GETPIVOTDATA("Compromisos",Validaciones!$A$1,"REC","Otros recursos del tesoro","DESCRIPCION","FORTALECIMIENTO DE LA GESTIÓN DEL CONOCIMIENTO Y LA INNOVACIÓN EN EL ÁMBITO GEOGRÁFICO DEL  TERRITORIO   NACIONAL","DESCRIPCION3","Inversión","DESCRIPCION5","Inversión")</f>
        <v>117774174</v>
      </c>
      <c r="L81" s="175">
        <f t="shared" si="37"/>
        <v>0.99866945176211253</v>
      </c>
      <c r="M81" s="174">
        <f>GETPIVOTDATA("Obligaciones",Validaciones!$A$1,"REC","Otros recursos del tesoro","DESCRIPCION","FORTALECIMIENTO DE LA GESTIÓN DEL CONOCIMIENTO Y LA INNOVACIÓN EN EL ÁMBITO GEOGRÁFICO DEL  TERRITORIO   NACIONAL","DESCRIPCION3","Inversión","DESCRIPCION5","Inversión")</f>
        <v>117529828</v>
      </c>
      <c r="N81" s="175">
        <f t="shared" si="38"/>
        <v>0.9965975129187099</v>
      </c>
      <c r="O81" s="174">
        <f>GETPIVOTDATA("Pagos",Validaciones!$A$1,"REC","Otros recursos del tesoro","DESCRIPCION","FORTALECIMIENTO DE LA GESTIÓN DEL CONOCIMIENTO Y LA INNOVACIÓN EN EL ÁMBITO GEOGRÁFICO DEL  TERRITORIO   NACIONAL","DESCRIPCION3","Inversión","DESCRIPCION5","Inversión")</f>
        <v>117529828</v>
      </c>
      <c r="P81" s="175">
        <f t="shared" si="40"/>
        <v>0.9965975129187099</v>
      </c>
      <c r="Q81" s="174">
        <f t="shared" si="39"/>
        <v>156913</v>
      </c>
      <c r="R81" s="176">
        <f t="shared" si="41"/>
        <v>1.3305482378874367E-3</v>
      </c>
    </row>
    <row r="82" spans="2:18" ht="15" customHeight="1" x14ac:dyDescent="0.25">
      <c r="B82" s="249"/>
      <c r="C82" s="265"/>
      <c r="D82" s="173" t="s">
        <v>273</v>
      </c>
      <c r="E82" s="171">
        <v>3673814716</v>
      </c>
      <c r="F82" s="171">
        <v>0</v>
      </c>
      <c r="G82" s="171">
        <v>0</v>
      </c>
      <c r="H82" s="171">
        <f t="shared" si="35"/>
        <v>3673814716</v>
      </c>
      <c r="I82" s="174">
        <f>GETPIVOTDATA("CDP ",Validaciones!$A$1,"REC","Ingresos corrientes","DESCRIPCION","FORTALECIMIENTO DE LA GESTIÓN DEL CONOCIMIENTO Y LA INNOVACIÓN EN EL ÁMBITO GEOGRÁFICO DEL  TERRITORIO   NACIONAL","DESCRIPCION3","Inversión","DESCRIPCION5","Inversión")</f>
        <v>1080423572.8199999</v>
      </c>
      <c r="J82" s="175">
        <f t="shared" si="36"/>
        <v>0.29408765992323926</v>
      </c>
      <c r="K82" s="174">
        <f>GETPIVOTDATA("Compromisos",Validaciones!$A$1,"REC","Ingresos corrientes","DESCRIPCION","FORTALECIMIENTO DE LA GESTIÓN DEL CONOCIMIENTO Y LA INNOVACIÓN EN EL ÁMBITO GEOGRÁFICO DEL  TERRITORIO   NACIONAL","DESCRIPCION3","Inversión","DESCRIPCION5","Inversión")</f>
        <v>1051131180.8200001</v>
      </c>
      <c r="L82" s="175">
        <f t="shared" si="37"/>
        <v>0.28611436941611945</v>
      </c>
      <c r="M82" s="174">
        <f>GETPIVOTDATA("Obligaciones",Validaciones!$A$1,"REC","Ingresos corrientes","DESCRIPCION","FORTALECIMIENTO DE LA GESTIÓN DEL CONOCIMIENTO Y LA INNOVACIÓN EN EL ÁMBITO GEOGRÁFICO DEL  TERRITORIO   NACIONAL","DESCRIPCION3","Inversión","DESCRIPCION5","Inversión")</f>
        <v>840179497.82000005</v>
      </c>
      <c r="N82" s="175">
        <f t="shared" si="38"/>
        <v>0.22869403134591834</v>
      </c>
      <c r="O82" s="174">
        <f>GETPIVOTDATA("Pagos",Validaciones!$A$1,"REC","Ingresos corrientes","DESCRIPCION","FORTALECIMIENTO DE LA GESTIÓN DEL CONOCIMIENTO Y LA INNOVACIÓN EN EL ÁMBITO GEOGRÁFICO DEL  TERRITORIO   NACIONAL","DESCRIPCION3","Inversión","DESCRIPCION5","Inversión")</f>
        <v>772137241.82000005</v>
      </c>
      <c r="P82" s="175">
        <f t="shared" si="40"/>
        <v>0.21017315828618943</v>
      </c>
      <c r="Q82" s="174">
        <f t="shared" si="39"/>
        <v>2593391143.1800003</v>
      </c>
      <c r="R82" s="176">
        <f t="shared" si="41"/>
        <v>0.70591234007676074</v>
      </c>
    </row>
    <row r="83" spans="2:18" ht="15" customHeight="1" x14ac:dyDescent="0.25">
      <c r="B83" s="249"/>
      <c r="C83" s="265"/>
      <c r="D83" s="177" t="s">
        <v>10659</v>
      </c>
      <c r="E83" s="178"/>
      <c r="F83" s="178">
        <v>0</v>
      </c>
      <c r="G83" s="178">
        <v>0</v>
      </c>
      <c r="H83" s="178">
        <f t="shared" si="35"/>
        <v>0</v>
      </c>
      <c r="I83" s="179"/>
      <c r="J83" s="180">
        <f t="shared" si="36"/>
        <v>0</v>
      </c>
      <c r="K83" s="179"/>
      <c r="L83" s="180">
        <f t="shared" si="37"/>
        <v>0</v>
      </c>
      <c r="M83" s="179"/>
      <c r="N83" s="180">
        <f t="shared" si="38"/>
        <v>0</v>
      </c>
      <c r="O83" s="177"/>
      <c r="P83" s="180">
        <f t="shared" si="40"/>
        <v>0</v>
      </c>
      <c r="Q83" s="179">
        <f t="shared" si="39"/>
        <v>0</v>
      </c>
      <c r="R83" s="181">
        <f t="shared" si="41"/>
        <v>0</v>
      </c>
    </row>
    <row r="84" spans="2:18" ht="15" customHeight="1" x14ac:dyDescent="0.25">
      <c r="B84" s="249"/>
      <c r="C84" s="266"/>
      <c r="D84" s="166" t="s">
        <v>10651</v>
      </c>
      <c r="E84" s="167">
        <f>SUM(E81:E83)</f>
        <v>3791745803</v>
      </c>
      <c r="F84" s="167">
        <f t="shared" ref="F84" si="92">SUM(F81:F83)</f>
        <v>0</v>
      </c>
      <c r="G84" s="167">
        <f t="shared" ref="G84" si="93">SUM(G81:G83)</f>
        <v>0</v>
      </c>
      <c r="H84" s="167">
        <f t="shared" ref="H84" si="94">SUM(H81:H83)</f>
        <v>3791745803</v>
      </c>
      <c r="I84" s="172">
        <f t="shared" ref="I84" si="95">SUM(I81:I83)</f>
        <v>1198197746.8199999</v>
      </c>
      <c r="J84" s="168">
        <f t="shared" ref="J84" si="96">IFERROR(I84/H84,0)</f>
        <v>0.31600160165589031</v>
      </c>
      <c r="K84" s="172">
        <f t="shared" ref="K84" si="97">SUM(K81:K83)</f>
        <v>1168905354.8200002</v>
      </c>
      <c r="L84" s="168">
        <f t="shared" si="37"/>
        <v>0.30827629686968239</v>
      </c>
      <c r="M84" s="172">
        <f t="shared" ref="M84" si="98">SUM(M81:M83)</f>
        <v>957709325.82000005</v>
      </c>
      <c r="N84" s="168">
        <f t="shared" si="38"/>
        <v>0.2525774077635341</v>
      </c>
      <c r="O84" s="167">
        <f t="shared" ref="O84" si="99">SUM(O81:O83)</f>
        <v>889667069.82000005</v>
      </c>
      <c r="P84" s="168">
        <f t="shared" si="40"/>
        <v>0.23463257191874581</v>
      </c>
      <c r="Q84" s="167">
        <f t="shared" ref="Q84" si="100">SUM(Q81:Q83)</f>
        <v>2593548056.1800003</v>
      </c>
      <c r="R84" s="169">
        <f t="shared" si="41"/>
        <v>0.6839983983441098</v>
      </c>
    </row>
    <row r="85" spans="2:18" ht="15" customHeight="1" x14ac:dyDescent="0.25">
      <c r="B85" s="249" t="s">
        <v>3998</v>
      </c>
      <c r="C85" s="259" t="s">
        <v>3998</v>
      </c>
      <c r="D85" s="177" t="s">
        <v>266</v>
      </c>
      <c r="E85" s="178">
        <v>395489081</v>
      </c>
      <c r="F85" s="178">
        <v>0</v>
      </c>
      <c r="G85" s="178">
        <v>0</v>
      </c>
      <c r="H85" s="178">
        <f t="shared" si="35"/>
        <v>395489081</v>
      </c>
      <c r="I85" s="179">
        <v>392690437</v>
      </c>
      <c r="J85" s="180">
        <f t="shared" si="36"/>
        <v>0.99292358718748042</v>
      </c>
      <c r="K85" s="179">
        <v>392690437</v>
      </c>
      <c r="L85" s="180">
        <f t="shared" si="37"/>
        <v>0.99292358718748042</v>
      </c>
      <c r="M85" s="179">
        <v>223507723</v>
      </c>
      <c r="N85" s="180">
        <f t="shared" si="38"/>
        <v>0.56514258860158018</v>
      </c>
      <c r="O85" s="179">
        <v>223507723</v>
      </c>
      <c r="P85" s="180">
        <f t="shared" si="40"/>
        <v>0.56514258860158018</v>
      </c>
      <c r="Q85" s="179">
        <f t="shared" si="39"/>
        <v>2798644</v>
      </c>
      <c r="R85" s="181">
        <f t="shared" si="41"/>
        <v>7.0764128125195948E-3</v>
      </c>
    </row>
    <row r="86" spans="2:18" ht="15" customHeight="1" x14ac:dyDescent="0.25">
      <c r="B86" s="249"/>
      <c r="C86" s="260"/>
      <c r="D86" s="177" t="s">
        <v>273</v>
      </c>
      <c r="E86" s="178">
        <v>0</v>
      </c>
      <c r="F86" s="178">
        <v>0</v>
      </c>
      <c r="G86" s="178">
        <v>0</v>
      </c>
      <c r="H86" s="178">
        <f t="shared" si="35"/>
        <v>0</v>
      </c>
      <c r="I86" s="179"/>
      <c r="J86" s="180">
        <f t="shared" si="36"/>
        <v>0</v>
      </c>
      <c r="K86" s="179"/>
      <c r="L86" s="180">
        <f t="shared" si="37"/>
        <v>0</v>
      </c>
      <c r="M86" s="179"/>
      <c r="N86" s="180">
        <f t="shared" si="38"/>
        <v>0</v>
      </c>
      <c r="O86" s="177"/>
      <c r="P86" s="180">
        <f t="shared" si="40"/>
        <v>0</v>
      </c>
      <c r="Q86" s="179">
        <f t="shared" si="39"/>
        <v>0</v>
      </c>
      <c r="R86" s="181">
        <f t="shared" si="41"/>
        <v>0</v>
      </c>
    </row>
    <row r="87" spans="2:18" ht="15" customHeight="1" x14ac:dyDescent="0.25">
      <c r="B87" s="249"/>
      <c r="C87" s="260"/>
      <c r="D87" s="177" t="s">
        <v>10659</v>
      </c>
      <c r="E87" s="178">
        <v>0</v>
      </c>
      <c r="F87" s="178">
        <v>0</v>
      </c>
      <c r="G87" s="178">
        <v>0</v>
      </c>
      <c r="H87" s="178">
        <f t="shared" si="35"/>
        <v>0</v>
      </c>
      <c r="I87" s="179"/>
      <c r="J87" s="180">
        <f t="shared" si="36"/>
        <v>0</v>
      </c>
      <c r="K87" s="179"/>
      <c r="L87" s="180">
        <f t="shared" si="37"/>
        <v>0</v>
      </c>
      <c r="M87" s="179"/>
      <c r="N87" s="180">
        <f t="shared" si="38"/>
        <v>0</v>
      </c>
      <c r="O87" s="177"/>
      <c r="P87" s="180">
        <f t="shared" si="40"/>
        <v>0</v>
      </c>
      <c r="Q87" s="179">
        <f t="shared" si="39"/>
        <v>0</v>
      </c>
      <c r="R87" s="181">
        <f t="shared" si="41"/>
        <v>0</v>
      </c>
    </row>
    <row r="88" spans="2:18" ht="15" customHeight="1" x14ac:dyDescent="0.25">
      <c r="B88" s="249"/>
      <c r="C88" s="261"/>
      <c r="D88" s="166" t="s">
        <v>10651</v>
      </c>
      <c r="E88" s="167">
        <f>SUM(E85:E87)</f>
        <v>395489081</v>
      </c>
      <c r="F88" s="167">
        <f t="shared" ref="F88" si="101">SUM(F85:F87)</f>
        <v>0</v>
      </c>
      <c r="G88" s="167">
        <f t="shared" ref="G88" si="102">SUM(G85:G87)</f>
        <v>0</v>
      </c>
      <c r="H88" s="167">
        <f t="shared" ref="H88" si="103">SUM(H85:H87)</f>
        <v>395489081</v>
      </c>
      <c r="I88" s="172">
        <f t="shared" ref="I88" si="104">SUM(I85:I87)</f>
        <v>392690437</v>
      </c>
      <c r="J88" s="168">
        <f t="shared" ref="J88" si="105">IFERROR(I88/H88,0)</f>
        <v>0.99292358718748042</v>
      </c>
      <c r="K88" s="172">
        <f t="shared" ref="K88" si="106">SUM(K85:K87)</f>
        <v>392690437</v>
      </c>
      <c r="L88" s="168">
        <f t="shared" si="37"/>
        <v>0.99292358718748042</v>
      </c>
      <c r="M88" s="172">
        <f t="shared" ref="M88" si="107">SUM(M85:M87)</f>
        <v>223507723</v>
      </c>
      <c r="N88" s="168">
        <f t="shared" si="38"/>
        <v>0.56514258860158018</v>
      </c>
      <c r="O88" s="167">
        <f t="shared" ref="O88" si="108">SUM(O85:O87)</f>
        <v>223507723</v>
      </c>
      <c r="P88" s="168">
        <f t="shared" si="40"/>
        <v>0.56514258860158018</v>
      </c>
      <c r="Q88" s="167">
        <f t="shared" ref="Q88" si="109">SUM(Q85:Q87)</f>
        <v>2798644</v>
      </c>
      <c r="R88" s="169">
        <f t="shared" si="41"/>
        <v>7.0764128125195948E-3</v>
      </c>
    </row>
    <row r="89" spans="2:18" ht="15" customHeight="1" x14ac:dyDescent="0.25">
      <c r="B89" s="249" t="s">
        <v>4350</v>
      </c>
      <c r="C89" s="259" t="s">
        <v>10664</v>
      </c>
      <c r="D89" s="177" t="s">
        <v>266</v>
      </c>
      <c r="E89" s="178">
        <v>0</v>
      </c>
      <c r="F89" s="178">
        <v>0</v>
      </c>
      <c r="G89" s="178">
        <v>0</v>
      </c>
      <c r="H89" s="178">
        <f t="shared" si="35"/>
        <v>0</v>
      </c>
      <c r="I89" s="179"/>
      <c r="J89" s="180">
        <f t="shared" si="36"/>
        <v>0</v>
      </c>
      <c r="K89" s="179"/>
      <c r="L89" s="180">
        <f t="shared" si="37"/>
        <v>0</v>
      </c>
      <c r="M89" s="179"/>
      <c r="N89" s="180">
        <f t="shared" si="38"/>
        <v>0</v>
      </c>
      <c r="O89" s="177"/>
      <c r="P89" s="180">
        <f t="shared" si="40"/>
        <v>0</v>
      </c>
      <c r="Q89" s="179">
        <f t="shared" si="39"/>
        <v>0</v>
      </c>
      <c r="R89" s="181">
        <f t="shared" si="41"/>
        <v>0</v>
      </c>
    </row>
    <row r="90" spans="2:18" ht="15" customHeight="1" x14ac:dyDescent="0.25">
      <c r="B90" s="249"/>
      <c r="C90" s="260"/>
      <c r="D90" s="177" t="s">
        <v>273</v>
      </c>
      <c r="E90" s="178">
        <v>332212187</v>
      </c>
      <c r="F90" s="178">
        <v>71646848</v>
      </c>
      <c r="G90" s="178">
        <v>0</v>
      </c>
      <c r="H90" s="178">
        <f t="shared" si="35"/>
        <v>403859035</v>
      </c>
      <c r="I90" s="178">
        <v>401539609</v>
      </c>
      <c r="J90" s="180">
        <f t="shared" si="36"/>
        <v>0.99425684261341341</v>
      </c>
      <c r="K90" s="179">
        <v>401539609</v>
      </c>
      <c r="L90" s="180">
        <f t="shared" si="37"/>
        <v>0.99425684261341341</v>
      </c>
      <c r="M90" s="179">
        <v>193194771</v>
      </c>
      <c r="N90" s="180">
        <f t="shared" si="38"/>
        <v>0.47837179376214772</v>
      </c>
      <c r="O90" s="179">
        <v>193194771</v>
      </c>
      <c r="P90" s="180">
        <f t="shared" si="40"/>
        <v>0.47837179376214772</v>
      </c>
      <c r="Q90" s="179">
        <f t="shared" si="39"/>
        <v>2319426</v>
      </c>
      <c r="R90" s="181">
        <f t="shared" si="41"/>
        <v>5.7431573865866338E-3</v>
      </c>
    </row>
    <row r="91" spans="2:18" ht="15" customHeight="1" x14ac:dyDescent="0.25">
      <c r="B91" s="249"/>
      <c r="C91" s="260"/>
      <c r="D91" s="173" t="s">
        <v>10659</v>
      </c>
      <c r="E91" s="171">
        <v>2328163163</v>
      </c>
      <c r="F91" s="171">
        <v>0</v>
      </c>
      <c r="G91" s="171">
        <v>0</v>
      </c>
      <c r="H91" s="171">
        <f t="shared" si="35"/>
        <v>2328163163</v>
      </c>
      <c r="I91" s="174" t="e">
        <f>GETPIVOTDATA("Suma de CDP",Validaciones!$BW$1,"REC","14","DESCRIPCION","FORTALECIMIENTO DE LA ICDE ")</f>
        <v>#REF!</v>
      </c>
      <c r="J91" s="175">
        <f t="shared" si="36"/>
        <v>0</v>
      </c>
      <c r="K91" s="174" t="e">
        <f>GETPIVOTDATA("Suma de COMPROMISO",Validaciones!$BW$1,"REC","14","DESCRIPCION","FORTALECIMIENTO DE LA ICDE ")</f>
        <v>#REF!</v>
      </c>
      <c r="L91" s="175">
        <f t="shared" si="37"/>
        <v>0</v>
      </c>
      <c r="M91" s="174" t="e">
        <f>GETPIVOTDATA("Suma de OBLIGACION",Validaciones!$BW$1,"REC","14","DESCRIPCION","FORTALECIMIENTO DE LA ICDE ")</f>
        <v>#REF!</v>
      </c>
      <c r="N91" s="175">
        <f t="shared" si="38"/>
        <v>0</v>
      </c>
      <c r="O91" s="174" t="e">
        <f>GETPIVOTDATA("Suma de PAGOS",Validaciones!$BW$1,"REC","14","DESCRIPCION","FORTALECIMIENTO DE LA ICDE ")</f>
        <v>#REF!</v>
      </c>
      <c r="P91" s="175">
        <f t="shared" si="40"/>
        <v>0</v>
      </c>
      <c r="Q91" s="174" t="e">
        <f t="shared" si="39"/>
        <v>#REF!</v>
      </c>
      <c r="R91" s="176">
        <f t="shared" si="41"/>
        <v>0</v>
      </c>
    </row>
    <row r="92" spans="2:18" ht="15" customHeight="1" x14ac:dyDescent="0.25">
      <c r="B92" s="249"/>
      <c r="C92" s="261"/>
      <c r="D92" s="166" t="s">
        <v>10651</v>
      </c>
      <c r="E92" s="167">
        <f>SUM(E89:E91)</f>
        <v>2660375350</v>
      </c>
      <c r="F92" s="167">
        <f t="shared" ref="F92" si="110">SUM(F89:F91)</f>
        <v>71646848</v>
      </c>
      <c r="G92" s="167">
        <f t="shared" ref="G92" si="111">SUM(G89:G91)</f>
        <v>0</v>
      </c>
      <c r="H92" s="167">
        <f t="shared" ref="H92" si="112">SUM(H89:H91)</f>
        <v>2732022198</v>
      </c>
      <c r="I92" s="172" t="e">
        <f t="shared" ref="I92" si="113">SUM(I89:I91)</f>
        <v>#REF!</v>
      </c>
      <c r="J92" s="168">
        <f t="shared" ref="J92" si="114">IFERROR(I92/H92,0)</f>
        <v>0</v>
      </c>
      <c r="K92" s="172" t="e">
        <f t="shared" ref="K92" si="115">SUM(K89:K91)</f>
        <v>#REF!</v>
      </c>
      <c r="L92" s="168">
        <f t="shared" si="37"/>
        <v>0</v>
      </c>
      <c r="M92" s="172" t="e">
        <f t="shared" ref="M92" si="116">SUM(M89:M91)</f>
        <v>#REF!</v>
      </c>
      <c r="N92" s="168">
        <f t="shared" si="38"/>
        <v>0</v>
      </c>
      <c r="O92" s="167" t="e">
        <f t="shared" ref="O92" si="117">SUM(O89:O91)</f>
        <v>#REF!</v>
      </c>
      <c r="P92" s="168">
        <f t="shared" si="40"/>
        <v>0</v>
      </c>
      <c r="Q92" s="167" t="e">
        <f t="shared" ref="Q92" si="118">SUM(Q89:Q91)</f>
        <v>#REF!</v>
      </c>
      <c r="R92" s="169">
        <f t="shared" si="41"/>
        <v>0</v>
      </c>
    </row>
    <row r="93" spans="2:18" ht="15" customHeight="1" x14ac:dyDescent="0.25">
      <c r="B93" s="249"/>
      <c r="C93" s="259" t="s">
        <v>4295</v>
      </c>
      <c r="D93" s="177" t="s">
        <v>266</v>
      </c>
      <c r="E93" s="178">
        <v>1778948515</v>
      </c>
      <c r="F93" s="178">
        <v>0</v>
      </c>
      <c r="G93" s="178">
        <f>GETPIVOTDATA("Suma de APR. VIGENTE",Validaciones!$BF$3,"REC","11","PRODUCTO"," SERVICIOS TECNOLÓGICOS ")</f>
        <v>25481652</v>
      </c>
      <c r="H93" s="178">
        <f t="shared" si="35"/>
        <v>1753466863</v>
      </c>
      <c r="I93" s="179">
        <v>1751646745</v>
      </c>
      <c r="J93" s="180">
        <f t="shared" si="36"/>
        <v>0.99896198893836752</v>
      </c>
      <c r="K93" s="187">
        <v>1336889939</v>
      </c>
      <c r="L93" s="180">
        <f t="shared" si="37"/>
        <v>0.76242669149317133</v>
      </c>
      <c r="M93" s="179">
        <v>25785105.07</v>
      </c>
      <c r="N93" s="180">
        <f t="shared" si="38"/>
        <v>1.4705213776258285E-2</v>
      </c>
      <c r="O93" s="179">
        <v>25785105.07</v>
      </c>
      <c r="P93" s="180">
        <f t="shared" si="40"/>
        <v>1.4705213776258285E-2</v>
      </c>
      <c r="Q93" s="179">
        <f t="shared" si="39"/>
        <v>1820118</v>
      </c>
      <c r="R93" s="181">
        <f t="shared" si="41"/>
        <v>1.0380110616324775E-3</v>
      </c>
    </row>
    <row r="94" spans="2:18" ht="15" customHeight="1" x14ac:dyDescent="0.25">
      <c r="B94" s="249"/>
      <c r="C94" s="260"/>
      <c r="D94" s="177" t="s">
        <v>273</v>
      </c>
      <c r="E94" s="178">
        <v>809225741</v>
      </c>
      <c r="F94" s="178">
        <v>0</v>
      </c>
      <c r="G94" s="178">
        <f>GETPIVOTDATA("Suma de APR. VIGENTE",Validaciones!$BF$3,"REC","20","PRODUCTO"," SERVICIOS TECNOLÓGICOS ")</f>
        <v>0</v>
      </c>
      <c r="H94" s="178">
        <f t="shared" si="35"/>
        <v>809225741</v>
      </c>
      <c r="I94" s="178">
        <v>741486848</v>
      </c>
      <c r="J94" s="180">
        <f t="shared" si="36"/>
        <v>0.91629172236131329</v>
      </c>
      <c r="K94" s="178">
        <v>696699028</v>
      </c>
      <c r="L94" s="180">
        <f t="shared" si="37"/>
        <v>0.86094521306138239</v>
      </c>
      <c r="M94" s="187">
        <v>434949897</v>
      </c>
      <c r="N94" s="180">
        <f t="shared" si="38"/>
        <v>0.53748895390118345</v>
      </c>
      <c r="O94" s="179">
        <v>429973473</v>
      </c>
      <c r="P94" s="180">
        <f t="shared" si="40"/>
        <v>0.53133934230596847</v>
      </c>
      <c r="Q94" s="179">
        <f t="shared" si="39"/>
        <v>67738893</v>
      </c>
      <c r="R94" s="181">
        <f t="shared" si="41"/>
        <v>8.3708277638686726E-2</v>
      </c>
    </row>
    <row r="95" spans="2:18" ht="15" customHeight="1" x14ac:dyDescent="0.25">
      <c r="B95" s="249"/>
      <c r="C95" s="260"/>
      <c r="D95" s="177" t="s">
        <v>10659</v>
      </c>
      <c r="E95" s="178"/>
      <c r="F95" s="178">
        <v>0</v>
      </c>
      <c r="G95" s="178">
        <v>0</v>
      </c>
      <c r="H95" s="178">
        <f t="shared" si="35"/>
        <v>0</v>
      </c>
      <c r="I95" s="179"/>
      <c r="J95" s="180">
        <f t="shared" si="36"/>
        <v>0</v>
      </c>
      <c r="K95" s="179"/>
      <c r="L95" s="180">
        <f t="shared" si="37"/>
        <v>0</v>
      </c>
      <c r="M95" s="179"/>
      <c r="N95" s="180">
        <f t="shared" si="38"/>
        <v>0</v>
      </c>
      <c r="O95" s="177"/>
      <c r="P95" s="180">
        <f t="shared" si="40"/>
        <v>0</v>
      </c>
      <c r="Q95" s="179">
        <f t="shared" si="39"/>
        <v>0</v>
      </c>
      <c r="R95" s="181">
        <f t="shared" si="41"/>
        <v>0</v>
      </c>
    </row>
    <row r="96" spans="2:18" ht="15" customHeight="1" x14ac:dyDescent="0.25">
      <c r="B96" s="249"/>
      <c r="C96" s="261"/>
      <c r="D96" s="166" t="s">
        <v>10651</v>
      </c>
      <c r="E96" s="167">
        <f>SUM(E93:E95)</f>
        <v>2588174256</v>
      </c>
      <c r="F96" s="167">
        <f t="shared" ref="F96" si="119">SUM(F93:F95)</f>
        <v>0</v>
      </c>
      <c r="G96" s="167">
        <f t="shared" ref="G96" si="120">SUM(G93:G95)</f>
        <v>25481652</v>
      </c>
      <c r="H96" s="167">
        <f t="shared" ref="H96" si="121">SUM(H93:H95)</f>
        <v>2562692604</v>
      </c>
      <c r="I96" s="172">
        <f t="shared" ref="I96" si="122">SUM(I93:I95)</f>
        <v>2493133593</v>
      </c>
      <c r="J96" s="168">
        <f t="shared" ref="J96" si="123">IFERROR(I96/H96,0)</f>
        <v>0.97285706022976448</v>
      </c>
      <c r="K96" s="172">
        <f t="shared" ref="K96" si="124">SUM(K93:K95)</f>
        <v>2033588967</v>
      </c>
      <c r="L96" s="168">
        <f t="shared" si="37"/>
        <v>0.79353605025661522</v>
      </c>
      <c r="M96" s="172">
        <f t="shared" ref="M96" si="125">SUM(M93:M95)</f>
        <v>460735002.06999999</v>
      </c>
      <c r="N96" s="168">
        <f t="shared" si="38"/>
        <v>0.17978551206292082</v>
      </c>
      <c r="O96" s="167">
        <f t="shared" ref="O96" si="126">SUM(O93:O95)</f>
        <v>455758578.06999999</v>
      </c>
      <c r="P96" s="168">
        <f t="shared" si="40"/>
        <v>0.17784363889708249</v>
      </c>
      <c r="Q96" s="167">
        <f t="shared" ref="Q96" si="127">SUM(Q93:Q95)</f>
        <v>69559011</v>
      </c>
      <c r="R96" s="169">
        <f t="shared" si="41"/>
        <v>2.7142939770235509E-2</v>
      </c>
    </row>
    <row r="97" spans="2:18" ht="15" customHeight="1" x14ac:dyDescent="0.25">
      <c r="B97" s="249"/>
      <c r="C97" s="259" t="s">
        <v>10665</v>
      </c>
      <c r="D97" s="177" t="s">
        <v>266</v>
      </c>
      <c r="E97" s="178">
        <v>162242850</v>
      </c>
      <c r="F97" s="178">
        <v>0</v>
      </c>
      <c r="G97" s="178">
        <v>0</v>
      </c>
      <c r="H97" s="178">
        <f t="shared" si="35"/>
        <v>162242850</v>
      </c>
      <c r="I97" s="179">
        <v>162242850</v>
      </c>
      <c r="J97" s="180">
        <f t="shared" si="36"/>
        <v>1</v>
      </c>
      <c r="K97" s="179">
        <v>134180709</v>
      </c>
      <c r="L97" s="180">
        <f t="shared" si="37"/>
        <v>0.82703619296628483</v>
      </c>
      <c r="M97" s="179"/>
      <c r="N97" s="180">
        <f t="shared" si="38"/>
        <v>0</v>
      </c>
      <c r="O97" s="177"/>
      <c r="P97" s="180">
        <f t="shared" si="40"/>
        <v>0</v>
      </c>
      <c r="Q97" s="179">
        <f t="shared" si="39"/>
        <v>0</v>
      </c>
      <c r="R97" s="181">
        <f t="shared" si="41"/>
        <v>0</v>
      </c>
    </row>
    <row r="98" spans="2:18" ht="15" customHeight="1" x14ac:dyDescent="0.25">
      <c r="B98" s="249"/>
      <c r="C98" s="260"/>
      <c r="D98" s="177" t="s">
        <v>273</v>
      </c>
      <c r="E98" s="178">
        <v>834272550</v>
      </c>
      <c r="F98" s="178">
        <v>1400000000</v>
      </c>
      <c r="G98" s="178">
        <v>0</v>
      </c>
      <c r="H98" s="178">
        <f t="shared" si="35"/>
        <v>2234272550</v>
      </c>
      <c r="I98" s="179">
        <f>834272550+1077307523</f>
        <v>1911580073</v>
      </c>
      <c r="J98" s="180">
        <f t="shared" si="36"/>
        <v>0.85557156981586691</v>
      </c>
      <c r="K98" s="179">
        <f>834272550+1004260323</f>
        <v>1838532873</v>
      </c>
      <c r="L98" s="180">
        <f t="shared" si="37"/>
        <v>0.82287761759414713</v>
      </c>
      <c r="M98" s="179">
        <f>507500153+477257955.06</f>
        <v>984758108.05999994</v>
      </c>
      <c r="N98" s="180">
        <f t="shared" si="38"/>
        <v>0.44075111071834094</v>
      </c>
      <c r="O98" s="179">
        <f>485716145+477257955.06</f>
        <v>962974100.05999994</v>
      </c>
      <c r="P98" s="118">
        <f t="shared" si="40"/>
        <v>0.43100117756895862</v>
      </c>
      <c r="Q98" s="170">
        <f t="shared" si="39"/>
        <v>322692477</v>
      </c>
      <c r="R98" s="163">
        <f t="shared" si="41"/>
        <v>0.14442843018413309</v>
      </c>
    </row>
    <row r="99" spans="2:18" ht="15" customHeight="1" x14ac:dyDescent="0.25">
      <c r="B99" s="249"/>
      <c r="C99" s="260"/>
      <c r="D99" s="173" t="s">
        <v>10659</v>
      </c>
      <c r="E99" s="171">
        <v>30341844820</v>
      </c>
      <c r="F99" s="171">
        <v>0</v>
      </c>
      <c r="G99" s="171">
        <v>0</v>
      </c>
      <c r="H99" s="171">
        <f t="shared" si="35"/>
        <v>30341844820</v>
      </c>
      <c r="I99" s="174" t="e">
        <f>GETPIVOTDATA("Suma de CDP",Validaciones!$BW$1,"REC","14","DESCRIPCION","FORTALECIMIENTO TECNOLÓGICO DEL IGAC Y CREACIÓN DEL RMD ")</f>
        <v>#REF!</v>
      </c>
      <c r="J99" s="175">
        <f t="shared" si="36"/>
        <v>0</v>
      </c>
      <c r="K99" s="174" t="e">
        <f>GETPIVOTDATA("Suma de COMPROMISO",Validaciones!$BW$1,"REC","14","DESCRIPCION","FORTALECIMIENTO TECNOLÓGICO DEL IGAC Y CREACIÓN DEL RMD ")</f>
        <v>#REF!</v>
      </c>
      <c r="L99" s="175">
        <f t="shared" si="37"/>
        <v>0</v>
      </c>
      <c r="M99" s="174" t="e">
        <f>GETPIVOTDATA("Suma de OBLIGACION",Validaciones!$BW$1,"REC","14","DESCRIPCION","FORTALECIMIENTO TECNOLÓGICO DEL IGAC Y CREACIÓN DEL RMD ")</f>
        <v>#REF!</v>
      </c>
      <c r="N99" s="175">
        <f t="shared" si="38"/>
        <v>0</v>
      </c>
      <c r="O99" s="174" t="e">
        <f>GETPIVOTDATA("Suma de PAGOS",Validaciones!$BW$1,"REC","14","DESCRIPCION","FORTALECIMIENTO TECNOLÓGICO DEL IGAC Y CREACIÓN DEL RMD ")</f>
        <v>#REF!</v>
      </c>
      <c r="P99" s="175">
        <f t="shared" si="40"/>
        <v>0</v>
      </c>
      <c r="Q99" s="174" t="e">
        <f t="shared" si="39"/>
        <v>#REF!</v>
      </c>
      <c r="R99" s="176">
        <f t="shared" si="41"/>
        <v>0</v>
      </c>
    </row>
    <row r="100" spans="2:18" ht="15" customHeight="1" x14ac:dyDescent="0.25">
      <c r="B100" s="249"/>
      <c r="C100" s="261"/>
      <c r="D100" s="166" t="s">
        <v>10651</v>
      </c>
      <c r="E100" s="167">
        <f>SUM(E97:E99)</f>
        <v>31338360220</v>
      </c>
      <c r="F100" s="167">
        <f t="shared" ref="F100" si="128">SUM(F97:F99)</f>
        <v>1400000000</v>
      </c>
      <c r="G100" s="167">
        <f t="shared" ref="G100" si="129">SUM(G97:G99)</f>
        <v>0</v>
      </c>
      <c r="H100" s="167">
        <f t="shared" ref="H100" si="130">SUM(H97:H99)</f>
        <v>32738360220</v>
      </c>
      <c r="I100" s="172" t="e">
        <f t="shared" ref="I100" si="131">SUM(I97:I99)</f>
        <v>#REF!</v>
      </c>
      <c r="J100" s="168">
        <f t="shared" ref="J100" si="132">IFERROR(I100/H100,0)</f>
        <v>0</v>
      </c>
      <c r="K100" s="172" t="e">
        <f t="shared" ref="K100" si="133">SUM(K97:K99)</f>
        <v>#REF!</v>
      </c>
      <c r="L100" s="168">
        <f t="shared" si="37"/>
        <v>0</v>
      </c>
      <c r="M100" s="172" t="e">
        <f t="shared" ref="M100" si="134">SUM(M97:M99)</f>
        <v>#REF!</v>
      </c>
      <c r="N100" s="168">
        <f t="shared" si="38"/>
        <v>0</v>
      </c>
      <c r="O100" s="167" t="e">
        <f t="shared" ref="O100" si="135">SUM(O97:O99)</f>
        <v>#REF!</v>
      </c>
      <c r="P100" s="168">
        <f t="shared" si="40"/>
        <v>0</v>
      </c>
      <c r="Q100" s="167" t="e">
        <f t="shared" ref="Q100" si="136">SUM(Q97:Q99)</f>
        <v>#REF!</v>
      </c>
      <c r="R100" s="169">
        <f t="shared" si="41"/>
        <v>0</v>
      </c>
    </row>
    <row r="101" spans="2:18" ht="15" customHeight="1" x14ac:dyDescent="0.25">
      <c r="B101" s="249" t="s">
        <v>10666</v>
      </c>
      <c r="C101" s="259" t="s">
        <v>3243</v>
      </c>
      <c r="D101" s="177" t="s">
        <v>266</v>
      </c>
      <c r="E101" s="178">
        <v>17000000</v>
      </c>
      <c r="F101" s="178">
        <v>0</v>
      </c>
      <c r="G101" s="178">
        <v>0</v>
      </c>
      <c r="H101" s="178">
        <f t="shared" si="35"/>
        <v>17000000</v>
      </c>
      <c r="I101" s="179"/>
      <c r="J101" s="180">
        <f t="shared" si="36"/>
        <v>0</v>
      </c>
      <c r="K101" s="179"/>
      <c r="L101" s="180">
        <f t="shared" si="37"/>
        <v>0</v>
      </c>
      <c r="M101" s="179"/>
      <c r="N101" s="180">
        <f t="shared" si="38"/>
        <v>0</v>
      </c>
      <c r="O101" s="177"/>
      <c r="P101" s="180">
        <f t="shared" si="40"/>
        <v>0</v>
      </c>
      <c r="Q101" s="179">
        <f t="shared" si="39"/>
        <v>17000000</v>
      </c>
      <c r="R101" s="181">
        <f t="shared" si="41"/>
        <v>1</v>
      </c>
    </row>
    <row r="102" spans="2:18" ht="15" customHeight="1" x14ac:dyDescent="0.25">
      <c r="B102" s="249"/>
      <c r="C102" s="260"/>
      <c r="D102" s="177" t="s">
        <v>273</v>
      </c>
      <c r="E102" s="178">
        <v>395367782</v>
      </c>
      <c r="F102" s="178">
        <v>0</v>
      </c>
      <c r="G102" s="178">
        <v>0</v>
      </c>
      <c r="H102" s="178">
        <f t="shared" si="35"/>
        <v>395367782</v>
      </c>
      <c r="I102" s="179">
        <v>378656924</v>
      </c>
      <c r="J102" s="180">
        <f t="shared" si="36"/>
        <v>0.95773338455787482</v>
      </c>
      <c r="K102" s="179">
        <v>378656924</v>
      </c>
      <c r="L102" s="180">
        <f t="shared" si="37"/>
        <v>0.95773338455787482</v>
      </c>
      <c r="M102" s="179">
        <v>237428634</v>
      </c>
      <c r="N102" s="180">
        <f t="shared" si="38"/>
        <v>0.60052600340611462</v>
      </c>
      <c r="O102" s="179">
        <v>237428634</v>
      </c>
      <c r="P102" s="180">
        <f t="shared" si="40"/>
        <v>0.60052600340611462</v>
      </c>
      <c r="Q102" s="179">
        <f t="shared" si="39"/>
        <v>16710858</v>
      </c>
      <c r="R102" s="181">
        <f t="shared" si="41"/>
        <v>4.2266615442125226E-2</v>
      </c>
    </row>
    <row r="103" spans="2:18" ht="15" customHeight="1" x14ac:dyDescent="0.25">
      <c r="B103" s="249"/>
      <c r="C103" s="260"/>
      <c r="D103" s="177" t="s">
        <v>10659</v>
      </c>
      <c r="E103" s="178"/>
      <c r="F103" s="178">
        <v>0</v>
      </c>
      <c r="G103" s="178">
        <v>0</v>
      </c>
      <c r="H103" s="178">
        <f t="shared" si="35"/>
        <v>0</v>
      </c>
      <c r="I103" s="179"/>
      <c r="J103" s="180">
        <f t="shared" si="36"/>
        <v>0</v>
      </c>
      <c r="K103" s="179"/>
      <c r="L103" s="180">
        <f t="shared" si="37"/>
        <v>0</v>
      </c>
      <c r="M103" s="179"/>
      <c r="N103" s="180">
        <f t="shared" si="38"/>
        <v>0</v>
      </c>
      <c r="O103" s="177"/>
      <c r="P103" s="180">
        <f t="shared" si="40"/>
        <v>0</v>
      </c>
      <c r="Q103" s="179">
        <f t="shared" si="39"/>
        <v>0</v>
      </c>
      <c r="R103" s="181">
        <f t="shared" si="41"/>
        <v>0</v>
      </c>
    </row>
    <row r="104" spans="2:18" ht="15" customHeight="1" x14ac:dyDescent="0.25">
      <c r="B104" s="249"/>
      <c r="C104" s="261"/>
      <c r="D104" s="166" t="s">
        <v>10651</v>
      </c>
      <c r="E104" s="167">
        <f>SUM(E101:E103)</f>
        <v>412367782</v>
      </c>
      <c r="F104" s="167">
        <f t="shared" ref="F104" si="137">SUM(F101:F103)</f>
        <v>0</v>
      </c>
      <c r="G104" s="167">
        <f t="shared" ref="G104" si="138">SUM(G101:G103)</f>
        <v>0</v>
      </c>
      <c r="H104" s="167">
        <f t="shared" ref="H104" si="139">SUM(H101:H103)</f>
        <v>412367782</v>
      </c>
      <c r="I104" s="172">
        <f t="shared" ref="I104" si="140">SUM(I101:I103)</f>
        <v>378656924</v>
      </c>
      <c r="J104" s="168">
        <f t="shared" ref="J104" si="141">IFERROR(I104/H104,0)</f>
        <v>0.91825050483696613</v>
      </c>
      <c r="K104" s="172">
        <f t="shared" ref="K104" si="142">SUM(K101:K103)</f>
        <v>378656924</v>
      </c>
      <c r="L104" s="168">
        <f t="shared" si="37"/>
        <v>0.91825050483696613</v>
      </c>
      <c r="M104" s="172">
        <f t="shared" ref="M104" si="143">SUM(M101:M103)</f>
        <v>237428634</v>
      </c>
      <c r="N104" s="168">
        <f t="shared" si="38"/>
        <v>0.57576911767563843</v>
      </c>
      <c r="O104" s="167">
        <f t="shared" ref="O104" si="144">SUM(O101:O103)</f>
        <v>237428634</v>
      </c>
      <c r="P104" s="168">
        <f t="shared" si="40"/>
        <v>0.57576911767563843</v>
      </c>
      <c r="Q104" s="167">
        <f t="shared" ref="Q104" si="145">SUM(Q101:Q103)</f>
        <v>33710858</v>
      </c>
      <c r="R104" s="169">
        <f t="shared" si="41"/>
        <v>8.1749495163033856E-2</v>
      </c>
    </row>
    <row r="105" spans="2:18" ht="15" customHeight="1" x14ac:dyDescent="0.25">
      <c r="B105" s="249"/>
      <c r="C105" s="259" t="s">
        <v>10667</v>
      </c>
      <c r="D105" s="177" t="s">
        <v>266</v>
      </c>
      <c r="E105" s="178">
        <v>587066975</v>
      </c>
      <c r="F105" s="178">
        <v>0</v>
      </c>
      <c r="G105" s="178">
        <v>0</v>
      </c>
      <c r="H105" s="178">
        <f t="shared" si="35"/>
        <v>587066975</v>
      </c>
      <c r="I105" s="179">
        <v>525359945</v>
      </c>
      <c r="J105" s="180">
        <f t="shared" si="36"/>
        <v>0.89488928414002511</v>
      </c>
      <c r="K105" s="179">
        <v>525359945</v>
      </c>
      <c r="L105" s="180">
        <f t="shared" si="37"/>
        <v>0.89488928414002511</v>
      </c>
      <c r="M105" s="179">
        <v>268021047</v>
      </c>
      <c r="N105" s="180">
        <f t="shared" si="38"/>
        <v>0.45654253843865089</v>
      </c>
      <c r="O105" s="179">
        <v>268021047</v>
      </c>
      <c r="P105" s="180">
        <f t="shared" si="40"/>
        <v>0.45654253843865089</v>
      </c>
      <c r="Q105" s="179">
        <f t="shared" si="39"/>
        <v>61707030</v>
      </c>
      <c r="R105" s="181">
        <f t="shared" si="41"/>
        <v>0.10511071585997492</v>
      </c>
    </row>
    <row r="106" spans="2:18" ht="15" customHeight="1" x14ac:dyDescent="0.25">
      <c r="B106" s="249"/>
      <c r="C106" s="260"/>
      <c r="D106" s="177" t="s">
        <v>273</v>
      </c>
      <c r="E106" s="178">
        <v>693264604</v>
      </c>
      <c r="F106" s="178">
        <v>0</v>
      </c>
      <c r="G106" s="178">
        <v>71646848</v>
      </c>
      <c r="H106" s="178">
        <f t="shared" si="35"/>
        <v>621617756</v>
      </c>
      <c r="I106" s="179">
        <v>615461349</v>
      </c>
      <c r="J106" s="180">
        <f t="shared" si="36"/>
        <v>0.99009615323793931</v>
      </c>
      <c r="K106" s="179">
        <v>615461349</v>
      </c>
      <c r="L106" s="180">
        <f t="shared" si="37"/>
        <v>0.99009615323793931</v>
      </c>
      <c r="M106" s="179">
        <v>365725521</v>
      </c>
      <c r="N106" s="180">
        <f t="shared" si="38"/>
        <v>0.58834471420729495</v>
      </c>
      <c r="O106" s="179">
        <v>365725521</v>
      </c>
      <c r="P106" s="180">
        <f t="shared" si="40"/>
        <v>0.58834471420729495</v>
      </c>
      <c r="Q106" s="179">
        <f t="shared" si="39"/>
        <v>6156407</v>
      </c>
      <c r="R106" s="181">
        <f t="shared" si="41"/>
        <v>9.9038467620606377E-3</v>
      </c>
    </row>
    <row r="107" spans="2:18" ht="15" customHeight="1" x14ac:dyDescent="0.25">
      <c r="B107" s="249"/>
      <c r="C107" s="260"/>
      <c r="D107" s="173" t="s">
        <v>10659</v>
      </c>
      <c r="E107" s="171">
        <v>1140000000</v>
      </c>
      <c r="F107" s="171">
        <v>0</v>
      </c>
      <c r="G107" s="171">
        <v>0</v>
      </c>
      <c r="H107" s="171">
        <f t="shared" si="35"/>
        <v>1140000000</v>
      </c>
      <c r="I107" s="174">
        <v>549167292</v>
      </c>
      <c r="J107" s="175">
        <f t="shared" si="36"/>
        <v>0.48172569473684212</v>
      </c>
      <c r="K107" s="174">
        <v>140040684</v>
      </c>
      <c r="L107" s="175">
        <f t="shared" si="37"/>
        <v>0.12284270526315789</v>
      </c>
      <c r="M107" s="174">
        <f>69353482+13337208</f>
        <v>82690690</v>
      </c>
      <c r="N107" s="175">
        <f t="shared" si="38"/>
        <v>7.2535692982456143E-2</v>
      </c>
      <c r="O107" s="174">
        <f>69353482+13337208</f>
        <v>82690690</v>
      </c>
      <c r="P107" s="175">
        <f t="shared" si="40"/>
        <v>7.2535692982456143E-2</v>
      </c>
      <c r="Q107" s="174">
        <f t="shared" si="39"/>
        <v>590832708</v>
      </c>
      <c r="R107" s="176">
        <f t="shared" si="41"/>
        <v>0.51827430526315788</v>
      </c>
    </row>
    <row r="108" spans="2:18" ht="15" customHeight="1" x14ac:dyDescent="0.25">
      <c r="B108" s="249"/>
      <c r="C108" s="261"/>
      <c r="D108" s="166" t="s">
        <v>10651</v>
      </c>
      <c r="E108" s="167">
        <f>SUM(E105:E107)</f>
        <v>2420331579</v>
      </c>
      <c r="F108" s="167">
        <f t="shared" ref="F108" si="146">SUM(F105:F107)</f>
        <v>0</v>
      </c>
      <c r="G108" s="167">
        <f t="shared" ref="G108" si="147">SUM(G105:G107)</f>
        <v>71646848</v>
      </c>
      <c r="H108" s="167">
        <f t="shared" ref="H108" si="148">SUM(H105:H107)</f>
        <v>2348684731</v>
      </c>
      <c r="I108" s="172">
        <f t="shared" ref="I108" si="149">SUM(I105:I107)</f>
        <v>1689988586</v>
      </c>
      <c r="J108" s="168">
        <f t="shared" ref="J108:J111" si="150">IFERROR(I108/H108,0)</f>
        <v>0.7195468015328107</v>
      </c>
      <c r="K108" s="172">
        <f t="shared" ref="K108" si="151">SUM(K105:K107)</f>
        <v>1280861978</v>
      </c>
      <c r="L108" s="168">
        <f t="shared" si="37"/>
        <v>0.54535287818499467</v>
      </c>
      <c r="M108" s="172">
        <f t="shared" ref="M108" si="152">SUM(M105:M107)</f>
        <v>716437258</v>
      </c>
      <c r="N108" s="168">
        <f t="shared" si="38"/>
        <v>0.30503764449261028</v>
      </c>
      <c r="O108" s="167">
        <f t="shared" ref="O108" si="153">SUM(O105:O107)</f>
        <v>716437258</v>
      </c>
      <c r="P108" s="168">
        <f t="shared" si="40"/>
        <v>0.30503764449261028</v>
      </c>
      <c r="Q108" s="167">
        <f t="shared" ref="Q108" si="154">SUM(Q105:Q107)</f>
        <v>658696145</v>
      </c>
      <c r="R108" s="169">
        <f t="shared" si="41"/>
        <v>0.28045319846718925</v>
      </c>
    </row>
    <row r="109" spans="2:18" ht="15" customHeight="1" x14ac:dyDescent="0.25">
      <c r="B109" s="249"/>
      <c r="C109" s="259" t="s">
        <v>5223</v>
      </c>
      <c r="D109" s="177" t="s">
        <v>266</v>
      </c>
      <c r="E109" s="178">
        <v>0</v>
      </c>
      <c r="F109" s="178">
        <v>0</v>
      </c>
      <c r="G109" s="178">
        <v>0</v>
      </c>
      <c r="H109" s="178">
        <f t="shared" ref="H109:H111" si="155">(E109+F109)-G109</f>
        <v>0</v>
      </c>
      <c r="I109" s="179"/>
      <c r="J109" s="180">
        <f t="shared" si="150"/>
        <v>0</v>
      </c>
      <c r="K109" s="179"/>
      <c r="L109" s="180">
        <f t="shared" ref="L109:L112" si="156">IFERROR(K109/H109,0)</f>
        <v>0</v>
      </c>
      <c r="M109" s="179"/>
      <c r="N109" s="180">
        <f t="shared" ref="N109:N112" si="157">IFERROR(M109/H109,0)</f>
        <v>0</v>
      </c>
      <c r="O109" s="177"/>
      <c r="P109" s="180">
        <f t="shared" ref="P109:P112" si="158">IFERROR(O109/H109,0)</f>
        <v>0</v>
      </c>
      <c r="Q109" s="179">
        <f t="shared" ref="Q109:Q111" si="159">H109-I109</f>
        <v>0</v>
      </c>
      <c r="R109" s="181">
        <f t="shared" ref="R109:R112" si="160">IFERROR(Q109/H109,0)</f>
        <v>0</v>
      </c>
    </row>
    <row r="110" spans="2:18" ht="15" customHeight="1" x14ac:dyDescent="0.25">
      <c r="B110" s="249"/>
      <c r="C110" s="260"/>
      <c r="D110" s="177" t="s">
        <v>273</v>
      </c>
      <c r="E110" s="178">
        <v>73517994</v>
      </c>
      <c r="F110" s="178">
        <v>0</v>
      </c>
      <c r="G110" s="178">
        <v>0</v>
      </c>
      <c r="H110" s="178">
        <f t="shared" si="155"/>
        <v>73517994</v>
      </c>
      <c r="I110" s="179">
        <v>73517994</v>
      </c>
      <c r="J110" s="180">
        <f t="shared" si="150"/>
        <v>1</v>
      </c>
      <c r="K110" s="179">
        <v>73517994</v>
      </c>
      <c r="L110" s="180">
        <f t="shared" si="156"/>
        <v>1</v>
      </c>
      <c r="M110" s="179">
        <v>42996887</v>
      </c>
      <c r="N110" s="180">
        <f t="shared" si="157"/>
        <v>0.58484847940763995</v>
      </c>
      <c r="O110" s="179">
        <v>42996887</v>
      </c>
      <c r="P110" s="180">
        <f t="shared" si="158"/>
        <v>0.58484847940763995</v>
      </c>
      <c r="Q110" s="179">
        <f t="shared" si="159"/>
        <v>0</v>
      </c>
      <c r="R110" s="181">
        <f t="shared" si="160"/>
        <v>0</v>
      </c>
    </row>
    <row r="111" spans="2:18" ht="15" customHeight="1" x14ac:dyDescent="0.25">
      <c r="B111" s="249"/>
      <c r="C111" s="260"/>
      <c r="D111" s="177" t="s">
        <v>10659</v>
      </c>
      <c r="E111" s="178">
        <v>0</v>
      </c>
      <c r="F111" s="178">
        <v>0</v>
      </c>
      <c r="G111" s="178">
        <v>0</v>
      </c>
      <c r="H111" s="178">
        <f t="shared" si="155"/>
        <v>0</v>
      </c>
      <c r="I111" s="179"/>
      <c r="J111" s="180">
        <f t="shared" si="150"/>
        <v>0</v>
      </c>
      <c r="K111" s="179"/>
      <c r="L111" s="180">
        <f t="shared" si="156"/>
        <v>0</v>
      </c>
      <c r="M111" s="179"/>
      <c r="N111" s="180">
        <f t="shared" si="157"/>
        <v>0</v>
      </c>
      <c r="O111" s="177"/>
      <c r="P111" s="180">
        <f t="shared" si="158"/>
        <v>0</v>
      </c>
      <c r="Q111" s="179">
        <f t="shared" si="159"/>
        <v>0</v>
      </c>
      <c r="R111" s="181">
        <f t="shared" si="160"/>
        <v>0</v>
      </c>
    </row>
    <row r="112" spans="2:18" ht="15" customHeight="1" x14ac:dyDescent="0.25">
      <c r="B112" s="249"/>
      <c r="C112" s="261"/>
      <c r="D112" s="166" t="s">
        <v>10651</v>
      </c>
      <c r="E112" s="167">
        <f>SUM(E109:E111)</f>
        <v>73517994</v>
      </c>
      <c r="F112" s="167">
        <f t="shared" ref="F112" si="161">SUM(F109:F111)</f>
        <v>0</v>
      </c>
      <c r="G112" s="167">
        <f t="shared" ref="G112" si="162">SUM(G109:G111)</f>
        <v>0</v>
      </c>
      <c r="H112" s="167">
        <f t="shared" ref="H112" si="163">SUM(H109:H111)</f>
        <v>73517994</v>
      </c>
      <c r="I112" s="172">
        <f t="shared" ref="I112" si="164">SUM(I109:I111)</f>
        <v>73517994</v>
      </c>
      <c r="J112" s="168">
        <f t="shared" ref="J112" si="165">IFERROR(I112/H112,0)</f>
        <v>1</v>
      </c>
      <c r="K112" s="172">
        <f t="shared" ref="K112" si="166">SUM(K109:K111)</f>
        <v>73517994</v>
      </c>
      <c r="L112" s="168">
        <f t="shared" si="156"/>
        <v>1</v>
      </c>
      <c r="M112" s="172">
        <f t="shared" ref="M112" si="167">SUM(M109:M111)</f>
        <v>42996887</v>
      </c>
      <c r="N112" s="168">
        <f t="shared" si="157"/>
        <v>0.58484847940763995</v>
      </c>
      <c r="O112" s="167">
        <f t="shared" ref="O112" si="168">SUM(O109:O111)</f>
        <v>42996887</v>
      </c>
      <c r="P112" s="168">
        <f t="shared" si="158"/>
        <v>0.58484847940763995</v>
      </c>
      <c r="Q112" s="167">
        <f t="shared" ref="Q112" si="169">SUM(Q109:Q111)</f>
        <v>0</v>
      </c>
      <c r="R112" s="169">
        <f t="shared" si="160"/>
        <v>0</v>
      </c>
    </row>
    <row r="113" spans="2:18" ht="15" customHeight="1" x14ac:dyDescent="0.25">
      <c r="B113" s="249"/>
      <c r="C113" s="259" t="s">
        <v>180</v>
      </c>
      <c r="D113" s="177" t="s">
        <v>266</v>
      </c>
      <c r="E113" s="178"/>
      <c r="F113" s="178">
        <v>0</v>
      </c>
      <c r="G113" s="178">
        <v>0</v>
      </c>
      <c r="H113" s="178">
        <f t="shared" si="35"/>
        <v>0</v>
      </c>
      <c r="I113" s="179"/>
      <c r="J113" s="180">
        <f t="shared" si="36"/>
        <v>0</v>
      </c>
      <c r="K113" s="179"/>
      <c r="L113" s="180">
        <f t="shared" si="37"/>
        <v>0</v>
      </c>
      <c r="M113" s="179"/>
      <c r="N113" s="180">
        <f t="shared" si="38"/>
        <v>0</v>
      </c>
      <c r="O113" s="177"/>
      <c r="P113" s="180">
        <f t="shared" si="40"/>
        <v>0</v>
      </c>
      <c r="Q113" s="179">
        <f t="shared" si="39"/>
        <v>0</v>
      </c>
      <c r="R113" s="181">
        <f t="shared" si="41"/>
        <v>0</v>
      </c>
    </row>
    <row r="114" spans="2:18" ht="15" customHeight="1" x14ac:dyDescent="0.25">
      <c r="B114" s="249"/>
      <c r="C114" s="260"/>
      <c r="D114" s="177" t="s">
        <v>273</v>
      </c>
      <c r="E114" s="178">
        <v>253342879</v>
      </c>
      <c r="F114" s="178">
        <v>0</v>
      </c>
      <c r="G114" s="178">
        <v>0</v>
      </c>
      <c r="H114" s="178">
        <f t="shared" si="35"/>
        <v>253342879</v>
      </c>
      <c r="I114" s="179">
        <v>252575188</v>
      </c>
      <c r="J114" s="180">
        <f t="shared" si="36"/>
        <v>0.99696975496990381</v>
      </c>
      <c r="K114" s="179">
        <v>252575188</v>
      </c>
      <c r="L114" s="180">
        <f t="shared" si="37"/>
        <v>0.99696975496990381</v>
      </c>
      <c r="M114" s="179">
        <v>150470324</v>
      </c>
      <c r="N114" s="180">
        <f t="shared" si="38"/>
        <v>0.59393942546930634</v>
      </c>
      <c r="O114" s="179">
        <v>150470324</v>
      </c>
      <c r="P114" s="180">
        <f t="shared" si="40"/>
        <v>0.59393942546930634</v>
      </c>
      <c r="Q114" s="179">
        <f t="shared" si="39"/>
        <v>767691</v>
      </c>
      <c r="R114" s="181">
        <f t="shared" si="41"/>
        <v>3.0302450300961487E-3</v>
      </c>
    </row>
    <row r="115" spans="2:18" ht="15" customHeight="1" x14ac:dyDescent="0.25">
      <c r="B115" s="249"/>
      <c r="C115" s="260"/>
      <c r="D115" s="177" t="s">
        <v>10659</v>
      </c>
      <c r="E115" s="178"/>
      <c r="F115" s="178">
        <v>0</v>
      </c>
      <c r="G115" s="178">
        <v>0</v>
      </c>
      <c r="H115" s="178">
        <f t="shared" si="35"/>
        <v>0</v>
      </c>
      <c r="I115" s="179"/>
      <c r="J115" s="180">
        <f t="shared" si="36"/>
        <v>0</v>
      </c>
      <c r="K115" s="179"/>
      <c r="L115" s="180">
        <f t="shared" si="37"/>
        <v>0</v>
      </c>
      <c r="M115" s="179"/>
      <c r="N115" s="180">
        <f t="shared" si="38"/>
        <v>0</v>
      </c>
      <c r="O115" s="177"/>
      <c r="P115" s="180">
        <f t="shared" si="40"/>
        <v>0</v>
      </c>
      <c r="Q115" s="179">
        <f t="shared" si="39"/>
        <v>0</v>
      </c>
      <c r="R115" s="181">
        <f t="shared" si="41"/>
        <v>0</v>
      </c>
    </row>
    <row r="116" spans="2:18" ht="15" customHeight="1" x14ac:dyDescent="0.25">
      <c r="B116" s="249"/>
      <c r="C116" s="261"/>
      <c r="D116" s="166" t="s">
        <v>10651</v>
      </c>
      <c r="E116" s="167">
        <f>SUM(E113:E115)</f>
        <v>253342879</v>
      </c>
      <c r="F116" s="167">
        <f t="shared" ref="F116" si="170">SUM(F113:F115)</f>
        <v>0</v>
      </c>
      <c r="G116" s="167">
        <f t="shared" ref="G116" si="171">SUM(G113:G115)</f>
        <v>0</v>
      </c>
      <c r="H116" s="167">
        <f t="shared" ref="H116" si="172">SUM(H113:H115)</f>
        <v>253342879</v>
      </c>
      <c r="I116" s="172">
        <f t="shared" ref="I116" si="173">SUM(I113:I115)</f>
        <v>252575188</v>
      </c>
      <c r="J116" s="168">
        <f t="shared" ref="J116" si="174">IFERROR(I116/H116,0)</f>
        <v>0.99696975496990381</v>
      </c>
      <c r="K116" s="172">
        <f t="shared" ref="K116" si="175">SUM(K113:K115)</f>
        <v>252575188</v>
      </c>
      <c r="L116" s="168">
        <f t="shared" si="37"/>
        <v>0.99696975496990381</v>
      </c>
      <c r="M116" s="172">
        <f t="shared" ref="M116" si="176">SUM(M113:M115)</f>
        <v>150470324</v>
      </c>
      <c r="N116" s="168">
        <f t="shared" si="38"/>
        <v>0.59393942546930634</v>
      </c>
      <c r="O116" s="167">
        <f t="shared" ref="O116" si="177">SUM(O113:O115)</f>
        <v>150470324</v>
      </c>
      <c r="P116" s="168">
        <f t="shared" si="40"/>
        <v>0.59393942546930634</v>
      </c>
      <c r="Q116" s="167">
        <f t="shared" ref="Q116" si="178">SUM(Q113:Q115)</f>
        <v>767691</v>
      </c>
      <c r="R116" s="169">
        <f t="shared" si="41"/>
        <v>3.0302450300961487E-3</v>
      </c>
    </row>
    <row r="117" spans="2:18" ht="15" customHeight="1" x14ac:dyDescent="0.25">
      <c r="B117" s="249"/>
      <c r="C117" s="259" t="s">
        <v>4112</v>
      </c>
      <c r="D117" s="177" t="s">
        <v>266</v>
      </c>
      <c r="E117" s="178">
        <v>32155860</v>
      </c>
      <c r="F117" s="178">
        <v>0</v>
      </c>
      <c r="G117" s="178">
        <v>0</v>
      </c>
      <c r="H117" s="178">
        <f t="shared" si="35"/>
        <v>32155860</v>
      </c>
      <c r="I117" s="179">
        <v>11489011</v>
      </c>
      <c r="J117" s="180">
        <f t="shared" si="36"/>
        <v>0.35729136151233398</v>
      </c>
      <c r="K117" s="179">
        <v>10241865</v>
      </c>
      <c r="L117" s="180">
        <f t="shared" si="37"/>
        <v>0.3185069533204834</v>
      </c>
      <c r="M117" s="179">
        <v>8131000</v>
      </c>
      <c r="N117" s="180">
        <f t="shared" si="38"/>
        <v>0.2528621532747064</v>
      </c>
      <c r="O117" s="179">
        <v>8131000</v>
      </c>
      <c r="P117" s="180">
        <f t="shared" si="40"/>
        <v>0.2528621532747064</v>
      </c>
      <c r="Q117" s="179">
        <f t="shared" si="39"/>
        <v>20666849</v>
      </c>
      <c r="R117" s="181">
        <f t="shared" si="41"/>
        <v>0.64270863848766602</v>
      </c>
    </row>
    <row r="118" spans="2:18" ht="15" customHeight="1" x14ac:dyDescent="0.25">
      <c r="B118" s="249"/>
      <c r="C118" s="260"/>
      <c r="D118" s="177" t="s">
        <v>273</v>
      </c>
      <c r="E118" s="178">
        <v>197786950</v>
      </c>
      <c r="F118" s="178">
        <v>0</v>
      </c>
      <c r="G118" s="178">
        <v>0</v>
      </c>
      <c r="H118" s="178">
        <f t="shared" si="35"/>
        <v>197786950</v>
      </c>
      <c r="I118" s="179">
        <v>179624912</v>
      </c>
      <c r="J118" s="180">
        <f t="shared" si="36"/>
        <v>0.90817372935878737</v>
      </c>
      <c r="K118" s="179">
        <v>174624912</v>
      </c>
      <c r="L118" s="180">
        <f t="shared" si="37"/>
        <v>0.88289400286520425</v>
      </c>
      <c r="M118" s="179">
        <v>96548925</v>
      </c>
      <c r="N118" s="180">
        <f t="shared" si="38"/>
        <v>0.48814608344989396</v>
      </c>
      <c r="O118" s="179">
        <v>96548925</v>
      </c>
      <c r="P118" s="180">
        <f t="shared" si="40"/>
        <v>0.48814608344989396</v>
      </c>
      <c r="Q118" s="179">
        <f t="shared" si="39"/>
        <v>18162038</v>
      </c>
      <c r="R118" s="181">
        <f t="shared" si="41"/>
        <v>9.1826270641212682E-2</v>
      </c>
    </row>
    <row r="119" spans="2:18" ht="15" customHeight="1" x14ac:dyDescent="0.25">
      <c r="B119" s="249"/>
      <c r="C119" s="260"/>
      <c r="D119" s="177" t="s">
        <v>10659</v>
      </c>
      <c r="E119" s="178"/>
      <c r="F119" s="178">
        <v>0</v>
      </c>
      <c r="G119" s="178">
        <v>0</v>
      </c>
      <c r="H119" s="178">
        <f t="shared" si="35"/>
        <v>0</v>
      </c>
      <c r="I119" s="179"/>
      <c r="J119" s="180">
        <f t="shared" si="36"/>
        <v>0</v>
      </c>
      <c r="K119" s="179"/>
      <c r="L119" s="180">
        <f t="shared" si="37"/>
        <v>0</v>
      </c>
      <c r="M119" s="179"/>
      <c r="N119" s="180">
        <f t="shared" si="38"/>
        <v>0</v>
      </c>
      <c r="O119" s="177"/>
      <c r="P119" s="180">
        <f t="shared" si="40"/>
        <v>0</v>
      </c>
      <c r="Q119" s="179">
        <f t="shared" si="39"/>
        <v>0</v>
      </c>
      <c r="R119" s="181">
        <f t="shared" si="41"/>
        <v>0</v>
      </c>
    </row>
    <row r="120" spans="2:18" ht="15" customHeight="1" x14ac:dyDescent="0.25">
      <c r="B120" s="249"/>
      <c r="C120" s="261"/>
      <c r="D120" s="166" t="s">
        <v>10651</v>
      </c>
      <c r="E120" s="167">
        <f>SUM(E117:E119)</f>
        <v>229942810</v>
      </c>
      <c r="F120" s="167">
        <f t="shared" ref="F120" si="179">SUM(F117:F119)</f>
        <v>0</v>
      </c>
      <c r="G120" s="167">
        <f t="shared" ref="G120" si="180">SUM(G117:G119)</f>
        <v>0</v>
      </c>
      <c r="H120" s="167">
        <f t="shared" ref="H120" si="181">SUM(H117:H119)</f>
        <v>229942810</v>
      </c>
      <c r="I120" s="172">
        <f t="shared" ref="I120" si="182">SUM(I117:I119)</f>
        <v>191113923</v>
      </c>
      <c r="J120" s="168">
        <f t="shared" ref="J120" si="183">IFERROR(I120/H120,0)</f>
        <v>0.83113676396317848</v>
      </c>
      <c r="K120" s="172">
        <f t="shared" ref="K120" si="184">SUM(K117:K119)</f>
        <v>184866777</v>
      </c>
      <c r="L120" s="168">
        <f t="shared" si="37"/>
        <v>0.80396850416849308</v>
      </c>
      <c r="M120" s="172">
        <f t="shared" ref="M120" si="185">SUM(M117:M119)</f>
        <v>104679925</v>
      </c>
      <c r="N120" s="168">
        <f t="shared" si="38"/>
        <v>0.45524330593333184</v>
      </c>
      <c r="O120" s="167">
        <f t="shared" ref="O120" si="186">SUM(O117:O119)</f>
        <v>104679925</v>
      </c>
      <c r="P120" s="168">
        <f t="shared" si="40"/>
        <v>0.45524330593333184</v>
      </c>
      <c r="Q120" s="167">
        <f t="shared" ref="Q120" si="187">SUM(Q117:Q119)</f>
        <v>38828887</v>
      </c>
      <c r="R120" s="169">
        <f t="shared" si="41"/>
        <v>0.16886323603682149</v>
      </c>
    </row>
    <row r="121" spans="2:18" ht="15" customHeight="1" x14ac:dyDescent="0.25">
      <c r="B121" s="249" t="s">
        <v>10668</v>
      </c>
      <c r="C121" s="259" t="s">
        <v>10668</v>
      </c>
      <c r="D121" s="119" t="s">
        <v>266</v>
      </c>
      <c r="E121" s="164">
        <v>0</v>
      </c>
      <c r="F121" s="164">
        <v>0</v>
      </c>
      <c r="G121" s="164">
        <v>0</v>
      </c>
      <c r="H121" s="164">
        <f t="shared" si="35"/>
        <v>0</v>
      </c>
      <c r="I121" s="170"/>
      <c r="J121" s="118">
        <f t="shared" si="36"/>
        <v>0</v>
      </c>
      <c r="K121" s="170"/>
      <c r="L121" s="118">
        <f t="shared" si="37"/>
        <v>0</v>
      </c>
      <c r="M121" s="170"/>
      <c r="N121" s="118">
        <f t="shared" si="38"/>
        <v>0</v>
      </c>
      <c r="O121" s="119"/>
      <c r="P121" s="118">
        <f t="shared" si="40"/>
        <v>0</v>
      </c>
      <c r="Q121" s="170">
        <f t="shared" si="39"/>
        <v>0</v>
      </c>
      <c r="R121" s="163">
        <f t="shared" si="41"/>
        <v>0</v>
      </c>
    </row>
    <row r="122" spans="2:18" ht="15" customHeight="1" x14ac:dyDescent="0.25">
      <c r="B122" s="249"/>
      <c r="C122" s="260"/>
      <c r="D122" s="177" t="s">
        <v>273</v>
      </c>
      <c r="E122" s="178">
        <v>232115074</v>
      </c>
      <c r="F122" s="178">
        <v>0</v>
      </c>
      <c r="G122" s="178">
        <v>0</v>
      </c>
      <c r="H122" s="178">
        <f>(E122+F122)-G122</f>
        <v>232115074</v>
      </c>
      <c r="I122" s="179">
        <v>232115074</v>
      </c>
      <c r="J122" s="180">
        <f t="shared" si="36"/>
        <v>1</v>
      </c>
      <c r="K122" s="179">
        <v>232115074</v>
      </c>
      <c r="L122" s="180">
        <f t="shared" si="37"/>
        <v>1</v>
      </c>
      <c r="M122" s="179">
        <v>118261974</v>
      </c>
      <c r="N122" s="180">
        <f t="shared" si="38"/>
        <v>0.50949717294103869</v>
      </c>
      <c r="O122" s="179">
        <v>118261974</v>
      </c>
      <c r="P122" s="180">
        <f t="shared" si="40"/>
        <v>0.50949717294103869</v>
      </c>
      <c r="Q122" s="179">
        <f t="shared" si="39"/>
        <v>0</v>
      </c>
      <c r="R122" s="181">
        <f t="shared" si="41"/>
        <v>0</v>
      </c>
    </row>
    <row r="123" spans="2:18" ht="15" customHeight="1" x14ac:dyDescent="0.25">
      <c r="B123" s="249"/>
      <c r="C123" s="260"/>
      <c r="D123" s="177" t="s">
        <v>10659</v>
      </c>
      <c r="E123" s="178">
        <v>1600000000</v>
      </c>
      <c r="F123" s="178">
        <v>0</v>
      </c>
      <c r="G123" s="178">
        <v>0</v>
      </c>
      <c r="H123" s="178">
        <f t="shared" si="35"/>
        <v>1600000000</v>
      </c>
      <c r="I123" s="179">
        <v>1413692991</v>
      </c>
      <c r="J123" s="180">
        <f t="shared" si="36"/>
        <v>0.88355811937499995</v>
      </c>
      <c r="K123" s="179">
        <v>1305103115</v>
      </c>
      <c r="L123" s="180">
        <f t="shared" si="37"/>
        <v>0.815689446875</v>
      </c>
      <c r="M123" s="179">
        <f>516853385+28130257</f>
        <v>544983642</v>
      </c>
      <c r="N123" s="180">
        <f t="shared" si="38"/>
        <v>0.34061477624999997</v>
      </c>
      <c r="O123" s="179">
        <f>503041987+9865284</f>
        <v>512907271</v>
      </c>
      <c r="P123" s="180">
        <f t="shared" si="40"/>
        <v>0.320567044375</v>
      </c>
      <c r="Q123" s="179">
        <f t="shared" si="39"/>
        <v>186307009</v>
      </c>
      <c r="R123" s="181">
        <f t="shared" si="41"/>
        <v>0.11644188062499999</v>
      </c>
    </row>
    <row r="124" spans="2:18" ht="15" customHeight="1" x14ac:dyDescent="0.25">
      <c r="B124" s="249"/>
      <c r="C124" s="261"/>
      <c r="D124" s="166" t="s">
        <v>10651</v>
      </c>
      <c r="E124" s="167">
        <f>SUM(E121:E123)</f>
        <v>1832115074</v>
      </c>
      <c r="F124" s="167">
        <f t="shared" ref="F124" si="188">SUM(F121:F123)</f>
        <v>0</v>
      </c>
      <c r="G124" s="167">
        <f t="shared" ref="G124" si="189">SUM(G121:G123)</f>
        <v>0</v>
      </c>
      <c r="H124" s="167">
        <f t="shared" ref="H124" si="190">SUM(H121:H123)</f>
        <v>1832115074</v>
      </c>
      <c r="I124" s="172">
        <f t="shared" ref="I124" si="191">SUM(I121:I123)</f>
        <v>1645808065</v>
      </c>
      <c r="J124" s="168">
        <f t="shared" ref="J124" si="192">IFERROR(I124/H124,0)</f>
        <v>0.89831042184853505</v>
      </c>
      <c r="K124" s="172">
        <f t="shared" ref="K124" si="193">SUM(K121:K123)</f>
        <v>1537218189</v>
      </c>
      <c r="L124" s="168">
        <f t="shared" si="37"/>
        <v>0.83904019502652705</v>
      </c>
      <c r="M124" s="172">
        <f t="shared" ref="M124" si="194">SUM(M121:M123)</f>
        <v>663245616</v>
      </c>
      <c r="N124" s="168">
        <f t="shared" si="38"/>
        <v>0.36201089408208209</v>
      </c>
      <c r="O124" s="167">
        <f t="shared" ref="O124" si="195">SUM(O121:O123)</f>
        <v>631169245</v>
      </c>
      <c r="P124" s="168">
        <f t="shared" si="40"/>
        <v>0.34450305767202044</v>
      </c>
      <c r="Q124" s="167">
        <f t="shared" ref="Q124" si="196">SUM(Q121:Q123)</f>
        <v>186307009</v>
      </c>
      <c r="R124" s="169">
        <f t="shared" si="41"/>
        <v>0.10168957815146495</v>
      </c>
    </row>
    <row r="125" spans="2:18" ht="15" customHeight="1" x14ac:dyDescent="0.25">
      <c r="B125" s="249"/>
      <c r="C125" s="259" t="s">
        <v>2718</v>
      </c>
      <c r="D125" s="173" t="s">
        <v>266</v>
      </c>
      <c r="E125" s="171">
        <v>1206818844</v>
      </c>
      <c r="F125" s="171">
        <v>0</v>
      </c>
      <c r="G125" s="171">
        <f>GETPIVOTDATA("Suma de APR. VIGENTE",Validaciones!$BF$3,"REC","11","PRODUCTO"," SEDES ADECUADAS ")+GETPIVOTDATA("Suma de APR. VIGENTE",Validaciones!$BF$3,"REC","11","PRODUCTO"," SEDES MANTENIDAS ")</f>
        <v>394355234</v>
      </c>
      <c r="H125" s="171">
        <f t="shared" si="35"/>
        <v>812463610</v>
      </c>
      <c r="I125" s="174">
        <f>GETPIVOTDATA("CDP ",Validaciones!$A$1,"REC","Otros recursos del tesoro","DESCRIPCION","IMPLEMENTACIÓN DE UN SISTEMA DE GESTIÓN DOCUMENTAL EN EL IGAC A NIVEL   NACIONAL","DESCRIPCION3","Inversión","DESCRIPCION5","Inversión")+GETPIVOTDATA("CDP ",Validaciones!$A$1,"REC","Otros recursos del tesoro","DESCRIPCION","FORTALECIMIENTO DE LA INFRAESTRUCTURA FÍSICA DEL IGAC A NIVEL  NACIONAL","DESCRIPCION3","Inversión","DESCRIPCION5","Inversión")-(GETPIVOTDATA("Suma de CDP",Validaciones!$BF$3,"REC","11","PRODUCTO"," SEDES ADECUADAS ")+GETPIVOTDATA("Suma de CDP",Validaciones!$BF$3,"REC","11","PRODUCTO"," SEDES MANTENIDAS "))</f>
        <v>747668675.40999985</v>
      </c>
      <c r="J125" s="175">
        <f t="shared" ref="J125:J144" si="197">IFERROR(I125/H125,0)</f>
        <v>0.92024881632544731</v>
      </c>
      <c r="K125" s="174">
        <f>GETPIVOTDATA("Compromisos",Validaciones!$A$1,"REC","Otros recursos del tesoro","DESCRIPCION","IMPLEMENTACIÓN DE UN SISTEMA DE GESTIÓN DOCUMENTAL EN EL IGAC A NIVEL   NACIONAL","DESCRIPCION3","Inversión","DESCRIPCION5","Inversión")+GETPIVOTDATA("Compromisos",Validaciones!$A$1,"REC","Otros recursos del tesoro","DESCRIPCION","FORTALECIMIENTO DE LA INFRAESTRUCTURA FÍSICA DEL IGAC A NIVEL  NACIONAL","DESCRIPCION3","Inversión","DESCRIPCION5","Inversión")-(GETPIVOTDATA("Suma de COMPROMISO",Validaciones!$BF$3,"REC","11","PRODUCTO"," SEDES ADECUADAS ")+GETPIVOTDATA("Suma de COMPROMISO",Validaciones!$BF$3,"REC","11","PRODUCTO"," SEDES MANTENIDAS "))</f>
        <v>485054747.94000006</v>
      </c>
      <c r="L125" s="175">
        <f t="shared" ref="L125:L144" si="198">IFERROR(K125/H125,0)</f>
        <v>0.59701719802564457</v>
      </c>
      <c r="M125" s="174">
        <f>GETPIVOTDATA("Obligaciones",Validaciones!$A$1,"REC","Otros recursos del tesoro","DESCRIPCION","IMPLEMENTACIÓN DE UN SISTEMA DE GESTIÓN DOCUMENTAL EN EL IGAC A NIVEL   NACIONAL","DESCRIPCION3","Inversión","DESCRIPCION5","Inversión")+GETPIVOTDATA("Obligaciones",Validaciones!$A$1,"REC","Otros recursos del tesoro","DESCRIPCION","FORTALECIMIENTO DE LA INFRAESTRUCTURA FÍSICA DEL IGAC A NIVEL  NACIONAL","DESCRIPCION3","Inversión","DESCRIPCION5","Inversión")-(GETPIVOTDATA("Suma de OBLIGACION",Validaciones!$BF$3,"REC","11","PRODUCTO"," SEDES ADECUADAS ")+GETPIVOTDATA("Suma de OBLIGACION",Validaciones!$BF$3,"REC","11","PRODUCTO"," SEDES MANTENIDAS "))</f>
        <v>315957912</v>
      </c>
      <c r="N125" s="175">
        <f t="shared" ref="N125:N144" si="199">IFERROR(M125/H125,0)</f>
        <v>0.38888869373484924</v>
      </c>
      <c r="O125" s="174">
        <f>GETPIVOTDATA("Pagos",Validaciones!$A$1,"REC","Otros recursos del tesoro","DESCRIPCION","IMPLEMENTACIÓN DE UN SISTEMA DE GESTIÓN DOCUMENTAL EN EL IGAC A NIVEL   NACIONAL","DESCRIPCION3","Inversión","DESCRIPCION5","Inversión")+GETPIVOTDATA("Pagos",Validaciones!$A$1,"REC","Otros recursos del tesoro","DESCRIPCION","FORTALECIMIENTO DE LA INFRAESTRUCTURA FÍSICA DEL IGAC A NIVEL  NACIONAL","DESCRIPCION3","Inversión","DESCRIPCION5","Inversión")-(GETPIVOTDATA("Suma de PAGOS",Validaciones!$BF$3,"REC","11","PRODUCTO"," SEDES ADECUADAS ")+GETPIVOTDATA("Suma de PAGOS",Validaciones!$BF$3,"REC","11","PRODUCTO"," SEDES MANTENIDAS "))</f>
        <v>299790310</v>
      </c>
      <c r="P125" s="175">
        <f t="shared" si="40"/>
        <v>0.36898921540621371</v>
      </c>
      <c r="Q125" s="174">
        <f t="shared" si="39"/>
        <v>64794934.590000153</v>
      </c>
      <c r="R125" s="176">
        <f t="shared" si="41"/>
        <v>7.9751183674552695E-2</v>
      </c>
    </row>
    <row r="126" spans="2:18" ht="15" customHeight="1" x14ac:dyDescent="0.25">
      <c r="B126" s="249"/>
      <c r="C126" s="260"/>
      <c r="D126" s="173" t="s">
        <v>273</v>
      </c>
      <c r="E126" s="171">
        <v>793530741</v>
      </c>
      <c r="F126" s="171">
        <v>0</v>
      </c>
      <c r="G126" s="171">
        <f>GETPIVOTDATA("Suma de APR. VIGENTE",Validaciones!$BF$3,"REC","20","PRODUCTO"," SEDES ADECUADAS ")+GETPIVOTDATA("Suma de APR. VIGENTE",Validaciones!$BF$3,"REC","20","PRODUCTO"," SEDES MANTENIDAS ")</f>
        <v>0</v>
      </c>
      <c r="H126" s="171">
        <f t="shared" ref="H126:H127" si="200">(E126+F126)-G126</f>
        <v>793530741</v>
      </c>
      <c r="I126" s="174">
        <f>GETPIVOTDATA("CDP ",Validaciones!$A$1,"REC","Ingresos corrientes","DESCRIPCION","FORTALECIMIENTO DE LA INFRAESTRUCTURA FÍSICA DEL IGAC A NIVEL  NACIONAL","DESCRIPCION3","Inversión","DESCRIPCION5","Inversión")-(GETPIVOTDATA("Suma de CDP",Validaciones!$BF$3,"REC","20","PRODUCTO"," SEDES ADECUADAS ")+GETPIVOTDATA("Suma de CDP",Validaciones!$BF$3,"REC","20","PRODUCTO"," SEDES MANTENIDAS "))</f>
        <v>104087600</v>
      </c>
      <c r="J126" s="175">
        <f t="shared" si="197"/>
        <v>0.13117021763873921</v>
      </c>
      <c r="K126" s="174">
        <f>GETPIVOTDATA("Compromisos",Validaciones!$A$1,"REC","Ingresos corrientes","DESCRIPCION","FORTALECIMIENTO DE LA INFRAESTRUCTURA FÍSICA DEL IGAC A NIVEL  NACIONAL","DESCRIPCION3","Inversión","DESCRIPCION5","Inversión")-(GETPIVOTDATA("Suma de COMPROMISO",Validaciones!$BF$3,"REC","20","PRODUCTO"," SEDES ADECUADAS ")+GETPIVOTDATA("Suma de COMPROMISO",Validaciones!$BF$3,"REC","20","PRODUCTO"," SEDES MANTENIDAS "))</f>
        <v>104087600</v>
      </c>
      <c r="L126" s="175">
        <f t="shared" si="198"/>
        <v>0.13117021763873921</v>
      </c>
      <c r="M126" s="174">
        <f>GETPIVOTDATA("Obligaciones",Validaciones!$A$1,"REC","Ingresos corrientes","DESCRIPCION","FORTALECIMIENTO DE LA INFRAESTRUCTURA FÍSICA DEL IGAC A NIVEL  NACIONAL","DESCRIPCION3","Inversión","DESCRIPCION5","Inversión")-(GETPIVOTDATA("Suma de OBLIGACION",Validaciones!$BF$3,"REC","20","PRODUCTO"," SEDES ADECUADAS ")+GETPIVOTDATA("Suma de OBLIGACION",Validaciones!$BF$3,"REC","20","PRODUCTO"," SEDES MANTENIDAS "))</f>
        <v>83578903.870000005</v>
      </c>
      <c r="N126" s="175">
        <f t="shared" si="199"/>
        <v>0.10532535105656354</v>
      </c>
      <c r="O126" s="174">
        <f>GETPIVOTDATA("Pagos",Validaciones!$A$1,"REC","Ingresos corrientes","DESCRIPCION","FORTALECIMIENTO DE LA INFRAESTRUCTURA FÍSICA DEL IGAC A NIVEL  NACIONAL","DESCRIPCION3","Inversión","DESCRIPCION5","Inversión")-(GETPIVOTDATA("Suma de PAGOS",Validaciones!$BF$3,"REC","20","PRODUCTO"," SEDES ADECUADAS ")+GETPIVOTDATA("Suma de PAGOS",Validaciones!$BF$3,"REC","20","PRODUCTO"," SEDES MANTENIDAS "))</f>
        <v>83578903.870000005</v>
      </c>
      <c r="P126" s="175">
        <f t="shared" ref="P126:P144" si="201">IFERROR(O126/H126,0)</f>
        <v>0.10532535105656354</v>
      </c>
      <c r="Q126" s="174">
        <f t="shared" ref="Q126:Q127" si="202">H126-I126</f>
        <v>689443141</v>
      </c>
      <c r="R126" s="176">
        <f t="shared" ref="R126:R144" si="203">IFERROR(Q126/H126,0)</f>
        <v>0.86882978236126074</v>
      </c>
    </row>
    <row r="127" spans="2:18" ht="15" customHeight="1" x14ac:dyDescent="0.25">
      <c r="B127" s="249"/>
      <c r="C127" s="260"/>
      <c r="D127" s="177" t="s">
        <v>10659</v>
      </c>
      <c r="E127" s="178"/>
      <c r="F127" s="178">
        <v>0</v>
      </c>
      <c r="G127" s="178">
        <v>0</v>
      </c>
      <c r="H127" s="178">
        <f t="shared" si="200"/>
        <v>0</v>
      </c>
      <c r="I127" s="179"/>
      <c r="J127" s="180">
        <f t="shared" si="197"/>
        <v>0</v>
      </c>
      <c r="K127" s="179"/>
      <c r="L127" s="180">
        <f t="shared" si="198"/>
        <v>0</v>
      </c>
      <c r="M127" s="179"/>
      <c r="N127" s="180">
        <f t="shared" si="199"/>
        <v>0</v>
      </c>
      <c r="O127" s="177"/>
      <c r="P127" s="180">
        <f t="shared" si="201"/>
        <v>0</v>
      </c>
      <c r="Q127" s="179">
        <f t="shared" si="202"/>
        <v>0</v>
      </c>
      <c r="R127" s="181">
        <f t="shared" si="203"/>
        <v>0</v>
      </c>
    </row>
    <row r="128" spans="2:18" ht="15" customHeight="1" x14ac:dyDescent="0.25">
      <c r="B128" s="249"/>
      <c r="C128" s="261"/>
      <c r="D128" s="166" t="s">
        <v>10651</v>
      </c>
      <c r="E128" s="167">
        <f>SUM(E125:E127)</f>
        <v>2000349585</v>
      </c>
      <c r="F128" s="167">
        <f t="shared" ref="F128" si="204">SUM(F125:F127)</f>
        <v>0</v>
      </c>
      <c r="G128" s="167">
        <f t="shared" ref="G128" si="205">SUM(G125:G127)</f>
        <v>394355234</v>
      </c>
      <c r="H128" s="167">
        <f t="shared" ref="H128" si="206">SUM(H125:H127)</f>
        <v>1605994351</v>
      </c>
      <c r="I128" s="172">
        <f t="shared" ref="I128" si="207">SUM(I125:I127)</f>
        <v>851756275.40999985</v>
      </c>
      <c r="J128" s="168">
        <f t="shared" si="197"/>
        <v>0.53036069204081515</v>
      </c>
      <c r="K128" s="172">
        <f t="shared" ref="K128" si="208">SUM(K125:K127)</f>
        <v>589142347.94000006</v>
      </c>
      <c r="L128" s="168">
        <f t="shared" si="198"/>
        <v>0.36683961408280202</v>
      </c>
      <c r="M128" s="172">
        <f t="shared" ref="M128" si="209">SUM(M125:M127)</f>
        <v>399536815.87</v>
      </c>
      <c r="N128" s="168">
        <f t="shared" si="199"/>
        <v>0.24877846900346912</v>
      </c>
      <c r="O128" s="167">
        <f t="shared" ref="O128" si="210">SUM(O125:O127)</f>
        <v>383369213.87</v>
      </c>
      <c r="P128" s="168">
        <f t="shared" si="201"/>
        <v>0.23871143359333025</v>
      </c>
      <c r="Q128" s="167">
        <f t="shared" ref="Q128" si="211">SUM(Q125:Q127)</f>
        <v>754238075.59000015</v>
      </c>
      <c r="R128" s="169">
        <f t="shared" si="203"/>
        <v>0.46963930795918479</v>
      </c>
    </row>
    <row r="129" spans="2:18" ht="15" customHeight="1" x14ac:dyDescent="0.25">
      <c r="B129" s="249"/>
      <c r="C129" s="259" t="s">
        <v>10669</v>
      </c>
      <c r="D129" s="173" t="s">
        <v>266</v>
      </c>
      <c r="E129" s="171">
        <v>34546758</v>
      </c>
      <c r="F129" s="171">
        <v>0</v>
      </c>
      <c r="G129" s="171">
        <v>0</v>
      </c>
      <c r="H129" s="171">
        <f t="shared" ref="H129:H131" si="212">(E129+F129)-G129</f>
        <v>34546758</v>
      </c>
      <c r="I129" s="174">
        <f>GETPIVOTDATA("Suma de CDP",Validaciones!$BW$1,"REC","11","DESCRIPCION"," SERVICIO DE EDUCACIÓN INFORMAL PARA LA GESTIÓN ADMINISTRATIVA ")</f>
        <v>67198875</v>
      </c>
      <c r="J129" s="175">
        <f t="shared" si="197"/>
        <v>1.9451571982528721</v>
      </c>
      <c r="K129" s="174">
        <f>GETPIVOTDATA("Suma de COMPROMISO",Validaciones!$BW$1,"REC","11","DESCRIPCION"," SERVICIO DE EDUCACIÓN INFORMAL PARA LA GESTIÓN ADMINISTRATIVA ")</f>
        <v>53163622</v>
      </c>
      <c r="L129" s="175">
        <f t="shared" si="198"/>
        <v>1.538888887924013</v>
      </c>
      <c r="M129" s="174">
        <f>GETPIVOTDATA("Suma de OBLIGACION",Validaciones!$BW$1,"REC","11","DESCRIPCION"," SERVICIO DE EDUCACIÓN INFORMAL PARA LA GESTIÓN ADMINISTRATIVA ")</f>
        <v>37617541</v>
      </c>
      <c r="N129" s="175">
        <f t="shared" si="199"/>
        <v>1.0888877329675914</v>
      </c>
      <c r="O129" s="174">
        <f>GETPIVOTDATA("Suma de PAGOS",Validaciones!$BW$1,"REC","11","DESCRIPCION"," SERVICIO DE EDUCACIÓN INFORMAL PARA LA GESTIÓN ADMINISTRATIVA ")</f>
        <v>29364744</v>
      </c>
      <c r="P129" s="175">
        <f t="shared" si="201"/>
        <v>0.84999999131611714</v>
      </c>
      <c r="Q129" s="174">
        <f t="shared" ref="Q129:Q131" si="213">H129-I129</f>
        <v>-32652117</v>
      </c>
      <c r="R129" s="176">
        <f t="shared" si="203"/>
        <v>-0.94515719825287225</v>
      </c>
    </row>
    <row r="130" spans="2:18" ht="15" customHeight="1" x14ac:dyDescent="0.25">
      <c r="B130" s="249"/>
      <c r="C130" s="260"/>
      <c r="D130" s="173" t="s">
        <v>273</v>
      </c>
      <c r="E130" s="171">
        <v>174494211</v>
      </c>
      <c r="F130" s="171">
        <v>0</v>
      </c>
      <c r="G130" s="171">
        <v>0</v>
      </c>
      <c r="H130" s="171">
        <f t="shared" si="212"/>
        <v>174494211</v>
      </c>
      <c r="I130" s="174">
        <f>GETPIVOTDATA("Suma de CDP",Validaciones!$BW$1,"REC","20","DESCRIPCION"," SERVICIO DE EDUCACIÓN INFORMAL PARA LA GESTIÓN ADMINISTRATIVA ")</f>
        <v>174494211</v>
      </c>
      <c r="J130" s="175">
        <f t="shared" si="197"/>
        <v>1</v>
      </c>
      <c r="K130" s="174">
        <f>GETPIVOTDATA("Suma de COMPROMISO",Validaciones!$BW$1,"REC","20","DESCRIPCION"," SERVICIO DE EDUCACIÓN INFORMAL PARA LA GESTIÓN ADMINISTRATIVA ")</f>
        <v>174494211</v>
      </c>
      <c r="L130" s="175">
        <f t="shared" si="198"/>
        <v>1</v>
      </c>
      <c r="M130" s="174">
        <f>GETPIVOTDATA("Suma de OBLIGACION",Validaciones!$BW$1,"REC","20","DESCRIPCION"," SERVICIO DE EDUCACIÓN INFORMAL PARA LA GESTIÓN ADMINISTRATIVA ")</f>
        <v>162050000</v>
      </c>
      <c r="N130" s="175">
        <f t="shared" si="199"/>
        <v>0.92868410402451684</v>
      </c>
      <c r="O130" s="174">
        <f>GETPIVOTDATA("Suma de PAGOS",Validaciones!$BW$1,"REC","20","DESCRIPCION"," SERVICIO DE EDUCACIÓN INFORMAL PARA LA GESTIÓN ADMINISTRATIVA ")</f>
        <v>162050000</v>
      </c>
      <c r="P130" s="175">
        <f t="shared" si="201"/>
        <v>0.92868410402451684</v>
      </c>
      <c r="Q130" s="174">
        <f t="shared" si="213"/>
        <v>0</v>
      </c>
      <c r="R130" s="176">
        <f t="shared" si="203"/>
        <v>0</v>
      </c>
    </row>
    <row r="131" spans="2:18" ht="15" customHeight="1" x14ac:dyDescent="0.25">
      <c r="B131" s="249"/>
      <c r="C131" s="260"/>
      <c r="D131" s="177" t="s">
        <v>10659</v>
      </c>
      <c r="E131" s="178"/>
      <c r="F131" s="178">
        <v>0</v>
      </c>
      <c r="G131" s="178">
        <v>0</v>
      </c>
      <c r="H131" s="178">
        <f t="shared" si="212"/>
        <v>0</v>
      </c>
      <c r="I131" s="179"/>
      <c r="J131" s="180">
        <f t="shared" si="197"/>
        <v>0</v>
      </c>
      <c r="K131" s="179"/>
      <c r="L131" s="180">
        <f t="shared" si="198"/>
        <v>0</v>
      </c>
      <c r="M131" s="179"/>
      <c r="N131" s="180">
        <f t="shared" si="199"/>
        <v>0</v>
      </c>
      <c r="O131" s="177"/>
      <c r="P131" s="180">
        <f t="shared" si="201"/>
        <v>0</v>
      </c>
      <c r="Q131" s="179">
        <f t="shared" si="213"/>
        <v>0</v>
      </c>
      <c r="R131" s="181">
        <f t="shared" si="203"/>
        <v>0</v>
      </c>
    </row>
    <row r="132" spans="2:18" ht="15" customHeight="1" x14ac:dyDescent="0.25">
      <c r="B132" s="249"/>
      <c r="C132" s="261"/>
      <c r="D132" s="166" t="s">
        <v>10651</v>
      </c>
      <c r="E132" s="167">
        <f>SUM(E129:E131)</f>
        <v>209040969</v>
      </c>
      <c r="F132" s="167">
        <f t="shared" ref="F132" si="214">SUM(F129:F131)</f>
        <v>0</v>
      </c>
      <c r="G132" s="167">
        <f t="shared" ref="G132" si="215">SUM(G129:G131)</f>
        <v>0</v>
      </c>
      <c r="H132" s="167">
        <f t="shared" ref="H132" si="216">SUM(H129:H131)</f>
        <v>209040969</v>
      </c>
      <c r="I132" s="172">
        <f t="shared" ref="I132" si="217">SUM(I129:I131)</f>
        <v>241693086</v>
      </c>
      <c r="J132" s="168">
        <f t="shared" si="197"/>
        <v>1.15619960602077</v>
      </c>
      <c r="K132" s="172">
        <f t="shared" ref="K132" si="218">SUM(K129:K131)</f>
        <v>227657833</v>
      </c>
      <c r="L132" s="168">
        <f t="shared" si="198"/>
        <v>1.0890584467200781</v>
      </c>
      <c r="M132" s="172">
        <f t="shared" ref="M132" si="219">SUM(M129:M131)</f>
        <v>199667541</v>
      </c>
      <c r="N132" s="168">
        <f t="shared" si="199"/>
        <v>0.95515985194270703</v>
      </c>
      <c r="O132" s="167">
        <f t="shared" ref="O132" si="220">SUM(O129:O131)</f>
        <v>191414744</v>
      </c>
      <c r="P132" s="168">
        <f t="shared" si="201"/>
        <v>0.91568052384984877</v>
      </c>
      <c r="Q132" s="167">
        <f t="shared" ref="Q132" si="221">SUM(Q129:Q131)</f>
        <v>-32652117</v>
      </c>
      <c r="R132" s="169">
        <f t="shared" si="203"/>
        <v>-0.15619960602077002</v>
      </c>
    </row>
    <row r="133" spans="2:18" ht="15" customHeight="1" x14ac:dyDescent="0.25">
      <c r="B133" s="249" t="s">
        <v>10670</v>
      </c>
      <c r="C133" s="259" t="s">
        <v>10671</v>
      </c>
      <c r="D133" s="177" t="s">
        <v>266</v>
      </c>
      <c r="E133" s="178">
        <v>4850240</v>
      </c>
      <c r="F133" s="178">
        <v>0</v>
      </c>
      <c r="G133" s="178">
        <v>0</v>
      </c>
      <c r="H133" s="178">
        <f t="shared" ref="H133:H135" si="222">(E133+F133)-G133</f>
        <v>4850240</v>
      </c>
      <c r="I133" s="179">
        <v>4850240</v>
      </c>
      <c r="J133" s="180">
        <f t="shared" si="197"/>
        <v>1</v>
      </c>
      <c r="K133" s="179">
        <v>4850240</v>
      </c>
      <c r="L133" s="180">
        <f t="shared" si="198"/>
        <v>1</v>
      </c>
      <c r="M133" s="179"/>
      <c r="N133" s="180">
        <f t="shared" si="199"/>
        <v>0</v>
      </c>
      <c r="O133" s="177"/>
      <c r="P133" s="180">
        <f t="shared" si="201"/>
        <v>0</v>
      </c>
      <c r="Q133" s="179">
        <f t="shared" ref="Q133:Q135" si="223">H133-I133</f>
        <v>0</v>
      </c>
      <c r="R133" s="181">
        <f t="shared" si="203"/>
        <v>0</v>
      </c>
    </row>
    <row r="134" spans="2:18" ht="15" customHeight="1" x14ac:dyDescent="0.25">
      <c r="B134" s="249"/>
      <c r="C134" s="260"/>
      <c r="D134" s="177" t="s">
        <v>273</v>
      </c>
      <c r="E134" s="178">
        <v>375887086</v>
      </c>
      <c r="F134" s="178">
        <v>0</v>
      </c>
      <c r="G134" s="178">
        <v>0</v>
      </c>
      <c r="H134" s="178">
        <f t="shared" si="222"/>
        <v>375887086</v>
      </c>
      <c r="I134" s="179">
        <v>367636543</v>
      </c>
      <c r="J134" s="180">
        <f t="shared" si="197"/>
        <v>0.97805047497694564</v>
      </c>
      <c r="K134" s="179">
        <v>362613963</v>
      </c>
      <c r="L134" s="180">
        <f t="shared" si="198"/>
        <v>0.96468853681235545</v>
      </c>
      <c r="M134" s="179">
        <v>184626353</v>
      </c>
      <c r="N134" s="180">
        <f t="shared" si="199"/>
        <v>0.49117503600536039</v>
      </c>
      <c r="O134" s="179">
        <v>184626353</v>
      </c>
      <c r="P134" s="180">
        <f t="shared" si="201"/>
        <v>0.49117503600536039</v>
      </c>
      <c r="Q134" s="179">
        <f t="shared" si="223"/>
        <v>8250543</v>
      </c>
      <c r="R134" s="181">
        <f t="shared" si="203"/>
        <v>2.1949525023054396E-2</v>
      </c>
    </row>
    <row r="135" spans="2:18" ht="15" customHeight="1" x14ac:dyDescent="0.25">
      <c r="B135" s="249"/>
      <c r="C135" s="260"/>
      <c r="D135" s="177" t="s">
        <v>10659</v>
      </c>
      <c r="E135" s="178"/>
      <c r="F135" s="178">
        <v>0</v>
      </c>
      <c r="G135" s="178">
        <v>0</v>
      </c>
      <c r="H135" s="178">
        <f t="shared" si="222"/>
        <v>0</v>
      </c>
      <c r="I135" s="179"/>
      <c r="J135" s="180">
        <f t="shared" si="197"/>
        <v>0</v>
      </c>
      <c r="K135" s="179"/>
      <c r="L135" s="180">
        <f t="shared" si="198"/>
        <v>0</v>
      </c>
      <c r="M135" s="179"/>
      <c r="N135" s="180">
        <f t="shared" si="199"/>
        <v>0</v>
      </c>
      <c r="O135" s="177"/>
      <c r="P135" s="180">
        <f t="shared" si="201"/>
        <v>0</v>
      </c>
      <c r="Q135" s="179">
        <f t="shared" si="223"/>
        <v>0</v>
      </c>
      <c r="R135" s="181">
        <f t="shared" si="203"/>
        <v>0</v>
      </c>
    </row>
    <row r="136" spans="2:18" ht="15" customHeight="1" x14ac:dyDescent="0.25">
      <c r="B136" s="249"/>
      <c r="C136" s="262"/>
      <c r="D136" s="166" t="s">
        <v>10651</v>
      </c>
      <c r="E136" s="167">
        <f>SUM(E133:E135)</f>
        <v>380737326</v>
      </c>
      <c r="F136" s="167">
        <f t="shared" ref="F136" si="224">SUM(F133:F135)</f>
        <v>0</v>
      </c>
      <c r="G136" s="167">
        <f t="shared" ref="G136" si="225">SUM(G133:G135)</f>
        <v>0</v>
      </c>
      <c r="H136" s="167">
        <f t="shared" ref="H136" si="226">SUM(H133:H135)</f>
        <v>380737326</v>
      </c>
      <c r="I136" s="172">
        <f t="shared" ref="I136" si="227">SUM(I133:I135)</f>
        <v>372486783</v>
      </c>
      <c r="J136" s="168">
        <f t="shared" si="197"/>
        <v>0.9783300915445311</v>
      </c>
      <c r="K136" s="172">
        <f t="shared" ref="K136" si="228">SUM(K133:K135)</f>
        <v>367464203</v>
      </c>
      <c r="L136" s="168">
        <f t="shared" si="198"/>
        <v>0.96513837206494435</v>
      </c>
      <c r="M136" s="172">
        <f t="shared" ref="M136" si="229">SUM(M133:M135)</f>
        <v>184626353</v>
      </c>
      <c r="N136" s="168">
        <f t="shared" si="199"/>
        <v>0.48491792212671053</v>
      </c>
      <c r="O136" s="167">
        <f t="shared" ref="O136" si="230">SUM(O133:O135)</f>
        <v>184626353</v>
      </c>
      <c r="P136" s="168">
        <f t="shared" si="201"/>
        <v>0.48491792212671053</v>
      </c>
      <c r="Q136" s="167">
        <f t="shared" ref="Q136" si="231">SUM(Q133:Q135)</f>
        <v>8250543</v>
      </c>
      <c r="R136" s="169">
        <f t="shared" si="203"/>
        <v>2.1669908455468848E-2</v>
      </c>
    </row>
    <row r="137" spans="2:18" ht="15" customHeight="1" x14ac:dyDescent="0.25">
      <c r="C137" s="263" t="s">
        <v>10672</v>
      </c>
      <c r="D137" s="182" t="s">
        <v>266</v>
      </c>
      <c r="E137" s="183">
        <v>0</v>
      </c>
      <c r="F137" s="183">
        <f>GETPIVOTDATA("Suma de APR. VIGENTE",Validaciones!$BF$3,"REC","11")</f>
        <v>5758225746</v>
      </c>
      <c r="G137" s="183">
        <v>0</v>
      </c>
      <c r="H137" s="183">
        <f t="shared" ref="H137:H139" si="232">(E137+F137)-G137</f>
        <v>5758225746</v>
      </c>
      <c r="I137" s="184">
        <f>GETPIVOTDATA("Suma de CDP",Validaciones!$BF$3,"REC","11")</f>
        <v>5723754687</v>
      </c>
      <c r="J137" s="185">
        <f t="shared" si="197"/>
        <v>0.99401359715291715</v>
      </c>
      <c r="K137" s="184">
        <f>GETPIVOTDATA("Suma de COMPROMISO",Validaciones!$BF$3,"REC","11")</f>
        <v>5229506988.5299997</v>
      </c>
      <c r="L137" s="185">
        <f t="shared" si="198"/>
        <v>0.90818026579849198</v>
      </c>
      <c r="M137" s="184">
        <f>GETPIVOTDATA("Suma de OBLIGACION",Validaciones!$BF$3,"REC","11")</f>
        <v>4488405175.1999998</v>
      </c>
      <c r="N137" s="185">
        <f t="shared" si="199"/>
        <v>0.77947711208055859</v>
      </c>
      <c r="O137" s="183">
        <f>GETPIVOTDATA("Suma de PAGOS",Validaciones!$BF$3,"REC","11")</f>
        <v>4488405175.1999998</v>
      </c>
      <c r="P137" s="185">
        <f t="shared" si="201"/>
        <v>0.77947711208055859</v>
      </c>
      <c r="Q137" s="184">
        <f t="shared" ref="Q137:Q139" si="233">H137-I137</f>
        <v>34471059</v>
      </c>
      <c r="R137" s="186">
        <f t="shared" si="203"/>
        <v>5.9864028470828206E-3</v>
      </c>
    </row>
    <row r="138" spans="2:18" ht="15" customHeight="1" x14ac:dyDescent="0.25">
      <c r="C138" s="263"/>
      <c r="D138" s="182" t="s">
        <v>273</v>
      </c>
      <c r="E138" s="183">
        <v>0</v>
      </c>
      <c r="F138" s="183">
        <f>GETPIVOTDATA("Suma de APR. VIGENTE",Validaciones!$BF$3,"REC","20")</f>
        <v>10080571819</v>
      </c>
      <c r="G138" s="183">
        <v>0</v>
      </c>
      <c r="H138" s="183">
        <f t="shared" si="232"/>
        <v>10080571819</v>
      </c>
      <c r="I138" s="184">
        <f>GETPIVOTDATA("Suma de CDP",Validaciones!$BF$3,"REC","20")</f>
        <v>9832598548.9799995</v>
      </c>
      <c r="J138" s="185">
        <f t="shared" si="197"/>
        <v>0.97540087264170694</v>
      </c>
      <c r="K138" s="184">
        <f>GETPIVOTDATA("Suma de COMPROMISO",Validaciones!$BF$3,"REC","20")</f>
        <v>8848287065.7800007</v>
      </c>
      <c r="L138" s="185">
        <f t="shared" si="198"/>
        <v>0.87775646309097544</v>
      </c>
      <c r="M138" s="184">
        <f>GETPIVOTDATA("Suma de OBLIGACION",Validaciones!$BF$3,"REC","20")</f>
        <v>6421523198.7900009</v>
      </c>
      <c r="N138" s="185">
        <f t="shared" si="199"/>
        <v>0.63701973599222084</v>
      </c>
      <c r="O138" s="183">
        <f>GETPIVOTDATA("Suma de PAGOS",Validaciones!$BF$3,"REC","20")</f>
        <v>6419150293.7900009</v>
      </c>
      <c r="P138" s="185">
        <f t="shared" si="201"/>
        <v>0.63678434210359958</v>
      </c>
      <c r="Q138" s="184">
        <f t="shared" si="233"/>
        <v>247973270.02000046</v>
      </c>
      <c r="R138" s="186">
        <f t="shared" si="203"/>
        <v>2.4599127358293012E-2</v>
      </c>
    </row>
    <row r="139" spans="2:18" ht="15" customHeight="1" x14ac:dyDescent="0.25">
      <c r="C139" s="263"/>
      <c r="D139" s="119" t="s">
        <v>10659</v>
      </c>
      <c r="E139" s="164">
        <v>0</v>
      </c>
      <c r="F139" s="164">
        <v>0</v>
      </c>
      <c r="G139" s="164">
        <v>0</v>
      </c>
      <c r="H139" s="164">
        <f t="shared" si="232"/>
        <v>0</v>
      </c>
      <c r="I139" s="170">
        <v>0</v>
      </c>
      <c r="J139" s="118">
        <f t="shared" si="197"/>
        <v>0</v>
      </c>
      <c r="K139" s="170"/>
      <c r="L139" s="118">
        <f t="shared" si="198"/>
        <v>0</v>
      </c>
      <c r="M139" s="170"/>
      <c r="N139" s="118">
        <f t="shared" si="199"/>
        <v>0</v>
      </c>
      <c r="O139" s="119"/>
      <c r="P139" s="118">
        <f t="shared" si="201"/>
        <v>0</v>
      </c>
      <c r="Q139" s="170">
        <f t="shared" si="233"/>
        <v>0</v>
      </c>
      <c r="R139" s="163">
        <f t="shared" si="203"/>
        <v>0</v>
      </c>
    </row>
    <row r="140" spans="2:18" ht="15" customHeight="1" x14ac:dyDescent="0.25">
      <c r="C140" s="263"/>
      <c r="D140" s="166" t="s">
        <v>10651</v>
      </c>
      <c r="E140" s="167">
        <f>SUM(E137:E139)</f>
        <v>0</v>
      </c>
      <c r="F140" s="167">
        <f t="shared" ref="F140" si="234">SUM(F137:F139)</f>
        <v>15838797565</v>
      </c>
      <c r="G140" s="167">
        <f t="shared" ref="G140" si="235">SUM(G137:G139)</f>
        <v>0</v>
      </c>
      <c r="H140" s="167">
        <f t="shared" ref="H140" si="236">SUM(H137:H139)</f>
        <v>15838797565</v>
      </c>
      <c r="I140" s="172">
        <f t="shared" ref="I140" si="237">SUM(I137:I139)</f>
        <v>15556353235.98</v>
      </c>
      <c r="J140" s="168">
        <f t="shared" si="197"/>
        <v>0.98216756493913804</v>
      </c>
      <c r="K140" s="172">
        <f t="shared" ref="K140" si="238">SUM(K137:K139)</f>
        <v>14077794054.310001</v>
      </c>
      <c r="L140" s="168">
        <f t="shared" si="198"/>
        <v>0.88881709590244395</v>
      </c>
      <c r="M140" s="172">
        <f t="shared" ref="M140" si="239">SUM(M137:M139)</f>
        <v>10909928373.990002</v>
      </c>
      <c r="N140" s="168">
        <f t="shared" si="199"/>
        <v>0.68881039291128798</v>
      </c>
      <c r="O140" s="167">
        <f t="shared" ref="O140" si="240">SUM(O137:O139)</f>
        <v>10907555468.990002</v>
      </c>
      <c r="P140" s="168">
        <f t="shared" si="201"/>
        <v>0.68866057692997618</v>
      </c>
      <c r="Q140" s="167">
        <f t="shared" ref="Q140" si="241">SUM(Q137:Q139)</f>
        <v>282444329.02000046</v>
      </c>
      <c r="R140" s="169">
        <f t="shared" si="203"/>
        <v>1.7832435060861924E-2</v>
      </c>
    </row>
    <row r="141" spans="2:18" ht="15" customHeight="1" x14ac:dyDescent="0.25">
      <c r="C141" s="259" t="s">
        <v>10651</v>
      </c>
      <c r="D141" s="119" t="s">
        <v>266</v>
      </c>
      <c r="E141" s="164">
        <f t="shared" ref="E141:I143" si="242">SUMIF($D$57:$D$140,$D141,E$57:E$140)</f>
        <v>20322395945</v>
      </c>
      <c r="F141" s="164">
        <f t="shared" si="242"/>
        <v>5758225746</v>
      </c>
      <c r="G141" s="164">
        <f t="shared" si="242"/>
        <v>5718225746</v>
      </c>
      <c r="H141" s="164">
        <f t="shared" si="242"/>
        <v>20362395945</v>
      </c>
      <c r="I141" s="164">
        <f t="shared" si="242"/>
        <v>19838400302.629997</v>
      </c>
      <c r="J141" s="118">
        <f t="shared" si="197"/>
        <v>0.97426650361846689</v>
      </c>
      <c r="K141" s="170">
        <f>SUMIF($D$57:$D$140,$D141,K$57:K$140)</f>
        <v>18101527350.190002</v>
      </c>
      <c r="L141" s="118">
        <f t="shared" si="198"/>
        <v>0.88896843962190242</v>
      </c>
      <c r="M141" s="170">
        <f>SUMIF($D$57:$D$140,$D141,M$57:M$140)</f>
        <v>13565686665.639999</v>
      </c>
      <c r="N141" s="118">
        <f t="shared" si="199"/>
        <v>0.66621269433526864</v>
      </c>
      <c r="O141" s="164">
        <f>SUMIF($D$57:$D$140,$D141,O$57:O$140)</f>
        <v>13142969869.139999</v>
      </c>
      <c r="P141" s="118">
        <f t="shared" si="201"/>
        <v>0.64545301567850444</v>
      </c>
      <c r="Q141" s="164">
        <f>SUMIF($D$57:$D$140,$D141,Q$57:Q$140)</f>
        <v>523995642.37000036</v>
      </c>
      <c r="R141" s="163">
        <f t="shared" si="203"/>
        <v>2.5733496381533032E-2</v>
      </c>
    </row>
    <row r="142" spans="2:18" ht="15" customHeight="1" x14ac:dyDescent="0.25">
      <c r="C142" s="260"/>
      <c r="D142" s="119" t="s">
        <v>273</v>
      </c>
      <c r="E142" s="164">
        <f t="shared" si="242"/>
        <v>55295438877</v>
      </c>
      <c r="F142" s="164">
        <f t="shared" si="242"/>
        <v>12221819284</v>
      </c>
      <c r="G142" s="164">
        <f t="shared" si="242"/>
        <v>12221819284</v>
      </c>
      <c r="H142" s="164">
        <f t="shared" si="242"/>
        <v>55295438877</v>
      </c>
      <c r="I142" s="164">
        <f t="shared" si="242"/>
        <v>31308367714.709999</v>
      </c>
      <c r="J142" s="118">
        <f t="shared" si="197"/>
        <v>0.56620163164547443</v>
      </c>
      <c r="K142" s="170">
        <f>SUMIF($D$57:$D$140,$D142,K$57:K$140)</f>
        <v>27112659683.949997</v>
      </c>
      <c r="L142" s="118">
        <f t="shared" si="198"/>
        <v>0.49032361863082058</v>
      </c>
      <c r="M142" s="170">
        <f>SUMIF($D$57:$D$140,$D142,M$57:M$140)</f>
        <v>18917033856.120003</v>
      </c>
      <c r="N142" s="118">
        <f t="shared" si="199"/>
        <v>0.34210839520053971</v>
      </c>
      <c r="O142" s="164">
        <f>SUMIF($D$57:$D$140,$D142,O$57:O$140)</f>
        <v>18090537225.120003</v>
      </c>
      <c r="P142" s="118">
        <f t="shared" si="201"/>
        <v>0.32716147285422337</v>
      </c>
      <c r="Q142" s="164">
        <f>SUMIF($D$57:$D$140,$D142,Q$57:Q$140)</f>
        <v>23987071162.290001</v>
      </c>
      <c r="R142" s="163">
        <f t="shared" si="203"/>
        <v>0.43379836835452557</v>
      </c>
    </row>
    <row r="143" spans="2:18" ht="15" customHeight="1" x14ac:dyDescent="0.25">
      <c r="C143" s="260"/>
      <c r="D143" s="119" t="s">
        <v>10659</v>
      </c>
      <c r="E143" s="164">
        <f t="shared" si="242"/>
        <v>134445997196</v>
      </c>
      <c r="F143" s="164">
        <f t="shared" si="242"/>
        <v>0</v>
      </c>
      <c r="G143" s="164">
        <f t="shared" si="242"/>
        <v>0</v>
      </c>
      <c r="H143" s="164">
        <f t="shared" si="242"/>
        <v>134445997196</v>
      </c>
      <c r="I143" s="164" t="e">
        <f t="shared" si="242"/>
        <v>#REF!</v>
      </c>
      <c r="J143" s="118">
        <f t="shared" si="197"/>
        <v>0</v>
      </c>
      <c r="K143" s="170" t="e">
        <f>SUMIF($D$57:$D$140,$D143,K$57:K$140)</f>
        <v>#REF!</v>
      </c>
      <c r="L143" s="118">
        <f t="shared" si="198"/>
        <v>0</v>
      </c>
      <c r="M143" s="170" t="e">
        <f>SUMIF($D$57:$D$140,$D143,M$57:M$140)</f>
        <v>#REF!</v>
      </c>
      <c r="N143" s="118">
        <f t="shared" si="199"/>
        <v>0</v>
      </c>
      <c r="O143" s="164" t="e">
        <f>SUMIF($D$57:$D$140,$D143,O$57:O$140)</f>
        <v>#REF!</v>
      </c>
      <c r="P143" s="118">
        <f t="shared" si="201"/>
        <v>0</v>
      </c>
      <c r="Q143" s="164" t="e">
        <f>SUMIF($D$57:$D$140,$D143,Q$57:Q$140)</f>
        <v>#REF!</v>
      </c>
      <c r="R143" s="163">
        <f t="shared" si="203"/>
        <v>0</v>
      </c>
    </row>
    <row r="144" spans="2:18" ht="15" customHeight="1" x14ac:dyDescent="0.25">
      <c r="C144" s="261"/>
      <c r="D144" s="119" t="s">
        <v>10651</v>
      </c>
      <c r="E144" s="164">
        <f>SUM(E141:E143)</f>
        <v>210063832018</v>
      </c>
      <c r="F144" s="164">
        <f>SUM(F141:F143)</f>
        <v>17980045030</v>
      </c>
      <c r="G144" s="164">
        <f>SUM(G141:G143)</f>
        <v>17940045030</v>
      </c>
      <c r="H144" s="164">
        <f t="shared" ref="H144" si="243">SUM(H141:H143)</f>
        <v>210103832018</v>
      </c>
      <c r="I144" s="164" t="e">
        <f t="shared" ref="I144" si="244">SUM(I141:I143)</f>
        <v>#REF!</v>
      </c>
      <c r="J144" s="118">
        <f t="shared" si="197"/>
        <v>0</v>
      </c>
      <c r="K144" s="170" t="e">
        <f t="shared" ref="K144" si="245">SUM(K141:K143)</f>
        <v>#REF!</v>
      </c>
      <c r="L144" s="118">
        <f t="shared" si="198"/>
        <v>0</v>
      </c>
      <c r="M144" s="170" t="e">
        <f t="shared" ref="M144" si="246">SUM(M141:M143)</f>
        <v>#REF!</v>
      </c>
      <c r="N144" s="118">
        <f t="shared" si="199"/>
        <v>0</v>
      </c>
      <c r="O144" s="164" t="e">
        <f t="shared" ref="O144" si="247">SUM(O141:O143)</f>
        <v>#REF!</v>
      </c>
      <c r="P144" s="118">
        <f t="shared" si="201"/>
        <v>0</v>
      </c>
      <c r="Q144" s="164" t="e">
        <f t="shared" ref="Q144" si="248">SUM(Q141:Q143)</f>
        <v>#REF!</v>
      </c>
      <c r="R144" s="163">
        <f t="shared" si="203"/>
        <v>0</v>
      </c>
    </row>
    <row r="146" spans="2:18" x14ac:dyDescent="0.25">
      <c r="H146" s="122">
        <f t="shared" ref="H146:I149" si="249">H141-H10</f>
        <v>40000000</v>
      </c>
      <c r="I146" s="122">
        <f t="shared" si="249"/>
        <v>61471864.279998779</v>
      </c>
      <c r="K146" s="122">
        <f>K141-K10</f>
        <v>-259990753.75999832</v>
      </c>
      <c r="M146" s="122">
        <f>M141-M10</f>
        <v>-1559580217.1700001</v>
      </c>
      <c r="O146" s="122">
        <f>O141-O10</f>
        <v>-1439026044.1700001</v>
      </c>
      <c r="Q146" s="122">
        <f>Q141-Q10</f>
        <v>-21471864.280001163</v>
      </c>
    </row>
    <row r="147" spans="2:18" x14ac:dyDescent="0.25">
      <c r="H147" s="122">
        <f t="shared" si="249"/>
        <v>0</v>
      </c>
      <c r="I147" s="122">
        <f t="shared" si="249"/>
        <v>54549905</v>
      </c>
      <c r="K147" s="122">
        <f>K142-K11</f>
        <v>54549904.999996185</v>
      </c>
      <c r="M147" s="122">
        <f>M142-M11</f>
        <v>-1170027870.9999962</v>
      </c>
      <c r="O147" s="122">
        <f>O142-O11</f>
        <v>-1209920840.9999962</v>
      </c>
      <c r="Q147" s="122">
        <f>Q142-Q11</f>
        <v>-54549905</v>
      </c>
    </row>
    <row r="148" spans="2:18" x14ac:dyDescent="0.25">
      <c r="H148" s="122">
        <f t="shared" si="249"/>
        <v>0</v>
      </c>
      <c r="I148" s="122" t="e">
        <f t="shared" si="249"/>
        <v>#REF!</v>
      </c>
      <c r="K148" s="122" t="e">
        <f>K143-K12</f>
        <v>#REF!</v>
      </c>
      <c r="M148" s="122" t="e">
        <f>M143-M12</f>
        <v>#REF!</v>
      </c>
      <c r="O148" s="122" t="e">
        <f>O143-O12</f>
        <v>#REF!</v>
      </c>
      <c r="Q148" s="122" t="e">
        <f>Q143-Q12</f>
        <v>#REF!</v>
      </c>
    </row>
    <row r="149" spans="2:18" x14ac:dyDescent="0.25">
      <c r="H149" s="122">
        <f t="shared" si="249"/>
        <v>40000000</v>
      </c>
      <c r="I149" s="122" t="e">
        <f t="shared" si="249"/>
        <v>#REF!</v>
      </c>
      <c r="K149" s="122" t="e">
        <f>K144-K13</f>
        <v>#REF!</v>
      </c>
      <c r="M149" s="122" t="e">
        <f>M144-M13</f>
        <v>#REF!</v>
      </c>
      <c r="O149" s="122" t="e">
        <f>O144-O13</f>
        <v>#REF!</v>
      </c>
      <c r="Q149" s="122" t="e">
        <f>Q144-Q13</f>
        <v>#REF!</v>
      </c>
    </row>
    <row r="154" spans="2:18" ht="21" hidden="1" x14ac:dyDescent="0.35">
      <c r="B154" s="253" t="s">
        <v>10653</v>
      </c>
      <c r="C154" s="253"/>
      <c r="D154" s="253"/>
      <c r="E154" s="253"/>
      <c r="F154" s="253"/>
      <c r="G154" s="253"/>
      <c r="H154"/>
    </row>
    <row r="155" spans="2:18" hidden="1" x14ac:dyDescent="0.25">
      <c r="E155"/>
      <c r="F155"/>
      <c r="G155"/>
      <c r="H155"/>
    </row>
    <row r="156" spans="2:18" ht="30" hidden="1" x14ac:dyDescent="0.25">
      <c r="B156" s="254" t="s">
        <v>10654</v>
      </c>
      <c r="C156" s="254"/>
      <c r="D156" s="195" t="s">
        <v>5704</v>
      </c>
      <c r="E156" s="196" t="s">
        <v>10655</v>
      </c>
      <c r="F156" s="197" t="s">
        <v>10644</v>
      </c>
      <c r="G156" s="197" t="s">
        <v>10656</v>
      </c>
      <c r="H156" s="197" t="s">
        <v>1</v>
      </c>
      <c r="I156" s="196" t="s">
        <v>254</v>
      </c>
      <c r="J156" s="195" t="s">
        <v>10647</v>
      </c>
      <c r="K156" s="196" t="s">
        <v>5</v>
      </c>
      <c r="L156" s="198" t="s">
        <v>10647</v>
      </c>
      <c r="M156" s="196" t="s">
        <v>7</v>
      </c>
      <c r="N156" s="195" t="s">
        <v>10647</v>
      </c>
      <c r="O156" s="196" t="s">
        <v>10648</v>
      </c>
      <c r="P156" s="195" t="s">
        <v>10647</v>
      </c>
      <c r="Q156" s="196" t="s">
        <v>10649</v>
      </c>
      <c r="R156" s="195" t="s">
        <v>10647</v>
      </c>
    </row>
    <row r="157" spans="2:18" hidden="1" x14ac:dyDescent="0.25">
      <c r="B157" s="249" t="s">
        <v>186</v>
      </c>
      <c r="C157" s="249"/>
      <c r="D157" s="192" t="s">
        <v>266</v>
      </c>
      <c r="E157" s="193">
        <f>E57+E61+E85-E22</f>
        <v>-2</v>
      </c>
      <c r="F157" s="119">
        <v>0</v>
      </c>
      <c r="G157" s="119">
        <v>0</v>
      </c>
      <c r="H157" s="170">
        <f>E157+F157-G157</f>
        <v>-2</v>
      </c>
      <c r="I157" s="170">
        <f>GETPIVOTDATA("CDP ",Validaciones!$A$1,"REC","Otros recursos del tesoro","DESCRIPCION",$B$22,"DESCRIPCION3","Inversión","DESCRIPCION5","Inversión")</f>
        <v>9949786760</v>
      </c>
      <c r="J157" s="194">
        <f t="shared" ref="J157:J187" si="250">IFERROR(I157/H157,0)</f>
        <v>-4974893380</v>
      </c>
      <c r="K157" s="170">
        <f>GETPIVOTDATA("Compromisos",Validaciones!$A$1,"REC","Otros recursos del tesoro","DESCRIPCION",$B$22,"DESCRIPCION3","Inversión","DESCRIPCION5","Inversión")</f>
        <v>9253738888.0300007</v>
      </c>
      <c r="L157" s="194">
        <f t="shared" ref="L157:L187" si="251">IFERROR(K157/H157,0)</f>
        <v>-4626869444.0150003</v>
      </c>
      <c r="M157" s="170">
        <f>GETPIVOTDATA("Obligaciones",Validaciones!$A$1,"REC","Otros recursos del tesoro","DESCRIPCION",$B$22,"DESCRIPCION3","Inversión","DESCRIPCION5","Inversión")</f>
        <v>7415354513.9899998</v>
      </c>
      <c r="N157" s="194">
        <f t="shared" ref="N157:N187" si="252">IFERROR(M157/H157,0)</f>
        <v>-3707677256.9949999</v>
      </c>
      <c r="O157" s="170">
        <f>GETPIVOTDATA("Pagos",Validaciones!$A$1,"REC","Otros recursos del tesoro","DESCRIPCION",$B$22,"DESCRIPCION3","Inversión","DESCRIPCION5","Inversión")</f>
        <v>7285112991.9899998</v>
      </c>
      <c r="P157" s="194">
        <f t="shared" ref="P157:P187" si="253">IFERROR(O157/H157,0)</f>
        <v>-3642556495.9949999</v>
      </c>
      <c r="Q157" s="170">
        <f t="shared" ref="Q157:Q183" si="254">H157-I157</f>
        <v>-9949786762</v>
      </c>
      <c r="R157" s="194">
        <f t="shared" ref="R157:R186" si="255">IFERROR(Q157/H157,0)</f>
        <v>4974893381</v>
      </c>
    </row>
    <row r="158" spans="2:18" hidden="1" x14ac:dyDescent="0.25">
      <c r="B158" s="249"/>
      <c r="C158" s="249"/>
      <c r="D158" s="192" t="s">
        <v>273</v>
      </c>
      <c r="E158" s="193">
        <f>E58+E62-E23</f>
        <v>2</v>
      </c>
      <c r="F158" s="119">
        <v>0</v>
      </c>
      <c r="G158" s="119">
        <v>0</v>
      </c>
      <c r="H158" s="170">
        <f t="shared" ref="H158:H183" si="256">E158+F158-G158</f>
        <v>2</v>
      </c>
      <c r="I158" s="170">
        <f>GETPIVOTDATA("CDP ",Validaciones!$A$1,"REC","Ingresos corrientes","DESCRIPCION",$B$22,"DESCRIPCION3","Inversión","DESCRIPCION5","Inversión")</f>
        <v>18989989418.950001</v>
      </c>
      <c r="J158" s="194">
        <f t="shared" si="250"/>
        <v>9494994709.4750004</v>
      </c>
      <c r="K158" s="170">
        <f>GETPIVOTDATA("Compromisos",Validaciones!$A$1,"REC","Ingresos corrientes","DESCRIPCION",$B$22,"DESCRIPCION3","Inversión","DESCRIPCION5","Inversión")</f>
        <v>15886537987.190001</v>
      </c>
      <c r="L158" s="194">
        <f t="shared" si="251"/>
        <v>7943268993.5950003</v>
      </c>
      <c r="M158" s="170">
        <f>GETPIVOTDATA("Obligaciones",Validaciones!$A$1,"REC","Ingresos corrientes","DESCRIPCION",$B$22,"DESCRIPCION3","Inversión","DESCRIPCION5","Inversión")</f>
        <v>11320863757.85</v>
      </c>
      <c r="N158" s="194">
        <f t="shared" si="252"/>
        <v>5660431878.9250002</v>
      </c>
      <c r="O158" s="170">
        <f>GETPIVOTDATA("Pagos",Validaciones!$A$1,"REC","Ingresos corrientes","DESCRIPCION",$B$22,"DESCRIPCION3","Inversión","DESCRIPCION5","Inversión")</f>
        <v>11101127084.85</v>
      </c>
      <c r="P158" s="194">
        <f t="shared" si="253"/>
        <v>5550563542.4250002</v>
      </c>
      <c r="Q158" s="170">
        <f t="shared" si="254"/>
        <v>-18989989416.950001</v>
      </c>
      <c r="R158" s="194">
        <f t="shared" si="255"/>
        <v>-9494994708.4750004</v>
      </c>
    </row>
    <row r="159" spans="2:18" hidden="1" x14ac:dyDescent="0.25">
      <c r="B159" s="249"/>
      <c r="C159" s="249"/>
      <c r="D159" s="192" t="s">
        <v>10652</v>
      </c>
      <c r="E159" s="193">
        <f>E63+E71+E75+E91+E99+E107+E123-E24</f>
        <v>0</v>
      </c>
      <c r="F159" s="119">
        <v>0</v>
      </c>
      <c r="G159" s="119">
        <v>0</v>
      </c>
      <c r="H159" s="170">
        <f t="shared" si="256"/>
        <v>0</v>
      </c>
      <c r="I159" s="170">
        <f>GETPIVOTDATA("CDP ",Validaciones!$A$1,"REC","Prestamos destinación específica","DESCRIPCION",$B$22,"DESCRIPCION3","Inversión","DESCRIPCION5","Inversión")</f>
        <v>60450665807.019997</v>
      </c>
      <c r="J159" s="194">
        <f t="shared" si="250"/>
        <v>0</v>
      </c>
      <c r="K159" s="170">
        <f>GETPIVOTDATA("Compromisos",Validaciones!$A$1,"REC","Prestamos destinación específica","DESCRIPCION",$B$22,"DESCRIPCION3","Inversión","DESCRIPCION5","Inversión")</f>
        <v>29589312278.43</v>
      </c>
      <c r="L159" s="194">
        <f t="shared" si="251"/>
        <v>0</v>
      </c>
      <c r="M159" s="170">
        <f>GETPIVOTDATA("Obligaciones",Validaciones!$A$1,"REC","Prestamos destinación específica","DESCRIPCION",$B$22,"DESCRIPCION3","Inversión","DESCRIPCION5","Inversión")</f>
        <v>7506082286.0299997</v>
      </c>
      <c r="N159" s="194">
        <f t="shared" si="252"/>
        <v>0</v>
      </c>
      <c r="O159" s="170">
        <f>GETPIVOTDATA("Pagos",Validaciones!$A$1,"REC","Prestamos destinación específica","DESCRIPCION",$B$22,"DESCRIPCION3","Inversión","DESCRIPCION5","Inversión")</f>
        <v>7469332926.0299997</v>
      </c>
      <c r="P159" s="194">
        <f t="shared" si="253"/>
        <v>0</v>
      </c>
      <c r="Q159" s="170">
        <f t="shared" si="254"/>
        <v>-60450665807.019997</v>
      </c>
      <c r="R159" s="194">
        <f t="shared" si="255"/>
        <v>0</v>
      </c>
    </row>
    <row r="160" spans="2:18" hidden="1" x14ac:dyDescent="0.25">
      <c r="B160" s="249"/>
      <c r="C160" s="249"/>
      <c r="D160" s="199" t="s">
        <v>10651</v>
      </c>
      <c r="E160" s="200">
        <f>SUM(E157:E159)</f>
        <v>0</v>
      </c>
      <c r="F160" s="200">
        <v>0</v>
      </c>
      <c r="G160" s="200">
        <v>0</v>
      </c>
      <c r="H160" s="201">
        <f t="shared" si="256"/>
        <v>0</v>
      </c>
      <c r="I160" s="201">
        <f>SUM(I157:I159)</f>
        <v>89390441985.970001</v>
      </c>
      <c r="J160" s="202">
        <f t="shared" si="250"/>
        <v>0</v>
      </c>
      <c r="K160" s="201">
        <f>SUM(K157:K159)</f>
        <v>54729589153.650002</v>
      </c>
      <c r="L160" s="202">
        <f t="shared" si="251"/>
        <v>0</v>
      </c>
      <c r="M160" s="201">
        <f>SUM(M157:M159)</f>
        <v>26242300557.869999</v>
      </c>
      <c r="N160" s="202">
        <f t="shared" si="252"/>
        <v>0</v>
      </c>
      <c r="O160" s="201">
        <f>SUM(O157:O159)</f>
        <v>25855573002.869999</v>
      </c>
      <c r="P160" s="202">
        <f t="shared" si="253"/>
        <v>0</v>
      </c>
      <c r="Q160" s="201">
        <f t="shared" si="254"/>
        <v>-89390441985.970001</v>
      </c>
      <c r="R160" s="202">
        <f t="shared" si="255"/>
        <v>0</v>
      </c>
    </row>
    <row r="161" spans="2:18" hidden="1" x14ac:dyDescent="0.25">
      <c r="B161" s="249" t="s">
        <v>197</v>
      </c>
      <c r="C161" s="249"/>
      <c r="D161" s="192" t="s">
        <v>266</v>
      </c>
      <c r="E161" s="193">
        <f>E81-E26</f>
        <v>0</v>
      </c>
      <c r="F161" s="119">
        <v>0</v>
      </c>
      <c r="G161" s="119">
        <v>0</v>
      </c>
      <c r="H161" s="170">
        <f t="shared" si="256"/>
        <v>0</v>
      </c>
      <c r="I161" s="170">
        <f>GETPIVOTDATA("CDP ",Validaciones!$A$1,"REC","Otros recursos del tesoro","DESCRIPCION",$B$26,"DESCRIPCION3","Inversión","DESCRIPCION5","Inversión")</f>
        <v>117774174</v>
      </c>
      <c r="J161" s="194">
        <f t="shared" si="250"/>
        <v>0</v>
      </c>
      <c r="K161" s="170">
        <f>GETPIVOTDATA("Compromisos",Validaciones!$A$1,"REC","Otros recursos del tesoro","DESCRIPCION",$B$26,"DESCRIPCION3","Inversión","DESCRIPCION5","Inversión")</f>
        <v>117774174</v>
      </c>
      <c r="L161" s="194">
        <f t="shared" si="251"/>
        <v>0</v>
      </c>
      <c r="M161" s="170">
        <f>GETPIVOTDATA("Obligaciones",Validaciones!$A$1,"REC","Otros recursos del tesoro","DESCRIPCION",$B$26,"DESCRIPCION3","Inversión","DESCRIPCION5","Inversión")</f>
        <v>117529828</v>
      </c>
      <c r="N161" s="194">
        <f t="shared" si="252"/>
        <v>0</v>
      </c>
      <c r="O161" s="170">
        <f>GETPIVOTDATA("Pagos",Validaciones!$A$1,"REC","Otros recursos del tesoro","DESCRIPCION",$B$26,"DESCRIPCION3","Inversión","DESCRIPCION5","Inversión")</f>
        <v>117529828</v>
      </c>
      <c r="P161" s="194">
        <f t="shared" si="253"/>
        <v>0</v>
      </c>
      <c r="Q161" s="170">
        <f t="shared" si="254"/>
        <v>-117774174</v>
      </c>
      <c r="R161" s="194">
        <f t="shared" si="255"/>
        <v>0</v>
      </c>
    </row>
    <row r="162" spans="2:18" hidden="1" x14ac:dyDescent="0.25">
      <c r="B162" s="249"/>
      <c r="C162" s="249"/>
      <c r="D162" s="192" t="s">
        <v>273</v>
      </c>
      <c r="E162" s="193">
        <f>E82-E27</f>
        <v>0</v>
      </c>
      <c r="F162" s="119">
        <v>0</v>
      </c>
      <c r="G162" s="119">
        <v>0</v>
      </c>
      <c r="H162" s="170">
        <f t="shared" si="256"/>
        <v>0</v>
      </c>
      <c r="I162" s="170">
        <f>GETPIVOTDATA("CDP ",Validaciones!$A$1,"REC","Ingresos corrientes","DESCRIPCION",$B$26,"DESCRIPCION3","Inversión","DESCRIPCION5","Inversión")</f>
        <v>1080423572.8199999</v>
      </c>
      <c r="J162" s="194">
        <f t="shared" si="250"/>
        <v>0</v>
      </c>
      <c r="K162" s="170">
        <f>GETPIVOTDATA("Compromisos",Validaciones!$A$1,"REC","Ingresos corrientes","DESCRIPCION",$B$26,"DESCRIPCION3","Inversión","DESCRIPCION5","Inversión")</f>
        <v>1051131180.8200001</v>
      </c>
      <c r="L162" s="194">
        <f t="shared" si="251"/>
        <v>0</v>
      </c>
      <c r="M162" s="170">
        <f>GETPIVOTDATA("Obligaciones",Validaciones!$A$1,"REC","Ingresos corrientes","DESCRIPCION",$B$26,"DESCRIPCION3","Inversión","DESCRIPCION5","Inversión")</f>
        <v>840179497.82000005</v>
      </c>
      <c r="N162" s="194">
        <f t="shared" si="252"/>
        <v>0</v>
      </c>
      <c r="O162" s="170">
        <f>GETPIVOTDATA("Pagos",Validaciones!$A$1,"REC","Ingresos corrientes","DESCRIPCION",$B$26,"DESCRIPCION3","Inversión","DESCRIPCION5","Inversión")</f>
        <v>772137241.82000005</v>
      </c>
      <c r="P162" s="194">
        <f t="shared" si="253"/>
        <v>0</v>
      </c>
      <c r="Q162" s="170">
        <f t="shared" si="254"/>
        <v>-1080423572.8199999</v>
      </c>
      <c r="R162" s="194">
        <f t="shared" si="255"/>
        <v>0</v>
      </c>
    </row>
    <row r="163" spans="2:18" hidden="1" x14ac:dyDescent="0.25">
      <c r="B163" s="249"/>
      <c r="C163" s="249"/>
      <c r="D163" s="199" t="s">
        <v>10651</v>
      </c>
      <c r="E163" s="200">
        <f>SUM(E161:E162)</f>
        <v>0</v>
      </c>
      <c r="F163" s="200">
        <v>0</v>
      </c>
      <c r="G163" s="200">
        <v>0</v>
      </c>
      <c r="H163" s="201">
        <f t="shared" si="256"/>
        <v>0</v>
      </c>
      <c r="I163" s="201">
        <f>SUM(I161:I162)</f>
        <v>1198197746.8199999</v>
      </c>
      <c r="J163" s="202">
        <f t="shared" si="250"/>
        <v>0</v>
      </c>
      <c r="K163" s="201">
        <f>SUM(K161:K162)</f>
        <v>1168905354.8200002</v>
      </c>
      <c r="L163" s="202">
        <f t="shared" si="251"/>
        <v>0</v>
      </c>
      <c r="M163" s="201">
        <f>SUM(M161:M162)</f>
        <v>957709325.82000005</v>
      </c>
      <c r="N163" s="202">
        <f t="shared" si="252"/>
        <v>0</v>
      </c>
      <c r="O163" s="201">
        <f>SUM(O161:O162)</f>
        <v>889667069.82000005</v>
      </c>
      <c r="P163" s="202">
        <f t="shared" si="253"/>
        <v>0</v>
      </c>
      <c r="Q163" s="201">
        <f t="shared" si="254"/>
        <v>-1198197746.8199999</v>
      </c>
      <c r="R163" s="202">
        <f t="shared" si="255"/>
        <v>0</v>
      </c>
    </row>
    <row r="164" spans="2:18" hidden="1" x14ac:dyDescent="0.25">
      <c r="B164" s="249" t="s">
        <v>202</v>
      </c>
      <c r="C164" s="249"/>
      <c r="D164" s="192" t="s">
        <v>266</v>
      </c>
      <c r="E164" s="193">
        <f>E89+E93+E97+E105+E121+E129+-E29</f>
        <v>0</v>
      </c>
      <c r="F164" s="119">
        <v>0</v>
      </c>
      <c r="G164" s="119">
        <v>0</v>
      </c>
      <c r="H164" s="170">
        <f t="shared" si="256"/>
        <v>0</v>
      </c>
      <c r="I164" s="170">
        <f>GETPIVOTDATA("CDP ",Validaciones!$A$1,"REC","Otros recursos del tesoro","DESCRIPCION",$B$29,"DESCRIPCION3","Inversión","DESCRIPCION5","Inversión")</f>
        <v>2496618136.7199998</v>
      </c>
      <c r="J164" s="194">
        <f t="shared" si="250"/>
        <v>0</v>
      </c>
      <c r="K164" s="170">
        <f>GETPIVOTDATA("Compromisos",Validaciones!$A$1,"REC","Otros recursos del tesoro","DESCRIPCION",$B$29,"DESCRIPCION3","Inversión","DESCRIPCION5","Inversión")</f>
        <v>2395063284.7600002</v>
      </c>
      <c r="L164" s="194">
        <f t="shared" si="251"/>
        <v>0</v>
      </c>
      <c r="M164" s="170">
        <f>GETPIVOTDATA("Obligaciones",Validaciones!$A$1,"REC","Otros recursos del tesoro","DESCRIPCION",$B$29,"DESCRIPCION3","Inversión","DESCRIPCION5","Inversión")</f>
        <v>1931832968.24</v>
      </c>
      <c r="N164" s="194">
        <f t="shared" si="252"/>
        <v>0</v>
      </c>
      <c r="O164" s="170">
        <f>GETPIVOTDATA("Pagos",Validaciones!$A$1,"REC","Otros recursos del tesoro","DESCRIPCION",$B$29,"DESCRIPCION3","Inversión","DESCRIPCION5","Inversión")</f>
        <v>1803025998.24</v>
      </c>
      <c r="P164" s="194">
        <f t="shared" si="253"/>
        <v>0</v>
      </c>
      <c r="Q164" s="170">
        <f t="shared" si="254"/>
        <v>-2496618136.7199998</v>
      </c>
      <c r="R164" s="194">
        <f t="shared" si="255"/>
        <v>0</v>
      </c>
    </row>
    <row r="165" spans="2:18" hidden="1" x14ac:dyDescent="0.25">
      <c r="B165" s="249"/>
      <c r="C165" s="249"/>
      <c r="D165" s="192" t="s">
        <v>273</v>
      </c>
      <c r="E165" s="193">
        <f>E90+E94+E98+E106+E122+E110+E114+E130+-E30</f>
        <v>0</v>
      </c>
      <c r="F165" s="119">
        <v>0</v>
      </c>
      <c r="G165" s="119">
        <v>0</v>
      </c>
      <c r="H165" s="170">
        <f t="shared" si="256"/>
        <v>0</v>
      </c>
      <c r="I165" s="170">
        <f>GETPIVOTDATA("CDP ",Validaciones!$A$1,"REC","Ingresos corrientes","DESCRIPCION",$B$29,"DESCRIPCION3","Inversión","DESCRIPCION5","Inversión")</f>
        <v>3225685494</v>
      </c>
      <c r="J165" s="194">
        <f t="shared" si="250"/>
        <v>0</v>
      </c>
      <c r="K165" s="170">
        <f>GETPIVOTDATA("Compromisos",Validaciones!$A$1,"REC","Ingresos corrientes","DESCRIPCION",$B$29,"DESCRIPCION3","Inversión","DESCRIPCION5","Inversión")</f>
        <v>3225685494</v>
      </c>
      <c r="L165" s="194">
        <f t="shared" si="251"/>
        <v>0</v>
      </c>
      <c r="M165" s="170">
        <f>GETPIVOTDATA("Obligaciones",Validaciones!$A$1,"REC","Ingresos corrientes","DESCRIPCION",$B$29,"DESCRIPCION3","Inversión","DESCRIPCION5","Inversión")</f>
        <v>2876237352</v>
      </c>
      <c r="N165" s="194">
        <f t="shared" si="252"/>
        <v>0</v>
      </c>
      <c r="O165" s="170">
        <f>GETPIVOTDATA("Pagos",Validaciones!$A$1,"REC","Ingresos corrientes","DESCRIPCION",$B$29,"DESCRIPCION3","Inversión","DESCRIPCION5","Inversión")</f>
        <v>2788377599</v>
      </c>
      <c r="P165" s="194">
        <f t="shared" si="253"/>
        <v>0</v>
      </c>
      <c r="Q165" s="170">
        <f t="shared" si="254"/>
        <v>-3225685494</v>
      </c>
      <c r="R165" s="194">
        <f t="shared" si="255"/>
        <v>0</v>
      </c>
    </row>
    <row r="166" spans="2:18" hidden="1" x14ac:dyDescent="0.25">
      <c r="B166" s="249"/>
      <c r="C166" s="249"/>
      <c r="D166" s="199" t="s">
        <v>10651</v>
      </c>
      <c r="E166" s="200">
        <f>SUM(E164:E165)</f>
        <v>0</v>
      </c>
      <c r="F166" s="200">
        <v>0</v>
      </c>
      <c r="G166" s="200">
        <v>0</v>
      </c>
      <c r="H166" s="201">
        <f t="shared" si="256"/>
        <v>0</v>
      </c>
      <c r="I166" s="201">
        <f>SUM(I164:I165)</f>
        <v>5722303630.7199993</v>
      </c>
      <c r="J166" s="202">
        <f t="shared" si="250"/>
        <v>0</v>
      </c>
      <c r="K166" s="201">
        <f>SUM(K164:K165)</f>
        <v>5620748778.7600002</v>
      </c>
      <c r="L166" s="202">
        <f t="shared" si="251"/>
        <v>0</v>
      </c>
      <c r="M166" s="201">
        <f>SUM(M164:M165)</f>
        <v>4808070320.2399998</v>
      </c>
      <c r="N166" s="202">
        <f t="shared" si="252"/>
        <v>0</v>
      </c>
      <c r="O166" s="201">
        <f>SUM(O164:O165)</f>
        <v>4591403597.2399998</v>
      </c>
      <c r="P166" s="202">
        <f t="shared" si="253"/>
        <v>0</v>
      </c>
      <c r="Q166" s="201">
        <f t="shared" si="254"/>
        <v>-5722303630.7199993</v>
      </c>
      <c r="R166" s="202">
        <f t="shared" si="255"/>
        <v>0</v>
      </c>
    </row>
    <row r="167" spans="2:18" hidden="1" x14ac:dyDescent="0.25">
      <c r="B167" s="249" t="s">
        <v>207</v>
      </c>
      <c r="C167" s="249"/>
      <c r="D167" s="192" t="s">
        <v>266</v>
      </c>
      <c r="E167" s="193">
        <f>E125-206818844-E32</f>
        <v>0</v>
      </c>
      <c r="F167" s="119">
        <v>0</v>
      </c>
      <c r="G167" s="119">
        <v>0</v>
      </c>
      <c r="H167" s="170">
        <f t="shared" si="256"/>
        <v>0</v>
      </c>
      <c r="I167" s="170">
        <f>GETPIVOTDATA("CDP ",Validaciones!$A$1,"REC","Otros recursos del tesoro","DESCRIPCION",$B$32,"DESCRIPCION3","Inversión","DESCRIPCION5","Inversión")</f>
        <v>935183003.40999997</v>
      </c>
      <c r="J167" s="194">
        <f t="shared" si="250"/>
        <v>0</v>
      </c>
      <c r="K167" s="170">
        <f>GETPIVOTDATA("Compromisos",Validaciones!$A$1,"REC","Otros recursos del tesoro","DESCRIPCION",$B$32,"DESCRIPCION3","Inversión","DESCRIPCION5","Inversión")</f>
        <v>439419196.94</v>
      </c>
      <c r="L167" s="194">
        <f t="shared" si="251"/>
        <v>0</v>
      </c>
      <c r="M167" s="170">
        <f>GETPIVOTDATA("Obligaciones",Validaciones!$A$1,"REC","Otros recursos del tesoro","DESCRIPCION",$B$32,"DESCRIPCION3","Inversión","DESCRIPCION5","Inversión")</f>
        <v>229213194</v>
      </c>
      <c r="N167" s="194">
        <f t="shared" si="252"/>
        <v>0</v>
      </c>
      <c r="O167" s="170">
        <f>GETPIVOTDATA("Pagos",Validaciones!$A$1,"REC","Otros recursos del tesoro","DESCRIPCION",$B$32,"DESCRIPCION3","Inversión","DESCRIPCION5","Inversión")</f>
        <v>221882828</v>
      </c>
      <c r="P167" s="194">
        <f t="shared" si="253"/>
        <v>0</v>
      </c>
      <c r="Q167" s="170">
        <f t="shared" si="254"/>
        <v>-935183003.40999997</v>
      </c>
      <c r="R167" s="194">
        <f t="shared" si="255"/>
        <v>0</v>
      </c>
    </row>
    <row r="168" spans="2:18" hidden="1" x14ac:dyDescent="0.25">
      <c r="B168" s="249"/>
      <c r="C168" s="249"/>
      <c r="D168" s="192" t="s">
        <v>273</v>
      </c>
      <c r="E168" s="193">
        <f>E126-793530741</f>
        <v>0</v>
      </c>
      <c r="F168" s="119">
        <v>0</v>
      </c>
      <c r="G168" s="119">
        <v>0</v>
      </c>
      <c r="H168" s="170">
        <f t="shared" si="256"/>
        <v>0</v>
      </c>
      <c r="I168" s="170">
        <f>GETPIVOTDATA("CDP ",Validaciones!$A$1,"REC","Ingresos corrientes","DESCRIPCION",$B$32,"DESCRIPCION3","Inversión","DESCRIPCION5","Inversión")</f>
        <v>104087600</v>
      </c>
      <c r="J168" s="194">
        <f t="shared" si="250"/>
        <v>0</v>
      </c>
      <c r="K168" s="170">
        <f>GETPIVOTDATA("Compromisos",Validaciones!$A$1,"REC","Ingresos corrientes","DESCRIPCION",$B$32,"DESCRIPCION3","Inversión","DESCRIPCION5","Inversión")</f>
        <v>104087600</v>
      </c>
      <c r="L168" s="194">
        <f t="shared" si="251"/>
        <v>0</v>
      </c>
      <c r="M168" s="170">
        <f>GETPIVOTDATA("Obligaciones",Validaciones!$A$1,"REC","Ingresos corrientes","DESCRIPCION",$B$32,"DESCRIPCION3","Inversión","DESCRIPCION5","Inversión")</f>
        <v>83578903.870000005</v>
      </c>
      <c r="N168" s="194">
        <f t="shared" si="252"/>
        <v>0</v>
      </c>
      <c r="O168" s="170">
        <f>GETPIVOTDATA("Pagos",Validaciones!$A$1,"REC","Ingresos corrientes","DESCRIPCION",$B$32,"DESCRIPCION3","Inversión","DESCRIPCION5","Inversión")</f>
        <v>83578903.870000005</v>
      </c>
      <c r="P168" s="194">
        <f t="shared" si="253"/>
        <v>0</v>
      </c>
      <c r="Q168" s="170">
        <f t="shared" si="254"/>
        <v>-104087600</v>
      </c>
      <c r="R168" s="194">
        <f t="shared" si="255"/>
        <v>0</v>
      </c>
    </row>
    <row r="169" spans="2:18" hidden="1" x14ac:dyDescent="0.25">
      <c r="B169" s="249"/>
      <c r="C169" s="249"/>
      <c r="D169" s="199" t="s">
        <v>10651</v>
      </c>
      <c r="E169" s="200">
        <f>SUM(E167:E168)</f>
        <v>0</v>
      </c>
      <c r="F169" s="200">
        <v>0</v>
      </c>
      <c r="G169" s="200">
        <v>0</v>
      </c>
      <c r="H169" s="201">
        <f t="shared" si="256"/>
        <v>0</v>
      </c>
      <c r="I169" s="201">
        <f>SUM(I167:I168)</f>
        <v>1039270603.41</v>
      </c>
      <c r="J169" s="202">
        <f t="shared" si="250"/>
        <v>0</v>
      </c>
      <c r="K169" s="201">
        <f>SUM(K167:K168)</f>
        <v>543506796.94000006</v>
      </c>
      <c r="L169" s="202">
        <f t="shared" si="251"/>
        <v>0</v>
      </c>
      <c r="M169" s="201">
        <f>SUM(M167:M168)</f>
        <v>312792097.87</v>
      </c>
      <c r="N169" s="202">
        <f t="shared" si="252"/>
        <v>0</v>
      </c>
      <c r="O169" s="201">
        <f>SUM(O167:O168)</f>
        <v>305461731.87</v>
      </c>
      <c r="P169" s="202">
        <f t="shared" si="253"/>
        <v>0</v>
      </c>
      <c r="Q169" s="201">
        <f t="shared" si="254"/>
        <v>-1039270603.41</v>
      </c>
      <c r="R169" s="202">
        <f t="shared" si="255"/>
        <v>0</v>
      </c>
    </row>
    <row r="170" spans="2:18" hidden="1" x14ac:dyDescent="0.25">
      <c r="B170" s="249" t="s">
        <v>208</v>
      </c>
      <c r="C170" s="249"/>
      <c r="D170" s="192" t="s">
        <v>266</v>
      </c>
      <c r="E170" s="193">
        <v>54006100</v>
      </c>
      <c r="F170" s="119">
        <v>0</v>
      </c>
      <c r="G170" s="119">
        <v>0</v>
      </c>
      <c r="H170" s="170">
        <f t="shared" si="256"/>
        <v>54006100</v>
      </c>
      <c r="I170" s="170">
        <f>GETPIVOTDATA("CDP ",Validaciones!$A$1,"REC","Otros recursos del tesoro","DESCRIPCION",$B$35,"DESCRIPCION3","Inversión","DESCRIPCION5","Inversión")</f>
        <v>28778040</v>
      </c>
      <c r="J170" s="194">
        <f t="shared" si="250"/>
        <v>0.53286647249107044</v>
      </c>
      <c r="K170" s="170">
        <f>GETPIVOTDATA("Compromisos",Validaciones!$A$1,"REC","Otros recursos del tesoro","DESCRIPCION",$B$35,"DESCRIPCION3","Inversión","DESCRIPCION5","Inversión")</f>
        <v>23214645</v>
      </c>
      <c r="L170" s="194">
        <f t="shared" si="251"/>
        <v>0.42985227594660602</v>
      </c>
      <c r="M170" s="170">
        <f>GETPIVOTDATA("Obligaciones",Validaciones!$A$1,"REC","Otros recursos del tesoro","DESCRIPCION",$B$35,"DESCRIPCION3","Inversión","DESCRIPCION5","Inversión")</f>
        <v>11334213</v>
      </c>
      <c r="N170" s="194">
        <f t="shared" si="252"/>
        <v>0.20986912589503778</v>
      </c>
      <c r="O170" s="170">
        <f>GETPIVOTDATA("Pagos",Validaciones!$A$1,"REC","Otros recursos del tesoro","DESCRIPCION",$B$35,"DESCRIPCION3","Inversión","DESCRIPCION5","Inversión")</f>
        <v>11334213</v>
      </c>
      <c r="P170" s="194">
        <f t="shared" si="253"/>
        <v>0.20986912589503778</v>
      </c>
      <c r="Q170" s="170">
        <f t="shared" si="254"/>
        <v>25228060</v>
      </c>
      <c r="R170" s="194">
        <f t="shared" si="255"/>
        <v>0.46713352750892956</v>
      </c>
    </row>
    <row r="171" spans="2:18" hidden="1" x14ac:dyDescent="0.25">
      <c r="B171" s="249"/>
      <c r="C171" s="249"/>
      <c r="D171" s="192" t="s">
        <v>273</v>
      </c>
      <c r="E171" s="193">
        <v>969041818</v>
      </c>
      <c r="F171" s="119">
        <v>0</v>
      </c>
      <c r="G171" s="119">
        <v>0</v>
      </c>
      <c r="H171" s="170">
        <f t="shared" si="256"/>
        <v>969041818</v>
      </c>
      <c r="I171" s="170">
        <f>GETPIVOTDATA("CDP ",Validaciones!$A$1,"REC","Ingresos corrientes","DESCRIPCION",$B$35,"DESCRIPCION3","Inversión","DESCRIPCION5","Inversión")</f>
        <v>932735602</v>
      </c>
      <c r="J171" s="194">
        <f t="shared" si="250"/>
        <v>0.96253390171031816</v>
      </c>
      <c r="K171" s="170">
        <f>GETPIVOTDATA("Compromisos",Validaciones!$A$1,"REC","Ingresos corrientes","DESCRIPCION",$B$35,"DESCRIPCION3","Inversión","DESCRIPCION5","Inversión")</f>
        <v>925082658</v>
      </c>
      <c r="L171" s="194">
        <f t="shared" si="251"/>
        <v>0.95463646750485232</v>
      </c>
      <c r="M171" s="170">
        <f>GETPIVOTDATA("Obligaciones",Validaciones!$A$1,"REC","Ingresos corrientes","DESCRIPCION",$B$35,"DESCRIPCION3","Inversión","DESCRIPCION5","Inversión")</f>
        <v>787543958</v>
      </c>
      <c r="N171" s="194">
        <f t="shared" si="252"/>
        <v>0.81270378983789116</v>
      </c>
      <c r="O171" s="170">
        <f>GETPIVOTDATA("Pagos",Validaciones!$A$1,"REC","Ingresos corrientes","DESCRIPCION",$B$35,"DESCRIPCION3","Inversión","DESCRIPCION5","Inversión")</f>
        <v>762439993</v>
      </c>
      <c r="P171" s="194">
        <f t="shared" si="253"/>
        <v>0.78679782320807956</v>
      </c>
      <c r="Q171" s="170">
        <f t="shared" si="254"/>
        <v>36306216</v>
      </c>
      <c r="R171" s="194">
        <f t="shared" si="255"/>
        <v>3.7466098289681858E-2</v>
      </c>
    </row>
    <row r="172" spans="2:18" hidden="1" x14ac:dyDescent="0.25">
      <c r="B172" s="249"/>
      <c r="C172" s="249"/>
      <c r="D172" s="199" t="s">
        <v>10651</v>
      </c>
      <c r="E172" s="200">
        <f>SUM(E170:E171)</f>
        <v>1023047918</v>
      </c>
      <c r="F172" s="200">
        <v>0</v>
      </c>
      <c r="G172" s="200">
        <v>0</v>
      </c>
      <c r="H172" s="201">
        <f t="shared" si="256"/>
        <v>1023047918</v>
      </c>
      <c r="I172" s="201">
        <f>SUM(I170:I171)</f>
        <v>961513642</v>
      </c>
      <c r="J172" s="202">
        <f t="shared" si="250"/>
        <v>0.93985200994270535</v>
      </c>
      <c r="K172" s="201">
        <f>SUM(K170:K171)</f>
        <v>948297303</v>
      </c>
      <c r="L172" s="202">
        <f t="shared" si="251"/>
        <v>0.92693341759970227</v>
      </c>
      <c r="M172" s="201">
        <f>SUM(M170:M171)</f>
        <v>798878171</v>
      </c>
      <c r="N172" s="202">
        <f t="shared" si="252"/>
        <v>0.78088050123963015</v>
      </c>
      <c r="O172" s="201">
        <f>SUM(O170:O171)</f>
        <v>773774206</v>
      </c>
      <c r="P172" s="202">
        <f t="shared" si="253"/>
        <v>0.75634209540515385</v>
      </c>
      <c r="Q172" s="201">
        <f t="shared" si="254"/>
        <v>61534276</v>
      </c>
      <c r="R172" s="202">
        <f t="shared" si="255"/>
        <v>6.014799005729466E-2</v>
      </c>
    </row>
    <row r="173" spans="2:18" hidden="1" x14ac:dyDescent="0.25">
      <c r="B173" s="249" t="s">
        <v>209</v>
      </c>
      <c r="C173" s="249"/>
      <c r="D173" s="192" t="s">
        <v>266</v>
      </c>
      <c r="E173" s="193">
        <v>1170510266</v>
      </c>
      <c r="F173" s="119">
        <v>0</v>
      </c>
      <c r="G173" s="119">
        <v>0</v>
      </c>
      <c r="H173" s="170">
        <f t="shared" si="256"/>
        <v>1170510266</v>
      </c>
      <c r="I173" s="170">
        <f>GETPIVOTDATA("CDP ",Validaciones!$A$1,"REC","Otros recursos del tesoro","DESCRIPCION",$B$38,"DESCRIPCION3","Inversión","DESCRIPCION5","Inversión")</f>
        <v>1168915841</v>
      </c>
      <c r="J173" s="194">
        <f t="shared" si="250"/>
        <v>0.99863783766250203</v>
      </c>
      <c r="K173" s="170">
        <f>GETPIVOTDATA("Compromisos",Validaciones!$A$1,"REC","Otros recursos del tesoro","DESCRIPCION",$B$38,"DESCRIPCION3","Inversión","DESCRIPCION5","Inversión")</f>
        <v>1168915840</v>
      </c>
      <c r="L173" s="194">
        <f t="shared" si="251"/>
        <v>0.99863783680817375</v>
      </c>
      <c r="M173" s="170">
        <f>GETPIVOTDATA("Obligaciones",Validaciones!$A$1,"REC","Otros recursos del tesoro","DESCRIPCION",$B$38,"DESCRIPCION3","Inversión","DESCRIPCION5","Inversión")</f>
        <v>1137595916</v>
      </c>
      <c r="N173" s="194">
        <f t="shared" si="252"/>
        <v>0.97188034060352269</v>
      </c>
      <c r="O173" s="170">
        <f>GETPIVOTDATA("Pagos",Validaciones!$A$1,"REC","Otros recursos del tesoro","DESCRIPCION",$B$38,"DESCRIPCION3","Inversión","DESCRIPCION5","Inversión")</f>
        <v>1132612871</v>
      </c>
      <c r="P173" s="194">
        <f t="shared" si="253"/>
        <v>0.96762318443433459</v>
      </c>
      <c r="Q173" s="170">
        <f t="shared" si="254"/>
        <v>1594425</v>
      </c>
      <c r="R173" s="194">
        <f t="shared" si="255"/>
        <v>1.3621623374980292E-3</v>
      </c>
    </row>
    <row r="174" spans="2:18" hidden="1" x14ac:dyDescent="0.25">
      <c r="B174" s="249"/>
      <c r="C174" s="249"/>
      <c r="D174" s="192" t="s">
        <v>273</v>
      </c>
      <c r="E174" s="193">
        <v>11116476893</v>
      </c>
      <c r="F174" s="119">
        <v>0</v>
      </c>
      <c r="G174" s="119">
        <v>0</v>
      </c>
      <c r="H174" s="170">
        <f t="shared" si="256"/>
        <v>11116476893</v>
      </c>
      <c r="I174" s="170">
        <f>GETPIVOTDATA("CDP ",Validaciones!$A$1,"REC","Ingresos corrientes","DESCRIPCION",$B$38,"DESCRIPCION3","Inversión","DESCRIPCION5","Inversión")</f>
        <v>1049057258.78</v>
      </c>
      <c r="J174" s="194">
        <f t="shared" si="250"/>
        <v>9.4369580297565953E-2</v>
      </c>
      <c r="K174" s="170">
        <f>GETPIVOTDATA("Compromisos",Validaciones!$A$1,"REC","Ingresos corrientes","DESCRIPCION",$B$38,"DESCRIPCION3","Inversión","DESCRIPCION5","Inversión")</f>
        <v>412550815.77999997</v>
      </c>
      <c r="L174" s="194">
        <f t="shared" si="251"/>
        <v>3.711165144775154E-2</v>
      </c>
      <c r="M174" s="170">
        <f>GETPIVOTDATA("Obligaciones",Validaciones!$A$1,"REC","Ingresos corrientes","DESCRIPCION",$B$38,"DESCRIPCION3","Inversión","DESCRIPCION5","Inversión")</f>
        <v>218378259.78</v>
      </c>
      <c r="N174" s="194">
        <f t="shared" si="252"/>
        <v>1.9644556623646822E-2</v>
      </c>
      <c r="O174" s="170">
        <f>GETPIVOTDATA("Pagos",Validaciones!$A$1,"REC","Ingresos corrientes","DESCRIPCION",$B$38,"DESCRIPCION3","Inversión","DESCRIPCION5","Inversión")</f>
        <v>208637560.78</v>
      </c>
      <c r="P174" s="194">
        <f t="shared" si="253"/>
        <v>1.8768316867673985E-2</v>
      </c>
      <c r="Q174" s="170">
        <f t="shared" si="254"/>
        <v>10067419634.219999</v>
      </c>
      <c r="R174" s="194">
        <f t="shared" si="255"/>
        <v>0.90563041970243396</v>
      </c>
    </row>
    <row r="175" spans="2:18" hidden="1" x14ac:dyDescent="0.25">
      <c r="B175" s="249"/>
      <c r="C175" s="249"/>
      <c r="D175" s="199" t="s">
        <v>10651</v>
      </c>
      <c r="E175" s="200">
        <f>SUM(E173:E174)</f>
        <v>12286987159</v>
      </c>
      <c r="F175" s="200">
        <v>0</v>
      </c>
      <c r="G175" s="200">
        <v>0</v>
      </c>
      <c r="H175" s="201">
        <f t="shared" si="256"/>
        <v>12286987159</v>
      </c>
      <c r="I175" s="201">
        <f>SUM(I173:I174)</f>
        <v>2217973099.7799997</v>
      </c>
      <c r="J175" s="202">
        <f t="shared" si="250"/>
        <v>0.18051399184179776</v>
      </c>
      <c r="K175" s="201">
        <f>SUM(K173:K174)</f>
        <v>1581466655.78</v>
      </c>
      <c r="L175" s="202">
        <f t="shared" si="251"/>
        <v>0.12871069492585932</v>
      </c>
      <c r="M175" s="201">
        <f>SUM(M173:M174)</f>
        <v>1355974175.78</v>
      </c>
      <c r="N175" s="202">
        <f t="shared" si="252"/>
        <v>0.11035855724702805</v>
      </c>
      <c r="O175" s="201">
        <f>SUM(O173:O174)</f>
        <v>1341250431.78</v>
      </c>
      <c r="P175" s="202">
        <f t="shared" si="253"/>
        <v>0.10916023712107145</v>
      </c>
      <c r="Q175" s="201">
        <f t="shared" si="254"/>
        <v>10069014059.220001</v>
      </c>
      <c r="R175" s="202">
        <f t="shared" si="255"/>
        <v>0.81948600815820227</v>
      </c>
    </row>
    <row r="176" spans="2:18" hidden="1" x14ac:dyDescent="0.25">
      <c r="B176" s="249" t="s">
        <v>212</v>
      </c>
      <c r="C176" s="249"/>
      <c r="D176" s="192" t="s">
        <v>266</v>
      </c>
      <c r="E176" s="193">
        <v>1036559168</v>
      </c>
      <c r="F176" s="119">
        <v>0</v>
      </c>
      <c r="G176" s="119">
        <v>0</v>
      </c>
      <c r="H176" s="170">
        <f t="shared" si="256"/>
        <v>1036559168</v>
      </c>
      <c r="I176" s="170">
        <f>GETPIVOTDATA("CDP ",Validaciones!$A$1,"REC","Otros recursos del tesoro","DESCRIPCION",$B$41,"DESCRIPCION3","Inversión","DESCRIPCION5","Inversión")</f>
        <v>1036281979</v>
      </c>
      <c r="J176" s="194">
        <f t="shared" si="250"/>
        <v>0.99973258738279758</v>
      </c>
      <c r="K176" s="170">
        <f>GETPIVOTDATA("Compromisos",Validaciones!$A$1,"REC","Otros recursos del tesoro","DESCRIPCION",$B$41,"DESCRIPCION3","Inversión","DESCRIPCION5","Inversión")</f>
        <v>1014272315</v>
      </c>
      <c r="L176" s="194">
        <f t="shared" si="251"/>
        <v>0.97849919841720023</v>
      </c>
      <c r="M176" s="170">
        <f>GETPIVOTDATA("Obligaciones",Validaciones!$A$1,"REC","Otros recursos del tesoro","DESCRIPCION",$B$41,"DESCRIPCION3","Inversión","DESCRIPCION5","Inversión")</f>
        <v>878641193</v>
      </c>
      <c r="N176" s="194">
        <f t="shared" si="252"/>
        <v>0.84765175025686523</v>
      </c>
      <c r="O176" s="170">
        <f>GETPIVOTDATA("Pagos",Validaciones!$A$1,"REC","Otros recursos del tesoro","DESCRIPCION",$B$41,"DESCRIPCION3","Inversión","DESCRIPCION5","Inversión")</f>
        <v>838063075</v>
      </c>
      <c r="P176" s="194">
        <f t="shared" si="253"/>
        <v>0.80850481175812627</v>
      </c>
      <c r="Q176" s="170">
        <f t="shared" si="254"/>
        <v>277189</v>
      </c>
      <c r="R176" s="194">
        <f t="shared" si="255"/>
        <v>2.6741261720237853E-4</v>
      </c>
    </row>
    <row r="177" spans="2:18" hidden="1" x14ac:dyDescent="0.25">
      <c r="B177" s="249"/>
      <c r="C177" s="249"/>
      <c r="D177" s="192" t="s">
        <v>273</v>
      </c>
      <c r="E177" s="193">
        <v>834778626</v>
      </c>
      <c r="F177" s="119">
        <v>0</v>
      </c>
      <c r="G177" s="119">
        <v>0</v>
      </c>
      <c r="H177" s="170">
        <f t="shared" si="256"/>
        <v>834778626</v>
      </c>
      <c r="I177" s="170">
        <f>GETPIVOTDATA("CDP ",Validaciones!$A$1,"REC","Ingresos corrientes","DESCRIPCION",$B$41,"DESCRIPCION3","Inversión","DESCRIPCION5","Inversión")</f>
        <v>797631229</v>
      </c>
      <c r="J177" s="194">
        <f t="shared" si="250"/>
        <v>0.95550030170513733</v>
      </c>
      <c r="K177" s="170">
        <f>GETPIVOTDATA("Compromisos",Validaciones!$A$1,"REC","Ingresos corrientes","DESCRIPCION",$B$41,"DESCRIPCION3","Inversión","DESCRIPCION5","Inversión")</f>
        <v>774104965</v>
      </c>
      <c r="L177" s="194">
        <f t="shared" si="251"/>
        <v>0.92731766349753186</v>
      </c>
      <c r="M177" s="170">
        <f>GETPIVOTDATA("Obligaciones",Validaciones!$A$1,"REC","Ingresos corrientes","DESCRIPCION",$B$41,"DESCRIPCION3","Inversión","DESCRIPCION5","Inversión")</f>
        <v>691832122</v>
      </c>
      <c r="N177" s="194">
        <f t="shared" si="252"/>
        <v>0.82876118344697536</v>
      </c>
      <c r="O177" s="170">
        <f>GETPIVOTDATA("Pagos",Validaciones!$A$1,"REC","Ingresos corrientes","DESCRIPCION",$B$41,"DESCRIPCION3","Inversión","DESCRIPCION5","Inversión")</f>
        <v>683547376</v>
      </c>
      <c r="P177" s="194">
        <f t="shared" si="253"/>
        <v>0.81883670078538884</v>
      </c>
      <c r="Q177" s="170">
        <f t="shared" si="254"/>
        <v>37147397</v>
      </c>
      <c r="R177" s="194">
        <f t="shared" si="255"/>
        <v>4.4499698294862666E-2</v>
      </c>
    </row>
    <row r="178" spans="2:18" hidden="1" x14ac:dyDescent="0.25">
      <c r="B178" s="249"/>
      <c r="C178" s="249"/>
      <c r="D178" s="199" t="s">
        <v>10651</v>
      </c>
      <c r="E178" s="200">
        <f>SUM(E176:E177)</f>
        <v>1871337794</v>
      </c>
      <c r="F178" s="200">
        <v>0</v>
      </c>
      <c r="G178" s="200">
        <v>0</v>
      </c>
      <c r="H178" s="201">
        <f t="shared" si="256"/>
        <v>1871337794</v>
      </c>
      <c r="I178" s="201">
        <f>SUM(I176:I177)</f>
        <v>1833913208</v>
      </c>
      <c r="J178" s="202">
        <f t="shared" si="250"/>
        <v>0.98000115953410816</v>
      </c>
      <c r="K178" s="201">
        <f>SUM(K176:K177)</f>
        <v>1788377280</v>
      </c>
      <c r="L178" s="202">
        <f t="shared" si="251"/>
        <v>0.95566780392829498</v>
      </c>
      <c r="M178" s="201">
        <f>SUM(M176:M177)</f>
        <v>1570473315</v>
      </c>
      <c r="N178" s="202">
        <f t="shared" si="252"/>
        <v>0.8392249224246684</v>
      </c>
      <c r="O178" s="201">
        <f>SUM(O176:O177)</f>
        <v>1521610451</v>
      </c>
      <c r="P178" s="202">
        <f t="shared" si="253"/>
        <v>0.81311372852014341</v>
      </c>
      <c r="Q178" s="201">
        <f t="shared" si="254"/>
        <v>37424586</v>
      </c>
      <c r="R178" s="202">
        <f t="shared" si="255"/>
        <v>1.9998840465891857E-2</v>
      </c>
    </row>
    <row r="179" spans="2:18" hidden="1" x14ac:dyDescent="0.25">
      <c r="B179" s="249" t="s">
        <v>214</v>
      </c>
      <c r="C179" s="249"/>
      <c r="D179" s="192" t="s">
        <v>266</v>
      </c>
      <c r="E179" s="193">
        <v>206818844</v>
      </c>
      <c r="F179" s="119">
        <v>0</v>
      </c>
      <c r="G179" s="119">
        <v>0</v>
      </c>
      <c r="H179" s="170">
        <f t="shared" si="256"/>
        <v>206818844</v>
      </c>
      <c r="I179" s="170">
        <f>GETPIVOTDATA("CDP ",Validaciones!$A$1,"REC","Otros recursos del tesoro","DESCRIPCION",$B$44,"DESCRIPCION3","Inversión","DESCRIPCION5","Inversión")</f>
        <v>204340906</v>
      </c>
      <c r="J179" s="194">
        <f t="shared" si="250"/>
        <v>0.98801879967958817</v>
      </c>
      <c r="K179" s="170">
        <f>GETPIVOTDATA("Compromisos",Validaciones!$A$1,"REC","Otros recursos del tesoro","DESCRIPCION",$B$44,"DESCRIPCION3","Inversión","DESCRIPCION5","Inversión")</f>
        <v>204340906</v>
      </c>
      <c r="L179" s="194">
        <f t="shared" si="251"/>
        <v>0.98801879967958817</v>
      </c>
      <c r="M179" s="170">
        <f>GETPIVOTDATA("Obligaciones",Validaciones!$A$1,"REC","Otros recursos del tesoro","DESCRIPCION",$B$44,"DESCRIPCION3","Inversión","DESCRIPCION5","Inversión")</f>
        <v>172892877</v>
      </c>
      <c r="N179" s="194">
        <f t="shared" si="252"/>
        <v>0.83596288256983009</v>
      </c>
      <c r="O179" s="170">
        <f>GETPIVOTDATA("Pagos",Validaciones!$A$1,"REC","Otros recursos del tesoro","DESCRIPCION",$B$44,"DESCRIPCION3","Inversión","DESCRIPCION5","Inversión")</f>
        <v>164055641</v>
      </c>
      <c r="P179" s="194">
        <f t="shared" si="253"/>
        <v>0.79323352663164481</v>
      </c>
      <c r="Q179" s="170">
        <f t="shared" si="254"/>
        <v>2477938</v>
      </c>
      <c r="R179" s="194">
        <f t="shared" si="255"/>
        <v>1.1981200320411809E-2</v>
      </c>
    </row>
    <row r="180" spans="2:18" hidden="1" x14ac:dyDescent="0.25">
      <c r="B180" s="249"/>
      <c r="C180" s="249"/>
      <c r="D180" s="199" t="s">
        <v>10651</v>
      </c>
      <c r="E180" s="200">
        <f>E179</f>
        <v>206818844</v>
      </c>
      <c r="F180" s="200">
        <v>0</v>
      </c>
      <c r="G180" s="200">
        <v>0</v>
      </c>
      <c r="H180" s="201">
        <f t="shared" si="256"/>
        <v>206818844</v>
      </c>
      <c r="I180" s="201">
        <f>I179</f>
        <v>204340906</v>
      </c>
      <c r="J180" s="202">
        <f t="shared" si="250"/>
        <v>0.98801879967958817</v>
      </c>
      <c r="K180" s="201">
        <f>K179</f>
        <v>204340906</v>
      </c>
      <c r="L180" s="202">
        <f t="shared" si="251"/>
        <v>0.98801879967958817</v>
      </c>
      <c r="M180" s="201">
        <f>M179</f>
        <v>172892877</v>
      </c>
      <c r="N180" s="202">
        <f t="shared" si="252"/>
        <v>0.83596288256983009</v>
      </c>
      <c r="O180" s="201">
        <f>O179</f>
        <v>164055641</v>
      </c>
      <c r="P180" s="202">
        <f t="shared" si="253"/>
        <v>0.79323352663164481</v>
      </c>
      <c r="Q180" s="201">
        <f t="shared" si="254"/>
        <v>2477938</v>
      </c>
      <c r="R180" s="202">
        <f t="shared" si="255"/>
        <v>1.1981200320411809E-2</v>
      </c>
    </row>
    <row r="181" spans="2:18" hidden="1" x14ac:dyDescent="0.25">
      <c r="B181" s="249" t="s">
        <v>215</v>
      </c>
      <c r="C181" s="249"/>
      <c r="D181" s="192" t="s">
        <v>266</v>
      </c>
      <c r="E181" s="193">
        <v>3839249599</v>
      </c>
      <c r="F181" s="119">
        <v>0</v>
      </c>
      <c r="G181" s="119">
        <v>0</v>
      </c>
      <c r="H181" s="170">
        <f t="shared" si="256"/>
        <v>3839249599</v>
      </c>
      <c r="I181" s="170">
        <f>GETPIVOTDATA("CDP ",Validaciones!$A$1,"REC","Otros recursos del tesoro","DESCRIPCION",$B$46,"DESCRIPCION3","Inversión","DESCRIPCION5","Inversión")</f>
        <v>3839249598.2199998</v>
      </c>
      <c r="J181" s="194">
        <f t="shared" si="250"/>
        <v>0.99999999979683529</v>
      </c>
      <c r="K181" s="170">
        <f>GETPIVOTDATA("Compromisos",Validaciones!$A$1,"REC","Otros recursos del tesoro","DESCRIPCION",$B$46,"DESCRIPCION3","Inversión","DESCRIPCION5","Inversión")</f>
        <v>3744778854.2199998</v>
      </c>
      <c r="L181" s="194">
        <f t="shared" si="251"/>
        <v>0.97539343500755804</v>
      </c>
      <c r="M181" s="170">
        <f>GETPIVOTDATA("Obligaciones",Validaciones!$A$1,"REC","Otros recursos del tesoro","DESCRIPCION",$B$46,"DESCRIPCION3","Inversión","DESCRIPCION5","Inversión")</f>
        <v>3230872179.5799999</v>
      </c>
      <c r="N181" s="194">
        <f t="shared" si="252"/>
        <v>0.84153741408777838</v>
      </c>
      <c r="O181" s="170">
        <f>GETPIVOTDATA("Pagos",Validaciones!$A$1,"REC","Otros recursos del tesoro","DESCRIPCION",$B$46,"DESCRIPCION3","Inversión","DESCRIPCION5","Inversión")</f>
        <v>3008378467.0799999</v>
      </c>
      <c r="P181" s="194">
        <f t="shared" si="253"/>
        <v>0.78358501824512394</v>
      </c>
      <c r="Q181" s="170">
        <f t="shared" si="254"/>
        <v>0.78000020980834961</v>
      </c>
      <c r="R181" s="194">
        <f t="shared" si="255"/>
        <v>2.0316475646999203E-10</v>
      </c>
    </row>
    <row r="182" spans="2:18" hidden="1" x14ac:dyDescent="0.25">
      <c r="B182" s="249"/>
      <c r="C182" s="249"/>
      <c r="D182" s="192" t="s">
        <v>273</v>
      </c>
      <c r="E182" s="193">
        <v>5990764260</v>
      </c>
      <c r="F182" s="119">
        <v>0</v>
      </c>
      <c r="G182" s="119">
        <v>0</v>
      </c>
      <c r="H182" s="170">
        <f t="shared" si="256"/>
        <v>5990764260</v>
      </c>
      <c r="I182" s="170">
        <f>GETPIVOTDATA("CDP ",Validaciones!$A$1,"REC","Ingresos corrientes","DESCRIPCION",$B$46,"DESCRIPCION3","Inversión","DESCRIPCION5","Inversión")</f>
        <v>5074207634.1599998</v>
      </c>
      <c r="J182" s="194">
        <f t="shared" si="250"/>
        <v>0.84700505877692467</v>
      </c>
      <c r="K182" s="170">
        <f>GETPIVOTDATA("Compromisos",Validaciones!$A$1,"REC","Ingresos corrientes","DESCRIPCION",$B$46,"DESCRIPCION3","Inversión","DESCRIPCION5","Inversión")</f>
        <v>4678929078.1599998</v>
      </c>
      <c r="L182" s="194">
        <f t="shared" si="251"/>
        <v>0.78102373505179457</v>
      </c>
      <c r="M182" s="170">
        <f>GETPIVOTDATA("Obligaciones",Validaciones!$A$1,"REC","Ingresos corrientes","DESCRIPCION",$B$46,"DESCRIPCION3","Inversión","DESCRIPCION5","Inversión")</f>
        <v>3268447875.8000002</v>
      </c>
      <c r="N182" s="194">
        <f t="shared" si="252"/>
        <v>0.5455811201958396</v>
      </c>
      <c r="O182" s="170">
        <f>GETPIVOTDATA("Pagos",Validaciones!$A$1,"REC","Ingresos corrientes","DESCRIPCION",$B$46,"DESCRIPCION3","Inversión","DESCRIPCION5","Inversión")</f>
        <v>2900612306.8000002</v>
      </c>
      <c r="P182" s="194">
        <f t="shared" si="253"/>
        <v>0.48418067894395833</v>
      </c>
      <c r="Q182" s="170">
        <f t="shared" si="254"/>
        <v>916556625.84000015</v>
      </c>
      <c r="R182" s="194">
        <f t="shared" si="255"/>
        <v>0.1529949412230753</v>
      </c>
    </row>
    <row r="183" spans="2:18" hidden="1" x14ac:dyDescent="0.25">
      <c r="B183" s="249"/>
      <c r="C183" s="249"/>
      <c r="D183" s="199" t="s">
        <v>10651</v>
      </c>
      <c r="E183" s="200">
        <f>SUM(E181:E182)</f>
        <v>9830013859</v>
      </c>
      <c r="F183" s="200">
        <v>0</v>
      </c>
      <c r="G183" s="200">
        <v>0</v>
      </c>
      <c r="H183" s="201">
        <f t="shared" si="256"/>
        <v>9830013859</v>
      </c>
      <c r="I183" s="201">
        <f>SUM(I181:I182)</f>
        <v>8913457232.3799992</v>
      </c>
      <c r="J183" s="202">
        <f t="shared" si="250"/>
        <v>0.90675937595135381</v>
      </c>
      <c r="K183" s="201">
        <f>SUM(K181:K182)</f>
        <v>8423707932.3799992</v>
      </c>
      <c r="L183" s="202">
        <f t="shared" si="251"/>
        <v>0.85693754385377197</v>
      </c>
      <c r="M183" s="201">
        <f>SUM(M181:M182)</f>
        <v>6499320055.3800001</v>
      </c>
      <c r="N183" s="202">
        <f t="shared" si="252"/>
        <v>0.66117099615576447</v>
      </c>
      <c r="O183" s="201">
        <f>SUM(O181:O182)</f>
        <v>5908990773.8800001</v>
      </c>
      <c r="P183" s="202">
        <f t="shared" si="253"/>
        <v>0.601117237334304</v>
      </c>
      <c r="Q183" s="201">
        <f t="shared" si="254"/>
        <v>916556626.62000084</v>
      </c>
      <c r="R183" s="202">
        <f t="shared" si="255"/>
        <v>9.3240624048646206E-2</v>
      </c>
    </row>
    <row r="184" spans="2:18" hidden="1" x14ac:dyDescent="0.25">
      <c r="B184" s="142"/>
      <c r="C184" s="250" t="s">
        <v>10657</v>
      </c>
      <c r="D184" s="119" t="s">
        <v>266</v>
      </c>
      <c r="E184" s="170">
        <f>SUMIF($D$22:$D$48,$D184,E$22:E$48)</f>
        <v>20322395945</v>
      </c>
      <c r="F184" s="170">
        <f t="shared" ref="F184:Q184" si="257">SUMIF($D$22:$D$48,$D184,F$22:F$48)</f>
        <v>0</v>
      </c>
      <c r="G184" s="170">
        <f t="shared" si="257"/>
        <v>0</v>
      </c>
      <c r="H184" s="170">
        <f t="shared" si="257"/>
        <v>20322395945</v>
      </c>
      <c r="I184" s="170">
        <f t="shared" si="257"/>
        <v>19776928438.349998</v>
      </c>
      <c r="J184" s="194">
        <f t="shared" si="250"/>
        <v>0.97315929144741398</v>
      </c>
      <c r="K184" s="170">
        <f t="shared" si="257"/>
        <v>18361518103.950001</v>
      </c>
      <c r="L184" s="194">
        <f t="shared" si="251"/>
        <v>0.90351148327407516</v>
      </c>
      <c r="M184" s="170">
        <f t="shared" si="257"/>
        <v>15125266882.809999</v>
      </c>
      <c r="N184" s="194">
        <f t="shared" si="252"/>
        <v>0.74426592827659821</v>
      </c>
      <c r="O184" s="170">
        <f t="shared" si="257"/>
        <v>14581995913.309999</v>
      </c>
      <c r="P184" s="194">
        <f t="shared" si="253"/>
        <v>0.71753330428037776</v>
      </c>
      <c r="Q184" s="170">
        <f t="shared" si="257"/>
        <v>545467506.65000045</v>
      </c>
      <c r="R184" s="194">
        <f t="shared" si="255"/>
        <v>2.6840708552585996E-2</v>
      </c>
    </row>
    <row r="185" spans="2:18" hidden="1" x14ac:dyDescent="0.25">
      <c r="B185" s="142"/>
      <c r="C185" s="251"/>
      <c r="D185" s="119" t="s">
        <v>273</v>
      </c>
      <c r="E185" s="170">
        <f>SUMIF($D$22:$D$48,$D185,E$22:E$48)</f>
        <v>55295438877</v>
      </c>
      <c r="F185" s="170">
        <f t="shared" ref="F185:I187" si="258">SUMIF($D$22:$D$48,$D185,F$22:F$48)</f>
        <v>0</v>
      </c>
      <c r="G185" s="170">
        <f t="shared" si="258"/>
        <v>0</v>
      </c>
      <c r="H185" s="170">
        <f t="shared" si="258"/>
        <v>55295438877</v>
      </c>
      <c r="I185" s="170">
        <f t="shared" si="258"/>
        <v>31253817809.709999</v>
      </c>
      <c r="J185" s="194">
        <f t="shared" si="250"/>
        <v>0.56521511438278771</v>
      </c>
      <c r="K185" s="170">
        <f>SUMIF($D$22:$D$48,$D185,K$22:K$48)</f>
        <v>27058109778.950001</v>
      </c>
      <c r="L185" s="194">
        <f t="shared" si="251"/>
        <v>0.48933710136813391</v>
      </c>
      <c r="M185" s="170">
        <f>SUMIF($D$22:$D$48,$D185,M$22:M$48)</f>
        <v>20087061727.120003</v>
      </c>
      <c r="N185" s="194">
        <f t="shared" si="252"/>
        <v>0.36326796811943141</v>
      </c>
      <c r="O185" s="170">
        <f>SUMIF($D$22:$D$48,$D185,O$22:O$48)</f>
        <v>19300458066.120003</v>
      </c>
      <c r="P185" s="194">
        <f t="shared" si="253"/>
        <v>0.34904249714071772</v>
      </c>
      <c r="Q185" s="170">
        <f>SUMIF($D$22:$D$48,$D185,Q$22:Q$48)</f>
        <v>24041621067.289997</v>
      </c>
      <c r="R185" s="194">
        <f t="shared" si="255"/>
        <v>0.43478488561721224</v>
      </c>
    </row>
    <row r="186" spans="2:18" hidden="1" x14ac:dyDescent="0.25">
      <c r="B186" s="142"/>
      <c r="C186" s="251"/>
      <c r="D186" s="119" t="s">
        <v>10673</v>
      </c>
      <c r="E186" s="170">
        <f>SUMIF($D$22:$D$48,$D186,E$22:E$48)</f>
        <v>134445997196</v>
      </c>
      <c r="F186" s="170">
        <f t="shared" si="258"/>
        <v>0</v>
      </c>
      <c r="G186" s="170">
        <f t="shared" si="258"/>
        <v>0</v>
      </c>
      <c r="H186" s="170">
        <f t="shared" si="258"/>
        <v>134445997196</v>
      </c>
      <c r="I186" s="170">
        <f t="shared" si="258"/>
        <v>60450665807.019997</v>
      </c>
      <c r="J186" s="194">
        <f t="shared" si="250"/>
        <v>0.44962785852890019</v>
      </c>
      <c r="K186" s="170">
        <f>SUMIF($D$22:$D$48,$D186,K$22:K$48)</f>
        <v>29589312278.43</v>
      </c>
      <c r="L186" s="194">
        <f t="shared" si="251"/>
        <v>0.22008325197881259</v>
      </c>
      <c r="M186" s="170">
        <f>SUMIF($D$22:$D$48,$D186,M$22:M$48)</f>
        <v>7506082286.0299997</v>
      </c>
      <c r="N186" s="194">
        <f t="shared" si="252"/>
        <v>5.5829719311668122E-2</v>
      </c>
      <c r="O186" s="170">
        <f>SUMIF($D$22:$D$48,$D186,O$22:O$48)</f>
        <v>7469332926.0299997</v>
      </c>
      <c r="P186" s="194">
        <f t="shared" si="253"/>
        <v>5.5556380121462072E-2</v>
      </c>
      <c r="Q186" s="170">
        <f>SUMIF($D$22:$D$48,$D186,Q$22:Q$48)</f>
        <v>73995331388.980011</v>
      </c>
      <c r="R186" s="194">
        <f t="shared" si="255"/>
        <v>0.55037214147109992</v>
      </c>
    </row>
    <row r="187" spans="2:18" hidden="1" x14ac:dyDescent="0.25">
      <c r="C187" s="252"/>
      <c r="D187" s="199" t="s">
        <v>10651</v>
      </c>
      <c r="E187" s="201">
        <f>SUMIF($D$22:$D$48,$D187,E$22:E$48)</f>
        <v>210063832018</v>
      </c>
      <c r="F187" s="201">
        <f t="shared" si="258"/>
        <v>0</v>
      </c>
      <c r="G187" s="201">
        <f t="shared" si="258"/>
        <v>0</v>
      </c>
      <c r="H187" s="201">
        <f t="shared" si="258"/>
        <v>210063832018</v>
      </c>
      <c r="I187" s="201">
        <f t="shared" si="258"/>
        <v>111481412055.08002</v>
      </c>
      <c r="J187" s="203">
        <f t="shared" si="250"/>
        <v>0.53070255352443241</v>
      </c>
      <c r="K187" s="201">
        <f>SUMIF($D$22:$D$48,$D187,K$22:K$48)</f>
        <v>75008940161.330002</v>
      </c>
      <c r="L187" s="203">
        <f t="shared" si="251"/>
        <v>0.35707689153696204</v>
      </c>
      <c r="M187" s="201">
        <f>SUMIF($D$22:$D$48,$D187,M$22:M$48)</f>
        <v>42718410895.959999</v>
      </c>
      <c r="N187" s="203">
        <f t="shared" si="252"/>
        <v>0.20335919080205836</v>
      </c>
      <c r="O187" s="201">
        <f>SUMIF($D$22:$D$48,$D187,O$22:O$48)</f>
        <v>41351786905.459999</v>
      </c>
      <c r="P187" s="203">
        <f t="shared" si="253"/>
        <v>0.19685343501644129</v>
      </c>
      <c r="Q187" s="201">
        <f>SUMIF($D$22:$D$48,$D187,Q$22:Q$48)</f>
        <v>98582419962.919983</v>
      </c>
      <c r="R187" s="203">
        <f>IFERROR(Q187/H187,0)</f>
        <v>0.46929744647556765</v>
      </c>
    </row>
    <row r="188" spans="2:18" hidden="1" x14ac:dyDescent="0.25"/>
    <row r="189" spans="2:18" hidden="1" x14ac:dyDescent="0.25"/>
    <row r="190" spans="2:18" hidden="1" x14ac:dyDescent="0.25"/>
  </sheetData>
  <mergeCells count="59">
    <mergeCell ref="C57:C60"/>
    <mergeCell ref="C61:C64"/>
    <mergeCell ref="B32:C34"/>
    <mergeCell ref="B35:C37"/>
    <mergeCell ref="B38:C40"/>
    <mergeCell ref="B41:C43"/>
    <mergeCell ref="B44:C45"/>
    <mergeCell ref="B46:C48"/>
    <mergeCell ref="C49:C52"/>
    <mergeCell ref="B54:G54"/>
    <mergeCell ref="C77:C80"/>
    <mergeCell ref="C81:C84"/>
    <mergeCell ref="C85:C88"/>
    <mergeCell ref="C89:C92"/>
    <mergeCell ref="C93:C96"/>
    <mergeCell ref="C133:C136"/>
    <mergeCell ref="C137:C140"/>
    <mergeCell ref="C97:C100"/>
    <mergeCell ref="C101:C104"/>
    <mergeCell ref="C105:C108"/>
    <mergeCell ref="C113:C116"/>
    <mergeCell ref="C117:C120"/>
    <mergeCell ref="C141:C144"/>
    <mergeCell ref="B57:B64"/>
    <mergeCell ref="B65:B80"/>
    <mergeCell ref="C65:C68"/>
    <mergeCell ref="C69:C72"/>
    <mergeCell ref="C73:C76"/>
    <mergeCell ref="B133:B136"/>
    <mergeCell ref="B121:B132"/>
    <mergeCell ref="B101:B120"/>
    <mergeCell ref="B89:B100"/>
    <mergeCell ref="B85:B88"/>
    <mergeCell ref="B81:B84"/>
    <mergeCell ref="C109:C112"/>
    <mergeCell ref="C121:C124"/>
    <mergeCell ref="C125:C128"/>
    <mergeCell ref="C129:C132"/>
    <mergeCell ref="B7:B17"/>
    <mergeCell ref="B22:C25"/>
    <mergeCell ref="B26:C28"/>
    <mergeCell ref="B29:C31"/>
    <mergeCell ref="B21:C21"/>
    <mergeCell ref="B19:G19"/>
    <mergeCell ref="C7:C9"/>
    <mergeCell ref="C10:C13"/>
    <mergeCell ref="C14:C17"/>
    <mergeCell ref="B154:G154"/>
    <mergeCell ref="B156:C156"/>
    <mergeCell ref="B157:C160"/>
    <mergeCell ref="B161:C163"/>
    <mergeCell ref="B164:C166"/>
    <mergeCell ref="B181:C183"/>
    <mergeCell ref="C184:C187"/>
    <mergeCell ref="B167:C169"/>
    <mergeCell ref="B170:C172"/>
    <mergeCell ref="B173:C175"/>
    <mergeCell ref="B176:C178"/>
    <mergeCell ref="B179:C18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156"/>
  <sheetViews>
    <sheetView showGridLines="0" zoomScale="80" zoomScaleNormal="80" workbookViewId="0">
      <selection activeCell="I26" sqref="I26"/>
    </sheetView>
  </sheetViews>
  <sheetFormatPr baseColWidth="10" defaultColWidth="0" defaultRowHeight="15.75" zeroHeight="1" x14ac:dyDescent="0.25"/>
  <cols>
    <col min="1" max="1" width="2.125" customWidth="1"/>
    <col min="2" max="2" width="62.125" bestFit="1" customWidth="1"/>
    <col min="3" max="3" width="19" bestFit="1" customWidth="1"/>
    <col min="4" max="4" width="18.125" bestFit="1" customWidth="1"/>
    <col min="5" max="11" width="11" customWidth="1"/>
    <col min="12" max="12" width="2.125" customWidth="1"/>
    <col min="13" max="20" width="0" hidden="1" customWidth="1"/>
    <col min="21" max="16384" width="11" hidden="1"/>
  </cols>
  <sheetData>
    <row r="1" spans="2:11" x14ac:dyDescent="0.25"/>
    <row r="2" spans="2:11" x14ac:dyDescent="0.25"/>
    <row r="3" spans="2:11" x14ac:dyDescent="0.25"/>
    <row r="4" spans="2:11" x14ac:dyDescent="0.25"/>
    <row r="5" spans="2:11" x14ac:dyDescent="0.25"/>
    <row r="6" spans="2:11" x14ac:dyDescent="0.25"/>
    <row r="7" spans="2:11" x14ac:dyDescent="0.25">
      <c r="B7" s="267" t="s">
        <v>10674</v>
      </c>
      <c r="C7" s="267"/>
      <c r="D7" s="267"/>
      <c r="E7" s="267"/>
      <c r="F7" s="267"/>
      <c r="G7" s="267"/>
      <c r="H7" s="267"/>
      <c r="I7" s="267"/>
      <c r="J7" s="267"/>
      <c r="K7" s="267"/>
    </row>
    <row r="8" spans="2:11" x14ac:dyDescent="0.25"/>
    <row r="9" spans="2:11" x14ac:dyDescent="0.25">
      <c r="B9" s="39" t="s">
        <v>10675</v>
      </c>
      <c r="C9" s="51" t="s">
        <v>10676</v>
      </c>
      <c r="D9" s="51" t="s">
        <v>10677</v>
      </c>
    </row>
    <row r="10" spans="2:11" x14ac:dyDescent="0.25">
      <c r="B10" s="6" t="s">
        <v>10678</v>
      </c>
      <c r="C10" s="4">
        <v>1062395378.4285715</v>
      </c>
      <c r="D10" s="4">
        <v>743221531</v>
      </c>
    </row>
    <row r="11" spans="2:11" x14ac:dyDescent="0.25">
      <c r="B11" s="6" t="s">
        <v>10679</v>
      </c>
      <c r="C11" s="4">
        <v>0</v>
      </c>
      <c r="D11" s="4">
        <v>0</v>
      </c>
    </row>
    <row r="12" spans="2:11" x14ac:dyDescent="0.25">
      <c r="B12" s="6" t="s">
        <v>10680</v>
      </c>
      <c r="C12" s="4">
        <v>121795172.09666663</v>
      </c>
      <c r="D12" s="4">
        <v>99340037.815384597</v>
      </c>
    </row>
    <row r="13" spans="2:11" x14ac:dyDescent="0.25">
      <c r="B13" s="6" t="s">
        <v>10681</v>
      </c>
      <c r="C13" s="4">
        <v>40496612.799999997</v>
      </c>
      <c r="D13" s="4">
        <v>0</v>
      </c>
    </row>
    <row r="14" spans="2:11" x14ac:dyDescent="0.25">
      <c r="B14" s="6" t="s">
        <v>10682</v>
      </c>
      <c r="C14" s="4">
        <v>370210045.16666669</v>
      </c>
      <c r="D14" s="4">
        <v>0</v>
      </c>
    </row>
    <row r="15" spans="2:11" x14ac:dyDescent="0.25">
      <c r="B15" s="6" t="s">
        <v>10683</v>
      </c>
      <c r="C15" s="4">
        <v>4952796.9333333373</v>
      </c>
      <c r="D15" s="4">
        <v>0</v>
      </c>
    </row>
    <row r="16" spans="2:11" x14ac:dyDescent="0.25">
      <c r="B16" s="6" t="s">
        <v>10684</v>
      </c>
      <c r="C16" s="4">
        <v>20895296</v>
      </c>
      <c r="D16" s="4">
        <v>0</v>
      </c>
    </row>
    <row r="17" spans="2:11" x14ac:dyDescent="0.25">
      <c r="B17" s="6" t="s">
        <v>10685</v>
      </c>
      <c r="C17" s="4">
        <v>829490</v>
      </c>
      <c r="D17" s="4">
        <v>0</v>
      </c>
    </row>
    <row r="18" spans="2:11" x14ac:dyDescent="0.25">
      <c r="B18" s="6" t="s">
        <v>10686</v>
      </c>
      <c r="C18" s="4">
        <v>767691</v>
      </c>
      <c r="D18" s="4">
        <v>0</v>
      </c>
    </row>
    <row r="19" spans="2:11" x14ac:dyDescent="0.25">
      <c r="B19" s="6" t="s">
        <v>10687</v>
      </c>
      <c r="C19" s="4">
        <v>79997672</v>
      </c>
      <c r="D19" s="4">
        <v>0</v>
      </c>
    </row>
    <row r="20" spans="2:11" x14ac:dyDescent="0.25">
      <c r="B20" s="6" t="s">
        <v>10688</v>
      </c>
      <c r="C20" s="4">
        <v>2909268.4000000004</v>
      </c>
      <c r="D20" s="4">
        <v>9593673</v>
      </c>
    </row>
    <row r="21" spans="2:11" x14ac:dyDescent="0.25">
      <c r="B21" s="6" t="s">
        <v>5732</v>
      </c>
      <c r="C21" s="4">
        <v>0</v>
      </c>
      <c r="D21" s="4">
        <v>0</v>
      </c>
    </row>
    <row r="22" spans="2:11" x14ac:dyDescent="0.25">
      <c r="B22" s="6" t="s">
        <v>10689</v>
      </c>
      <c r="C22" s="4">
        <v>475450550.85000002</v>
      </c>
      <c r="D22" s="4">
        <v>14250000</v>
      </c>
    </row>
    <row r="23" spans="2:11" x14ac:dyDescent="0.25">
      <c r="B23" s="6" t="s">
        <v>10690</v>
      </c>
      <c r="C23" s="4">
        <v>80734483.5</v>
      </c>
      <c r="D23" s="4">
        <v>7647907</v>
      </c>
    </row>
    <row r="24" spans="2:11" x14ac:dyDescent="0.25">
      <c r="B24" s="6" t="s">
        <v>10691</v>
      </c>
      <c r="C24" s="4">
        <v>13879197687.943333</v>
      </c>
      <c r="D24" s="4">
        <v>57109768.79999999</v>
      </c>
    </row>
    <row r="25" spans="2:11" x14ac:dyDescent="0.25">
      <c r="B25" s="6" t="s">
        <v>10692</v>
      </c>
      <c r="C25" s="4">
        <v>0</v>
      </c>
      <c r="D25" s="4">
        <v>333897847.22222221</v>
      </c>
    </row>
    <row r="26" spans="2:11" x14ac:dyDescent="0.25">
      <c r="B26" s="6" t="s">
        <v>10693</v>
      </c>
      <c r="C26" s="4">
        <v>550792541</v>
      </c>
      <c r="D26" s="4">
        <v>0</v>
      </c>
    </row>
    <row r="27" spans="2:11" x14ac:dyDescent="0.25">
      <c r="B27" s="6" t="s">
        <v>138</v>
      </c>
      <c r="C27" s="4">
        <v>16691424686.11857</v>
      </c>
      <c r="D27" s="4">
        <v>1265060764.8376069</v>
      </c>
    </row>
    <row r="28" spans="2:11" x14ac:dyDescent="0.25"/>
    <row r="29" spans="2:11" x14ac:dyDescent="0.25">
      <c r="B29" s="267" t="s">
        <v>10694</v>
      </c>
      <c r="C29" s="267"/>
      <c r="D29" s="267"/>
      <c r="E29" s="267"/>
      <c r="F29" s="267"/>
      <c r="G29" s="267"/>
      <c r="H29" s="267"/>
      <c r="I29" s="267"/>
      <c r="J29" s="267"/>
      <c r="K29" s="267"/>
    </row>
    <row r="30" spans="2:11" x14ac:dyDescent="0.25"/>
    <row r="31" spans="2:11" x14ac:dyDescent="0.25">
      <c r="B31" s="39" t="s">
        <v>10675</v>
      </c>
      <c r="C31" s="51" t="s">
        <v>10676</v>
      </c>
      <c r="D31" s="51" t="s">
        <v>10677</v>
      </c>
    </row>
    <row r="32" spans="2:11" x14ac:dyDescent="0.25">
      <c r="B32" s="6" t="s">
        <v>6362</v>
      </c>
      <c r="C32" s="4">
        <v>71611039.5</v>
      </c>
      <c r="D32" s="4">
        <v>47677947.333333328</v>
      </c>
    </row>
    <row r="33" spans="2:11" x14ac:dyDescent="0.25">
      <c r="B33" s="6" t="s">
        <v>10695</v>
      </c>
      <c r="C33" s="4">
        <v>752944879.44257712</v>
      </c>
      <c r="D33" s="4">
        <v>491273184.15384614</v>
      </c>
    </row>
    <row r="34" spans="2:11" x14ac:dyDescent="0.25">
      <c r="B34" s="6" t="s">
        <v>5861</v>
      </c>
      <c r="C34" s="4">
        <v>346125489.16666669</v>
      </c>
      <c r="D34" s="4">
        <v>186322666.04502815</v>
      </c>
    </row>
    <row r="35" spans="2:11" x14ac:dyDescent="0.25">
      <c r="B35" s="6" t="s">
        <v>10696</v>
      </c>
      <c r="C35" s="4">
        <v>4952796.9333333373</v>
      </c>
      <c r="D35" s="4">
        <v>10374692</v>
      </c>
    </row>
    <row r="36" spans="2:11" x14ac:dyDescent="0.25">
      <c r="B36" s="6" t="s">
        <v>10697</v>
      </c>
      <c r="C36" s="4">
        <v>42093793.799999997</v>
      </c>
      <c r="D36" s="4">
        <v>0</v>
      </c>
    </row>
    <row r="37" spans="2:11" x14ac:dyDescent="0.25">
      <c r="B37" s="6" t="s">
        <v>10698</v>
      </c>
      <c r="C37" s="4">
        <v>8498442723.7799997</v>
      </c>
      <c r="D37" s="4">
        <v>205151400</v>
      </c>
    </row>
    <row r="38" spans="2:11" x14ac:dyDescent="0.25">
      <c r="B38" s="6" t="s">
        <v>10699</v>
      </c>
      <c r="C38" s="4">
        <v>100738984.09666663</v>
      </c>
      <c r="D38" s="4">
        <v>12249659.076923076</v>
      </c>
    </row>
    <row r="39" spans="2:11" x14ac:dyDescent="0.25">
      <c r="B39" s="6" t="s">
        <v>10700</v>
      </c>
      <c r="C39" s="4">
        <v>20895296</v>
      </c>
      <c r="D39" s="4">
        <v>0</v>
      </c>
    </row>
    <row r="40" spans="2:11" x14ac:dyDescent="0.25">
      <c r="B40" s="6" t="s">
        <v>5732</v>
      </c>
      <c r="C40" s="4">
        <v>1103463390.8499999</v>
      </c>
      <c r="D40" s="4">
        <v>22205128.205128208</v>
      </c>
    </row>
    <row r="41" spans="2:11" x14ac:dyDescent="0.25">
      <c r="B41" s="6" t="s">
        <v>138</v>
      </c>
      <c r="C41" s="4">
        <v>10941268393.569244</v>
      </c>
      <c r="D41" s="4">
        <v>975254676.81425905</v>
      </c>
    </row>
    <row r="42" spans="2:11" x14ac:dyDescent="0.25"/>
    <row r="43" spans="2:11" x14ac:dyDescent="0.25">
      <c r="B43" s="267" t="s">
        <v>10701</v>
      </c>
      <c r="C43" s="267"/>
      <c r="D43" s="267"/>
      <c r="E43" s="267"/>
      <c r="F43" s="267"/>
      <c r="G43" s="267"/>
      <c r="H43" s="267"/>
      <c r="I43" s="267"/>
      <c r="J43" s="267"/>
      <c r="K43" s="267"/>
    </row>
    <row r="44" spans="2:11" x14ac:dyDescent="0.25"/>
    <row r="45" spans="2:11" x14ac:dyDescent="0.25">
      <c r="B45" s="39" t="s">
        <v>10675</v>
      </c>
      <c r="C45" s="51" t="s">
        <v>10676</v>
      </c>
      <c r="D45" s="51" t="s">
        <v>10677</v>
      </c>
    </row>
    <row r="46" spans="2:11" x14ac:dyDescent="0.25">
      <c r="B46" s="6" t="s">
        <v>6362</v>
      </c>
      <c r="C46" s="4">
        <v>71611039.5</v>
      </c>
      <c r="D46" s="4">
        <v>18276546.477777779</v>
      </c>
    </row>
    <row r="47" spans="2:11" x14ac:dyDescent="0.25">
      <c r="B47" s="6" t="s">
        <v>10695</v>
      </c>
      <c r="C47" s="4">
        <v>887022086.38571429</v>
      </c>
      <c r="D47" s="4">
        <v>383517439.36923075</v>
      </c>
    </row>
    <row r="48" spans="2:11" x14ac:dyDescent="0.25">
      <c r="B48" s="6" t="s">
        <v>5861</v>
      </c>
      <c r="C48" s="4">
        <v>336260205.16666669</v>
      </c>
      <c r="D48" s="4">
        <v>118215293.73452158</v>
      </c>
    </row>
    <row r="49" spans="2:11" x14ac:dyDescent="0.25">
      <c r="B49" s="6" t="s">
        <v>10696</v>
      </c>
      <c r="C49" s="4">
        <v>4952796.9333333373</v>
      </c>
      <c r="D49" s="4">
        <v>3976965.2666666666</v>
      </c>
    </row>
    <row r="50" spans="2:11" x14ac:dyDescent="0.25">
      <c r="B50" s="6" t="s">
        <v>10697</v>
      </c>
      <c r="C50" s="4">
        <v>42093793.799999997</v>
      </c>
      <c r="D50" s="4">
        <v>0</v>
      </c>
    </row>
    <row r="51" spans="2:11" x14ac:dyDescent="0.25">
      <c r="B51" s="6" t="s">
        <v>10698</v>
      </c>
      <c r="C51" s="4">
        <v>8301250834.7799997</v>
      </c>
      <c r="D51" s="4">
        <v>78641370.00000003</v>
      </c>
    </row>
    <row r="52" spans="2:11" x14ac:dyDescent="0.25">
      <c r="B52" s="6" t="s">
        <v>10699</v>
      </c>
      <c r="C52" s="4">
        <v>99044561.586666644</v>
      </c>
      <c r="D52" s="4">
        <v>30848876.984615386</v>
      </c>
    </row>
    <row r="53" spans="2:11" x14ac:dyDescent="0.25">
      <c r="B53" s="6" t="s">
        <v>10700</v>
      </c>
      <c r="C53" s="4">
        <v>20895296</v>
      </c>
      <c r="D53" s="4">
        <v>0</v>
      </c>
    </row>
    <row r="54" spans="2:11" x14ac:dyDescent="0.25">
      <c r="B54" s="6" t="s">
        <v>5732</v>
      </c>
      <c r="C54" s="4">
        <v>1103463390.8499999</v>
      </c>
      <c r="D54" s="4">
        <v>17825641.025641024</v>
      </c>
    </row>
    <row r="55" spans="2:11" x14ac:dyDescent="0.25">
      <c r="B55" s="6" t="s">
        <v>138</v>
      </c>
      <c r="C55" s="4">
        <v>10866594005.00238</v>
      </c>
      <c r="D55" s="4">
        <v>651302132.85845304</v>
      </c>
    </row>
    <row r="56" spans="2:11" x14ac:dyDescent="0.25"/>
    <row r="57" spans="2:11" x14ac:dyDescent="0.25">
      <c r="B57" s="267" t="s">
        <v>10702</v>
      </c>
      <c r="C57" s="267"/>
      <c r="D57" s="267"/>
      <c r="E57" s="267"/>
      <c r="F57" s="267"/>
      <c r="G57" s="267"/>
      <c r="H57" s="267"/>
      <c r="I57" s="267"/>
      <c r="J57" s="267"/>
      <c r="K57" s="267"/>
    </row>
    <row r="58" spans="2:11" x14ac:dyDescent="0.25"/>
    <row r="59" spans="2:11" x14ac:dyDescent="0.25">
      <c r="B59" s="39" t="s">
        <v>10675</v>
      </c>
      <c r="C59" s="51" t="s">
        <v>10676</v>
      </c>
      <c r="D59" s="51" t="s">
        <v>10677</v>
      </c>
    </row>
    <row r="60" spans="2:11" x14ac:dyDescent="0.25">
      <c r="B60" s="6" t="s">
        <v>6362</v>
      </c>
      <c r="C60" s="4">
        <v>71170155</v>
      </c>
      <c r="D60" s="4">
        <v>0</v>
      </c>
    </row>
    <row r="61" spans="2:11" x14ac:dyDescent="0.25">
      <c r="B61" s="6" t="s">
        <v>10695</v>
      </c>
      <c r="C61" s="4">
        <v>565386388.02380955</v>
      </c>
      <c r="D61" s="4">
        <v>386422284.64835167</v>
      </c>
    </row>
    <row r="62" spans="2:11" x14ac:dyDescent="0.25">
      <c r="B62" s="6" t="s">
        <v>5861</v>
      </c>
      <c r="C62" s="4">
        <v>336260205.16666669</v>
      </c>
      <c r="D62" s="4">
        <v>47011804</v>
      </c>
    </row>
    <row r="63" spans="2:11" x14ac:dyDescent="0.25">
      <c r="B63" s="6" t="s">
        <v>10696</v>
      </c>
      <c r="C63" s="4">
        <v>4952796.9333333373</v>
      </c>
      <c r="D63" s="4">
        <v>0</v>
      </c>
    </row>
    <row r="64" spans="2:11" x14ac:dyDescent="0.25">
      <c r="B64" s="6" t="s">
        <v>10697</v>
      </c>
      <c r="C64" s="4">
        <v>41264303.799999997</v>
      </c>
      <c r="D64" s="4">
        <v>0</v>
      </c>
    </row>
    <row r="65" spans="2:11" x14ac:dyDescent="0.25">
      <c r="B65" s="6" t="s">
        <v>10698</v>
      </c>
      <c r="C65" s="4">
        <v>8157499055.7799997</v>
      </c>
      <c r="D65" s="4">
        <v>0</v>
      </c>
    </row>
    <row r="66" spans="2:11" x14ac:dyDescent="0.25">
      <c r="B66" s="6" t="s">
        <v>10699</v>
      </c>
      <c r="C66" s="4">
        <v>88719315.599999994</v>
      </c>
      <c r="D66" s="4">
        <v>6124829.538461538</v>
      </c>
    </row>
    <row r="67" spans="2:11" x14ac:dyDescent="0.25">
      <c r="B67" s="6" t="s">
        <v>10703</v>
      </c>
      <c r="C67" s="4">
        <v>829490</v>
      </c>
      <c r="D67" s="4">
        <v>0</v>
      </c>
    </row>
    <row r="68" spans="2:11" x14ac:dyDescent="0.25">
      <c r="B68" s="6" t="s">
        <v>10700</v>
      </c>
      <c r="C68" s="4">
        <v>20895296</v>
      </c>
      <c r="D68" s="4">
        <v>0</v>
      </c>
    </row>
    <row r="69" spans="2:11" x14ac:dyDescent="0.25">
      <c r="B69" s="6" t="s">
        <v>5732</v>
      </c>
      <c r="C69" s="4">
        <v>1098021140.8499999</v>
      </c>
      <c r="D69" s="4">
        <v>11102564.102564104</v>
      </c>
    </row>
    <row r="70" spans="2:11" x14ac:dyDescent="0.25">
      <c r="B70" s="6" t="s">
        <v>138</v>
      </c>
      <c r="C70" s="4">
        <v>10384998147.153811</v>
      </c>
      <c r="D70" s="4">
        <v>450661482.28937733</v>
      </c>
    </row>
    <row r="71" spans="2:11" x14ac:dyDescent="0.25"/>
    <row r="72" spans="2:11" x14ac:dyDescent="0.25">
      <c r="B72" s="267" t="s">
        <v>10704</v>
      </c>
      <c r="C72" s="267"/>
      <c r="D72" s="267"/>
      <c r="E72" s="267"/>
      <c r="F72" s="267"/>
      <c r="G72" s="267"/>
      <c r="H72" s="267"/>
      <c r="I72" s="267"/>
      <c r="J72" s="267"/>
      <c r="K72" s="267"/>
    </row>
    <row r="73" spans="2:11" x14ac:dyDescent="0.25"/>
    <row r="74" spans="2:11" x14ac:dyDescent="0.25">
      <c r="B74" s="39" t="s">
        <v>10675</v>
      </c>
      <c r="C74" s="51" t="s">
        <v>10676</v>
      </c>
      <c r="D74" s="51" t="s">
        <v>10677</v>
      </c>
    </row>
    <row r="75" spans="2:11" x14ac:dyDescent="0.25">
      <c r="B75" s="6" t="s">
        <v>6362</v>
      </c>
      <c r="C75" s="4">
        <v>54116067</v>
      </c>
      <c r="D75" s="4">
        <v>11252890</v>
      </c>
    </row>
    <row r="76" spans="2:11" x14ac:dyDescent="0.25">
      <c r="B76" s="6" t="s">
        <v>10695</v>
      </c>
      <c r="C76" s="4">
        <v>848608179.66666675</v>
      </c>
      <c r="D76" s="4">
        <v>295049031.37362641</v>
      </c>
    </row>
    <row r="77" spans="2:11" x14ac:dyDescent="0.25">
      <c r="B77" s="6" t="s">
        <v>5861</v>
      </c>
      <c r="C77" s="4">
        <v>325368201.16666669</v>
      </c>
      <c r="D77" s="4">
        <v>87568592.435897425</v>
      </c>
    </row>
    <row r="78" spans="2:11" x14ac:dyDescent="0.25">
      <c r="B78" s="6" t="s">
        <v>10696</v>
      </c>
      <c r="C78" s="4">
        <v>4952796.9333333373</v>
      </c>
      <c r="D78" s="4">
        <v>4322788.333333333</v>
      </c>
    </row>
    <row r="79" spans="2:11" x14ac:dyDescent="0.25">
      <c r="B79" s="6" t="s">
        <v>10697</v>
      </c>
      <c r="C79" s="4">
        <v>41264303.799999997</v>
      </c>
      <c r="D79" s="4">
        <v>0</v>
      </c>
    </row>
    <row r="80" spans="2:11" x14ac:dyDescent="0.25">
      <c r="B80" s="6" t="s">
        <v>10698</v>
      </c>
      <c r="C80" s="4">
        <v>8286755936.7799997</v>
      </c>
      <c r="D80" s="4">
        <v>0</v>
      </c>
    </row>
    <row r="81" spans="2:11" x14ac:dyDescent="0.25">
      <c r="B81" s="6" t="s">
        <v>10699</v>
      </c>
      <c r="C81" s="4">
        <v>88719315.599999994</v>
      </c>
      <c r="D81" s="4">
        <v>14289517.948717948</v>
      </c>
    </row>
    <row r="82" spans="2:11" x14ac:dyDescent="0.25">
      <c r="B82" s="6" t="s">
        <v>10703</v>
      </c>
      <c r="C82" s="4">
        <v>829490</v>
      </c>
      <c r="D82" s="4">
        <v>0</v>
      </c>
    </row>
    <row r="83" spans="2:11" x14ac:dyDescent="0.25">
      <c r="B83" s="6" t="s">
        <v>10700</v>
      </c>
      <c r="C83" s="4">
        <v>20895296</v>
      </c>
      <c r="D83" s="4">
        <v>0</v>
      </c>
    </row>
    <row r="84" spans="2:11" x14ac:dyDescent="0.25">
      <c r="B84" s="6" t="s">
        <v>5732</v>
      </c>
      <c r="C84" s="4">
        <v>1098021141.0699999</v>
      </c>
      <c r="D84" s="4">
        <v>13404156.960470086</v>
      </c>
    </row>
    <row r="85" spans="2:11" x14ac:dyDescent="0.25">
      <c r="B85" s="6" t="s">
        <v>138</v>
      </c>
      <c r="C85" s="4">
        <v>10769530728.016666</v>
      </c>
      <c r="D85" s="4">
        <v>425886977.05204517</v>
      </c>
    </row>
    <row r="86" spans="2:11" x14ac:dyDescent="0.25"/>
    <row r="87" spans="2:11" x14ac:dyDescent="0.25">
      <c r="B87" s="267" t="s">
        <v>10705</v>
      </c>
      <c r="C87" s="267"/>
      <c r="D87" s="267"/>
      <c r="E87" s="267"/>
      <c r="F87" s="267"/>
      <c r="G87" s="267"/>
      <c r="H87" s="267"/>
      <c r="I87" s="267"/>
      <c r="J87" s="267"/>
      <c r="K87" s="267"/>
    </row>
    <row r="88" spans="2:11" x14ac:dyDescent="0.25"/>
    <row r="89" spans="2:11" x14ac:dyDescent="0.25">
      <c r="B89" s="39" t="s">
        <v>10675</v>
      </c>
      <c r="C89" s="51" t="s">
        <v>10676</v>
      </c>
      <c r="D89" s="51" t="s">
        <v>10677</v>
      </c>
    </row>
    <row r="90" spans="2:11" x14ac:dyDescent="0.25">
      <c r="B90" s="6" t="s">
        <v>6362</v>
      </c>
      <c r="C90" s="4">
        <v>54116067</v>
      </c>
      <c r="D90" s="4">
        <v>0</v>
      </c>
    </row>
    <row r="91" spans="2:11" x14ac:dyDescent="0.25">
      <c r="B91" s="6" t="s">
        <v>10695</v>
      </c>
      <c r="C91" s="4">
        <v>491724609.5</v>
      </c>
      <c r="D91" s="4">
        <v>0</v>
      </c>
    </row>
    <row r="92" spans="2:11" x14ac:dyDescent="0.25">
      <c r="B92" s="6" t="s">
        <v>5861</v>
      </c>
      <c r="C92" s="4">
        <v>325368201.16666669</v>
      </c>
      <c r="D92" s="4">
        <v>0</v>
      </c>
    </row>
    <row r="93" spans="2:11" x14ac:dyDescent="0.25">
      <c r="B93" s="6" t="s">
        <v>10696</v>
      </c>
      <c r="C93" s="4">
        <v>4952796.9333333373</v>
      </c>
      <c r="D93" s="4">
        <v>4038007.125</v>
      </c>
    </row>
    <row r="94" spans="2:11" x14ac:dyDescent="0.25">
      <c r="B94" s="6" t="s">
        <v>10697</v>
      </c>
      <c r="C94" s="4">
        <v>41264303.799999997</v>
      </c>
      <c r="D94" s="4">
        <v>0</v>
      </c>
    </row>
    <row r="95" spans="2:11" x14ac:dyDescent="0.25">
      <c r="B95" s="6" t="s">
        <v>10698</v>
      </c>
      <c r="C95" s="4">
        <v>8160106789.7799997</v>
      </c>
      <c r="D95" s="4">
        <v>0</v>
      </c>
    </row>
    <row r="96" spans="2:11" x14ac:dyDescent="0.25">
      <c r="B96" s="6" t="s">
        <v>10699</v>
      </c>
      <c r="C96" s="4">
        <v>88719315.599999994</v>
      </c>
      <c r="D96" s="4">
        <v>0</v>
      </c>
    </row>
    <row r="97" spans="2:11" x14ac:dyDescent="0.25">
      <c r="B97" s="6" t="s">
        <v>10703</v>
      </c>
      <c r="C97" s="4">
        <v>829490</v>
      </c>
      <c r="D97" s="4">
        <v>0</v>
      </c>
    </row>
    <row r="98" spans="2:11" x14ac:dyDescent="0.25">
      <c r="B98" s="6" t="s">
        <v>10700</v>
      </c>
      <c r="C98" s="4">
        <v>20895296</v>
      </c>
      <c r="D98" s="4">
        <v>0</v>
      </c>
    </row>
    <row r="99" spans="2:11" x14ac:dyDescent="0.25">
      <c r="B99" s="6" t="s">
        <v>5732</v>
      </c>
      <c r="C99" s="4">
        <v>1098021140.8499999</v>
      </c>
      <c r="D99" s="4">
        <v>0</v>
      </c>
    </row>
    <row r="100" spans="2:11" x14ac:dyDescent="0.25">
      <c r="B100" s="6" t="s">
        <v>138</v>
      </c>
      <c r="C100" s="4">
        <v>10285998010.630001</v>
      </c>
      <c r="D100" s="4">
        <v>4038007.125</v>
      </c>
    </row>
    <row r="101" spans="2:11" x14ac:dyDescent="0.25"/>
    <row r="102" spans="2:11" x14ac:dyDescent="0.25">
      <c r="B102" s="267" t="s">
        <v>10706</v>
      </c>
      <c r="C102" s="267"/>
      <c r="D102" s="267"/>
      <c r="E102" s="267"/>
      <c r="F102" s="267"/>
      <c r="G102" s="267"/>
      <c r="H102" s="267"/>
      <c r="I102" s="267"/>
      <c r="J102" s="267"/>
      <c r="K102" s="267"/>
    </row>
    <row r="103" spans="2:11" x14ac:dyDescent="0.25"/>
    <row r="104" spans="2:11" x14ac:dyDescent="0.25">
      <c r="B104" s="39" t="s">
        <v>10675</v>
      </c>
      <c r="C104" s="51" t="s">
        <v>10676</v>
      </c>
      <c r="D104" s="51" t="s">
        <v>10677</v>
      </c>
    </row>
    <row r="105" spans="2:11" x14ac:dyDescent="0.25">
      <c r="B105" s="6" t="s">
        <v>6362</v>
      </c>
      <c r="C105" s="4">
        <v>54116067</v>
      </c>
      <c r="D105" s="4"/>
    </row>
    <row r="106" spans="2:11" x14ac:dyDescent="0.25">
      <c r="B106" s="6" t="s">
        <v>10695</v>
      </c>
      <c r="C106" s="4">
        <v>620091242.5</v>
      </c>
      <c r="D106" s="4">
        <v>312249093.07692307</v>
      </c>
    </row>
    <row r="107" spans="2:11" x14ac:dyDescent="0.25">
      <c r="B107" s="6" t="s">
        <v>5861</v>
      </c>
      <c r="C107" s="4">
        <v>325368201.16666669</v>
      </c>
      <c r="D107" s="4"/>
    </row>
    <row r="108" spans="2:11" x14ac:dyDescent="0.25">
      <c r="B108" s="6" t="s">
        <v>10707</v>
      </c>
      <c r="C108" s="4">
        <v>767691</v>
      </c>
      <c r="D108" s="4"/>
    </row>
    <row r="109" spans="2:11" x14ac:dyDescent="0.25">
      <c r="B109" s="6" t="s">
        <v>10696</v>
      </c>
      <c r="C109" s="4">
        <v>4952796.9333333373</v>
      </c>
      <c r="D109" s="4">
        <v>4038007.125</v>
      </c>
    </row>
    <row r="110" spans="2:11" x14ac:dyDescent="0.25">
      <c r="B110" s="6" t="s">
        <v>10697</v>
      </c>
      <c r="C110" s="4">
        <v>40496612.799999997</v>
      </c>
      <c r="D110" s="4"/>
    </row>
    <row r="111" spans="2:11" x14ac:dyDescent="0.25">
      <c r="B111" s="6" t="s">
        <v>10698</v>
      </c>
      <c r="C111" s="4">
        <v>8284470162.7799997</v>
      </c>
      <c r="D111" s="4"/>
    </row>
    <row r="112" spans="2:11" x14ac:dyDescent="0.25">
      <c r="B112" s="6" t="s">
        <v>10699</v>
      </c>
      <c r="C112" s="4">
        <v>88719315.599999994</v>
      </c>
      <c r="D112" s="4">
        <v>344488050</v>
      </c>
    </row>
    <row r="113" spans="2:11" x14ac:dyDescent="0.25">
      <c r="B113" s="6" t="s">
        <v>10703</v>
      </c>
      <c r="C113" s="4">
        <v>829490</v>
      </c>
      <c r="D113" s="4"/>
    </row>
    <row r="114" spans="2:11" x14ac:dyDescent="0.25">
      <c r="B114" s="6" t="s">
        <v>10700</v>
      </c>
      <c r="C114" s="4">
        <v>20895296</v>
      </c>
      <c r="D114" s="4"/>
    </row>
    <row r="115" spans="2:11" x14ac:dyDescent="0.25">
      <c r="B115" s="6" t="s">
        <v>5732</v>
      </c>
      <c r="C115" s="4">
        <v>1012020573.85</v>
      </c>
      <c r="D115" s="4">
        <v>0</v>
      </c>
    </row>
    <row r="116" spans="2:11" x14ac:dyDescent="0.25">
      <c r="B116" s="6" t="s">
        <v>138</v>
      </c>
      <c r="C116" s="4">
        <v>10452727449.630001</v>
      </c>
      <c r="D116" s="4">
        <v>660775150.20192313</v>
      </c>
    </row>
    <row r="117" spans="2:11" x14ac:dyDescent="0.25"/>
    <row r="118" spans="2:11" x14ac:dyDescent="0.25">
      <c r="B118" s="267" t="s">
        <v>10708</v>
      </c>
      <c r="C118" s="267"/>
      <c r="D118" s="267"/>
      <c r="E118" s="267"/>
      <c r="F118" s="267"/>
      <c r="G118" s="267"/>
      <c r="H118" s="267"/>
      <c r="I118" s="267"/>
      <c r="J118" s="267"/>
      <c r="K118" s="267"/>
    </row>
    <row r="119" spans="2:11" x14ac:dyDescent="0.25"/>
    <row r="120" spans="2:11" x14ac:dyDescent="0.25">
      <c r="B120" s="39" t="s">
        <v>10675</v>
      </c>
      <c r="C120" s="51" t="s">
        <v>10676</v>
      </c>
      <c r="D120" s="51" t="s">
        <v>10677</v>
      </c>
    </row>
    <row r="121" spans="2:11" x14ac:dyDescent="0.25">
      <c r="B121" s="6" t="s">
        <v>6362</v>
      </c>
      <c r="C121" s="4">
        <v>54116067</v>
      </c>
      <c r="D121" s="4">
        <v>0</v>
      </c>
    </row>
    <row r="122" spans="2:11" x14ac:dyDescent="0.25">
      <c r="B122" s="6" t="s">
        <v>10695</v>
      </c>
      <c r="C122" s="4">
        <v>569683786</v>
      </c>
      <c r="D122" s="4">
        <v>371637829.25897437</v>
      </c>
    </row>
    <row r="123" spans="2:11" x14ac:dyDescent="0.25">
      <c r="B123" s="6" t="s">
        <v>5861</v>
      </c>
      <c r="C123" s="4">
        <v>364829338.62121212</v>
      </c>
      <c r="D123" s="4">
        <v>18183709.936363637</v>
      </c>
    </row>
    <row r="124" spans="2:11" x14ac:dyDescent="0.25">
      <c r="B124" s="6" t="s">
        <v>10707</v>
      </c>
      <c r="C124" s="4">
        <v>767691</v>
      </c>
      <c r="D124" s="4">
        <v>0</v>
      </c>
    </row>
    <row r="125" spans="2:11" x14ac:dyDescent="0.25">
      <c r="B125" s="6" t="s">
        <v>10696</v>
      </c>
      <c r="C125" s="4">
        <v>4952796.9333333373</v>
      </c>
      <c r="D125" s="4">
        <v>8701011.25</v>
      </c>
    </row>
    <row r="126" spans="2:11" x14ac:dyDescent="0.25">
      <c r="B126" s="6" t="s">
        <v>10697</v>
      </c>
      <c r="C126" s="4">
        <v>40496612.799999997</v>
      </c>
      <c r="D126" s="4">
        <v>0</v>
      </c>
    </row>
    <row r="127" spans="2:11" x14ac:dyDescent="0.25">
      <c r="B127" s="6" t="s">
        <v>10698</v>
      </c>
      <c r="C127" s="4">
        <v>467087206.77999997</v>
      </c>
      <c r="D127" s="4">
        <v>20259909.949999999</v>
      </c>
    </row>
    <row r="128" spans="2:11" x14ac:dyDescent="0.25">
      <c r="B128" s="6" t="s">
        <v>10699</v>
      </c>
      <c r="C128" s="4">
        <v>88719315.599999994</v>
      </c>
      <c r="D128" s="4">
        <v>352255321.60000002</v>
      </c>
    </row>
    <row r="129" spans="2:11" x14ac:dyDescent="0.25">
      <c r="B129" s="6" t="s">
        <v>10703</v>
      </c>
      <c r="C129" s="4">
        <v>829490</v>
      </c>
      <c r="D129" s="4">
        <v>0</v>
      </c>
    </row>
    <row r="130" spans="2:11" x14ac:dyDescent="0.25">
      <c r="B130" s="6" t="s">
        <v>10700</v>
      </c>
      <c r="C130" s="4">
        <v>20895296</v>
      </c>
      <c r="D130" s="4">
        <v>0</v>
      </c>
    </row>
    <row r="131" spans="2:11" x14ac:dyDescent="0.25">
      <c r="B131" s="6" t="s">
        <v>5732</v>
      </c>
      <c r="C131" s="4">
        <v>651195015.06999993</v>
      </c>
      <c r="D131" s="4">
        <v>58398450.010101005</v>
      </c>
    </row>
    <row r="132" spans="2:11" x14ac:dyDescent="0.25">
      <c r="B132" s="6" t="s">
        <v>138</v>
      </c>
      <c r="C132" s="4">
        <v>2263572615.8045454</v>
      </c>
      <c r="D132" s="4">
        <v>829436232.00543892</v>
      </c>
    </row>
    <row r="133" spans="2:11" x14ac:dyDescent="0.25"/>
    <row r="134" spans="2:11" x14ac:dyDescent="0.25">
      <c r="B134" s="267" t="s">
        <v>10709</v>
      </c>
      <c r="C134" s="267"/>
      <c r="D134" s="267"/>
      <c r="E134" s="267"/>
      <c r="F134" s="267"/>
      <c r="G134" s="267"/>
      <c r="H134" s="267"/>
      <c r="I134" s="267"/>
      <c r="J134" s="267"/>
      <c r="K134" s="267"/>
    </row>
    <row r="135" spans="2:11" x14ac:dyDescent="0.25"/>
    <row r="136" spans="2:11" x14ac:dyDescent="0.25">
      <c r="B136" s="39" t="s">
        <v>10675</v>
      </c>
      <c r="C136" s="51" t="s">
        <v>10710</v>
      </c>
      <c r="D136" s="51" t="s">
        <v>10711</v>
      </c>
    </row>
    <row r="137" spans="2:11" x14ac:dyDescent="0.25">
      <c r="B137" s="6" t="s">
        <v>6362</v>
      </c>
      <c r="C137" s="4">
        <v>22781389.333333328</v>
      </c>
      <c r="D137" s="4">
        <v>157256306.57142857</v>
      </c>
    </row>
    <row r="138" spans="2:11" x14ac:dyDescent="0.25">
      <c r="B138" s="6" t="s">
        <v>10695</v>
      </c>
      <c r="C138" s="4">
        <v>302447000.97407401</v>
      </c>
      <c r="D138" s="4"/>
    </row>
    <row r="139" spans="2:11" x14ac:dyDescent="0.25">
      <c r="B139" s="6" t="s">
        <v>5861</v>
      </c>
      <c r="C139" s="4">
        <v>263309203</v>
      </c>
      <c r="D139" s="4">
        <v>225343935.30143541</v>
      </c>
    </row>
    <row r="140" spans="2:11" x14ac:dyDescent="0.25">
      <c r="B140" s="6" t="s">
        <v>10707</v>
      </c>
      <c r="C140" s="4">
        <v>31</v>
      </c>
      <c r="D140" s="4"/>
    </row>
    <row r="141" spans="2:11" x14ac:dyDescent="0.25">
      <c r="B141" s="6" t="s">
        <v>10696</v>
      </c>
      <c r="C141" s="4">
        <v>0.5</v>
      </c>
      <c r="D141" s="4">
        <v>14338949</v>
      </c>
    </row>
    <row r="142" spans="2:11" x14ac:dyDescent="0.25">
      <c r="B142" s="6" t="s">
        <v>10697</v>
      </c>
      <c r="C142" s="4">
        <v>1650000</v>
      </c>
      <c r="D142" s="4">
        <v>44090369.81818182</v>
      </c>
    </row>
    <row r="143" spans="2:11" x14ac:dyDescent="0.25">
      <c r="B143" s="6" t="s">
        <v>10698</v>
      </c>
      <c r="C143" s="4">
        <v>5043257046.5707407</v>
      </c>
      <c r="D143" s="4">
        <v>25890698.666666664</v>
      </c>
    </row>
    <row r="144" spans="2:11" x14ac:dyDescent="0.25">
      <c r="B144" s="6" t="s">
        <v>10699</v>
      </c>
      <c r="C144" s="4">
        <v>66858618.100000054</v>
      </c>
      <c r="D144" s="4">
        <v>13116884.48</v>
      </c>
    </row>
    <row r="145" spans="2:11" x14ac:dyDescent="0.25">
      <c r="B145" s="6" t="s">
        <v>10703</v>
      </c>
      <c r="C145" s="4">
        <v>829490</v>
      </c>
      <c r="D145" s="4"/>
    </row>
    <row r="146" spans="2:11" x14ac:dyDescent="0.25">
      <c r="B146" s="6" t="s">
        <v>10700</v>
      </c>
      <c r="C146" s="4">
        <v>8911293</v>
      </c>
      <c r="D146" s="4"/>
    </row>
    <row r="147" spans="2:11" x14ac:dyDescent="0.25">
      <c r="B147" s="6" t="s">
        <v>5732</v>
      </c>
      <c r="C147" s="4">
        <v>254765236.95787877</v>
      </c>
      <c r="D147" s="4">
        <v>83749182.396464646</v>
      </c>
    </row>
    <row r="148" spans="2:11" x14ac:dyDescent="0.25">
      <c r="B148" s="6" t="s">
        <v>138</v>
      </c>
      <c r="C148" s="4">
        <v>5964809309.4360275</v>
      </c>
      <c r="D148" s="4">
        <v>563786326.23417711</v>
      </c>
    </row>
    <row r="149" spans="2:11" x14ac:dyDescent="0.25"/>
    <row r="150" spans="2:11" x14ac:dyDescent="0.25"/>
    <row r="151" spans="2:11" x14ac:dyDescent="0.25">
      <c r="B151" s="268" t="s">
        <v>10712</v>
      </c>
      <c r="C151" s="268"/>
      <c r="D151" s="268"/>
      <c r="E151" s="268"/>
      <c r="F151" s="268"/>
      <c r="G151" s="268"/>
      <c r="H151" s="268"/>
      <c r="I151" s="268"/>
      <c r="J151" s="268"/>
      <c r="K151" s="268"/>
    </row>
    <row r="152" spans="2:11" x14ac:dyDescent="0.25"/>
    <row r="153" spans="2:11" x14ac:dyDescent="0.25"/>
    <row r="154" spans="2:11" x14ac:dyDescent="0.25"/>
    <row r="155" spans="2:11" x14ac:dyDescent="0.25"/>
    <row r="156" spans="2:11" x14ac:dyDescent="0.25"/>
  </sheetData>
  <mergeCells count="10">
    <mergeCell ref="B151:K151"/>
    <mergeCell ref="B134:K134"/>
    <mergeCell ref="B118:K118"/>
    <mergeCell ref="B102:K102"/>
    <mergeCell ref="B87:K87"/>
    <mergeCell ref="B7:K7"/>
    <mergeCell ref="B29:K29"/>
    <mergeCell ref="B43:K43"/>
    <mergeCell ref="B57:K57"/>
    <mergeCell ref="B72:K72"/>
  </mergeCells>
  <pageMargins left="0.7" right="0.7" top="0.75" bottom="0.75" header="0.3" footer="0.3"/>
  <drawing r:id="rId10"/>
  <extLst>
    <ext xmlns:x14="http://schemas.microsoft.com/office/spreadsheetml/2009/9/main" uri="{A8765BA9-456A-4dab-B4F3-ACF838C121DE}">
      <x14:slicerList>
        <x14:slicer r:id="rId11"/>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6"/>
  <sheetViews>
    <sheetView topLeftCell="A3" workbookViewId="0">
      <selection activeCell="A18" sqref="A18"/>
    </sheetView>
  </sheetViews>
  <sheetFormatPr baseColWidth="10" defaultColWidth="8.875" defaultRowHeight="15.75" x14ac:dyDescent="0.25"/>
  <cols>
    <col min="1" max="1" width="2.125" customWidth="1"/>
    <col min="2" max="2" width="38.375" bestFit="1" customWidth="1"/>
    <col min="3" max="4" width="14.125" bestFit="1" customWidth="1"/>
    <col min="5" max="5" width="17.625" customWidth="1"/>
    <col min="6"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625" customWidth="1"/>
  </cols>
  <sheetData>
    <row r="3" spans="2:14" x14ac:dyDescent="0.25">
      <c r="C3" s="269" t="s">
        <v>10651</v>
      </c>
      <c r="D3" s="270"/>
      <c r="E3" s="271"/>
      <c r="F3" s="272" t="s">
        <v>57</v>
      </c>
      <c r="G3" s="273"/>
      <c r="H3" s="274"/>
      <c r="I3" s="275" t="s">
        <v>10713</v>
      </c>
      <c r="J3" s="276"/>
      <c r="K3" s="277"/>
      <c r="L3" s="278" t="s">
        <v>10714</v>
      </c>
      <c r="M3" s="279"/>
      <c r="N3" s="280"/>
    </row>
    <row r="4" spans="2:14" x14ac:dyDescent="0.25">
      <c r="B4" s="137" t="s">
        <v>5699</v>
      </c>
      <c r="C4" s="138" t="s">
        <v>10715</v>
      </c>
      <c r="D4" s="138" t="s">
        <v>10716</v>
      </c>
      <c r="E4" s="139" t="s">
        <v>10647</v>
      </c>
      <c r="F4" s="138" t="s">
        <v>10715</v>
      </c>
      <c r="G4" s="138" t="s">
        <v>10716</v>
      </c>
      <c r="H4" s="139" t="s">
        <v>10647</v>
      </c>
      <c r="I4" s="138" t="s">
        <v>10715</v>
      </c>
      <c r="J4" s="138" t="s">
        <v>10716</v>
      </c>
      <c r="K4" s="139" t="s">
        <v>10647</v>
      </c>
      <c r="L4" s="138" t="s">
        <v>10715</v>
      </c>
      <c r="M4" s="138" t="s">
        <v>10716</v>
      </c>
      <c r="N4" s="139" t="s">
        <v>10647</v>
      </c>
    </row>
    <row r="5" spans="2:14" ht="15" customHeight="1" x14ac:dyDescent="0.25">
      <c r="B5" s="135" t="s">
        <v>10717</v>
      </c>
      <c r="C5" s="121">
        <f t="shared" ref="C5:C15" si="0">F5+I5+L5</f>
        <v>3237801849</v>
      </c>
      <c r="D5" s="121">
        <f t="shared" ref="D5:D15" si="1">G5+J5+M5</f>
        <v>2804182759</v>
      </c>
      <c r="E5" s="123">
        <f t="shared" ref="E5:E15" si="2">IFERROR(D5/C5,0)</f>
        <v>0.86607608796877922</v>
      </c>
      <c r="F5" s="121">
        <v>2534816246</v>
      </c>
      <c r="G5" s="121">
        <f>2488567507-M5</f>
        <v>2112985869</v>
      </c>
      <c r="H5" s="123">
        <f t="shared" ref="H5:H15" si="3">IFERROR(G5/F5,0)</f>
        <v>0.83358542156037607</v>
      </c>
      <c r="I5" s="121">
        <v>315615252</v>
      </c>
      <c r="J5" s="121">
        <v>315615252</v>
      </c>
      <c r="K5" s="123">
        <f t="shared" ref="K5:K15" si="4">IFERROR(J5/I5,0)</f>
        <v>1</v>
      </c>
      <c r="L5" s="121">
        <v>387370351</v>
      </c>
      <c r="M5" s="121">
        <v>375581638</v>
      </c>
      <c r="N5" s="123">
        <f t="shared" ref="N5:N16" si="5">IFERROR(M5/L5,0)</f>
        <v>0.96956733273579832</v>
      </c>
    </row>
    <row r="6" spans="2:14" ht="15" customHeight="1" x14ac:dyDescent="0.25">
      <c r="B6" s="135" t="s">
        <v>10718</v>
      </c>
      <c r="C6" s="121">
        <f>F6+I6+L6</f>
        <v>1647804548</v>
      </c>
      <c r="D6" s="121">
        <f t="shared" si="1"/>
        <v>1307997183</v>
      </c>
      <c r="E6" s="123">
        <f t="shared" si="2"/>
        <v>0.79378175317428479</v>
      </c>
      <c r="F6" s="121">
        <v>1111166768</v>
      </c>
      <c r="G6" s="121">
        <v>771359403</v>
      </c>
      <c r="H6" s="123">
        <f t="shared" si="3"/>
        <v>0.69418868995549365</v>
      </c>
      <c r="I6" s="121">
        <v>536637780</v>
      </c>
      <c r="J6" s="121">
        <v>536637780</v>
      </c>
      <c r="K6" s="123">
        <f t="shared" si="4"/>
        <v>1</v>
      </c>
      <c r="L6" s="121"/>
      <c r="M6" s="121"/>
      <c r="N6" s="123">
        <f t="shared" si="5"/>
        <v>0</v>
      </c>
    </row>
    <row r="7" spans="2:14" ht="15" customHeight="1" x14ac:dyDescent="0.25">
      <c r="B7" s="135" t="s">
        <v>10719</v>
      </c>
      <c r="C7" s="121">
        <f>F7+I7+L7</f>
        <v>852229890</v>
      </c>
      <c r="D7" s="121">
        <f t="shared" si="1"/>
        <v>811104854</v>
      </c>
      <c r="E7" s="123">
        <f t="shared" si="2"/>
        <v>0.95174419897429319</v>
      </c>
      <c r="F7" s="121">
        <v>852229890</v>
      </c>
      <c r="G7" s="121">
        <v>811104854</v>
      </c>
      <c r="H7" s="123"/>
      <c r="I7" s="121"/>
      <c r="J7" s="121"/>
      <c r="K7" s="123"/>
      <c r="L7" s="121"/>
      <c r="M7" s="121"/>
      <c r="N7" s="123"/>
    </row>
    <row r="8" spans="2:14" ht="15" customHeight="1" x14ac:dyDescent="0.25">
      <c r="B8" s="135" t="s">
        <v>517</v>
      </c>
      <c r="C8" s="121">
        <f t="shared" si="0"/>
        <v>444967405</v>
      </c>
      <c r="D8" s="121">
        <f t="shared" si="1"/>
        <v>375681338</v>
      </c>
      <c r="E8" s="123">
        <f t="shared" si="2"/>
        <v>0.84428956768192942</v>
      </c>
      <c r="F8" s="121">
        <v>444967405</v>
      </c>
      <c r="G8" s="121">
        <v>375681338</v>
      </c>
      <c r="H8" s="123">
        <f t="shared" si="3"/>
        <v>0.84428956768192942</v>
      </c>
      <c r="I8" s="121"/>
      <c r="J8" s="121"/>
      <c r="K8" s="123">
        <f t="shared" si="4"/>
        <v>0</v>
      </c>
      <c r="L8" s="121"/>
      <c r="M8" s="121"/>
      <c r="N8" s="123">
        <f t="shared" si="5"/>
        <v>0</v>
      </c>
    </row>
    <row r="9" spans="2:14" ht="15" customHeight="1" x14ac:dyDescent="0.25">
      <c r="B9" s="135" t="s">
        <v>10662</v>
      </c>
      <c r="C9" s="121">
        <f t="shared" si="0"/>
        <v>485247745</v>
      </c>
      <c r="D9" s="121">
        <f t="shared" si="1"/>
        <v>440203894</v>
      </c>
      <c r="E9" s="123">
        <f t="shared" si="2"/>
        <v>0.90717349752959697</v>
      </c>
      <c r="F9" s="121">
        <v>465134059</v>
      </c>
      <c r="G9" s="121">
        <v>420090208</v>
      </c>
      <c r="H9" s="123">
        <f t="shared" si="3"/>
        <v>0.90315942226023915</v>
      </c>
      <c r="I9" s="121">
        <v>20113686</v>
      </c>
      <c r="J9" s="121">
        <v>20113686</v>
      </c>
      <c r="K9" s="123">
        <f t="shared" si="4"/>
        <v>1</v>
      </c>
      <c r="L9" s="121"/>
      <c r="M9" s="121"/>
      <c r="N9" s="123">
        <f t="shared" si="5"/>
        <v>0</v>
      </c>
    </row>
    <row r="10" spans="2:14" ht="33.75" customHeight="1" x14ac:dyDescent="0.25">
      <c r="B10" s="135" t="s">
        <v>10720</v>
      </c>
      <c r="C10" s="121">
        <f t="shared" si="0"/>
        <v>5745008992</v>
      </c>
      <c r="D10" s="121">
        <f t="shared" si="1"/>
        <v>5720778475</v>
      </c>
      <c r="E10" s="123">
        <f t="shared" si="2"/>
        <v>0.99578233610534961</v>
      </c>
      <c r="F10" s="121">
        <v>612036442</v>
      </c>
      <c r="G10" s="121">
        <v>587805925</v>
      </c>
      <c r="H10" s="123">
        <f t="shared" si="3"/>
        <v>0.9604100093765332</v>
      </c>
      <c r="I10" s="121">
        <v>5132972550</v>
      </c>
      <c r="J10" s="140">
        <v>5132972550</v>
      </c>
      <c r="K10" s="123">
        <f t="shared" si="4"/>
        <v>1</v>
      </c>
      <c r="L10" s="121"/>
      <c r="M10" s="121"/>
      <c r="N10" s="123">
        <f t="shared" si="5"/>
        <v>0</v>
      </c>
    </row>
    <row r="11" spans="2:14" ht="15" customHeight="1" x14ac:dyDescent="0.25">
      <c r="B11" s="135" t="s">
        <v>3243</v>
      </c>
      <c r="C11" s="121">
        <f t="shared" si="0"/>
        <v>75071349</v>
      </c>
      <c r="D11" s="121">
        <f t="shared" si="1"/>
        <v>55199482</v>
      </c>
      <c r="E11" s="123">
        <f t="shared" si="2"/>
        <v>0.73529359383164938</v>
      </c>
      <c r="F11" s="121">
        <v>75071349</v>
      </c>
      <c r="G11" s="121">
        <v>55199482</v>
      </c>
      <c r="H11" s="123">
        <f t="shared" si="3"/>
        <v>0.73529359383164938</v>
      </c>
      <c r="I11" s="121"/>
      <c r="J11" s="121"/>
      <c r="K11" s="123">
        <f t="shared" si="4"/>
        <v>0</v>
      </c>
      <c r="L11" s="121"/>
      <c r="M11" s="121"/>
      <c r="N11" s="123">
        <f t="shared" si="5"/>
        <v>0</v>
      </c>
    </row>
    <row r="12" spans="2:14" ht="15" customHeight="1" x14ac:dyDescent="0.25">
      <c r="B12" s="135" t="s">
        <v>5223</v>
      </c>
      <c r="C12" s="121">
        <f t="shared" si="0"/>
        <v>0</v>
      </c>
      <c r="D12" s="121">
        <f t="shared" si="1"/>
        <v>0</v>
      </c>
      <c r="E12" s="123">
        <f t="shared" si="2"/>
        <v>0</v>
      </c>
      <c r="F12" s="121"/>
      <c r="G12" s="121"/>
      <c r="H12" s="123">
        <f t="shared" si="3"/>
        <v>0</v>
      </c>
      <c r="I12" s="121"/>
      <c r="J12" s="121"/>
      <c r="K12" s="123">
        <f t="shared" si="4"/>
        <v>0</v>
      </c>
      <c r="L12" s="121"/>
      <c r="M12" s="121"/>
      <c r="N12" s="123">
        <f t="shared" si="5"/>
        <v>0</v>
      </c>
    </row>
    <row r="13" spans="2:14" ht="15" customHeight="1" x14ac:dyDescent="0.25">
      <c r="B13" s="135" t="s">
        <v>2691</v>
      </c>
      <c r="C13" s="121">
        <f t="shared" si="0"/>
        <v>468278240</v>
      </c>
      <c r="D13" s="121">
        <f t="shared" si="1"/>
        <v>468149550</v>
      </c>
      <c r="E13" s="123">
        <f t="shared" si="2"/>
        <v>0.99972518475340644</v>
      </c>
      <c r="F13" s="121">
        <v>468278240</v>
      </c>
      <c r="G13" s="121">
        <v>468149550</v>
      </c>
      <c r="H13" s="123">
        <f t="shared" si="3"/>
        <v>0.99972518475340644</v>
      </c>
      <c r="I13" s="121"/>
      <c r="J13" s="121"/>
      <c r="K13" s="123">
        <f t="shared" si="4"/>
        <v>0</v>
      </c>
      <c r="L13" s="121"/>
      <c r="M13" s="121"/>
      <c r="N13" s="123">
        <f t="shared" si="5"/>
        <v>0</v>
      </c>
    </row>
    <row r="14" spans="2:14" ht="15" customHeight="1" x14ac:dyDescent="0.25">
      <c r="B14" s="135" t="s">
        <v>180</v>
      </c>
      <c r="C14" s="121">
        <f t="shared" si="0"/>
        <v>0</v>
      </c>
      <c r="D14" s="121">
        <f t="shared" si="1"/>
        <v>0</v>
      </c>
      <c r="E14" s="123">
        <f t="shared" si="2"/>
        <v>0</v>
      </c>
      <c r="F14" s="121"/>
      <c r="G14" s="121"/>
      <c r="H14" s="123">
        <f t="shared" si="3"/>
        <v>0</v>
      </c>
      <c r="I14" s="121"/>
      <c r="J14" s="121"/>
      <c r="K14" s="123">
        <f t="shared" si="4"/>
        <v>0</v>
      </c>
      <c r="L14" s="121"/>
      <c r="M14" s="121"/>
      <c r="N14" s="123">
        <f t="shared" si="5"/>
        <v>0</v>
      </c>
    </row>
    <row r="15" spans="2:14" ht="15" customHeight="1" x14ac:dyDescent="0.25">
      <c r="B15" s="135" t="s">
        <v>10668</v>
      </c>
      <c r="C15" s="121">
        <f t="shared" si="0"/>
        <v>1671441803</v>
      </c>
      <c r="D15" s="121">
        <f t="shared" si="1"/>
        <v>1410319999.2900009</v>
      </c>
      <c r="E15" s="123">
        <f t="shared" si="2"/>
        <v>0.84377451656329128</v>
      </c>
      <c r="F15" s="121">
        <v>1607301752</v>
      </c>
      <c r="G15" s="121">
        <v>1347179948.2900009</v>
      </c>
      <c r="H15" s="123">
        <f t="shared" si="3"/>
        <v>0.83816243378922228</v>
      </c>
      <c r="I15" s="121">
        <v>46000000</v>
      </c>
      <c r="J15" s="121">
        <v>45000000</v>
      </c>
      <c r="K15" s="123">
        <f t="shared" si="4"/>
        <v>0.97826086956521741</v>
      </c>
      <c r="L15" s="121">
        <v>18140051</v>
      </c>
      <c r="M15" s="121">
        <v>18140051</v>
      </c>
      <c r="N15" s="123">
        <f t="shared" si="5"/>
        <v>1</v>
      </c>
    </row>
    <row r="16" spans="2:14" ht="15" customHeight="1" x14ac:dyDescent="0.25">
      <c r="B16" s="120" t="s">
        <v>10651</v>
      </c>
      <c r="C16" s="136">
        <f>SUM(C5:C15)</f>
        <v>14627851821</v>
      </c>
      <c r="D16" s="136">
        <f>SUM(D5:D15)</f>
        <v>13393617534.290001</v>
      </c>
      <c r="E16" s="124">
        <f>D16/C16</f>
        <v>0.91562436495712163</v>
      </c>
      <c r="F16" s="136">
        <f>SUM(F5:F15)</f>
        <v>8171002151</v>
      </c>
      <c r="G16" s="136">
        <f>SUM(G5:G15)</f>
        <v>6949556577.2900009</v>
      </c>
      <c r="H16" s="124">
        <f>G16/F16</f>
        <v>0.85051459403171081</v>
      </c>
      <c r="I16" s="136">
        <f>SUM(I5:I15)</f>
        <v>6051339268</v>
      </c>
      <c r="J16" s="136">
        <f>SUM(J5:J15)</f>
        <v>6050339268</v>
      </c>
      <c r="K16" s="124">
        <f>J16/I16</f>
        <v>0.99983474732522637</v>
      </c>
      <c r="L16" s="136">
        <f>SUM(L5:L15)</f>
        <v>405510402</v>
      </c>
      <c r="M16" s="136">
        <f>SUM(M5:M15)</f>
        <v>393721689</v>
      </c>
      <c r="N16" s="124">
        <f t="shared" si="5"/>
        <v>0.97092870382151131</v>
      </c>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heetViews>
  <sheetFormatPr baseColWidth="10" defaultColWidth="0" defaultRowHeight="15" zeroHeight="1" x14ac:dyDescent="0.25"/>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x14ac:dyDescent="0.25"/>
    <row r="2" spans="5:12" x14ac:dyDescent="0.25"/>
    <row r="3" spans="5:12" x14ac:dyDescent="0.25"/>
    <row r="5" spans="5:12" s="83" customFormat="1" ht="15.75" thickBot="1" x14ac:dyDescent="0.3"/>
    <row r="6" spans="5:12" x14ac:dyDescent="0.25"/>
    <row r="7" spans="5:12" x14ac:dyDescent="0.25"/>
    <row r="8" spans="5:12" x14ac:dyDescent="0.25"/>
    <row r="9" spans="5:12" ht="15.75" thickBot="1" x14ac:dyDescent="0.3"/>
    <row r="10" spans="5:12" ht="8.25" customHeight="1" x14ac:dyDescent="0.25">
      <c r="E10" s="84"/>
      <c r="F10" s="85"/>
      <c r="G10" s="85"/>
      <c r="H10" s="85"/>
      <c r="I10" s="85"/>
      <c r="J10" s="85"/>
      <c r="K10" s="85"/>
      <c r="L10" s="85"/>
    </row>
    <row r="11" spans="5:12" x14ac:dyDescent="0.25">
      <c r="E11" s="86"/>
    </row>
    <row r="12" spans="5:12" x14ac:dyDescent="0.25">
      <c r="E12" s="86"/>
    </row>
    <row r="13" spans="5:12" x14ac:dyDescent="0.25">
      <c r="E13" s="86"/>
    </row>
    <row r="14" spans="5:12" x14ac:dyDescent="0.25">
      <c r="E14" s="86"/>
    </row>
    <row r="15" spans="5:12" x14ac:dyDescent="0.25">
      <c r="E15" s="86"/>
    </row>
    <row r="16" spans="5:12" x14ac:dyDescent="0.25">
      <c r="E16" s="86"/>
    </row>
    <row r="17" spans="5:12" x14ac:dyDescent="0.25">
      <c r="E17" s="86"/>
    </row>
    <row r="18" spans="5:12" x14ac:dyDescent="0.25">
      <c r="E18" s="86"/>
    </row>
    <row r="19" spans="5:12" x14ac:dyDescent="0.25">
      <c r="E19" s="86"/>
    </row>
    <row r="20" spans="5:12" x14ac:dyDescent="0.25">
      <c r="E20" s="86"/>
    </row>
    <row r="21" spans="5:12" ht="15.75" x14ac:dyDescent="0.25">
      <c r="E21" s="86"/>
      <c r="I21" s="53"/>
      <c r="J21" s="52" t="s">
        <v>10721</v>
      </c>
      <c r="K21" s="52" t="s">
        <v>10722</v>
      </c>
      <c r="L21" s="53"/>
    </row>
    <row r="22" spans="5:12" ht="15.75" x14ac:dyDescent="0.25">
      <c r="E22" s="86"/>
      <c r="I22" s="52" t="s">
        <v>10723</v>
      </c>
      <c r="J22" s="87">
        <f>1-K22</f>
        <v>8.3480140153771032E-2</v>
      </c>
      <c r="K22" s="87">
        <f>IFERROR(Validaciones!AZ6/Validaciones!AY6,0)</f>
        <v>0.91651985984622897</v>
      </c>
      <c r="L22" s="53"/>
    </row>
    <row r="23" spans="5:12" ht="15.75" x14ac:dyDescent="0.25">
      <c r="E23" s="86"/>
      <c r="I23" s="52" t="s">
        <v>10724</v>
      </c>
      <c r="J23" s="87">
        <f>1-K23</f>
        <v>0.12096650466779679</v>
      </c>
      <c r="K23" s="87">
        <f>IFERROR(Validaciones!BB6/Validaciones!AY6,0)</f>
        <v>0.87903349533220321</v>
      </c>
      <c r="L23" s="53"/>
    </row>
    <row r="24" spans="5:12" ht="15.75" x14ac:dyDescent="0.25">
      <c r="E24" s="86"/>
      <c r="I24" s="52" t="s">
        <v>10725</v>
      </c>
      <c r="J24" s="87">
        <f>1-K24</f>
        <v>0.19632985836355155</v>
      </c>
      <c r="K24" s="87">
        <f>IFERROR(Validaciones!BC6/Validaciones!AY6,0)</f>
        <v>0.80367014163644845</v>
      </c>
      <c r="L24" s="53"/>
    </row>
    <row r="25" spans="5:12" ht="15.75" x14ac:dyDescent="0.25">
      <c r="E25" s="86"/>
      <c r="I25" s="52" t="s">
        <v>10726</v>
      </c>
      <c r="J25" s="87">
        <f>1-K25</f>
        <v>0.19640899858046068</v>
      </c>
      <c r="K25" s="87">
        <f>IFERROR(Validaciones!BD6/Validaciones!AY6,0)</f>
        <v>0.80359100141953932</v>
      </c>
      <c r="L25" s="53"/>
    </row>
    <row r="26" spans="5:12" x14ac:dyDescent="0.25">
      <c r="E26" s="86"/>
      <c r="I26" s="53"/>
      <c r="J26" s="53"/>
      <c r="K26" s="53"/>
      <c r="L26" s="53"/>
    </row>
    <row r="27" spans="5:12" x14ac:dyDescent="0.25">
      <c r="E27" s="86"/>
      <c r="I27" s="53"/>
      <c r="J27" s="53"/>
      <c r="K27" s="53"/>
      <c r="L27" s="53"/>
    </row>
    <row r="28" spans="5:12" x14ac:dyDescent="0.25">
      <c r="E28" s="86"/>
      <c r="I28" s="53"/>
      <c r="J28" s="53"/>
      <c r="K28" s="53"/>
      <c r="L28" s="53"/>
    </row>
    <row r="29" spans="5:12" x14ac:dyDescent="0.25">
      <c r="E29" s="86"/>
    </row>
    <row r="30" spans="5:12" x14ac:dyDescent="0.25">
      <c r="E30" s="86"/>
    </row>
    <row r="31" spans="5:12" x14ac:dyDescent="0.25">
      <c r="E31" s="86"/>
    </row>
    <row r="32" spans="5:12" x14ac:dyDescent="0.25"/>
    <row r="34" spans="1:18" ht="15.75" x14ac:dyDescent="0.25">
      <c r="A34" s="268" t="s">
        <v>10712</v>
      </c>
      <c r="B34" s="268"/>
      <c r="C34" s="268"/>
      <c r="D34" s="268"/>
      <c r="E34" s="268"/>
      <c r="F34" s="268"/>
      <c r="G34" s="268"/>
      <c r="H34" s="268"/>
      <c r="I34" s="268"/>
      <c r="J34" s="268"/>
      <c r="K34" s="268"/>
      <c r="L34" s="268"/>
      <c r="M34" s="268"/>
      <c r="N34" s="268"/>
      <c r="O34" s="268"/>
      <c r="P34" s="268"/>
      <c r="Q34" s="268"/>
      <c r="R34" s="268"/>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baseColWidth="10" defaultColWidth="0" defaultRowHeight="15.75" zeroHeight="1" x14ac:dyDescent="0.25"/>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x14ac:dyDescent="0.25"/>
    <row r="2" spans="1:21" x14ac:dyDescent="0.25"/>
    <row r="3" spans="1:21" x14ac:dyDescent="0.25"/>
    <row r="4" spans="1:21" x14ac:dyDescent="0.25"/>
    <row r="5" spans="1:21" ht="16.5" thickBot="1" x14ac:dyDescent="0.3">
      <c r="A5" s="115"/>
      <c r="B5" s="115"/>
      <c r="C5" s="115"/>
      <c r="D5" s="115"/>
      <c r="E5" s="115"/>
      <c r="F5" s="115"/>
      <c r="G5" s="115"/>
      <c r="H5" s="115"/>
      <c r="I5" s="115"/>
      <c r="J5" s="115"/>
      <c r="K5" s="115"/>
      <c r="L5" s="115"/>
      <c r="M5" s="115"/>
      <c r="N5" s="115"/>
      <c r="O5" s="115"/>
      <c r="P5" s="115"/>
      <c r="Q5" s="115"/>
      <c r="R5" s="115"/>
      <c r="S5" s="115"/>
      <c r="T5" s="115"/>
      <c r="U5" s="115"/>
    </row>
    <row r="6" spans="1:21" x14ac:dyDescent="0.25"/>
    <row r="7" spans="1:21" x14ac:dyDescent="0.25"/>
    <row r="8" spans="1:21" x14ac:dyDescent="0.25"/>
    <row r="9" spans="1:21" x14ac:dyDescent="0.25"/>
    <row r="10" spans="1:21" x14ac:dyDescent="0.25"/>
    <row r="11" spans="1:21" x14ac:dyDescent="0.25"/>
    <row r="12" spans="1:21" x14ac:dyDescent="0.25"/>
    <row r="13" spans="1:21" x14ac:dyDescent="0.25"/>
    <row r="14" spans="1:21" ht="16.5" thickBot="1" x14ac:dyDescent="0.3">
      <c r="B14" s="116"/>
      <c r="C14" s="116"/>
    </row>
    <row r="15" spans="1:21" ht="8.1" customHeight="1" x14ac:dyDescent="0.25">
      <c r="T15" t="s">
        <v>10727</v>
      </c>
    </row>
    <row r="16" spans="1:21" x14ac:dyDescent="0.25">
      <c r="B16" s="282" t="s">
        <v>10728</v>
      </c>
      <c r="C16" s="283"/>
    </row>
    <row r="17" spans="4:20" x14ac:dyDescent="0.25"/>
    <row r="18" spans="4:20" ht="16.5" thickBot="1" x14ac:dyDescent="0.3"/>
    <row r="19" spans="4:20" x14ac:dyDescent="0.25">
      <c r="D19" s="4"/>
      <c r="E19" s="4"/>
      <c r="F19" s="4"/>
      <c r="N19" s="107"/>
      <c r="O19" s="108"/>
      <c r="P19" s="108"/>
      <c r="Q19" s="108"/>
      <c r="R19" s="108"/>
      <c r="S19" s="108"/>
      <c r="T19" s="109"/>
    </row>
    <row r="20" spans="4:20" x14ac:dyDescent="0.25">
      <c r="N20" s="11"/>
      <c r="O20" s="281" t="s">
        <v>10729</v>
      </c>
      <c r="P20" s="281"/>
      <c r="Q20" s="281"/>
      <c r="R20" s="281"/>
      <c r="S20" s="281"/>
      <c r="T20" s="110"/>
    </row>
    <row r="21" spans="4:20" x14ac:dyDescent="0.25">
      <c r="N21" s="11"/>
      <c r="O21" s="100" t="s">
        <v>10730</v>
      </c>
      <c r="P21" s="100"/>
      <c r="Q21" s="100"/>
      <c r="R21" s="101">
        <f>E50-G50</f>
        <v>37835073195.350021</v>
      </c>
      <c r="S21" s="100"/>
      <c r="T21" s="110"/>
    </row>
    <row r="22" spans="4:20" x14ac:dyDescent="0.25">
      <c r="N22" s="11"/>
      <c r="O22" s="100" t="s">
        <v>10731</v>
      </c>
      <c r="P22" s="100"/>
      <c r="Q22" s="100"/>
      <c r="R22" s="101">
        <f>E50-I50</f>
        <v>73408646529.550003</v>
      </c>
      <c r="S22" s="100"/>
      <c r="T22" s="110"/>
    </row>
    <row r="23" spans="4:20" x14ac:dyDescent="0.25">
      <c r="N23" s="11"/>
      <c r="O23" s="100" t="s">
        <v>10732</v>
      </c>
      <c r="P23" s="100"/>
      <c r="Q23" s="100"/>
      <c r="R23" s="101">
        <f>E50-J50</f>
        <v>74897363888.050003</v>
      </c>
      <c r="S23" s="100"/>
      <c r="T23" s="110"/>
    </row>
    <row r="24" spans="4:20" x14ac:dyDescent="0.25">
      <c r="N24" s="11"/>
      <c r="O24" s="100"/>
      <c r="P24" s="100"/>
      <c r="Q24" s="100"/>
      <c r="R24" s="100"/>
      <c r="S24" s="100"/>
      <c r="T24" s="110"/>
    </row>
    <row r="25" spans="4:20" x14ac:dyDescent="0.25">
      <c r="N25" s="11"/>
      <c r="T25" s="110"/>
    </row>
    <row r="26" spans="4:20" x14ac:dyDescent="0.25">
      <c r="N26" s="11"/>
      <c r="O26" s="281" t="s">
        <v>10733</v>
      </c>
      <c r="P26" s="281"/>
      <c r="Q26" s="281"/>
      <c r="R26" s="281"/>
      <c r="S26" s="281"/>
      <c r="T26" s="110"/>
    </row>
    <row r="27" spans="4:20" x14ac:dyDescent="0.25">
      <c r="N27" s="11"/>
      <c r="O27" s="100" t="s">
        <v>10734</v>
      </c>
      <c r="P27" s="100"/>
      <c r="Q27" s="100"/>
      <c r="R27" s="12">
        <f>G50/E50</f>
        <v>0.78233559379394291</v>
      </c>
      <c r="S27" s="100"/>
      <c r="T27" s="110"/>
    </row>
    <row r="28" spans="4:20" x14ac:dyDescent="0.25">
      <c r="N28" s="11"/>
      <c r="O28" s="100" t="s">
        <v>10735</v>
      </c>
      <c r="P28" s="100"/>
      <c r="Q28" s="100"/>
      <c r="R28" s="12">
        <f>I50/E50</f>
        <v>0.57768155027096368</v>
      </c>
      <c r="S28" s="100"/>
      <c r="T28" s="110"/>
    </row>
    <row r="29" spans="4:20" x14ac:dyDescent="0.25">
      <c r="N29" s="11"/>
      <c r="O29" s="100" t="s">
        <v>10736</v>
      </c>
      <c r="P29" s="100"/>
      <c r="Q29" s="100"/>
      <c r="R29" s="12">
        <f>J50/E50</f>
        <v>0.56911698960067059</v>
      </c>
      <c r="S29" s="100"/>
      <c r="T29" s="110"/>
    </row>
    <row r="30" spans="4:20" x14ac:dyDescent="0.25">
      <c r="N30" s="11"/>
      <c r="O30" s="100"/>
      <c r="P30" s="100"/>
      <c r="Q30" s="100"/>
      <c r="R30" s="12"/>
      <c r="S30" s="100"/>
      <c r="T30" s="110"/>
    </row>
    <row r="31" spans="4:20" x14ac:dyDescent="0.25">
      <c r="N31" s="11"/>
      <c r="T31" s="110"/>
    </row>
    <row r="32" spans="4:20" ht="16.5" thickBot="1" x14ac:dyDescent="0.3">
      <c r="N32" s="111"/>
      <c r="O32" s="112"/>
      <c r="P32" s="112"/>
      <c r="Q32" s="112"/>
      <c r="R32" s="112"/>
      <c r="S32" s="112"/>
      <c r="T32" s="113"/>
    </row>
    <row r="33" spans="2:20" x14ac:dyDescent="0.25"/>
    <row r="34" spans="2:20" x14ac:dyDescent="0.25"/>
    <row r="35" spans="2:20" x14ac:dyDescent="0.25"/>
    <row r="36" spans="2:20" x14ac:dyDescent="0.25"/>
    <row r="37" spans="2:20" x14ac:dyDescent="0.25"/>
    <row r="38" spans="2:20" x14ac:dyDescent="0.25"/>
    <row r="39" spans="2:20" x14ac:dyDescent="0.25"/>
    <row r="40" spans="2:20" x14ac:dyDescent="0.25">
      <c r="C40" s="12">
        <f>$E$53</f>
        <v>0.4590741213375637</v>
      </c>
    </row>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c r="B48" s="268" t="s">
        <v>10712</v>
      </c>
      <c r="C48" s="268"/>
      <c r="D48" s="268"/>
      <c r="E48" s="268"/>
      <c r="F48" s="268"/>
      <c r="G48" s="268"/>
      <c r="H48" s="268"/>
      <c r="I48" s="268"/>
      <c r="J48" s="268"/>
      <c r="K48" s="268"/>
      <c r="L48" s="268"/>
      <c r="M48" s="268"/>
      <c r="N48" s="268"/>
      <c r="O48" s="268"/>
      <c r="P48" s="268"/>
      <c r="Q48" s="268"/>
      <c r="R48" s="268"/>
      <c r="S48" s="268"/>
      <c r="T48" s="268"/>
    </row>
    <row r="49" spans="3:11" ht="0.95" customHeight="1" x14ac:dyDescent="0.25">
      <c r="C49" t="s">
        <v>10737</v>
      </c>
      <c r="D49" t="s">
        <v>2</v>
      </c>
      <c r="E49" t="s">
        <v>67</v>
      </c>
      <c r="F49" t="s">
        <v>4</v>
      </c>
      <c r="G49" t="s">
        <v>10738</v>
      </c>
      <c r="H49" t="s">
        <v>6</v>
      </c>
      <c r="I49" t="s">
        <v>10739</v>
      </c>
      <c r="J49" t="s">
        <v>10648</v>
      </c>
      <c r="K49" t="s">
        <v>10740</v>
      </c>
    </row>
    <row r="50" spans="3:11" ht="0.95" customHeight="1" x14ac:dyDescent="0.25">
      <c r="C50" s="4">
        <f>GETPIVOTDATA("Apropiación vigente",Validaciones!$A$1)</f>
        <v>296222088884</v>
      </c>
      <c r="D50" s="4">
        <f>GETPIVOTDATA("Apropiación bloqueada",Validaciones!$A$1)</f>
        <v>4590312563</v>
      </c>
      <c r="E50" s="4">
        <f>GETPIVOTDATA("CDP ",Validaciones!$A$1)</f>
        <v>173822968370.55002</v>
      </c>
      <c r="F50" s="4">
        <f>GETPIVOTDATA("Apropiación disponible",Validaciones!$A$1)</f>
        <v>117808807950.44998</v>
      </c>
      <c r="G50" s="4">
        <f>GETPIVOTDATA("Compromisos",Validaciones!$A$1)</f>
        <v>135987895175.2</v>
      </c>
      <c r="H50" s="4">
        <f>GETPIVOTDATA("CDP por registrar",Validaciones!$A$1)</f>
        <v>37835073195.350021</v>
      </c>
      <c r="I50" s="4">
        <f>GETPIVOTDATA("Obligaciones",Validaciones!$A$1)</f>
        <v>100414321841.00002</v>
      </c>
      <c r="J50" s="4">
        <f>GETPIVOTDATA("Pagos ",Validaciones!$A$1)</f>
        <v>98925604482.500015</v>
      </c>
      <c r="K50" s="4">
        <f>C50-D50</f>
        <v>291631776321</v>
      </c>
    </row>
    <row r="51" spans="3:11" ht="0.95" customHeight="1" x14ac:dyDescent="0.25">
      <c r="D51" t="s">
        <v>10721</v>
      </c>
      <c r="E51" t="s">
        <v>10722</v>
      </c>
    </row>
    <row r="52" spans="3:11" ht="0.95" customHeight="1" x14ac:dyDescent="0.25">
      <c r="C52" s="11" t="s">
        <v>10723</v>
      </c>
      <c r="D52" s="12">
        <f>1-E52</f>
        <v>0.41320051780939682</v>
      </c>
      <c r="E52" s="12">
        <f>IFERROR(IF(B16="SI",E50/K50,E50/C50),0)</f>
        <v>0.58679948219060318</v>
      </c>
      <c r="G52" s="12">
        <f>D50/C50</f>
        <v>1.5496185920144387E-2</v>
      </c>
    </row>
    <row r="53" spans="3:11" ht="0.95" customHeight="1" x14ac:dyDescent="0.25">
      <c r="C53" s="11" t="s">
        <v>10724</v>
      </c>
      <c r="D53" s="12">
        <f>1-E53</f>
        <v>0.54092587866243624</v>
      </c>
      <c r="E53" s="12">
        <f>IFERROR(IF(B16="SI",G50/K50,G50/C50),0)</f>
        <v>0.4590741213375637</v>
      </c>
      <c r="G53" s="12">
        <f>E50/C50</f>
        <v>0.58679948219060318</v>
      </c>
    </row>
    <row r="54" spans="3:11" ht="0.95" customHeight="1" x14ac:dyDescent="0.25">
      <c r="C54" s="11" t="s">
        <v>10725</v>
      </c>
      <c r="D54" s="12">
        <f>1-E54</f>
        <v>0.66101676542993371</v>
      </c>
      <c r="E54" s="12">
        <f>IFERROR(IF(B16="SI",I50/K50,I50/C50),0)</f>
        <v>0.33898323457006635</v>
      </c>
      <c r="G54" s="12">
        <f>F50/C50</f>
        <v>0.39770433188925247</v>
      </c>
    </row>
    <row r="55" spans="3:11" ht="0.95" customHeight="1" x14ac:dyDescent="0.25">
      <c r="C55" s="11" t="s">
        <v>10726</v>
      </c>
      <c r="D55" s="12">
        <f>1-E55</f>
        <v>0.66604244519645162</v>
      </c>
      <c r="E55" s="12">
        <f>IFERROR(IF(B16="SI",J50/K50,J50/C50),0)</f>
        <v>0.33395755480354838</v>
      </c>
    </row>
  </sheetData>
  <mergeCells count="4">
    <mergeCell ref="B48:T48"/>
    <mergeCell ref="O20:S20"/>
    <mergeCell ref="O26:S26"/>
    <mergeCell ref="B16:C16"/>
  </mergeCells>
  <dataValidations disablePrompts="1"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C21" sqref="C21"/>
    </sheetView>
  </sheetViews>
  <sheetFormatPr baseColWidth="10" defaultColWidth="0" defaultRowHeight="15" customHeight="1" zeroHeight="1" x14ac:dyDescent="0.25"/>
  <cols>
    <col min="1" max="1" width="74.5" style="3" bestFit="1" customWidth="1"/>
    <col min="2" max="2" width="17.125" style="3" bestFit="1" customWidth="1"/>
    <col min="3" max="5" width="16"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x14ac:dyDescent="0.25"/>
    <row r="2" spans="1:17" x14ac:dyDescent="0.25"/>
    <row r="3" spans="1:17" x14ac:dyDescent="0.25"/>
    <row r="4" spans="1:17" ht="15.75" x14ac:dyDescent="0.25">
      <c r="A4"/>
      <c r="B4"/>
    </row>
    <row r="5" spans="1:17" ht="16.5" thickBot="1" x14ac:dyDescent="0.3">
      <c r="A5" s="5" t="s">
        <v>42</v>
      </c>
      <c r="B5" t="s">
        <v>21</v>
      </c>
      <c r="C5" s="83"/>
      <c r="D5" s="83"/>
      <c r="E5" s="83"/>
      <c r="F5" s="83"/>
      <c r="G5" s="83"/>
      <c r="H5" s="83"/>
      <c r="I5" s="83"/>
      <c r="J5" s="83"/>
      <c r="K5" s="83"/>
      <c r="L5" s="83"/>
      <c r="M5" s="83"/>
      <c r="N5" s="83"/>
      <c r="O5" s="83"/>
      <c r="P5" s="83"/>
      <c r="Q5" s="83"/>
    </row>
    <row r="6" spans="1:17" x14ac:dyDescent="0.25"/>
    <row r="7" spans="1:17" ht="15.75" x14ac:dyDescent="0.25">
      <c r="A7" s="39" t="s">
        <v>11</v>
      </c>
      <c r="B7" t="s">
        <v>10741</v>
      </c>
      <c r="C7" t="s">
        <v>10742</v>
      </c>
      <c r="D7" t="s">
        <v>10743</v>
      </c>
      <c r="E7" t="s">
        <v>10744</v>
      </c>
      <c r="F7"/>
      <c r="G7"/>
      <c r="H7"/>
      <c r="I7"/>
      <c r="J7"/>
      <c r="K7"/>
      <c r="L7"/>
    </row>
    <row r="8" spans="1:17" ht="15.75" x14ac:dyDescent="0.25">
      <c r="A8" s="6" t="s">
        <v>56</v>
      </c>
      <c r="B8" s="4">
        <v>505740193</v>
      </c>
      <c r="C8" s="4">
        <v>483990284</v>
      </c>
      <c r="D8" s="4">
        <v>432257297</v>
      </c>
      <c r="E8" s="4">
        <v>403446299</v>
      </c>
      <c r="F8"/>
      <c r="G8"/>
      <c r="H8"/>
      <c r="I8"/>
      <c r="J8"/>
      <c r="K8"/>
      <c r="L8"/>
    </row>
    <row r="9" spans="1:17" ht="15.75" x14ac:dyDescent="0.25">
      <c r="A9" s="6" t="s">
        <v>73</v>
      </c>
      <c r="B9" s="4">
        <v>661688595</v>
      </c>
      <c r="C9" s="4">
        <v>638162330</v>
      </c>
      <c r="D9" s="4">
        <v>560528217</v>
      </c>
      <c r="E9" s="4">
        <v>549301691</v>
      </c>
      <c r="F9"/>
      <c r="G9"/>
      <c r="H9"/>
      <c r="I9"/>
      <c r="J9"/>
      <c r="K9"/>
      <c r="L9"/>
    </row>
    <row r="10" spans="1:17" ht="15.75" x14ac:dyDescent="0.25">
      <c r="A10" s="6" t="s">
        <v>80</v>
      </c>
      <c r="B10" s="4">
        <v>162016224</v>
      </c>
      <c r="C10" s="4">
        <v>161985860</v>
      </c>
      <c r="D10" s="4">
        <v>124478799</v>
      </c>
      <c r="E10" s="4">
        <v>121537019</v>
      </c>
      <c r="F10"/>
      <c r="G10"/>
      <c r="H10"/>
      <c r="I10"/>
      <c r="J10"/>
      <c r="K10"/>
      <c r="L10"/>
    </row>
    <row r="11" spans="1:17" ht="15.75" x14ac:dyDescent="0.25">
      <c r="A11" s="6" t="s">
        <v>88</v>
      </c>
      <c r="B11" s="4">
        <v>1134892818</v>
      </c>
      <c r="C11" s="4">
        <v>1134892818</v>
      </c>
      <c r="D11" s="4">
        <v>972198837</v>
      </c>
      <c r="E11" s="4">
        <v>913530267</v>
      </c>
      <c r="F11"/>
      <c r="G11"/>
      <c r="H11"/>
      <c r="I11"/>
      <c r="J11"/>
      <c r="K11"/>
      <c r="L11"/>
    </row>
    <row r="12" spans="1:17" ht="15.75" x14ac:dyDescent="0.25">
      <c r="A12" s="6" t="s">
        <v>94</v>
      </c>
      <c r="B12" s="4">
        <v>0</v>
      </c>
      <c r="C12" s="4">
        <v>0</v>
      </c>
      <c r="D12" s="4">
        <v>0</v>
      </c>
      <c r="E12" s="4">
        <v>0</v>
      </c>
      <c r="F12"/>
      <c r="G12"/>
      <c r="H12"/>
      <c r="I12"/>
      <c r="J12"/>
      <c r="K12"/>
      <c r="L12"/>
    </row>
    <row r="13" spans="1:17" ht="15.75" x14ac:dyDescent="0.25">
      <c r="A13" s="6" t="s">
        <v>87</v>
      </c>
      <c r="B13" s="4">
        <v>204914249</v>
      </c>
      <c r="C13" s="4">
        <v>204914249</v>
      </c>
      <c r="D13" s="4">
        <v>160646249</v>
      </c>
      <c r="E13" s="4">
        <v>160646249</v>
      </c>
      <c r="F13"/>
      <c r="G13"/>
      <c r="H13"/>
      <c r="I13"/>
      <c r="J13"/>
      <c r="K13"/>
      <c r="L13"/>
    </row>
    <row r="14" spans="1:17" ht="15.75" x14ac:dyDescent="0.25">
      <c r="A14" s="6" t="s">
        <v>93</v>
      </c>
      <c r="B14" s="4">
        <v>794356354.40999997</v>
      </c>
      <c r="C14" s="4">
        <v>338592547.94</v>
      </c>
      <c r="D14" s="4">
        <v>152145848.87</v>
      </c>
      <c r="E14" s="4">
        <v>144815482.87</v>
      </c>
      <c r="F14"/>
      <c r="G14"/>
      <c r="H14"/>
      <c r="I14"/>
      <c r="J14"/>
      <c r="K14"/>
      <c r="L14"/>
    </row>
    <row r="15" spans="1:17" ht="15.75" x14ac:dyDescent="0.25">
      <c r="A15" s="6" t="s">
        <v>125</v>
      </c>
      <c r="B15" s="4">
        <v>959168307</v>
      </c>
      <c r="C15" s="4">
        <v>343838452</v>
      </c>
      <c r="D15" s="4">
        <v>249895084</v>
      </c>
      <c r="E15" s="4">
        <v>240154385</v>
      </c>
      <c r="F15"/>
      <c r="G15"/>
      <c r="H15"/>
      <c r="I15"/>
      <c r="J15"/>
      <c r="K15"/>
      <c r="L15"/>
    </row>
    <row r="16" spans="1:17" ht="15.75" x14ac:dyDescent="0.25">
      <c r="A16" s="6" t="s">
        <v>133</v>
      </c>
      <c r="B16" s="4">
        <v>1055724334.8200001</v>
      </c>
      <c r="C16" s="4">
        <v>1039431942.8200001</v>
      </c>
      <c r="D16" s="4">
        <v>854013493.82000005</v>
      </c>
      <c r="E16" s="4">
        <v>796560510.82000005</v>
      </c>
      <c r="F16"/>
      <c r="G16"/>
      <c r="H16"/>
      <c r="I16"/>
      <c r="J16"/>
      <c r="K16"/>
      <c r="L16"/>
    </row>
    <row r="17" spans="1:12" ht="15.75" x14ac:dyDescent="0.25">
      <c r="A17" s="6" t="s">
        <v>99</v>
      </c>
      <c r="B17" s="4">
        <v>2800825151.9699998</v>
      </c>
      <c r="C17" s="4">
        <v>2518377250.4099998</v>
      </c>
      <c r="D17" s="4">
        <v>1815696156.1700001</v>
      </c>
      <c r="E17" s="4">
        <v>1746722672.1700001</v>
      </c>
      <c r="F17"/>
      <c r="G17"/>
      <c r="H17"/>
      <c r="I17"/>
      <c r="J17"/>
      <c r="K17"/>
      <c r="L17"/>
    </row>
    <row r="18" spans="1:12" ht="15.75" x14ac:dyDescent="0.25">
      <c r="A18" s="6" t="s">
        <v>143</v>
      </c>
      <c r="B18" s="4">
        <v>241693086</v>
      </c>
      <c r="C18" s="4">
        <v>227657833</v>
      </c>
      <c r="D18" s="4">
        <v>199667541</v>
      </c>
      <c r="E18" s="4">
        <v>191414744</v>
      </c>
      <c r="F18"/>
      <c r="G18"/>
      <c r="H18"/>
      <c r="I18"/>
      <c r="J18"/>
      <c r="K18"/>
      <c r="L18"/>
    </row>
    <row r="19" spans="1:12" ht="15.75" x14ac:dyDescent="0.25">
      <c r="A19" s="6" t="s">
        <v>149</v>
      </c>
      <c r="B19" s="4">
        <v>142473412</v>
      </c>
      <c r="C19" s="4">
        <v>129473412</v>
      </c>
      <c r="D19" s="4">
        <v>103695832</v>
      </c>
      <c r="E19" s="4">
        <v>93106559</v>
      </c>
      <c r="F19"/>
      <c r="G19"/>
      <c r="H19"/>
      <c r="I19"/>
      <c r="J19"/>
      <c r="K19"/>
      <c r="L19"/>
    </row>
    <row r="20" spans="1:12" ht="15.75" x14ac:dyDescent="0.25">
      <c r="A20" s="6" t="s">
        <v>155</v>
      </c>
      <c r="B20" s="4">
        <v>125895224</v>
      </c>
      <c r="C20" s="4">
        <v>125895224</v>
      </c>
      <c r="D20" s="4">
        <v>118965891</v>
      </c>
      <c r="E20" s="4">
        <v>113768891</v>
      </c>
      <c r="F20"/>
      <c r="G20"/>
      <c r="H20"/>
      <c r="I20"/>
      <c r="J20"/>
      <c r="K20"/>
      <c r="L20"/>
    </row>
    <row r="21" spans="1:12" ht="15.75" x14ac:dyDescent="0.25">
      <c r="A21" s="6" t="s">
        <v>158</v>
      </c>
      <c r="B21" s="4">
        <v>649225266</v>
      </c>
      <c r="C21" s="4">
        <v>581377802</v>
      </c>
      <c r="D21" s="4">
        <v>487868500</v>
      </c>
      <c r="E21" s="4">
        <v>482834982</v>
      </c>
      <c r="F21"/>
      <c r="G21"/>
      <c r="H21"/>
      <c r="I21"/>
      <c r="J21"/>
      <c r="K21"/>
      <c r="L21"/>
    </row>
    <row r="22" spans="1:12" ht="15.75" x14ac:dyDescent="0.25">
      <c r="A22" s="6" t="s">
        <v>161</v>
      </c>
      <c r="B22" s="4">
        <v>1258804792.78</v>
      </c>
      <c r="C22" s="4">
        <v>1237628203.78</v>
      </c>
      <c r="D22" s="4">
        <v>1106079091.78</v>
      </c>
      <c r="E22" s="4">
        <v>1101096046.78</v>
      </c>
      <c r="F22"/>
      <c r="G22"/>
      <c r="H22"/>
      <c r="I22"/>
      <c r="J22"/>
      <c r="K22"/>
      <c r="L22"/>
    </row>
    <row r="23" spans="1:12" ht="15.75" x14ac:dyDescent="0.25">
      <c r="A23" s="6" t="s">
        <v>108</v>
      </c>
      <c r="B23" s="4">
        <v>6641616595.2600002</v>
      </c>
      <c r="C23" s="4">
        <v>6357710205.2600002</v>
      </c>
      <c r="D23" s="4">
        <v>4626768326.2600002</v>
      </c>
      <c r="E23" s="4">
        <v>4462417917.7600002</v>
      </c>
      <c r="F23"/>
      <c r="G23"/>
      <c r="H23"/>
      <c r="I23"/>
      <c r="J23"/>
      <c r="K23"/>
      <c r="L23"/>
    </row>
    <row r="24" spans="1:12" ht="15.75" x14ac:dyDescent="0.25">
      <c r="A24" s="6" t="s">
        <v>115</v>
      </c>
      <c r="B24" s="4">
        <v>26138951026.98</v>
      </c>
      <c r="C24" s="4">
        <v>22621899624.810001</v>
      </c>
      <c r="D24" s="4">
        <v>16920522115.67</v>
      </c>
      <c r="E24" s="4">
        <v>16639517404.67</v>
      </c>
      <c r="F24"/>
      <c r="G24"/>
      <c r="H24"/>
      <c r="I24"/>
      <c r="J24"/>
      <c r="K24"/>
      <c r="L24"/>
    </row>
    <row r="25" spans="1:12" ht="15.75" x14ac:dyDescent="0.25">
      <c r="A25" s="6" t="s">
        <v>170</v>
      </c>
      <c r="B25" s="4">
        <v>833809837</v>
      </c>
      <c r="C25" s="4">
        <v>833550083</v>
      </c>
      <c r="D25" s="4">
        <v>694469258</v>
      </c>
      <c r="E25" s="4">
        <v>680300952</v>
      </c>
      <c r="F25"/>
      <c r="G25"/>
      <c r="H25"/>
      <c r="I25"/>
      <c r="J25"/>
      <c r="K25"/>
      <c r="L25"/>
    </row>
    <row r="26" spans="1:12" ht="15.75" x14ac:dyDescent="0.25">
      <c r="A26" s="6" t="s">
        <v>120</v>
      </c>
      <c r="B26" s="4">
        <v>2104515220.1199999</v>
      </c>
      <c r="C26" s="4">
        <v>1898672310.1199999</v>
      </c>
      <c r="D26" s="4">
        <v>1755770272.1199999</v>
      </c>
      <c r="E26" s="4">
        <v>1335134365.1200001</v>
      </c>
      <c r="F26"/>
      <c r="G26"/>
      <c r="H26"/>
      <c r="I26"/>
      <c r="J26"/>
      <c r="K26"/>
      <c r="L26"/>
    </row>
    <row r="27" spans="1:12" ht="15.75" x14ac:dyDescent="0.25">
      <c r="A27" s="6" t="s">
        <v>177</v>
      </c>
      <c r="B27" s="4">
        <v>877943100</v>
      </c>
      <c r="C27" s="4">
        <v>864757125</v>
      </c>
      <c r="D27" s="4">
        <v>728326358</v>
      </c>
      <c r="E27" s="4">
        <v>702523937</v>
      </c>
      <c r="F27"/>
      <c r="G27"/>
      <c r="H27"/>
      <c r="I27"/>
      <c r="J27"/>
      <c r="K27"/>
      <c r="L27"/>
    </row>
    <row r="28" spans="1:12" ht="15.75" x14ac:dyDescent="0.25">
      <c r="A28" s="6" t="s">
        <v>124</v>
      </c>
      <c r="B28" s="4">
        <v>3696492460.7200003</v>
      </c>
      <c r="C28" s="4">
        <v>3676820325.7600002</v>
      </c>
      <c r="D28" s="4">
        <v>3148335442.2399998</v>
      </c>
      <c r="E28" s="4">
        <v>3003623604.2399998</v>
      </c>
      <c r="F28"/>
      <c r="G28"/>
      <c r="H28"/>
      <c r="I28"/>
      <c r="J28"/>
      <c r="K28"/>
      <c r="L28"/>
    </row>
    <row r="29" spans="1:12" ht="15.75" x14ac:dyDescent="0.25">
      <c r="A29" s="6" t="s">
        <v>116</v>
      </c>
      <c r="B29" s="4">
        <v>40000000</v>
      </c>
      <c r="C29" s="4">
        <v>0</v>
      </c>
      <c r="D29" s="4">
        <v>0</v>
      </c>
      <c r="E29" s="4">
        <v>0</v>
      </c>
      <c r="F29"/>
      <c r="G29"/>
      <c r="H29"/>
      <c r="I29"/>
      <c r="J29"/>
      <c r="K29"/>
      <c r="L29"/>
    </row>
    <row r="30" spans="1:12" ht="15.75" x14ac:dyDescent="0.25">
      <c r="A30" s="6" t="s">
        <v>100</v>
      </c>
      <c r="B30" s="4">
        <v>0</v>
      </c>
      <c r="C30" s="4">
        <v>0</v>
      </c>
      <c r="D30" s="4">
        <v>0</v>
      </c>
      <c r="E30" s="4">
        <v>0</v>
      </c>
      <c r="F30"/>
      <c r="G30"/>
      <c r="H30"/>
      <c r="I30"/>
      <c r="J30"/>
      <c r="K30"/>
      <c r="L30"/>
    </row>
    <row r="31" spans="1:12" ht="15.75" x14ac:dyDescent="0.25">
      <c r="A31" s="6" t="s">
        <v>561</v>
      </c>
      <c r="B31" s="4">
        <v>18933730358.029999</v>
      </c>
      <c r="C31" s="4">
        <v>12863502707.17</v>
      </c>
      <c r="D31" s="4">
        <v>2542404768.9499998</v>
      </c>
      <c r="E31" s="4">
        <v>2527304214.9499998</v>
      </c>
      <c r="F31"/>
      <c r="G31"/>
      <c r="H31"/>
      <c r="I31"/>
      <c r="J31"/>
      <c r="K31"/>
      <c r="L31"/>
    </row>
    <row r="32" spans="1:12" ht="15.75" x14ac:dyDescent="0.25">
      <c r="A32" s="6" t="s">
        <v>564</v>
      </c>
      <c r="B32" s="4">
        <v>41516935448.989998</v>
      </c>
      <c r="C32" s="4">
        <v>16725809571.26</v>
      </c>
      <c r="D32" s="4">
        <v>4963677517.0799999</v>
      </c>
      <c r="E32" s="4">
        <v>4942028711.0799999</v>
      </c>
      <c r="F32"/>
      <c r="G32"/>
      <c r="H32"/>
      <c r="I32"/>
      <c r="J32"/>
      <c r="K32"/>
      <c r="L32"/>
    </row>
    <row r="33" spans="1:12" ht="15.75" x14ac:dyDescent="0.25">
      <c r="A33" s="6" t="s">
        <v>138</v>
      </c>
      <c r="B33" s="4">
        <v>111481412055.07999</v>
      </c>
      <c r="C33" s="4">
        <v>75008940161.330002</v>
      </c>
      <c r="D33" s="4">
        <v>42718410895.959999</v>
      </c>
      <c r="E33" s="4">
        <v>41351786905.459999</v>
      </c>
      <c r="F33"/>
      <c r="G33"/>
      <c r="H33"/>
      <c r="I33"/>
      <c r="J33"/>
      <c r="K33"/>
      <c r="L33"/>
    </row>
    <row r="34" spans="1:12" ht="15.75" x14ac:dyDescent="0.25">
      <c r="A34"/>
      <c r="B34"/>
      <c r="C34"/>
      <c r="D34"/>
      <c r="E34"/>
      <c r="F34"/>
      <c r="G34"/>
      <c r="H34"/>
      <c r="I34"/>
      <c r="J34"/>
      <c r="K34"/>
      <c r="L34"/>
    </row>
    <row r="35" spans="1:12" ht="15.75" x14ac:dyDescent="0.25">
      <c r="A35"/>
      <c r="B35"/>
      <c r="C35"/>
      <c r="D35"/>
      <c r="E35"/>
      <c r="F35"/>
      <c r="G35"/>
      <c r="H35"/>
      <c r="I35"/>
      <c r="J35"/>
      <c r="K35"/>
      <c r="L35"/>
    </row>
    <row r="36" spans="1:12" ht="15.75" x14ac:dyDescent="0.25">
      <c r="A36"/>
      <c r="B36"/>
      <c r="C36"/>
      <c r="D36"/>
      <c r="E36"/>
      <c r="F36"/>
      <c r="G36"/>
      <c r="H36"/>
      <c r="I36"/>
      <c r="J36"/>
      <c r="K36"/>
      <c r="L36"/>
    </row>
    <row r="37" spans="1:12" ht="15.75" x14ac:dyDescent="0.25">
      <c r="A37"/>
      <c r="B37"/>
      <c r="C37"/>
    </row>
    <row r="38" spans="1:12" ht="15.75" x14ac:dyDescent="0.25">
      <c r="A38"/>
      <c r="B38"/>
      <c r="C38"/>
    </row>
    <row r="39" spans="1:12" ht="15.75" x14ac:dyDescent="0.25">
      <c r="A39"/>
      <c r="B39"/>
      <c r="C39"/>
    </row>
    <row r="40" spans="1:12" ht="15.75" x14ac:dyDescent="0.25">
      <c r="A40"/>
      <c r="B40"/>
      <c r="C40"/>
    </row>
    <row r="41" spans="1:12" ht="15.75" x14ac:dyDescent="0.25">
      <c r="A41"/>
      <c r="B41"/>
      <c r="C41"/>
    </row>
    <row r="42" spans="1:12" ht="15.75" x14ac:dyDescent="0.25">
      <c r="A42"/>
      <c r="B42"/>
      <c r="C42"/>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268" t="s">
        <v>10712</v>
      </c>
      <c r="B52" s="268"/>
      <c r="C52" s="268"/>
      <c r="D52" s="268"/>
      <c r="E52" s="268"/>
      <c r="F52" s="268"/>
      <c r="G52" s="268"/>
      <c r="H52" s="268"/>
      <c r="I52" s="268"/>
      <c r="J52" s="268"/>
      <c r="K52" s="268"/>
      <c r="L52" s="268"/>
      <c r="M52" s="268"/>
      <c r="N52" s="268"/>
      <c r="O52" s="268"/>
      <c r="P52" s="268"/>
      <c r="Q52" s="268"/>
      <c r="R52" s="268"/>
      <c r="S52" s="268"/>
      <c r="T52" s="268"/>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3"/>
  <sheetViews>
    <sheetView showGridLines="0" zoomScale="70" zoomScaleNormal="70" workbookViewId="0">
      <selection activeCell="D18" sqref="D18"/>
    </sheetView>
  </sheetViews>
  <sheetFormatPr baseColWidth="10" defaultColWidth="0" defaultRowHeight="15.75" x14ac:dyDescent="0.2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x14ac:dyDescent="0.3">
      <c r="A5" s="61"/>
      <c r="B5" s="61"/>
      <c r="C5" s="61"/>
      <c r="D5" s="61"/>
      <c r="E5" s="61"/>
      <c r="F5" s="61"/>
      <c r="G5" s="61"/>
    </row>
    <row r="13" spans="1:7" x14ac:dyDescent="0.25">
      <c r="B13" s="58" t="s">
        <v>10745</v>
      </c>
      <c r="C13" s="59" t="s">
        <v>10746</v>
      </c>
      <c r="D13" s="59" t="s">
        <v>10747</v>
      </c>
      <c r="E13" t="s">
        <v>10748</v>
      </c>
      <c r="F13" s="59" t="s">
        <v>10749</v>
      </c>
    </row>
    <row r="14" spans="1:7" x14ac:dyDescent="0.25">
      <c r="B14" s="6" t="s">
        <v>185</v>
      </c>
      <c r="C14" s="4">
        <v>28275088572.949997</v>
      </c>
      <c r="D14" s="4">
        <v>4021546128.8400002</v>
      </c>
      <c r="E14" s="7">
        <v>24253542444.110001</v>
      </c>
      <c r="F14" s="12">
        <v>0.1422293026055205</v>
      </c>
    </row>
    <row r="15" spans="1:7" x14ac:dyDescent="0.25">
      <c r="B15" s="8" t="s">
        <v>10750</v>
      </c>
      <c r="C15" s="4">
        <v>730630536</v>
      </c>
      <c r="D15" s="4">
        <v>44226920</v>
      </c>
      <c r="E15" s="7">
        <v>686403616</v>
      </c>
      <c r="F15" s="12">
        <v>6.0532537063301715E-2</v>
      </c>
    </row>
    <row r="16" spans="1:7" x14ac:dyDescent="0.25">
      <c r="B16" s="8" t="s">
        <v>10751</v>
      </c>
      <c r="C16" s="4">
        <v>5205313478.1599998</v>
      </c>
      <c r="D16" s="4">
        <v>683019142</v>
      </c>
      <c r="E16" s="7">
        <v>4522294336.1599998</v>
      </c>
      <c r="F16" s="12">
        <v>0.1312157557591396</v>
      </c>
    </row>
    <row r="17" spans="2:6" x14ac:dyDescent="0.25">
      <c r="B17" s="8" t="s">
        <v>209</v>
      </c>
      <c r="C17" s="4">
        <v>201247018</v>
      </c>
      <c r="D17" s="4">
        <v>62151845.219999999</v>
      </c>
      <c r="E17" s="7">
        <v>139095172.78</v>
      </c>
      <c r="F17" s="12">
        <v>0.30883362068003412</v>
      </c>
    </row>
    <row r="18" spans="2:6" x14ac:dyDescent="0.25">
      <c r="B18" s="8" t="s">
        <v>10752</v>
      </c>
      <c r="C18" s="4">
        <v>16846052487.969999</v>
      </c>
      <c r="D18" s="4">
        <v>3149995093.6199999</v>
      </c>
      <c r="E18" s="7">
        <v>13696057394.349998</v>
      </c>
      <c r="F18" s="12">
        <v>0.18698713516828083</v>
      </c>
    </row>
    <row r="19" spans="2:6" x14ac:dyDescent="0.25">
      <c r="B19" s="8" t="s">
        <v>10753</v>
      </c>
      <c r="C19" s="4">
        <v>974786451.82000005</v>
      </c>
      <c r="D19" s="4">
        <v>74500184</v>
      </c>
      <c r="E19" s="7">
        <v>900286267.82000005</v>
      </c>
      <c r="F19" s="12">
        <v>7.6427184498617642E-2</v>
      </c>
    </row>
    <row r="20" spans="2:6" x14ac:dyDescent="0.25">
      <c r="B20" s="8" t="s">
        <v>10754</v>
      </c>
      <c r="C20" s="4">
        <v>3280675003</v>
      </c>
      <c r="D20" s="4">
        <v>0</v>
      </c>
      <c r="E20" s="7">
        <v>3280675003</v>
      </c>
      <c r="F20" s="12">
        <v>0</v>
      </c>
    </row>
    <row r="21" spans="2:6" x14ac:dyDescent="0.25">
      <c r="B21" s="8" t="s">
        <v>207</v>
      </c>
      <c r="C21" s="4">
        <v>104087600</v>
      </c>
      <c r="D21" s="4">
        <v>0</v>
      </c>
      <c r="E21" s="7">
        <v>104087600</v>
      </c>
      <c r="F21" s="12">
        <v>0</v>
      </c>
    </row>
    <row r="22" spans="2:6" x14ac:dyDescent="0.25">
      <c r="B22" s="8" t="s">
        <v>10755</v>
      </c>
      <c r="C22" s="4">
        <v>932295998</v>
      </c>
      <c r="D22" s="4">
        <v>7652944</v>
      </c>
      <c r="E22" s="7">
        <v>924643054</v>
      </c>
      <c r="F22" s="12">
        <v>8.208706265410785E-3</v>
      </c>
    </row>
    <row r="23" spans="2:6" x14ac:dyDescent="0.25">
      <c r="B23" s="6" t="s">
        <v>138</v>
      </c>
      <c r="C23" s="4">
        <v>28275088572.949997</v>
      </c>
      <c r="D23" s="4">
        <v>4021546128.8400002</v>
      </c>
      <c r="E23" s="7">
        <v>24253542444.110001</v>
      </c>
      <c r="F23" s="12">
        <v>0.1422293026055205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topLeftCell="B1" zoomScale="80" zoomScaleNormal="80" workbookViewId="0">
      <selection activeCell="C10" sqref="C10"/>
    </sheetView>
  </sheetViews>
  <sheetFormatPr baseColWidth="10" defaultColWidth="0" defaultRowHeight="15" customHeight="1" zeroHeight="1" x14ac:dyDescent="0.25"/>
  <cols>
    <col min="1" max="1" width="3.125" style="3" customWidth="1"/>
    <col min="2" max="2" width="13.875" style="3" customWidth="1"/>
    <col min="3" max="3" width="89.875" style="3" customWidth="1"/>
    <col min="4" max="4" width="11.125" style="3" bestFit="1" customWidth="1"/>
    <col min="5" max="5" width="16.125" style="3" bestFit="1" customWidth="1"/>
    <col min="6" max="6" width="15.125" style="3" bestFit="1" customWidth="1"/>
    <col min="7" max="7" width="12.375" style="3" bestFit="1" customWidth="1"/>
    <col min="8" max="8" width="15.125" style="3" bestFit="1" customWidth="1"/>
    <col min="9" max="9" width="8.37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x14ac:dyDescent="0.25"/>
    <row r="2" spans="1:12" x14ac:dyDescent="0.25"/>
    <row r="3" spans="1:12" x14ac:dyDescent="0.25"/>
    <row r="4" spans="1:12" x14ac:dyDescent="0.25"/>
    <row r="5" spans="1:12" x14ac:dyDescent="0.25"/>
    <row r="6" spans="1:12" x14ac:dyDescent="0.25"/>
    <row r="7" spans="1:12" ht="15.75" x14ac:dyDescent="0.25">
      <c r="A7"/>
      <c r="B7" s="39" t="s">
        <v>20</v>
      </c>
      <c r="C7" s="5" t="s">
        <v>10756</v>
      </c>
      <c r="D7" s="5" t="s">
        <v>246</v>
      </c>
      <c r="E7" s="51" t="s">
        <v>5</v>
      </c>
      <c r="F7" s="51" t="s">
        <v>7</v>
      </c>
      <c r="G7" s="51" t="s">
        <v>10757</v>
      </c>
      <c r="H7" s="51" t="s">
        <v>8</v>
      </c>
      <c r="I7" s="51" t="s">
        <v>10758</v>
      </c>
      <c r="J7" s="51" t="s">
        <v>10759</v>
      </c>
      <c r="K7"/>
      <c r="L7"/>
    </row>
    <row r="8" spans="1:12" ht="15.75" x14ac:dyDescent="0.25">
      <c r="A8"/>
      <c r="B8" t="s">
        <v>24</v>
      </c>
      <c r="C8" t="s">
        <v>39</v>
      </c>
      <c r="D8" t="s">
        <v>266</v>
      </c>
      <c r="E8" s="4">
        <v>0</v>
      </c>
      <c r="F8" s="4">
        <v>0</v>
      </c>
      <c r="G8" s="12">
        <v>0</v>
      </c>
      <c r="H8" s="4">
        <v>0</v>
      </c>
      <c r="I8" s="12">
        <v>0</v>
      </c>
      <c r="J8" s="4">
        <v>0</v>
      </c>
      <c r="K8"/>
      <c r="L8"/>
    </row>
    <row r="9" spans="1:12" ht="15.75" x14ac:dyDescent="0.25">
      <c r="A9"/>
      <c r="B9"/>
      <c r="C9" t="s">
        <v>10760</v>
      </c>
      <c r="D9"/>
      <c r="E9" s="4">
        <v>0</v>
      </c>
      <c r="F9" s="4">
        <v>0</v>
      </c>
      <c r="G9" s="12">
        <v>0</v>
      </c>
      <c r="H9" s="4">
        <v>0</v>
      </c>
      <c r="I9" s="12">
        <v>0</v>
      </c>
      <c r="J9" s="4">
        <v>0</v>
      </c>
      <c r="K9"/>
      <c r="L9"/>
    </row>
    <row r="10" spans="1:12" ht="15.75" x14ac:dyDescent="0.25">
      <c r="A10"/>
      <c r="B10"/>
      <c r="C10" t="s">
        <v>101</v>
      </c>
      <c r="D10" t="s">
        <v>266</v>
      </c>
      <c r="E10" s="4">
        <v>442449985.99999994</v>
      </c>
      <c r="F10" s="4">
        <v>153486355.21000001</v>
      </c>
      <c r="G10" s="12">
        <v>0.3469010285153451</v>
      </c>
      <c r="H10" s="4">
        <v>126890728.20999999</v>
      </c>
      <c r="I10" s="12">
        <v>0.28679112266939932</v>
      </c>
      <c r="J10" s="4">
        <v>315559257.78999996</v>
      </c>
      <c r="K10"/>
      <c r="L10"/>
    </row>
    <row r="11" spans="1:12" ht="15.75" x14ac:dyDescent="0.25">
      <c r="A11"/>
      <c r="B11"/>
      <c r="C11"/>
      <c r="D11" t="s">
        <v>273</v>
      </c>
      <c r="E11" s="4">
        <v>458093912.79000008</v>
      </c>
      <c r="F11" s="4">
        <v>169220282</v>
      </c>
      <c r="G11" s="12">
        <v>0.36940085269715023</v>
      </c>
      <c r="H11" s="4">
        <v>0</v>
      </c>
      <c r="I11" s="12">
        <v>0</v>
      </c>
      <c r="J11" s="4">
        <v>458093912.79000008</v>
      </c>
      <c r="K11"/>
      <c r="L11"/>
    </row>
    <row r="12" spans="1:12" ht="15.75" x14ac:dyDescent="0.25">
      <c r="A12"/>
      <c r="B12"/>
      <c r="C12" t="s">
        <v>10761</v>
      </c>
      <c r="D12"/>
      <c r="E12" s="4">
        <v>900543898.78999996</v>
      </c>
      <c r="F12" s="4">
        <v>322706637.21000004</v>
      </c>
      <c r="G12" s="12">
        <v>0.3583463700588046</v>
      </c>
      <c r="H12" s="4">
        <v>126890728.20999999</v>
      </c>
      <c r="I12" s="12">
        <v>0.1409045448872559</v>
      </c>
      <c r="J12" s="4">
        <v>773653170.57999992</v>
      </c>
      <c r="K12"/>
      <c r="L12"/>
    </row>
    <row r="13" spans="1:12" ht="15.75" x14ac:dyDescent="0.25">
      <c r="A13"/>
      <c r="B13"/>
      <c r="C13" t="s">
        <v>134</v>
      </c>
      <c r="D13" t="s">
        <v>266</v>
      </c>
      <c r="E13" s="4">
        <v>0</v>
      </c>
      <c r="F13" s="4">
        <v>0</v>
      </c>
      <c r="G13" s="12">
        <v>0</v>
      </c>
      <c r="H13" s="4">
        <v>0</v>
      </c>
      <c r="I13" s="12">
        <v>0</v>
      </c>
      <c r="J13" s="4">
        <v>0</v>
      </c>
      <c r="K13"/>
      <c r="L13"/>
    </row>
    <row r="14" spans="1:12" ht="15.75" x14ac:dyDescent="0.25">
      <c r="A14"/>
      <c r="B14"/>
      <c r="C14" t="s">
        <v>10762</v>
      </c>
      <c r="D14"/>
      <c r="E14" s="4">
        <v>0</v>
      </c>
      <c r="F14" s="4">
        <v>0</v>
      </c>
      <c r="G14" s="12">
        <v>0</v>
      </c>
      <c r="H14" s="4">
        <v>0</v>
      </c>
      <c r="I14" s="12">
        <v>0</v>
      </c>
      <c r="J14" s="4">
        <v>0</v>
      </c>
      <c r="K14"/>
      <c r="L14"/>
    </row>
    <row r="15" spans="1:12" ht="15.75" x14ac:dyDescent="0.25">
      <c r="A15"/>
      <c r="B15"/>
      <c r="C15" t="s">
        <v>173</v>
      </c>
      <c r="D15" t="s">
        <v>266</v>
      </c>
      <c r="E15" s="4">
        <v>0</v>
      </c>
      <c r="F15" s="4">
        <v>0</v>
      </c>
      <c r="G15" s="12">
        <v>0</v>
      </c>
      <c r="H15" s="4">
        <v>0</v>
      </c>
      <c r="I15" s="12">
        <v>0</v>
      </c>
      <c r="J15" s="4">
        <v>0</v>
      </c>
      <c r="K15"/>
      <c r="L15"/>
    </row>
    <row r="16" spans="1:12" ht="15.75" x14ac:dyDescent="0.25">
      <c r="A16"/>
      <c r="B16"/>
      <c r="C16"/>
      <c r="D16" t="s">
        <v>273</v>
      </c>
      <c r="E16" s="4">
        <v>0</v>
      </c>
      <c r="F16" s="4">
        <v>0</v>
      </c>
      <c r="G16" s="12">
        <v>0</v>
      </c>
      <c r="H16" s="4">
        <v>0</v>
      </c>
      <c r="I16" s="12">
        <v>0</v>
      </c>
      <c r="J16" s="4">
        <v>0</v>
      </c>
      <c r="K16"/>
      <c r="L16"/>
    </row>
    <row r="17" spans="1:12" ht="15.75" x14ac:dyDescent="0.25">
      <c r="A17"/>
      <c r="B17"/>
      <c r="C17" t="s">
        <v>10763</v>
      </c>
      <c r="D17"/>
      <c r="E17" s="4">
        <v>0</v>
      </c>
      <c r="F17" s="4">
        <v>0</v>
      </c>
      <c r="G17" s="12">
        <v>0</v>
      </c>
      <c r="H17" s="4">
        <v>0</v>
      </c>
      <c r="I17" s="12">
        <v>0</v>
      </c>
      <c r="J17" s="4">
        <v>0</v>
      </c>
      <c r="K17"/>
      <c r="L17"/>
    </row>
    <row r="18" spans="1:12" ht="15.75" x14ac:dyDescent="0.25">
      <c r="A18"/>
      <c r="B18" t="s">
        <v>10764</v>
      </c>
      <c r="C18"/>
      <c r="D18"/>
      <c r="E18" s="4">
        <v>900543898.78999996</v>
      </c>
      <c r="F18" s="4">
        <v>322706637.21000004</v>
      </c>
      <c r="G18" s="12">
        <v>0.3583463700588046</v>
      </c>
      <c r="H18" s="4">
        <v>126890728.20999999</v>
      </c>
      <c r="I18" s="12">
        <v>0.1409045448872559</v>
      </c>
      <c r="J18" s="4">
        <v>773653170.57999992</v>
      </c>
      <c r="K18"/>
      <c r="L18"/>
    </row>
    <row r="19" spans="1:12" ht="15.75" x14ac:dyDescent="0.25">
      <c r="A19"/>
      <c r="B19" t="s">
        <v>185</v>
      </c>
      <c r="C19" t="s">
        <v>10765</v>
      </c>
      <c r="D19" t="s">
        <v>266</v>
      </c>
      <c r="E19" s="4">
        <v>764995528</v>
      </c>
      <c r="F19" s="4">
        <v>135628122</v>
      </c>
      <c r="G19" s="12">
        <v>0.1772926991541838</v>
      </c>
      <c r="H19" s="4">
        <v>100755794</v>
      </c>
      <c r="I19" s="12">
        <v>0.13170769019188305</v>
      </c>
      <c r="J19" s="4">
        <v>664239734</v>
      </c>
      <c r="K19"/>
      <c r="L19"/>
    </row>
    <row r="20" spans="1:12" ht="15.75" x14ac:dyDescent="0.25">
      <c r="A20"/>
      <c r="B20"/>
      <c r="C20"/>
      <c r="D20" t="s">
        <v>273</v>
      </c>
      <c r="E20" s="4">
        <v>91115550</v>
      </c>
      <c r="F20" s="4">
        <v>0</v>
      </c>
      <c r="G20" s="12">
        <v>0</v>
      </c>
      <c r="H20" s="4">
        <v>0</v>
      </c>
      <c r="I20" s="12">
        <v>0</v>
      </c>
      <c r="J20" s="4">
        <v>91115550</v>
      </c>
      <c r="K20"/>
      <c r="L20"/>
    </row>
    <row r="21" spans="1:12" ht="15.75" x14ac:dyDescent="0.25">
      <c r="A21"/>
      <c r="B21"/>
      <c r="C21" t="s">
        <v>10766</v>
      </c>
      <c r="D21"/>
      <c r="E21" s="4">
        <v>856111078</v>
      </c>
      <c r="F21" s="4">
        <v>135628122</v>
      </c>
      <c r="G21" s="12">
        <v>0.15842351008568539</v>
      </c>
      <c r="H21" s="4">
        <v>100755794</v>
      </c>
      <c r="I21" s="12">
        <v>0.11769009488275772</v>
      </c>
      <c r="J21" s="4">
        <v>755355284</v>
      </c>
      <c r="K21"/>
      <c r="L21"/>
    </row>
    <row r="22" spans="1:12" ht="15.75" x14ac:dyDescent="0.25">
      <c r="A22"/>
      <c r="B22"/>
      <c r="C22" t="s">
        <v>10767</v>
      </c>
      <c r="D22" t="s">
        <v>266</v>
      </c>
      <c r="E22" s="4">
        <v>1023217577</v>
      </c>
      <c r="F22" s="4">
        <v>262445780</v>
      </c>
      <c r="G22" s="12">
        <v>0.25649068770834849</v>
      </c>
      <c r="H22" s="4">
        <v>191837531</v>
      </c>
      <c r="I22" s="12">
        <v>0.18748459302512549</v>
      </c>
      <c r="J22" s="4">
        <v>831380046</v>
      </c>
      <c r="K22"/>
      <c r="L22"/>
    </row>
    <row r="23" spans="1:12" ht="15.75" x14ac:dyDescent="0.25">
      <c r="A23"/>
      <c r="B23"/>
      <c r="C23"/>
      <c r="D23" t="s">
        <v>273</v>
      </c>
      <c r="E23" s="4">
        <v>92612026</v>
      </c>
      <c r="F23" s="4">
        <v>0</v>
      </c>
      <c r="G23" s="12">
        <v>0</v>
      </c>
      <c r="H23" s="4">
        <v>0</v>
      </c>
      <c r="I23" s="12">
        <v>0</v>
      </c>
      <c r="J23" s="4">
        <v>92612026</v>
      </c>
      <c r="K23"/>
      <c r="L23"/>
    </row>
    <row r="24" spans="1:12" ht="15.75" x14ac:dyDescent="0.25">
      <c r="A24"/>
      <c r="B24"/>
      <c r="C24" t="s">
        <v>10768</v>
      </c>
      <c r="D24"/>
      <c r="E24" s="4">
        <v>1115829603</v>
      </c>
      <c r="F24" s="4">
        <v>262445780</v>
      </c>
      <c r="G24" s="12">
        <v>0.23520238152348069</v>
      </c>
      <c r="H24" s="4">
        <v>191837531</v>
      </c>
      <c r="I24" s="12">
        <v>0.17192367946165701</v>
      </c>
      <c r="J24" s="4">
        <v>923992072</v>
      </c>
      <c r="K24"/>
      <c r="L24"/>
    </row>
    <row r="25" spans="1:12" ht="15.75" x14ac:dyDescent="0.25">
      <c r="A25"/>
      <c r="B25"/>
      <c r="C25" t="s">
        <v>10769</v>
      </c>
      <c r="D25" t="s">
        <v>266</v>
      </c>
      <c r="E25" s="4">
        <v>190842943</v>
      </c>
      <c r="F25" s="4">
        <v>105183599</v>
      </c>
      <c r="G25" s="12">
        <v>0.55115267741390883</v>
      </c>
      <c r="H25" s="4">
        <v>85223834</v>
      </c>
      <c r="I25" s="12">
        <v>0.44656528902931453</v>
      </c>
      <c r="J25" s="4">
        <v>105619109</v>
      </c>
      <c r="K25"/>
      <c r="L25"/>
    </row>
    <row r="26" spans="1:12" ht="15.75" x14ac:dyDescent="0.25">
      <c r="A26"/>
      <c r="B26"/>
      <c r="C26"/>
      <c r="D26" t="s">
        <v>273</v>
      </c>
      <c r="E26" s="4">
        <v>254124462.02000001</v>
      </c>
      <c r="F26" s="4">
        <v>23836833.82</v>
      </c>
      <c r="G26" s="12">
        <v>9.3799839773488644E-2</v>
      </c>
      <c r="H26" s="4">
        <v>0</v>
      </c>
      <c r="I26" s="12">
        <v>0</v>
      </c>
      <c r="J26" s="4">
        <v>254124462.02000001</v>
      </c>
      <c r="K26"/>
      <c r="L26"/>
    </row>
    <row r="27" spans="1:12" ht="15.75" x14ac:dyDescent="0.25">
      <c r="A27"/>
      <c r="B27"/>
      <c r="C27" t="s">
        <v>10770</v>
      </c>
      <c r="D27"/>
      <c r="E27" s="4">
        <v>444967405.01999998</v>
      </c>
      <c r="F27" s="4">
        <v>129020432.81999999</v>
      </c>
      <c r="G27" s="12">
        <v>0.28995479526011775</v>
      </c>
      <c r="H27" s="4">
        <v>85223834</v>
      </c>
      <c r="I27" s="12">
        <v>0.19152826260649236</v>
      </c>
      <c r="J27" s="4">
        <v>359743571.01999998</v>
      </c>
      <c r="K27"/>
      <c r="L27"/>
    </row>
    <row r="28" spans="1:12" ht="15.75" x14ac:dyDescent="0.25">
      <c r="A28"/>
      <c r="B28"/>
      <c r="C28" t="s">
        <v>10771</v>
      </c>
      <c r="D28" t="s">
        <v>266</v>
      </c>
      <c r="E28" s="4">
        <v>7691130650.8100004</v>
      </c>
      <c r="F28" s="4">
        <v>5873875100.1400003</v>
      </c>
      <c r="G28" s="12">
        <v>0.76372062403092666</v>
      </c>
      <c r="H28" s="4">
        <v>3255446712.3299999</v>
      </c>
      <c r="I28" s="12">
        <v>0.42327283986355746</v>
      </c>
      <c r="J28" s="4">
        <v>4435683938.4800005</v>
      </c>
      <c r="K28"/>
      <c r="L28"/>
    </row>
    <row r="29" spans="1:12" ht="15.75" x14ac:dyDescent="0.25">
      <c r="A29" t="s">
        <v>230</v>
      </c>
      <c r="B29"/>
      <c r="C29"/>
      <c r="D29" t="s">
        <v>273</v>
      </c>
      <c r="E29" s="4">
        <v>1288345278</v>
      </c>
      <c r="F29" s="4">
        <v>362527158</v>
      </c>
      <c r="G29" s="12">
        <v>0.28138975179291958</v>
      </c>
      <c r="H29" s="4">
        <v>0</v>
      </c>
      <c r="I29" s="12">
        <v>0</v>
      </c>
      <c r="J29" s="4">
        <v>1288345278</v>
      </c>
      <c r="K29"/>
      <c r="L29"/>
    </row>
    <row r="30" spans="1:12" ht="15.75" x14ac:dyDescent="0.25">
      <c r="A30"/>
      <c r="B30"/>
      <c r="C30" t="s">
        <v>10772</v>
      </c>
      <c r="D30"/>
      <c r="E30" s="4">
        <v>8979475928.8100014</v>
      </c>
      <c r="F30" s="4">
        <v>6236402258.1400003</v>
      </c>
      <c r="G30" s="12">
        <v>0.69451739807341684</v>
      </c>
      <c r="H30" s="4">
        <v>3255446712.3299999</v>
      </c>
      <c r="I30" s="12">
        <v>0.36254306355286658</v>
      </c>
      <c r="J30" s="4">
        <v>5724029216.4800014</v>
      </c>
      <c r="K30"/>
      <c r="L30"/>
    </row>
    <row r="31" spans="1:12" ht="15.75" x14ac:dyDescent="0.25">
      <c r="A31"/>
      <c r="B31"/>
      <c r="C31" t="s">
        <v>10773</v>
      </c>
      <c r="D31" t="s">
        <v>266</v>
      </c>
      <c r="E31" s="4">
        <v>420090208</v>
      </c>
      <c r="F31" s="4">
        <v>176647746</v>
      </c>
      <c r="G31" s="12">
        <v>0.42049955613342932</v>
      </c>
      <c r="H31" s="4">
        <v>50668476</v>
      </c>
      <c r="I31" s="12">
        <v>0.12061332312701752</v>
      </c>
      <c r="J31" s="4">
        <v>369421732</v>
      </c>
      <c r="K31"/>
      <c r="L31"/>
    </row>
    <row r="32" spans="1:12" ht="15.75" x14ac:dyDescent="0.25">
      <c r="A32"/>
      <c r="B32"/>
      <c r="C32"/>
      <c r="D32" t="s">
        <v>273</v>
      </c>
      <c r="E32" s="4">
        <v>45043851</v>
      </c>
      <c r="F32" s="4">
        <v>0</v>
      </c>
      <c r="G32" s="12">
        <v>0</v>
      </c>
      <c r="H32" s="4">
        <v>0</v>
      </c>
      <c r="I32" s="12">
        <v>0</v>
      </c>
      <c r="J32" s="4">
        <v>45043851</v>
      </c>
      <c r="K32"/>
      <c r="L32"/>
    </row>
    <row r="33" spans="1:12" ht="15.75" x14ac:dyDescent="0.25">
      <c r="A33"/>
      <c r="B33"/>
      <c r="C33" t="s">
        <v>10774</v>
      </c>
      <c r="D33"/>
      <c r="E33" s="4">
        <v>465134059</v>
      </c>
      <c r="F33" s="4">
        <v>176647746</v>
      </c>
      <c r="G33" s="12">
        <v>0.37977813617815503</v>
      </c>
      <c r="H33" s="4">
        <v>50668476</v>
      </c>
      <c r="I33" s="12">
        <v>0.10893305923228469</v>
      </c>
      <c r="J33" s="4">
        <v>414465583</v>
      </c>
      <c r="K33"/>
      <c r="L33"/>
    </row>
    <row r="34" spans="1:12" ht="15.75" x14ac:dyDescent="0.25">
      <c r="A34"/>
      <c r="B34"/>
      <c r="C34" t="s">
        <v>10775</v>
      </c>
      <c r="D34" t="s">
        <v>266</v>
      </c>
      <c r="E34" s="4">
        <v>930865329.39999998</v>
      </c>
      <c r="F34" s="4">
        <v>587669603.81999993</v>
      </c>
      <c r="G34" s="12">
        <v>0.63131538500718376</v>
      </c>
      <c r="H34" s="4">
        <v>521740169.69999999</v>
      </c>
      <c r="I34" s="12">
        <v>0.56048942121014822</v>
      </c>
      <c r="J34" s="4">
        <v>409125159.69999999</v>
      </c>
      <c r="K34"/>
      <c r="L34"/>
    </row>
    <row r="35" spans="1:12" ht="15.75" x14ac:dyDescent="0.25">
      <c r="A35"/>
      <c r="B35"/>
      <c r="C35"/>
      <c r="D35" t="s">
        <v>273</v>
      </c>
      <c r="E35" s="4">
        <v>190601000.88</v>
      </c>
      <c r="F35" s="4">
        <v>67036507.880000003</v>
      </c>
      <c r="G35" s="12">
        <v>0.35171120597737759</v>
      </c>
      <c r="H35" s="4">
        <v>9577946</v>
      </c>
      <c r="I35" s="12">
        <v>5.0251289110649293E-2</v>
      </c>
      <c r="J35" s="4">
        <v>181023054.88</v>
      </c>
      <c r="K35"/>
      <c r="L35"/>
    </row>
    <row r="36" spans="1:12" ht="15.75" x14ac:dyDescent="0.25">
      <c r="A36"/>
      <c r="B36"/>
      <c r="C36" t="s">
        <v>10776</v>
      </c>
      <c r="D36"/>
      <c r="E36" s="4">
        <v>1121466330.28</v>
      </c>
      <c r="F36" s="4">
        <v>654706111.69999993</v>
      </c>
      <c r="G36" s="12">
        <v>0.58379471057016707</v>
      </c>
      <c r="H36" s="4">
        <v>531318115.69999999</v>
      </c>
      <c r="I36" s="12">
        <v>0.47377090274956729</v>
      </c>
      <c r="J36" s="4">
        <v>590148214.57999992</v>
      </c>
      <c r="K36"/>
      <c r="L36"/>
    </row>
    <row r="37" spans="1:12" ht="15.75" x14ac:dyDescent="0.25">
      <c r="A37"/>
      <c r="B37"/>
      <c r="C37" t="s">
        <v>10777</v>
      </c>
      <c r="D37" t="s">
        <v>266</v>
      </c>
      <c r="E37" s="4">
        <v>692744222.5</v>
      </c>
      <c r="F37" s="4">
        <v>110124188</v>
      </c>
      <c r="G37" s="12">
        <v>0.15896803527654105</v>
      </c>
      <c r="H37" s="4">
        <v>97175442</v>
      </c>
      <c r="I37" s="12">
        <v>0.14027607714909524</v>
      </c>
      <c r="J37" s="4">
        <v>595568780.5</v>
      </c>
      <c r="K37"/>
      <c r="L37"/>
    </row>
    <row r="38" spans="1:12" ht="15.75" x14ac:dyDescent="0.25">
      <c r="A38"/>
      <c r="B38"/>
      <c r="C38"/>
      <c r="D38" t="s">
        <v>273</v>
      </c>
      <c r="E38" s="4">
        <v>0</v>
      </c>
      <c r="F38" s="4">
        <v>0</v>
      </c>
      <c r="G38" s="12">
        <v>0</v>
      </c>
      <c r="H38" s="4">
        <v>0</v>
      </c>
      <c r="I38" s="12">
        <v>0</v>
      </c>
      <c r="J38" s="4">
        <v>0</v>
      </c>
      <c r="K38"/>
      <c r="L38"/>
    </row>
    <row r="39" spans="1:12" ht="15.75" x14ac:dyDescent="0.25">
      <c r="A39"/>
      <c r="B39"/>
      <c r="C39" t="s">
        <v>10778</v>
      </c>
      <c r="D39"/>
      <c r="E39" s="4">
        <v>692744222.5</v>
      </c>
      <c r="F39" s="4">
        <v>110124188</v>
      </c>
      <c r="G39" s="12">
        <v>0.15896803527654105</v>
      </c>
      <c r="H39" s="4">
        <v>97175442</v>
      </c>
      <c r="I39" s="12">
        <v>0.14027607714909524</v>
      </c>
      <c r="J39" s="4">
        <v>595568780.5</v>
      </c>
      <c r="K39"/>
      <c r="L39"/>
    </row>
    <row r="40" spans="1:12" ht="15.75" x14ac:dyDescent="0.25">
      <c r="A40"/>
      <c r="B40"/>
      <c r="C40" t="s">
        <v>10779</v>
      </c>
      <c r="D40" t="s">
        <v>266</v>
      </c>
      <c r="E40" s="4">
        <v>7400716</v>
      </c>
      <c r="F40" s="4">
        <v>1924742</v>
      </c>
      <c r="G40" s="12">
        <v>0.26007510624647667</v>
      </c>
      <c r="H40" s="4">
        <v>1924742</v>
      </c>
      <c r="I40" s="12">
        <v>0.26007510624647667</v>
      </c>
      <c r="J40" s="4">
        <v>5475974</v>
      </c>
      <c r="K40"/>
      <c r="L40"/>
    </row>
    <row r="41" spans="1:12" ht="15.75" x14ac:dyDescent="0.25">
      <c r="A41"/>
      <c r="B41"/>
      <c r="C41" t="s">
        <v>10780</v>
      </c>
      <c r="D41"/>
      <c r="E41" s="4">
        <v>7400716</v>
      </c>
      <c r="F41" s="4">
        <v>1924742</v>
      </c>
      <c r="G41" s="12">
        <v>0.26007510624647667</v>
      </c>
      <c r="H41" s="4">
        <v>1924742</v>
      </c>
      <c r="I41" s="12">
        <v>0.26007510624647667</v>
      </c>
      <c r="J41" s="4">
        <v>5475974</v>
      </c>
      <c r="K41"/>
      <c r="L41"/>
    </row>
    <row r="42" spans="1:12" ht="15.75" x14ac:dyDescent="0.25">
      <c r="A42"/>
      <c r="B42"/>
      <c r="C42" t="s">
        <v>10781</v>
      </c>
      <c r="D42" t="s">
        <v>266</v>
      </c>
      <c r="E42" s="4">
        <v>44340570</v>
      </c>
      <c r="F42" s="4">
        <v>18853970</v>
      </c>
      <c r="G42" s="12">
        <v>0.42520811076628018</v>
      </c>
      <c r="H42" s="4">
        <v>18853970</v>
      </c>
      <c r="I42" s="12">
        <v>0.42520811076628018</v>
      </c>
      <c r="J42" s="4">
        <v>25486600</v>
      </c>
      <c r="K42"/>
      <c r="L42"/>
    </row>
    <row r="43" spans="1:12" ht="15.75" x14ac:dyDescent="0.25">
      <c r="A43"/>
      <c r="B43"/>
      <c r="C43"/>
      <c r="D43" t="s">
        <v>273</v>
      </c>
      <c r="E43" s="4">
        <v>30730778.960000001</v>
      </c>
      <c r="F43" s="4">
        <v>0</v>
      </c>
      <c r="G43" s="12">
        <v>0</v>
      </c>
      <c r="H43" s="4">
        <v>0</v>
      </c>
      <c r="I43" s="12">
        <v>0</v>
      </c>
      <c r="J43" s="4">
        <v>30730778.960000001</v>
      </c>
      <c r="K43"/>
      <c r="L43"/>
    </row>
    <row r="44" spans="1:12" ht="15.75" x14ac:dyDescent="0.25">
      <c r="A44"/>
      <c r="B44"/>
      <c r="C44" t="s">
        <v>10782</v>
      </c>
      <c r="D44"/>
      <c r="E44" s="4">
        <v>75071348.960000008</v>
      </c>
      <c r="F44" s="4">
        <v>18853970</v>
      </c>
      <c r="G44" s="12">
        <v>0.25114734530807342</v>
      </c>
      <c r="H44" s="4">
        <v>18853970</v>
      </c>
      <c r="I44" s="12">
        <v>0.25114734530807342</v>
      </c>
      <c r="J44" s="4">
        <v>56217378.960000008</v>
      </c>
      <c r="K44"/>
      <c r="L44"/>
    </row>
    <row r="45" spans="1:12" ht="15.75" x14ac:dyDescent="0.25">
      <c r="A45"/>
      <c r="B45" t="s">
        <v>10783</v>
      </c>
      <c r="C45"/>
      <c r="D45"/>
      <c r="E45" s="4">
        <v>13758200691.569998</v>
      </c>
      <c r="F45" s="4">
        <v>7725753350.6599998</v>
      </c>
      <c r="G45" s="12">
        <v>0.561538061833461</v>
      </c>
      <c r="H45" s="4">
        <v>4333204617.0299997</v>
      </c>
      <c r="I45" s="12">
        <v>0.31495431082678316</v>
      </c>
      <c r="J45" s="4">
        <v>9424996074.5399971</v>
      </c>
      <c r="K45"/>
      <c r="L45"/>
    </row>
    <row r="46" spans="1:12" ht="15.75" x14ac:dyDescent="0.25">
      <c r="A46"/>
      <c r="B46" t="s">
        <v>138</v>
      </c>
      <c r="C46"/>
      <c r="D46"/>
      <c r="E46" s="4">
        <v>14658744590.359999</v>
      </c>
      <c r="F46" s="4">
        <v>8048459987.8699999</v>
      </c>
      <c r="G46" s="12">
        <v>0.54905520307399946</v>
      </c>
      <c r="H46" s="4">
        <v>4460095345.2399998</v>
      </c>
      <c r="I46" s="12">
        <v>0.30426175432329206</v>
      </c>
      <c r="J46" s="4">
        <v>10198649245.119997</v>
      </c>
      <c r="K46"/>
      <c r="L46"/>
    </row>
    <row r="47" spans="1:12" ht="15.75" x14ac:dyDescent="0.25">
      <c r="A47"/>
      <c r="B47"/>
      <c r="C47"/>
      <c r="D47"/>
      <c r="E47"/>
      <c r="F47"/>
      <c r="G47"/>
      <c r="H47"/>
      <c r="I47"/>
      <c r="J47"/>
      <c r="K47"/>
      <c r="L47"/>
    </row>
    <row r="48" spans="1:12" ht="15.75" x14ac:dyDescent="0.25">
      <c r="A48"/>
      <c r="B48"/>
      <c r="C48"/>
      <c r="D48"/>
      <c r="E48"/>
      <c r="F48"/>
      <c r="G48"/>
      <c r="H48"/>
      <c r="I48"/>
      <c r="J48"/>
      <c r="K48"/>
      <c r="L48"/>
    </row>
    <row r="49" spans="1:12" ht="15.75" hidden="1" x14ac:dyDescent="0.25">
      <c r="A49"/>
      <c r="B49"/>
      <c r="C49"/>
      <c r="D49"/>
      <c r="E49"/>
      <c r="F49"/>
      <c r="G49"/>
      <c r="H49"/>
      <c r="I49"/>
      <c r="J49"/>
      <c r="K49"/>
      <c r="L49"/>
    </row>
    <row r="50" spans="1:12" ht="15.75" hidden="1" x14ac:dyDescent="0.25">
      <c r="A50"/>
      <c r="B50"/>
      <c r="C50"/>
      <c r="D50"/>
      <c r="E50"/>
      <c r="F50"/>
      <c r="G50"/>
      <c r="H50"/>
      <c r="I50"/>
      <c r="J50"/>
      <c r="K50"/>
      <c r="L50"/>
    </row>
    <row r="51" spans="1:12" ht="15.75" hidden="1" x14ac:dyDescent="0.25">
      <c r="A51"/>
      <c r="B51"/>
      <c r="C51"/>
      <c r="D51"/>
      <c r="E51"/>
      <c r="F51"/>
      <c r="G51"/>
      <c r="H51"/>
      <c r="I51"/>
      <c r="J51"/>
      <c r="K51"/>
      <c r="L51"/>
    </row>
    <row r="52" spans="1:12" ht="15.75" hidden="1" x14ac:dyDescent="0.25">
      <c r="A52"/>
      <c r="B52"/>
      <c r="C52"/>
      <c r="D52"/>
      <c r="E52"/>
      <c r="F52"/>
      <c r="G52"/>
      <c r="H52"/>
      <c r="I52"/>
      <c r="J52"/>
      <c r="K52"/>
      <c r="L52"/>
    </row>
    <row r="53" spans="1:12" ht="15.75" hidden="1" x14ac:dyDescent="0.25">
      <c r="A53"/>
      <c r="B53"/>
      <c r="C53"/>
      <c r="D53"/>
      <c r="E53"/>
      <c r="F53"/>
      <c r="G53"/>
      <c r="H53"/>
      <c r="I53"/>
      <c r="J53"/>
      <c r="K53"/>
      <c r="L53"/>
    </row>
    <row r="54" spans="1:12" ht="15.75" hidden="1" x14ac:dyDescent="0.25">
      <c r="A54"/>
      <c r="B54"/>
      <c r="C54"/>
      <c r="D54"/>
      <c r="E54"/>
      <c r="F54"/>
      <c r="G54"/>
      <c r="H54"/>
      <c r="I54"/>
      <c r="J54"/>
      <c r="K54"/>
      <c r="L54"/>
    </row>
    <row r="55" spans="1:12" ht="15.75" hidden="1" x14ac:dyDescent="0.25">
      <c r="A55"/>
      <c r="B55"/>
      <c r="C55"/>
      <c r="D55"/>
      <c r="E55"/>
      <c r="F55"/>
      <c r="G55"/>
      <c r="H55"/>
      <c r="I55"/>
      <c r="J55"/>
      <c r="K55"/>
      <c r="L55"/>
    </row>
    <row r="56" spans="1:12" ht="15.75" hidden="1" x14ac:dyDescent="0.25">
      <c r="A56"/>
      <c r="B56"/>
      <c r="C56"/>
      <c r="D56"/>
      <c r="E56"/>
      <c r="F56"/>
      <c r="G56"/>
      <c r="H56"/>
      <c r="I56"/>
      <c r="J56"/>
      <c r="K56"/>
      <c r="L56"/>
    </row>
    <row r="57" spans="1:12" ht="15.75" hidden="1" x14ac:dyDescent="0.25">
      <c r="A57"/>
      <c r="B57"/>
      <c r="C57"/>
      <c r="D57"/>
      <c r="E57"/>
      <c r="F57"/>
      <c r="G57"/>
      <c r="H57"/>
      <c r="I57"/>
      <c r="J57"/>
      <c r="K57"/>
      <c r="L57"/>
    </row>
    <row r="58" spans="1:12" ht="15.75" hidden="1" x14ac:dyDescent="0.25">
      <c r="A58"/>
      <c r="B58"/>
      <c r="C58"/>
      <c r="D58"/>
      <c r="E58"/>
      <c r="F58"/>
      <c r="G58"/>
      <c r="H58"/>
      <c r="I58"/>
      <c r="J58"/>
      <c r="K58"/>
      <c r="L58"/>
    </row>
    <row r="59" spans="1:12" ht="15.75" hidden="1" x14ac:dyDescent="0.25">
      <c r="A59"/>
      <c r="B59"/>
      <c r="C59"/>
      <c r="D59"/>
      <c r="E59"/>
      <c r="F59"/>
      <c r="G59"/>
      <c r="H59"/>
      <c r="I59"/>
      <c r="J59"/>
      <c r="K59"/>
      <c r="L59"/>
    </row>
    <row r="60" spans="1:12" ht="15.75" hidden="1" x14ac:dyDescent="0.25">
      <c r="A60"/>
      <c r="B60"/>
      <c r="C60"/>
      <c r="D60"/>
      <c r="E60"/>
      <c r="F60"/>
      <c r="G60"/>
      <c r="H60"/>
      <c r="I60"/>
      <c r="J60"/>
      <c r="K60"/>
      <c r="L60"/>
    </row>
    <row r="61" spans="1:12" ht="15.75" hidden="1" x14ac:dyDescent="0.25">
      <c r="A61"/>
      <c r="B61"/>
      <c r="C61"/>
      <c r="D61"/>
      <c r="E61"/>
      <c r="F61"/>
      <c r="G61"/>
      <c r="H61"/>
      <c r="I61"/>
      <c r="J61"/>
      <c r="K61"/>
      <c r="L61"/>
    </row>
    <row r="62" spans="1:12" ht="15.75" hidden="1" x14ac:dyDescent="0.25">
      <c r="A62"/>
      <c r="B62"/>
      <c r="C62"/>
      <c r="D62"/>
      <c r="E62"/>
      <c r="F62"/>
      <c r="G62"/>
      <c r="H62"/>
      <c r="I62"/>
      <c r="J62"/>
      <c r="K62"/>
      <c r="L62"/>
    </row>
    <row r="63" spans="1:12" ht="15.75" hidden="1" x14ac:dyDescent="0.25">
      <c r="A63"/>
      <c r="B63"/>
      <c r="C63"/>
      <c r="D63"/>
      <c r="E63"/>
      <c r="F63"/>
      <c r="G63"/>
      <c r="H63"/>
      <c r="I63"/>
      <c r="J63"/>
      <c r="K63"/>
      <c r="L63"/>
    </row>
    <row r="64" spans="1:12" ht="15.75" hidden="1" x14ac:dyDescent="0.25">
      <c r="A64"/>
      <c r="B64"/>
      <c r="C64"/>
      <c r="D64"/>
      <c r="E64"/>
      <c r="F64"/>
      <c r="G64"/>
      <c r="H64"/>
      <c r="I64"/>
      <c r="J64"/>
      <c r="K64"/>
      <c r="L64"/>
    </row>
    <row r="65" spans="1:12" ht="15.75" hidden="1" x14ac:dyDescent="0.25">
      <c r="A65"/>
      <c r="B65"/>
      <c r="C65"/>
      <c r="D65"/>
      <c r="E65"/>
      <c r="F65"/>
      <c r="G65"/>
      <c r="H65"/>
      <c r="I65"/>
      <c r="J65"/>
      <c r="K65"/>
      <c r="L65"/>
    </row>
    <row r="66" spans="1:12" ht="15.75" hidden="1" x14ac:dyDescent="0.25">
      <c r="A66"/>
      <c r="B66"/>
      <c r="C66"/>
      <c r="D66"/>
      <c r="E66"/>
      <c r="F66"/>
      <c r="G66"/>
      <c r="H66"/>
      <c r="I66"/>
      <c r="J66"/>
      <c r="K66"/>
      <c r="L66"/>
    </row>
    <row r="67" spans="1:12" ht="15.75" hidden="1" x14ac:dyDescent="0.25">
      <c r="A67"/>
      <c r="B67"/>
      <c r="C67"/>
      <c r="D67"/>
      <c r="E67"/>
      <c r="F67"/>
      <c r="G67"/>
      <c r="H67"/>
      <c r="I67"/>
      <c r="J67"/>
      <c r="K67"/>
      <c r="L67"/>
    </row>
    <row r="68" spans="1:12" ht="15.75" hidden="1" x14ac:dyDescent="0.25">
      <c r="A68"/>
      <c r="B68"/>
      <c r="C68"/>
      <c r="D68"/>
      <c r="E68"/>
      <c r="F68"/>
      <c r="G68"/>
      <c r="H68"/>
      <c r="I68"/>
      <c r="J68"/>
      <c r="K68"/>
      <c r="L68"/>
    </row>
    <row r="69" spans="1:12" ht="15.75" hidden="1" x14ac:dyDescent="0.25">
      <c r="A69"/>
      <c r="B69"/>
      <c r="C69"/>
      <c r="D69"/>
      <c r="E69"/>
      <c r="F69"/>
      <c r="G69"/>
      <c r="H69"/>
      <c r="I69"/>
      <c r="J69"/>
      <c r="K69"/>
      <c r="L69"/>
    </row>
    <row r="70" spans="1:12" ht="15.75" hidden="1" x14ac:dyDescent="0.25">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heetViews>
  <sheetFormatPr baseColWidth="10" defaultColWidth="0" defaultRowHeight="15.75" outlineLevelRow="1" x14ac:dyDescent="0.25"/>
  <cols>
    <col min="1" max="1" width="3" customWidth="1"/>
    <col min="2" max="2" width="28.625" bestFit="1" customWidth="1"/>
    <col min="3" max="3" width="20.62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6.5" thickBot="1" x14ac:dyDescent="0.3">
      <c r="A4" s="92"/>
      <c r="B4" s="92"/>
      <c r="C4" s="92"/>
      <c r="D4" s="92"/>
      <c r="E4" s="92"/>
      <c r="F4" s="92"/>
      <c r="G4" s="92"/>
      <c r="H4" s="92"/>
      <c r="I4" s="92"/>
      <c r="J4" s="92"/>
      <c r="K4" s="92"/>
      <c r="L4" s="92"/>
      <c r="M4" s="92"/>
      <c r="N4" s="92"/>
    </row>
    <row r="5" spans="1:14" ht="9.9499999999999993" customHeight="1" thickTop="1" x14ac:dyDescent="0.25"/>
    <row r="6" spans="1:14" ht="31.5" x14ac:dyDescent="0.25">
      <c r="C6" s="93" t="s">
        <v>687</v>
      </c>
      <c r="D6" s="93" t="s">
        <v>10784</v>
      </c>
      <c r="E6" s="93" t="s">
        <v>10785</v>
      </c>
      <c r="F6" s="93" t="s">
        <v>10786</v>
      </c>
    </row>
    <row r="7" spans="1:14" x14ac:dyDescent="0.25">
      <c r="B7" s="94" t="s">
        <v>10787</v>
      </c>
      <c r="C7" s="4">
        <f>SUM('Tablas Ingresos'!C26)</f>
        <v>3200000004</v>
      </c>
      <c r="D7" s="4">
        <f>'Tablas Ingresos'!F26</f>
        <v>2663193188.52</v>
      </c>
      <c r="E7" s="4">
        <f>C7-D7</f>
        <v>536806815.48000002</v>
      </c>
      <c r="F7" s="91">
        <f>D7/C7</f>
        <v>0.83224787037219017</v>
      </c>
    </row>
    <row r="8" spans="1:14" x14ac:dyDescent="0.25">
      <c r="B8" s="94" t="s">
        <v>10788</v>
      </c>
      <c r="C8" s="4">
        <f>'Tablas Ingresos'!C60</f>
        <v>11432000000</v>
      </c>
      <c r="D8" s="4">
        <f>'Tablas Ingresos'!F60</f>
        <v>7245811949</v>
      </c>
      <c r="E8" s="4">
        <f>C8-D8</f>
        <v>4186188051</v>
      </c>
      <c r="F8" s="91">
        <f>D8/C8</f>
        <v>0.63381840001749479</v>
      </c>
    </row>
    <row r="9" spans="1:14" ht="6.95" customHeight="1" thickBot="1" x14ac:dyDescent="0.3">
      <c r="B9" s="4"/>
      <c r="C9" s="4"/>
      <c r="D9" s="4"/>
      <c r="E9" s="4"/>
      <c r="F9" s="91"/>
    </row>
    <row r="10" spans="1:14" ht="16.5" thickTop="1" x14ac:dyDescent="0.25">
      <c r="B10" s="95" t="s">
        <v>10789</v>
      </c>
      <c r="C10" s="96">
        <f>SUM(C7:C8)</f>
        <v>14632000004</v>
      </c>
      <c r="D10" s="96">
        <f>SUM(D7:D8)</f>
        <v>9909005137.5200005</v>
      </c>
      <c r="E10" s="96">
        <f>C10-D10</f>
        <v>4722994866.4799995</v>
      </c>
      <c r="F10" s="99">
        <f>D10/C10</f>
        <v>0.67721467569786375</v>
      </c>
    </row>
    <row r="11" spans="1:14" x14ac:dyDescent="0.25">
      <c r="B11" s="100"/>
      <c r="C11" s="101"/>
      <c r="D11" s="101"/>
      <c r="E11" s="4"/>
    </row>
    <row r="12" spans="1:14" x14ac:dyDescent="0.25">
      <c r="B12" s="100"/>
      <c r="C12" s="101"/>
      <c r="D12" s="101"/>
      <c r="E12" s="102"/>
    </row>
    <row r="14" spans="1:14" ht="31.5" x14ac:dyDescent="0.25">
      <c r="C14" s="93" t="s">
        <v>10790</v>
      </c>
      <c r="D14" s="93" t="s">
        <v>10791</v>
      </c>
      <c r="E14" s="93" t="s">
        <v>10792</v>
      </c>
      <c r="F14" s="93" t="s">
        <v>10793</v>
      </c>
    </row>
    <row r="15" spans="1:14" x14ac:dyDescent="0.25">
      <c r="B15" s="94" t="s">
        <v>24</v>
      </c>
      <c r="C15" s="4">
        <f>SUMIFS(archivo_ejec!V:V,archivo_ejec!D:D,"A",archivo_ejec!N:N,"20")</f>
        <v>6377571126.6199999</v>
      </c>
      <c r="D15" s="4">
        <f>SUMIFS(archivo_ejec!X:X,archivo_ejec!D:D,"A",archivo_ejec!N:N,"20")</f>
        <v>6099299686.6199999</v>
      </c>
      <c r="E15" s="4">
        <f>SUMIFS(archivo_ejec!Y:Y,archivo_ejec!D:D,"A",archivo_ejec!N:N,"20")</f>
        <v>5198018070.2799997</v>
      </c>
      <c r="F15" s="4">
        <f>SUMIFS(archivo_ejec!AA:AA,archivo_ejec!D:D,"A",archivo_ejec!N:N,"20")</f>
        <v>5103699968.2799997</v>
      </c>
    </row>
    <row r="16" spans="1:14" x14ac:dyDescent="0.25">
      <c r="B16" s="94" t="s">
        <v>185</v>
      </c>
      <c r="C16" s="4">
        <f>SUMIFS(archivo_ejec!V:V,archivo_ejec!D:D,"C",archivo_ejec!N:N,"20")</f>
        <v>31253817809.709999</v>
      </c>
      <c r="D16" s="4">
        <f>SUMIFS(archivo_ejec!X:X,archivo_ejec!D:D,"C",archivo_ejec!N:N,"20")</f>
        <v>27058109778.950001</v>
      </c>
      <c r="E16" s="4">
        <f>SUMIFS(archivo_ejec!Y:Y,archivo_ejec!D:D,"C",archivo_ejec!N:N,"20")</f>
        <v>20087061727.119999</v>
      </c>
      <c r="F16" s="4">
        <f>SUMIFS(archivo_ejec!AA:AA,archivo_ejec!D:D,"C",archivo_ejec!N:N,"20")</f>
        <v>19300458066.119999</v>
      </c>
    </row>
    <row r="17" spans="2:7" ht="6.95" customHeight="1" thickBot="1" x14ac:dyDescent="0.3">
      <c r="B17" s="4"/>
      <c r="C17" s="4"/>
      <c r="D17" s="4"/>
      <c r="E17" s="4"/>
      <c r="F17" s="4"/>
    </row>
    <row r="18" spans="2:7" ht="16.5" thickTop="1" x14ac:dyDescent="0.25">
      <c r="B18" s="97" t="s">
        <v>10794</v>
      </c>
      <c r="C18" s="96">
        <f>SUM(C15:C16)</f>
        <v>37631388936.330002</v>
      </c>
      <c r="D18" s="96">
        <f t="shared" ref="D18:F18" si="0">SUM(D15:D16)</f>
        <v>33157409465.57</v>
      </c>
      <c r="E18" s="96">
        <f t="shared" si="0"/>
        <v>25285079797.399998</v>
      </c>
      <c r="F18" s="96">
        <f t="shared" si="0"/>
        <v>24404158034.399998</v>
      </c>
    </row>
    <row r="19" spans="2:7" ht="16.5" thickBot="1" x14ac:dyDescent="0.3"/>
    <row r="20" spans="2:7" ht="16.5" thickTop="1" x14ac:dyDescent="0.25">
      <c r="B20" s="95" t="s">
        <v>10795</v>
      </c>
      <c r="C20" s="98">
        <f>D10-C18</f>
        <v>-27722383798.810001</v>
      </c>
      <c r="D20" s="98">
        <f>D10-D18</f>
        <v>-23248404328.049999</v>
      </c>
      <c r="E20" s="98">
        <f>D10-E18</f>
        <v>-15376074659.879997</v>
      </c>
      <c r="F20" s="98">
        <f>D10-F18</f>
        <v>-14495152896.879997</v>
      </c>
    </row>
    <row r="21" spans="2:7" ht="16.5" thickBot="1" x14ac:dyDescent="0.3"/>
    <row r="22" spans="2:7" ht="16.5" thickTop="1" x14ac:dyDescent="0.25">
      <c r="B22" s="95" t="s">
        <v>10796</v>
      </c>
      <c r="C22" s="99">
        <f>C18/D10</f>
        <v>3.7976959759401523</v>
      </c>
      <c r="D22" s="99">
        <f>D18/D10</f>
        <v>3.3461895523720102</v>
      </c>
      <c r="E22" s="99">
        <f>E18/D10</f>
        <v>2.551727388015895</v>
      </c>
      <c r="F22" s="99">
        <f>F18/D10</f>
        <v>2.4628262570976731</v>
      </c>
    </row>
    <row r="25" spans="2:7" x14ac:dyDescent="0.25">
      <c r="B25" s="267" t="s">
        <v>10797</v>
      </c>
      <c r="C25" s="267"/>
      <c r="D25" s="267"/>
      <c r="E25" s="267"/>
      <c r="F25" s="267"/>
      <c r="G25" s="267"/>
    </row>
    <row r="26" spans="2:7" ht="8.1" customHeight="1" x14ac:dyDescent="0.25"/>
    <row r="27" spans="2:7" x14ac:dyDescent="0.25">
      <c r="B27" s="209" t="s">
        <v>10798</v>
      </c>
      <c r="C27" s="209" t="s">
        <v>10799</v>
      </c>
      <c r="D27" s="209" t="s">
        <v>10800</v>
      </c>
      <c r="E27" s="209" t="s">
        <v>10722</v>
      </c>
      <c r="F27" s="209" t="s">
        <v>10801</v>
      </c>
      <c r="G27" s="209" t="s">
        <v>10802</v>
      </c>
    </row>
    <row r="28" spans="2:7" x14ac:dyDescent="0.25">
      <c r="B28" s="105" t="s">
        <v>10803</v>
      </c>
      <c r="C28" s="106">
        <f>SUM(C29:C34)</f>
        <v>7225408654</v>
      </c>
      <c r="D28" s="106">
        <f>SUM(D29:D34)</f>
        <v>7225408654</v>
      </c>
      <c r="E28" s="106">
        <f>SUM(E29:E34)</f>
        <v>7861134725.3800001</v>
      </c>
      <c r="F28" s="106">
        <f>D28-E28</f>
        <v>-635726071.38000011</v>
      </c>
      <c r="G28" s="106">
        <v>597054169.59999847</v>
      </c>
    </row>
    <row r="29" spans="2:7" hidden="1" outlineLevel="1" x14ac:dyDescent="0.25">
      <c r="B29" s="104" t="s">
        <v>6362</v>
      </c>
      <c r="C29" s="103">
        <v>1679163063</v>
      </c>
      <c r="D29" s="103">
        <v>1679163063</v>
      </c>
      <c r="E29" s="103">
        <v>590272150</v>
      </c>
      <c r="F29" s="103">
        <f t="shared" ref="F29:F55" si="1">D29-E29</f>
        <v>1088890913</v>
      </c>
      <c r="G29" s="103"/>
    </row>
    <row r="30" spans="2:7" hidden="1" outlineLevel="1" x14ac:dyDescent="0.25">
      <c r="B30" s="104" t="s">
        <v>10695</v>
      </c>
      <c r="C30" s="103">
        <v>4867956204</v>
      </c>
      <c r="D30" s="103">
        <v>4867956204</v>
      </c>
      <c r="E30" s="103">
        <v>3677038990.5</v>
      </c>
      <c r="F30" s="103">
        <f t="shared" si="1"/>
        <v>1190917213.5</v>
      </c>
      <c r="G30" s="103"/>
    </row>
    <row r="31" spans="2:7" hidden="1" outlineLevel="1" x14ac:dyDescent="0.25">
      <c r="B31" s="104" t="s">
        <v>5861</v>
      </c>
      <c r="C31" s="103">
        <v>452452039</v>
      </c>
      <c r="D31" s="103">
        <v>452452039</v>
      </c>
      <c r="E31" s="103">
        <v>204733133</v>
      </c>
      <c r="F31" s="103">
        <f t="shared" si="1"/>
        <v>247718906</v>
      </c>
      <c r="G31" s="103"/>
    </row>
    <row r="32" spans="2:7" hidden="1" outlineLevel="1" x14ac:dyDescent="0.25">
      <c r="B32" s="104" t="s">
        <v>10804</v>
      </c>
      <c r="C32" s="103">
        <v>0</v>
      </c>
      <c r="D32" s="103">
        <v>0</v>
      </c>
      <c r="E32" s="103">
        <v>31296615</v>
      </c>
      <c r="F32" s="103">
        <f t="shared" si="1"/>
        <v>-31296615</v>
      </c>
      <c r="G32" s="103"/>
    </row>
    <row r="33" spans="2:7" hidden="1" outlineLevel="1" x14ac:dyDescent="0.25">
      <c r="B33" s="104" t="s">
        <v>10805</v>
      </c>
      <c r="C33" s="103">
        <v>93896639</v>
      </c>
      <c r="D33" s="103">
        <v>93896639</v>
      </c>
      <c r="E33" s="103">
        <v>725178675</v>
      </c>
      <c r="F33" s="103">
        <f t="shared" si="1"/>
        <v>-631282036</v>
      </c>
      <c r="G33" s="103"/>
    </row>
    <row r="34" spans="2:7" hidden="1" outlineLevel="1" x14ac:dyDescent="0.25">
      <c r="B34" s="104" t="s">
        <v>10806</v>
      </c>
      <c r="C34" s="103">
        <v>131940709</v>
      </c>
      <c r="D34" s="103">
        <v>131940709</v>
      </c>
      <c r="E34" s="103">
        <v>2632615161.8800001</v>
      </c>
      <c r="F34" s="103">
        <f t="shared" si="1"/>
        <v>-2500674452.8800001</v>
      </c>
      <c r="G34" s="103"/>
    </row>
    <row r="35" spans="2:7" collapsed="1" x14ac:dyDescent="0.25">
      <c r="B35" s="105" t="s">
        <v>10807</v>
      </c>
      <c r="C35" s="106">
        <f>SUM(C36:C41)</f>
        <v>604429472.50420165</v>
      </c>
      <c r="D35" s="106">
        <f>SUM(D36:D41)</f>
        <v>0</v>
      </c>
      <c r="E35" s="106" t="e">
        <f>SUM(E36:E41)</f>
        <v>#REF!</v>
      </c>
      <c r="F35" s="106" t="e">
        <f>D35-E35</f>
        <v>#REF!</v>
      </c>
      <c r="G35" s="106">
        <v>0</v>
      </c>
    </row>
    <row r="36" spans="2:7" hidden="1" outlineLevel="1" x14ac:dyDescent="0.25">
      <c r="B36" s="104" t="s">
        <v>6362</v>
      </c>
      <c r="C36" s="103">
        <v>81402168.067226902</v>
      </c>
      <c r="D36" s="103"/>
      <c r="E36" s="103"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3" t="e">
        <f t="shared" si="1"/>
        <v>#REF!</v>
      </c>
      <c r="G36" s="103"/>
    </row>
    <row r="37" spans="2:7" hidden="1" outlineLevel="1" x14ac:dyDescent="0.25">
      <c r="B37" s="104" t="s">
        <v>10695</v>
      </c>
      <c r="C37" s="103">
        <v>159619363.86554623</v>
      </c>
      <c r="D37" s="103"/>
      <c r="E37" s="103" t="e">
        <f>(GETPIVOTDATA("Compromisos",Validaciones!$A$1,"REC","Ingresos corrientes","DESCRIPCION","ACTUALIZACIÓN  Y GESTIÓN CATASTRAL  NACIONAL","DESCRIPCION2","Subdirección de Catastro","DESCRIPCION4","Inversión"))-E30</f>
        <v>#REF!</v>
      </c>
      <c r="F37" s="103" t="e">
        <f t="shared" si="1"/>
        <v>#REF!</v>
      </c>
      <c r="G37" s="103"/>
    </row>
    <row r="38" spans="2:7" hidden="1" outlineLevel="1" x14ac:dyDescent="0.25">
      <c r="B38" s="104" t="s">
        <v>5861</v>
      </c>
      <c r="C38" s="103">
        <v>142016806.72268909</v>
      </c>
      <c r="D38" s="103"/>
      <c r="E38" s="103" t="e">
        <f>(GETPIVOTDATA("Compromisos",Validaciones!$A$1,"REC","Ingresos corrientes","DESCRIPCION","FORTALECIMIENTO DE LA GESTIÓN DEL CONOCIMIENTO Y LA INNOVACIÓN EN EL ÁMBITO GEOGRÁFICO DEL  TERRITORIO   NACIONAL","DESCRIPCION2","Oficina CIAF","DESCRIPCION4","Inversión"))-E31</f>
        <v>#REF!</v>
      </c>
      <c r="F38" s="103" t="e">
        <f t="shared" si="1"/>
        <v>#REF!</v>
      </c>
      <c r="G38" s="103"/>
    </row>
    <row r="39" spans="2:7" hidden="1" outlineLevel="1" x14ac:dyDescent="0.25">
      <c r="B39" s="104" t="s">
        <v>10804</v>
      </c>
      <c r="C39" s="103">
        <v>0</v>
      </c>
      <c r="D39" s="103"/>
      <c r="E39" s="103" t="e">
        <f>(GETPIVOTDATA("Compromisos",Validaciones!$A$1,"REC","Ingresos corrientes","DESCRIPCION","FORTALECIMIENTO DE LOS PROCESOS DE DIFUSIÓN Y ACCESO A LA INFORMACIÓN GEOGRÁFICA A NIVEL   NACIONAL","DESCRIPCION2","Oficina de Difusión y Mercadeo","DESCRIPCION4","Inversión"))-E32</f>
        <v>#REF!</v>
      </c>
      <c r="F39" s="103" t="e">
        <f t="shared" si="1"/>
        <v>#REF!</v>
      </c>
      <c r="G39" s="103"/>
    </row>
    <row r="40" spans="2:7" hidden="1" outlineLevel="1" x14ac:dyDescent="0.25">
      <c r="B40" s="104" t="s">
        <v>10805</v>
      </c>
      <c r="C40" s="103">
        <v>221204021.8487395</v>
      </c>
      <c r="D40" s="103"/>
      <c r="E40" s="103"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3" t="e">
        <f t="shared" si="1"/>
        <v>#REF!</v>
      </c>
      <c r="G40" s="103"/>
    </row>
    <row r="41" spans="2:7" hidden="1" outlineLevel="1" x14ac:dyDescent="0.25">
      <c r="B41" s="104" t="s">
        <v>10806</v>
      </c>
      <c r="C41" s="103">
        <v>187112</v>
      </c>
      <c r="D41" s="103"/>
      <c r="E41" s="103"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3" t="e">
        <f t="shared" si="1"/>
        <v>#REF!</v>
      </c>
      <c r="G41" s="103"/>
    </row>
    <row r="42" spans="2:7" collapsed="1" x14ac:dyDescent="0.25">
      <c r="B42" s="105" t="s">
        <v>10808</v>
      </c>
      <c r="C42" s="106">
        <f>SUM(C43:C48)</f>
        <v>1974732093.5126052</v>
      </c>
      <c r="D42" s="106">
        <f>SUM(D43:D48)</f>
        <v>0</v>
      </c>
      <c r="E42" s="106">
        <f>SUM(E43:E48)</f>
        <v>0</v>
      </c>
      <c r="F42" s="106">
        <f t="shared" si="1"/>
        <v>0</v>
      </c>
      <c r="G42" s="106">
        <v>0</v>
      </c>
    </row>
    <row r="43" spans="2:7" hidden="1" outlineLevel="1" x14ac:dyDescent="0.25">
      <c r="B43" s="104" t="s">
        <v>6362</v>
      </c>
      <c r="C43" s="103">
        <v>0</v>
      </c>
      <c r="D43" s="103"/>
      <c r="E43" s="103"/>
      <c r="F43" s="103">
        <f t="shared" si="1"/>
        <v>0</v>
      </c>
      <c r="G43" s="103"/>
    </row>
    <row r="44" spans="2:7" hidden="1" outlineLevel="1" x14ac:dyDescent="0.25">
      <c r="B44" s="104" t="s">
        <v>10695</v>
      </c>
      <c r="C44" s="103">
        <v>525404705.04201686</v>
      </c>
      <c r="D44" s="103"/>
      <c r="E44" s="103"/>
      <c r="F44" s="103">
        <f t="shared" si="1"/>
        <v>0</v>
      </c>
      <c r="G44" s="103"/>
    </row>
    <row r="45" spans="2:7" hidden="1" outlineLevel="1" x14ac:dyDescent="0.25">
      <c r="B45" s="104" t="s">
        <v>5861</v>
      </c>
      <c r="C45" s="103">
        <v>0</v>
      </c>
      <c r="D45" s="103"/>
      <c r="E45" s="103"/>
      <c r="F45" s="103">
        <f t="shared" si="1"/>
        <v>0</v>
      </c>
      <c r="G45" s="103"/>
    </row>
    <row r="46" spans="2:7" hidden="1" outlineLevel="1" x14ac:dyDescent="0.25">
      <c r="B46" s="104" t="s">
        <v>10804</v>
      </c>
      <c r="C46" s="103">
        <v>0</v>
      </c>
      <c r="D46" s="103"/>
      <c r="E46" s="103"/>
      <c r="F46" s="103">
        <f t="shared" si="1"/>
        <v>0</v>
      </c>
      <c r="G46" s="103"/>
    </row>
    <row r="47" spans="2:7" hidden="1" outlineLevel="1" x14ac:dyDescent="0.25">
      <c r="B47" s="104" t="s">
        <v>10805</v>
      </c>
      <c r="C47" s="103">
        <v>1449140276.4705882</v>
      </c>
      <c r="D47" s="103"/>
      <c r="E47" s="103"/>
      <c r="F47" s="103">
        <f t="shared" si="1"/>
        <v>0</v>
      </c>
      <c r="G47" s="103"/>
    </row>
    <row r="48" spans="2:7" hidden="1" outlineLevel="1" x14ac:dyDescent="0.25">
      <c r="B48" s="104" t="s">
        <v>10806</v>
      </c>
      <c r="C48" s="103">
        <v>187112</v>
      </c>
      <c r="D48" s="103"/>
      <c r="E48" s="103"/>
      <c r="F48" s="103">
        <f t="shared" si="1"/>
        <v>0</v>
      </c>
      <c r="G48" s="103"/>
    </row>
    <row r="49" spans="2:7" collapsed="1" x14ac:dyDescent="0.25">
      <c r="B49" s="105" t="s">
        <v>10809</v>
      </c>
      <c r="C49" s="106">
        <f>SUM(C50:C55)</f>
        <v>3139542180.9075632</v>
      </c>
      <c r="D49" s="106">
        <f>SUM(D50:D55)</f>
        <v>0</v>
      </c>
      <c r="E49" s="106">
        <f>SUM(E50:E55)</f>
        <v>0</v>
      </c>
      <c r="F49" s="106">
        <f t="shared" si="1"/>
        <v>0</v>
      </c>
      <c r="G49" s="106">
        <v>0</v>
      </c>
    </row>
    <row r="50" spans="2:7" hidden="1" outlineLevel="1" x14ac:dyDescent="0.25">
      <c r="B50" s="104" t="s">
        <v>6362</v>
      </c>
      <c r="C50" s="103">
        <v>0</v>
      </c>
      <c r="D50" s="103"/>
      <c r="E50" s="103"/>
      <c r="F50" s="103">
        <f t="shared" si="1"/>
        <v>0</v>
      </c>
      <c r="G50" s="103"/>
    </row>
    <row r="51" spans="2:7" hidden="1" outlineLevel="1" x14ac:dyDescent="0.25">
      <c r="B51" s="104" t="s">
        <v>10695</v>
      </c>
      <c r="C51" s="103">
        <v>1428556595.7983193</v>
      </c>
      <c r="D51" s="103"/>
      <c r="E51" s="103"/>
      <c r="F51" s="103">
        <f t="shared" si="1"/>
        <v>0</v>
      </c>
      <c r="G51" s="103"/>
    </row>
    <row r="52" spans="2:7" hidden="1" outlineLevel="1" x14ac:dyDescent="0.25">
      <c r="B52" s="104" t="s">
        <v>5861</v>
      </c>
      <c r="C52" s="103">
        <v>210924369.74789917</v>
      </c>
      <c r="D52" s="103"/>
      <c r="E52" s="103"/>
      <c r="F52" s="103">
        <f t="shared" si="1"/>
        <v>0</v>
      </c>
      <c r="G52" s="103"/>
    </row>
    <row r="53" spans="2:7" hidden="1" outlineLevel="1" x14ac:dyDescent="0.25">
      <c r="B53" s="104" t="s">
        <v>10804</v>
      </c>
      <c r="C53" s="103">
        <v>0</v>
      </c>
      <c r="D53" s="103"/>
      <c r="E53" s="103"/>
      <c r="F53" s="103">
        <f t="shared" si="1"/>
        <v>0</v>
      </c>
      <c r="G53" s="103"/>
    </row>
    <row r="54" spans="2:7" hidden="1" outlineLevel="1" x14ac:dyDescent="0.25">
      <c r="B54" s="104" t="s">
        <v>10805</v>
      </c>
      <c r="C54" s="103">
        <v>1499874103.3613446</v>
      </c>
      <c r="D54" s="103"/>
      <c r="E54" s="103"/>
      <c r="F54" s="103">
        <f t="shared" si="1"/>
        <v>0</v>
      </c>
      <c r="G54" s="103"/>
    </row>
    <row r="55" spans="2:7" hidden="1" outlineLevel="1" x14ac:dyDescent="0.25">
      <c r="B55" s="104" t="s">
        <v>10806</v>
      </c>
      <c r="C55" s="103">
        <v>187112</v>
      </c>
      <c r="D55" s="103"/>
      <c r="E55" s="103"/>
      <c r="F55" s="103">
        <f t="shared" si="1"/>
        <v>0</v>
      </c>
      <c r="G55" s="103"/>
    </row>
    <row r="56" spans="2:7" ht="16.5" collapsed="1" thickBot="1" x14ac:dyDescent="0.3">
      <c r="C56" s="103"/>
      <c r="D56" s="103"/>
      <c r="E56" s="103"/>
      <c r="F56" s="103"/>
      <c r="G56" s="103"/>
    </row>
    <row r="57" spans="2:7" ht="16.5" thickTop="1" x14ac:dyDescent="0.25">
      <c r="B57" s="97" t="s">
        <v>10810</v>
      </c>
      <c r="C57" s="98">
        <f>C49+C42+C35+C28</f>
        <v>12944112400.92437</v>
      </c>
      <c r="D57" s="98">
        <f>D49+D42+D35+D28</f>
        <v>7225408654</v>
      </c>
      <c r="E57" s="98" t="e">
        <f>E49+E42+E35+E28</f>
        <v>#REF!</v>
      </c>
      <c r="F57" s="98" t="e">
        <f>D57-E57</f>
        <v>#REF!</v>
      </c>
    </row>
    <row r="58" spans="2:7" x14ac:dyDescent="0.25">
      <c r="C58" s="103"/>
      <c r="D58" s="103"/>
      <c r="E58" s="103"/>
      <c r="F58" s="103"/>
      <c r="G58" s="103"/>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8"/>
  <sheetViews>
    <sheetView showGridLines="0" zoomScale="42" zoomScaleNormal="42" workbookViewId="0">
      <selection activeCell="M5" sqref="M5"/>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x14ac:dyDescent="0.25">
      <c r="A1" s="1" t="s">
        <v>229</v>
      </c>
      <c r="B1" s="1">
        <v>2020</v>
      </c>
      <c r="C1" s="2" t="s">
        <v>230</v>
      </c>
      <c r="D1" s="2" t="s">
        <v>230</v>
      </c>
      <c r="E1" s="2" t="s">
        <v>230</v>
      </c>
      <c r="F1" s="2" t="s">
        <v>230</v>
      </c>
      <c r="G1" s="2" t="s">
        <v>230</v>
      </c>
      <c r="H1" s="2" t="s">
        <v>230</v>
      </c>
      <c r="I1" s="2" t="s">
        <v>230</v>
      </c>
      <c r="J1" s="2" t="s">
        <v>230</v>
      </c>
      <c r="K1" s="2" t="s">
        <v>230</v>
      </c>
      <c r="L1" s="2" t="s">
        <v>230</v>
      </c>
      <c r="M1" s="2" t="s">
        <v>230</v>
      </c>
      <c r="N1" s="2"/>
      <c r="O1" s="2" t="s">
        <v>230</v>
      </c>
      <c r="P1" s="2" t="s">
        <v>230</v>
      </c>
      <c r="Q1" s="2" t="s">
        <v>230</v>
      </c>
      <c r="R1" s="2" t="s">
        <v>230</v>
      </c>
      <c r="S1" s="2" t="s">
        <v>230</v>
      </c>
      <c r="T1" s="2" t="s">
        <v>230</v>
      </c>
      <c r="U1" s="2" t="s">
        <v>230</v>
      </c>
      <c r="V1" s="2" t="s">
        <v>230</v>
      </c>
      <c r="W1" s="2" t="s">
        <v>230</v>
      </c>
      <c r="X1" s="2" t="s">
        <v>230</v>
      </c>
      <c r="Y1" s="2" t="s">
        <v>230</v>
      </c>
      <c r="Z1" s="2" t="s">
        <v>230</v>
      </c>
      <c r="AA1" s="2" t="s">
        <v>230</v>
      </c>
    </row>
    <row r="2" spans="1:29" x14ac:dyDescent="0.25">
      <c r="A2" s="1" t="s">
        <v>231</v>
      </c>
      <c r="B2" s="1" t="s">
        <v>232</v>
      </c>
      <c r="C2" s="2" t="s">
        <v>230</v>
      </c>
      <c r="D2" s="2" t="s">
        <v>230</v>
      </c>
      <c r="E2" s="2" t="s">
        <v>230</v>
      </c>
      <c r="F2" s="2" t="s">
        <v>230</v>
      </c>
      <c r="G2" s="2" t="s">
        <v>230</v>
      </c>
      <c r="H2" s="2" t="s">
        <v>230</v>
      </c>
      <c r="I2" s="2" t="s">
        <v>230</v>
      </c>
      <c r="J2" s="2" t="s">
        <v>230</v>
      </c>
      <c r="K2" s="2" t="s">
        <v>230</v>
      </c>
      <c r="L2" s="2" t="s">
        <v>230</v>
      </c>
      <c r="M2" s="2" t="s">
        <v>230</v>
      </c>
      <c r="N2" s="2"/>
      <c r="O2" s="2" t="s">
        <v>230</v>
      </c>
      <c r="P2" s="2" t="s">
        <v>230</v>
      </c>
      <c r="Q2" s="2" t="s">
        <v>230</v>
      </c>
      <c r="R2" s="2" t="s">
        <v>230</v>
      </c>
      <c r="S2" s="2" t="s">
        <v>230</v>
      </c>
      <c r="T2" s="2" t="s">
        <v>230</v>
      </c>
      <c r="U2" s="2" t="s">
        <v>230</v>
      </c>
      <c r="V2" s="2" t="s">
        <v>230</v>
      </c>
      <c r="W2" s="2" t="s">
        <v>230</v>
      </c>
      <c r="X2" s="2" t="s">
        <v>230</v>
      </c>
      <c r="Y2" s="2" t="s">
        <v>230</v>
      </c>
      <c r="Z2" s="2" t="s">
        <v>230</v>
      </c>
      <c r="AA2" s="2" t="s">
        <v>230</v>
      </c>
    </row>
    <row r="3" spans="1:29" x14ac:dyDescent="0.25">
      <c r="A3" s="1" t="s">
        <v>233</v>
      </c>
      <c r="B3" s="1" t="s">
        <v>234</v>
      </c>
      <c r="C3" s="2" t="s">
        <v>230</v>
      </c>
      <c r="D3" s="2" t="s">
        <v>230</v>
      </c>
      <c r="E3" s="2" t="s">
        <v>230</v>
      </c>
      <c r="F3" s="2" t="s">
        <v>230</v>
      </c>
      <c r="G3" s="2" t="s">
        <v>230</v>
      </c>
      <c r="H3" s="2" t="s">
        <v>230</v>
      </c>
      <c r="I3" s="2" t="s">
        <v>230</v>
      </c>
      <c r="J3" s="2" t="s">
        <v>230</v>
      </c>
      <c r="K3" s="2" t="s">
        <v>230</v>
      </c>
      <c r="L3" s="2" t="s">
        <v>230</v>
      </c>
      <c r="M3" s="2" t="s">
        <v>230</v>
      </c>
      <c r="N3" s="2"/>
      <c r="O3" s="2" t="s">
        <v>230</v>
      </c>
      <c r="P3" s="2" t="s">
        <v>230</v>
      </c>
      <c r="Q3" s="2" t="s">
        <v>230</v>
      </c>
      <c r="R3" s="2" t="s">
        <v>230</v>
      </c>
      <c r="S3" s="2" t="s">
        <v>230</v>
      </c>
      <c r="T3" s="2" t="s">
        <v>230</v>
      </c>
      <c r="U3" s="2" t="s">
        <v>230</v>
      </c>
      <c r="V3" s="2" t="s">
        <v>230</v>
      </c>
      <c r="W3" s="2" t="s">
        <v>230</v>
      </c>
      <c r="X3" s="2" t="s">
        <v>230</v>
      </c>
      <c r="Y3" s="2" t="s">
        <v>230</v>
      </c>
      <c r="Z3" s="2" t="s">
        <v>230</v>
      </c>
      <c r="AA3" s="2" t="s">
        <v>230</v>
      </c>
    </row>
    <row r="4" spans="1:29" ht="24" x14ac:dyDescent="0.25">
      <c r="A4" s="1" t="s">
        <v>235</v>
      </c>
      <c r="B4" s="1" t="s">
        <v>236</v>
      </c>
      <c r="C4" s="1" t="s">
        <v>237</v>
      </c>
      <c r="D4" s="1" t="s">
        <v>20</v>
      </c>
      <c r="E4" s="1" t="s">
        <v>238</v>
      </c>
      <c r="F4" s="1" t="s">
        <v>239</v>
      </c>
      <c r="G4" s="1" t="s">
        <v>240</v>
      </c>
      <c r="H4" s="1" t="s">
        <v>241</v>
      </c>
      <c r="I4" s="1" t="s">
        <v>242</v>
      </c>
      <c r="J4" s="1" t="s">
        <v>243</v>
      </c>
      <c r="K4" s="1" t="s">
        <v>244</v>
      </c>
      <c r="L4" s="1" t="s">
        <v>245</v>
      </c>
      <c r="M4" s="1" t="s">
        <v>246</v>
      </c>
      <c r="N4" s="1" t="s">
        <v>42</v>
      </c>
      <c r="O4" s="1" t="s">
        <v>247</v>
      </c>
      <c r="P4" s="1" t="s">
        <v>248</v>
      </c>
      <c r="Q4" s="1" t="s">
        <v>249</v>
      </c>
      <c r="R4" s="1" t="s">
        <v>250</v>
      </c>
      <c r="S4" s="1" t="s">
        <v>251</v>
      </c>
      <c r="T4" s="1" t="s">
        <v>252</v>
      </c>
      <c r="U4" s="1" t="s">
        <v>253</v>
      </c>
      <c r="V4" s="1" t="s">
        <v>254</v>
      </c>
      <c r="W4" s="1" t="s">
        <v>255</v>
      </c>
      <c r="X4" s="1" t="s">
        <v>256</v>
      </c>
      <c r="Y4" s="1" t="s">
        <v>257</v>
      </c>
      <c r="Z4" s="1" t="s">
        <v>258</v>
      </c>
      <c r="AA4" s="1" t="s">
        <v>259</v>
      </c>
      <c r="AB4" s="1" t="s">
        <v>260</v>
      </c>
    </row>
    <row r="5" spans="1:29" ht="15" customHeight="1" x14ac:dyDescent="0.25">
      <c r="A5" s="230" t="s">
        <v>261</v>
      </c>
      <c r="B5" s="231" t="s">
        <v>262</v>
      </c>
      <c r="C5" s="232" t="s">
        <v>263</v>
      </c>
      <c r="D5" s="230" t="s">
        <v>264</v>
      </c>
      <c r="E5" s="230" t="s">
        <v>265</v>
      </c>
      <c r="F5" s="230" t="s">
        <v>265</v>
      </c>
      <c r="G5" s="230" t="s">
        <v>265</v>
      </c>
      <c r="H5" s="230"/>
      <c r="I5" s="230"/>
      <c r="J5" s="230"/>
      <c r="K5" s="230"/>
      <c r="L5" s="230"/>
      <c r="M5" s="230" t="s">
        <v>266</v>
      </c>
      <c r="N5" s="230">
        <v>10</v>
      </c>
      <c r="O5" s="230" t="s">
        <v>267</v>
      </c>
      <c r="P5" s="231" t="s">
        <v>89</v>
      </c>
      <c r="Q5" s="233">
        <v>33040000000</v>
      </c>
      <c r="R5" s="233">
        <v>8283571415</v>
      </c>
      <c r="S5" s="233">
        <v>505000000</v>
      </c>
      <c r="T5" s="233">
        <v>40818571415</v>
      </c>
      <c r="U5" s="233">
        <v>0</v>
      </c>
      <c r="V5" s="233">
        <v>29572683318</v>
      </c>
      <c r="W5" s="233">
        <v>11245888097</v>
      </c>
      <c r="X5" s="233">
        <v>29565934242</v>
      </c>
      <c r="Y5" s="233">
        <v>29554839717</v>
      </c>
      <c r="Z5" s="233">
        <v>29554839717</v>
      </c>
      <c r="AA5" s="233">
        <v>29554839717</v>
      </c>
      <c r="AB5" s="76">
        <f>T5-U5</f>
        <v>40818571415</v>
      </c>
    </row>
    <row r="6" spans="1:29" ht="15" customHeight="1" x14ac:dyDescent="0.25">
      <c r="A6" s="230" t="s">
        <v>261</v>
      </c>
      <c r="B6" s="231" t="s">
        <v>262</v>
      </c>
      <c r="C6" s="232" t="s">
        <v>268</v>
      </c>
      <c r="D6" s="230" t="s">
        <v>264</v>
      </c>
      <c r="E6" s="230" t="s">
        <v>265</v>
      </c>
      <c r="F6" s="230" t="s">
        <v>265</v>
      </c>
      <c r="G6" s="230" t="s">
        <v>269</v>
      </c>
      <c r="H6" s="230"/>
      <c r="I6" s="230"/>
      <c r="J6" s="230"/>
      <c r="K6" s="230"/>
      <c r="L6" s="230"/>
      <c r="M6" s="230" t="s">
        <v>266</v>
      </c>
      <c r="N6" s="230">
        <v>10</v>
      </c>
      <c r="O6" s="230" t="s">
        <v>267</v>
      </c>
      <c r="P6" s="231" t="s">
        <v>48</v>
      </c>
      <c r="Q6" s="233">
        <v>11004000000</v>
      </c>
      <c r="R6" s="233">
        <v>3431977472</v>
      </c>
      <c r="S6" s="233">
        <v>0</v>
      </c>
      <c r="T6" s="233">
        <v>14435977472</v>
      </c>
      <c r="U6" s="233">
        <v>0</v>
      </c>
      <c r="V6" s="233">
        <v>10554833007</v>
      </c>
      <c r="W6" s="233">
        <v>3881144465</v>
      </c>
      <c r="X6" s="233">
        <v>10249413207</v>
      </c>
      <c r="Y6" s="233">
        <v>10249413207</v>
      </c>
      <c r="Z6" s="233">
        <v>10249413207</v>
      </c>
      <c r="AA6" s="233">
        <v>10249413207</v>
      </c>
      <c r="AB6" s="76">
        <f t="shared" ref="AB6:AB38" si="0">T6-U6</f>
        <v>14435977472</v>
      </c>
    </row>
    <row r="7" spans="1:29" ht="15" customHeight="1" x14ac:dyDescent="0.25">
      <c r="A7" s="230" t="s">
        <v>261</v>
      </c>
      <c r="B7" s="231" t="s">
        <v>262</v>
      </c>
      <c r="C7" s="232" t="s">
        <v>270</v>
      </c>
      <c r="D7" s="230" t="s">
        <v>264</v>
      </c>
      <c r="E7" s="230" t="s">
        <v>265</v>
      </c>
      <c r="F7" s="230" t="s">
        <v>265</v>
      </c>
      <c r="G7" s="230" t="s">
        <v>271</v>
      </c>
      <c r="H7" s="230"/>
      <c r="I7" s="230"/>
      <c r="J7" s="230"/>
      <c r="K7" s="230"/>
      <c r="L7" s="230"/>
      <c r="M7" s="230" t="s">
        <v>266</v>
      </c>
      <c r="N7" s="230">
        <v>10</v>
      </c>
      <c r="O7" s="230" t="s">
        <v>267</v>
      </c>
      <c r="P7" s="231" t="s">
        <v>74</v>
      </c>
      <c r="Q7" s="233">
        <v>2983000000</v>
      </c>
      <c r="R7" s="233">
        <v>617687803</v>
      </c>
      <c r="S7" s="233">
        <v>0</v>
      </c>
      <c r="T7" s="233">
        <v>3600687803</v>
      </c>
      <c r="U7" s="233">
        <v>0</v>
      </c>
      <c r="V7" s="233">
        <v>2512942158</v>
      </c>
      <c r="W7" s="233">
        <v>1087745645</v>
      </c>
      <c r="X7" s="233">
        <v>2511796894</v>
      </c>
      <c r="Y7" s="233">
        <v>2504044784</v>
      </c>
      <c r="Z7" s="233">
        <v>2504044784</v>
      </c>
      <c r="AA7" s="233">
        <v>2504044784</v>
      </c>
      <c r="AB7" s="76">
        <f t="shared" si="0"/>
        <v>3600687803</v>
      </c>
    </row>
    <row r="8" spans="1:29" ht="15" customHeight="1" x14ac:dyDescent="0.25">
      <c r="A8" s="230" t="s">
        <v>261</v>
      </c>
      <c r="B8" s="231" t="s">
        <v>262</v>
      </c>
      <c r="C8" s="232" t="s">
        <v>272</v>
      </c>
      <c r="D8" s="230" t="s">
        <v>264</v>
      </c>
      <c r="E8" s="230" t="s">
        <v>269</v>
      </c>
      <c r="F8" s="230" t="s">
        <v>269</v>
      </c>
      <c r="G8" s="230"/>
      <c r="H8" s="230"/>
      <c r="I8" s="230"/>
      <c r="J8" s="230"/>
      <c r="K8" s="230"/>
      <c r="L8" s="230"/>
      <c r="M8" s="230" t="s">
        <v>266</v>
      </c>
      <c r="N8" s="230">
        <v>10</v>
      </c>
      <c r="O8" s="230" t="s">
        <v>267</v>
      </c>
      <c r="P8" s="231" t="s">
        <v>109</v>
      </c>
      <c r="Q8" s="233">
        <v>10770000000</v>
      </c>
      <c r="R8" s="233">
        <v>114686345</v>
      </c>
      <c r="S8" s="233">
        <v>0</v>
      </c>
      <c r="T8" s="233">
        <v>10884686345</v>
      </c>
      <c r="U8" s="233">
        <v>0</v>
      </c>
      <c r="V8" s="233">
        <v>10816500323.85</v>
      </c>
      <c r="W8" s="233">
        <v>68186021.150000006</v>
      </c>
      <c r="X8" s="233">
        <v>10476659011.25</v>
      </c>
      <c r="Y8" s="233">
        <v>8414620971.7600002</v>
      </c>
      <c r="Z8" s="233">
        <v>8386845705.7600002</v>
      </c>
      <c r="AA8" s="233">
        <v>8386845705.7600002</v>
      </c>
      <c r="AB8" s="76">
        <f t="shared" si="0"/>
        <v>10884686345</v>
      </c>
    </row>
    <row r="9" spans="1:29" ht="15" customHeight="1" x14ac:dyDescent="0.25">
      <c r="A9" s="230" t="s">
        <v>261</v>
      </c>
      <c r="B9" s="231" t="s">
        <v>262</v>
      </c>
      <c r="C9" s="232" t="s">
        <v>272</v>
      </c>
      <c r="D9" s="230" t="s">
        <v>264</v>
      </c>
      <c r="E9" s="230" t="s">
        <v>269</v>
      </c>
      <c r="F9" s="230" t="s">
        <v>269</v>
      </c>
      <c r="G9" s="230"/>
      <c r="H9" s="230"/>
      <c r="I9" s="230"/>
      <c r="J9" s="230"/>
      <c r="K9" s="230"/>
      <c r="L9" s="230"/>
      <c r="M9" s="230" t="s">
        <v>266</v>
      </c>
      <c r="N9" s="230">
        <v>11</v>
      </c>
      <c r="O9" s="230" t="s">
        <v>267</v>
      </c>
      <c r="P9" s="231" t="s">
        <v>109</v>
      </c>
      <c r="Q9" s="233">
        <v>0</v>
      </c>
      <c r="R9" s="233">
        <v>1617000000</v>
      </c>
      <c r="S9" s="233">
        <v>0</v>
      </c>
      <c r="T9" s="233">
        <v>1617000000</v>
      </c>
      <c r="U9" s="233">
        <v>0</v>
      </c>
      <c r="V9" s="233">
        <v>1617000000</v>
      </c>
      <c r="W9" s="233">
        <v>0</v>
      </c>
      <c r="X9" s="233">
        <v>1617000000</v>
      </c>
      <c r="Y9" s="233">
        <v>1330000000</v>
      </c>
      <c r="Z9" s="233">
        <v>1330000000</v>
      </c>
      <c r="AA9" s="233">
        <v>1330000000</v>
      </c>
      <c r="AB9" s="76">
        <f t="shared" si="0"/>
        <v>1617000000</v>
      </c>
      <c r="AC9" s="114"/>
    </row>
    <row r="10" spans="1:29" ht="15" customHeight="1" x14ac:dyDescent="0.25">
      <c r="A10" s="230" t="s">
        <v>261</v>
      </c>
      <c r="B10" s="231" t="s">
        <v>262</v>
      </c>
      <c r="C10" s="232" t="s">
        <v>272</v>
      </c>
      <c r="D10" s="230" t="s">
        <v>264</v>
      </c>
      <c r="E10" s="230" t="s">
        <v>269</v>
      </c>
      <c r="F10" s="230" t="s">
        <v>269</v>
      </c>
      <c r="G10" s="230"/>
      <c r="H10" s="230"/>
      <c r="I10" s="230"/>
      <c r="J10" s="230"/>
      <c r="K10" s="230"/>
      <c r="L10" s="230"/>
      <c r="M10" s="230" t="s">
        <v>273</v>
      </c>
      <c r="N10" s="230">
        <v>20</v>
      </c>
      <c r="O10" s="230" t="s">
        <v>267</v>
      </c>
      <c r="P10" s="231" t="s">
        <v>109</v>
      </c>
      <c r="Q10" s="233">
        <v>7737000000</v>
      </c>
      <c r="R10" s="233">
        <v>0</v>
      </c>
      <c r="S10" s="233">
        <v>0</v>
      </c>
      <c r="T10" s="233">
        <v>7737000000</v>
      </c>
      <c r="U10" s="233">
        <v>0</v>
      </c>
      <c r="V10" s="233">
        <v>5957184598</v>
      </c>
      <c r="W10" s="233">
        <v>1779815402</v>
      </c>
      <c r="X10" s="233">
        <v>5679034158</v>
      </c>
      <c r="Y10" s="233">
        <v>4777752541.6599998</v>
      </c>
      <c r="Z10" s="233">
        <v>4683434439.6599998</v>
      </c>
      <c r="AA10" s="233">
        <v>4683434439.6599998</v>
      </c>
      <c r="AB10" s="76">
        <f t="shared" si="0"/>
        <v>7737000000</v>
      </c>
    </row>
    <row r="11" spans="1:29" ht="15" customHeight="1" x14ac:dyDescent="0.25">
      <c r="A11" s="230" t="s">
        <v>261</v>
      </c>
      <c r="B11" s="231" t="s">
        <v>262</v>
      </c>
      <c r="C11" s="232" t="s">
        <v>274</v>
      </c>
      <c r="D11" s="230" t="s">
        <v>264</v>
      </c>
      <c r="E11" s="230" t="s">
        <v>271</v>
      </c>
      <c r="F11" s="230" t="s">
        <v>271</v>
      </c>
      <c r="G11" s="230" t="s">
        <v>265</v>
      </c>
      <c r="H11" s="230" t="s">
        <v>275</v>
      </c>
      <c r="I11" s="230"/>
      <c r="J11" s="230"/>
      <c r="K11" s="230"/>
      <c r="L11" s="230"/>
      <c r="M11" s="230" t="s">
        <v>266</v>
      </c>
      <c r="N11" s="230">
        <v>10</v>
      </c>
      <c r="O11" s="230" t="s">
        <v>267</v>
      </c>
      <c r="P11" s="231" t="s">
        <v>164</v>
      </c>
      <c r="Q11" s="233">
        <v>14148984173</v>
      </c>
      <c r="R11" s="233">
        <v>0</v>
      </c>
      <c r="S11" s="233">
        <v>11133639390</v>
      </c>
      <c r="T11" s="233">
        <v>3015344783</v>
      </c>
      <c r="U11" s="233">
        <v>3015344783</v>
      </c>
      <c r="V11" s="233">
        <v>0</v>
      </c>
      <c r="W11" s="233">
        <v>0</v>
      </c>
      <c r="X11" s="233">
        <v>0</v>
      </c>
      <c r="Y11" s="233">
        <v>0</v>
      </c>
      <c r="Z11" s="233">
        <v>0</v>
      </c>
      <c r="AA11" s="233">
        <v>0</v>
      </c>
      <c r="AB11" s="76">
        <f t="shared" si="0"/>
        <v>0</v>
      </c>
    </row>
    <row r="12" spans="1:29" ht="15" customHeight="1" x14ac:dyDescent="0.25">
      <c r="A12" s="230" t="s">
        <v>261</v>
      </c>
      <c r="B12" s="231" t="s">
        <v>262</v>
      </c>
      <c r="C12" s="232" t="s">
        <v>274</v>
      </c>
      <c r="D12" s="230" t="s">
        <v>264</v>
      </c>
      <c r="E12" s="230" t="s">
        <v>271</v>
      </c>
      <c r="F12" s="230" t="s">
        <v>271</v>
      </c>
      <c r="G12" s="230" t="s">
        <v>265</v>
      </c>
      <c r="H12" s="230" t="s">
        <v>275</v>
      </c>
      <c r="I12" s="230"/>
      <c r="J12" s="230"/>
      <c r="K12" s="230"/>
      <c r="L12" s="230"/>
      <c r="M12" s="230" t="s">
        <v>266</v>
      </c>
      <c r="N12" s="230">
        <v>11</v>
      </c>
      <c r="O12" s="230" t="s">
        <v>267</v>
      </c>
      <c r="P12" s="231" t="s">
        <v>164</v>
      </c>
      <c r="Q12" s="233">
        <v>3591272693</v>
      </c>
      <c r="R12" s="233">
        <v>0</v>
      </c>
      <c r="S12" s="233">
        <v>2016304913</v>
      </c>
      <c r="T12" s="233">
        <v>1574967780</v>
      </c>
      <c r="U12" s="233">
        <v>1574967780</v>
      </c>
      <c r="V12" s="233">
        <v>0</v>
      </c>
      <c r="W12" s="233">
        <v>0</v>
      </c>
      <c r="X12" s="233">
        <v>0</v>
      </c>
      <c r="Y12" s="233">
        <v>0</v>
      </c>
      <c r="Z12" s="233">
        <v>0</v>
      </c>
      <c r="AA12" s="233">
        <v>0</v>
      </c>
      <c r="AB12" s="76">
        <f t="shared" si="0"/>
        <v>0</v>
      </c>
    </row>
    <row r="13" spans="1:29" ht="15" customHeight="1" x14ac:dyDescent="0.25">
      <c r="A13" s="230" t="s">
        <v>261</v>
      </c>
      <c r="B13" s="231" t="s">
        <v>262</v>
      </c>
      <c r="C13" s="232" t="s">
        <v>276</v>
      </c>
      <c r="D13" s="230" t="s">
        <v>264</v>
      </c>
      <c r="E13" s="230" t="s">
        <v>271</v>
      </c>
      <c r="F13" s="230" t="s">
        <v>277</v>
      </c>
      <c r="G13" s="230" t="s">
        <v>269</v>
      </c>
      <c r="H13" s="230" t="s">
        <v>278</v>
      </c>
      <c r="I13" s="230"/>
      <c r="J13" s="230"/>
      <c r="K13" s="230"/>
      <c r="L13" s="230"/>
      <c r="M13" s="230" t="s">
        <v>266</v>
      </c>
      <c r="N13" s="230">
        <v>10</v>
      </c>
      <c r="O13" s="230" t="s">
        <v>267</v>
      </c>
      <c r="P13" s="231" t="s">
        <v>150</v>
      </c>
      <c r="Q13" s="233">
        <v>207000000</v>
      </c>
      <c r="R13" s="233">
        <v>35402700</v>
      </c>
      <c r="S13" s="233">
        <v>0</v>
      </c>
      <c r="T13" s="233">
        <v>242402700</v>
      </c>
      <c r="U13" s="233">
        <v>0</v>
      </c>
      <c r="V13" s="233">
        <v>181484915</v>
      </c>
      <c r="W13" s="233">
        <v>60917785</v>
      </c>
      <c r="X13" s="233">
        <v>149615419</v>
      </c>
      <c r="Y13" s="233">
        <v>140129641</v>
      </c>
      <c r="Z13" s="233">
        <v>140129641</v>
      </c>
      <c r="AA13" s="233">
        <v>140129641</v>
      </c>
      <c r="AB13" s="76">
        <f t="shared" si="0"/>
        <v>242402700</v>
      </c>
    </row>
    <row r="14" spans="1:29" ht="15" customHeight="1" x14ac:dyDescent="0.25">
      <c r="A14" s="230" t="s">
        <v>261</v>
      </c>
      <c r="B14" s="231" t="s">
        <v>262</v>
      </c>
      <c r="C14" s="232" t="s">
        <v>279</v>
      </c>
      <c r="D14" s="230" t="s">
        <v>264</v>
      </c>
      <c r="E14" s="230" t="s">
        <v>271</v>
      </c>
      <c r="F14" s="230" t="s">
        <v>280</v>
      </c>
      <c r="G14" s="230" t="s">
        <v>265</v>
      </c>
      <c r="H14" s="230" t="s">
        <v>281</v>
      </c>
      <c r="I14" s="230"/>
      <c r="J14" s="230"/>
      <c r="K14" s="230"/>
      <c r="L14" s="230"/>
      <c r="M14" s="230" t="s">
        <v>273</v>
      </c>
      <c r="N14" s="230">
        <v>20</v>
      </c>
      <c r="O14" s="230" t="s">
        <v>267</v>
      </c>
      <c r="P14" s="231" t="s">
        <v>159</v>
      </c>
      <c r="Q14" s="233">
        <v>721000000</v>
      </c>
      <c r="R14" s="233">
        <v>0</v>
      </c>
      <c r="S14" s="233">
        <v>0</v>
      </c>
      <c r="T14" s="233">
        <v>721000000</v>
      </c>
      <c r="U14" s="233">
        <v>0</v>
      </c>
      <c r="V14" s="233">
        <v>1505209.62</v>
      </c>
      <c r="W14" s="233">
        <v>719494790.38</v>
      </c>
      <c r="X14" s="233">
        <v>1505209.62</v>
      </c>
      <c r="Y14" s="233">
        <v>1505209.62</v>
      </c>
      <c r="Z14" s="233">
        <v>1505209.62</v>
      </c>
      <c r="AA14" s="233">
        <v>1505209.62</v>
      </c>
      <c r="AB14" s="76">
        <f t="shared" si="0"/>
        <v>721000000</v>
      </c>
    </row>
    <row r="15" spans="1:29" ht="15" customHeight="1" x14ac:dyDescent="0.25">
      <c r="A15" s="230" t="s">
        <v>261</v>
      </c>
      <c r="B15" s="231" t="s">
        <v>262</v>
      </c>
      <c r="C15" s="232" t="s">
        <v>282</v>
      </c>
      <c r="D15" s="230" t="s">
        <v>264</v>
      </c>
      <c r="E15" s="230" t="s">
        <v>271</v>
      </c>
      <c r="F15" s="230" t="s">
        <v>280</v>
      </c>
      <c r="G15" s="230" t="s">
        <v>265</v>
      </c>
      <c r="H15" s="230" t="s">
        <v>283</v>
      </c>
      <c r="I15" s="230"/>
      <c r="J15" s="230"/>
      <c r="K15" s="230"/>
      <c r="L15" s="230"/>
      <c r="M15" s="230" t="s">
        <v>273</v>
      </c>
      <c r="N15" s="230">
        <v>20</v>
      </c>
      <c r="O15" s="230" t="s">
        <v>267</v>
      </c>
      <c r="P15" s="231" t="s">
        <v>139</v>
      </c>
      <c r="Q15" s="233">
        <v>52000000</v>
      </c>
      <c r="R15" s="233">
        <v>0</v>
      </c>
      <c r="S15" s="233">
        <v>0</v>
      </c>
      <c r="T15" s="233">
        <v>52000000</v>
      </c>
      <c r="U15" s="233">
        <v>0</v>
      </c>
      <c r="V15" s="233">
        <v>0</v>
      </c>
      <c r="W15" s="233">
        <v>52000000</v>
      </c>
      <c r="X15" s="233">
        <v>0</v>
      </c>
      <c r="Y15" s="233">
        <v>0</v>
      </c>
      <c r="Z15" s="233">
        <v>0</v>
      </c>
      <c r="AA15" s="233">
        <v>0</v>
      </c>
      <c r="AB15" s="76">
        <f t="shared" si="0"/>
        <v>52000000</v>
      </c>
    </row>
    <row r="16" spans="1:29" ht="15" customHeight="1" x14ac:dyDescent="0.25">
      <c r="A16" s="230" t="s">
        <v>261</v>
      </c>
      <c r="B16" s="231" t="s">
        <v>262</v>
      </c>
      <c r="C16" s="232" t="s">
        <v>284</v>
      </c>
      <c r="D16" s="230" t="s">
        <v>264</v>
      </c>
      <c r="E16" s="230" t="s">
        <v>285</v>
      </c>
      <c r="F16" s="230" t="s">
        <v>265</v>
      </c>
      <c r="G16" s="230"/>
      <c r="H16" s="230"/>
      <c r="I16" s="230"/>
      <c r="J16" s="230"/>
      <c r="K16" s="230"/>
      <c r="L16" s="230"/>
      <c r="M16" s="230" t="s">
        <v>266</v>
      </c>
      <c r="N16" s="230">
        <v>10</v>
      </c>
      <c r="O16" s="230" t="s">
        <v>267</v>
      </c>
      <c r="P16" s="231" t="s">
        <v>184</v>
      </c>
      <c r="Q16" s="233">
        <v>425000000</v>
      </c>
      <c r="R16" s="233">
        <v>0</v>
      </c>
      <c r="S16" s="233">
        <v>114686345</v>
      </c>
      <c r="T16" s="233">
        <v>310313655</v>
      </c>
      <c r="U16" s="233">
        <v>0</v>
      </c>
      <c r="V16" s="233">
        <v>309236554</v>
      </c>
      <c r="W16" s="233">
        <v>1077101</v>
      </c>
      <c r="X16" s="233">
        <v>309236554</v>
      </c>
      <c r="Y16" s="233">
        <v>304844554</v>
      </c>
      <c r="Z16" s="233">
        <v>304844554</v>
      </c>
      <c r="AA16" s="233">
        <v>304844554</v>
      </c>
      <c r="AB16" s="76">
        <f t="shared" si="0"/>
        <v>310313655</v>
      </c>
    </row>
    <row r="17" spans="1:28" ht="15" customHeight="1" x14ac:dyDescent="0.25">
      <c r="A17" s="230" t="s">
        <v>261</v>
      </c>
      <c r="B17" s="231" t="s">
        <v>262</v>
      </c>
      <c r="C17" s="232" t="s">
        <v>284</v>
      </c>
      <c r="D17" s="230" t="s">
        <v>264</v>
      </c>
      <c r="E17" s="230" t="s">
        <v>285</v>
      </c>
      <c r="F17" s="230" t="s">
        <v>265</v>
      </c>
      <c r="G17" s="230"/>
      <c r="H17" s="230"/>
      <c r="I17" s="230"/>
      <c r="J17" s="230"/>
      <c r="K17" s="230"/>
      <c r="L17" s="230"/>
      <c r="M17" s="230" t="s">
        <v>273</v>
      </c>
      <c r="N17" s="230">
        <v>20</v>
      </c>
      <c r="O17" s="230" t="s">
        <v>267</v>
      </c>
      <c r="P17" s="231" t="s">
        <v>184</v>
      </c>
      <c r="Q17" s="233">
        <v>469000000</v>
      </c>
      <c r="R17" s="233">
        <v>0</v>
      </c>
      <c r="S17" s="233">
        <v>0</v>
      </c>
      <c r="T17" s="233">
        <v>469000000</v>
      </c>
      <c r="U17" s="233">
        <v>0</v>
      </c>
      <c r="V17" s="233">
        <v>138881319</v>
      </c>
      <c r="W17" s="233">
        <v>330118681</v>
      </c>
      <c r="X17" s="233">
        <v>138760319</v>
      </c>
      <c r="Y17" s="233">
        <v>138760319</v>
      </c>
      <c r="Z17" s="233">
        <v>138760319</v>
      </c>
      <c r="AA17" s="233">
        <v>138760319</v>
      </c>
      <c r="AB17" s="76">
        <f t="shared" si="0"/>
        <v>469000000</v>
      </c>
    </row>
    <row r="18" spans="1:28" ht="15" customHeight="1" x14ac:dyDescent="0.25">
      <c r="A18" s="230" t="s">
        <v>261</v>
      </c>
      <c r="B18" s="231" t="s">
        <v>262</v>
      </c>
      <c r="C18" s="232" t="s">
        <v>286</v>
      </c>
      <c r="D18" s="230" t="s">
        <v>264</v>
      </c>
      <c r="E18" s="230" t="s">
        <v>285</v>
      </c>
      <c r="F18" s="230" t="s">
        <v>277</v>
      </c>
      <c r="G18" s="230" t="s">
        <v>265</v>
      </c>
      <c r="H18" s="230"/>
      <c r="I18" s="230"/>
      <c r="J18" s="230"/>
      <c r="K18" s="230"/>
      <c r="L18" s="230"/>
      <c r="M18" s="230" t="s">
        <v>266</v>
      </c>
      <c r="N18" s="230">
        <v>11</v>
      </c>
      <c r="O18" s="230" t="s">
        <v>267</v>
      </c>
      <c r="P18" s="231" t="s">
        <v>178</v>
      </c>
      <c r="Q18" s="233">
        <v>0</v>
      </c>
      <c r="R18" s="233">
        <v>399304913</v>
      </c>
      <c r="S18" s="233">
        <v>399304913</v>
      </c>
      <c r="T18" s="233">
        <v>0</v>
      </c>
      <c r="U18" s="233">
        <v>0</v>
      </c>
      <c r="V18" s="233">
        <v>0</v>
      </c>
      <c r="W18" s="233">
        <v>0</v>
      </c>
      <c r="X18" s="233">
        <v>0</v>
      </c>
      <c r="Y18" s="233">
        <v>0</v>
      </c>
      <c r="Z18" s="233">
        <v>0</v>
      </c>
      <c r="AA18" s="233">
        <v>0</v>
      </c>
      <c r="AB18" s="76">
        <f t="shared" si="0"/>
        <v>0</v>
      </c>
    </row>
    <row r="19" spans="1:28" ht="15" customHeight="1" x14ac:dyDescent="0.25">
      <c r="A19" s="230" t="s">
        <v>261</v>
      </c>
      <c r="B19" s="231" t="s">
        <v>262</v>
      </c>
      <c r="C19" s="232" t="s">
        <v>286</v>
      </c>
      <c r="D19" s="230" t="s">
        <v>264</v>
      </c>
      <c r="E19" s="230" t="s">
        <v>285</v>
      </c>
      <c r="F19" s="230" t="s">
        <v>277</v>
      </c>
      <c r="G19" s="230" t="s">
        <v>265</v>
      </c>
      <c r="H19" s="230"/>
      <c r="I19" s="230"/>
      <c r="J19" s="230"/>
      <c r="K19" s="230"/>
      <c r="L19" s="230"/>
      <c r="M19" s="230" t="s">
        <v>266</v>
      </c>
      <c r="N19" s="230">
        <v>11</v>
      </c>
      <c r="O19" s="230" t="s">
        <v>287</v>
      </c>
      <c r="P19" s="231" t="s">
        <v>178</v>
      </c>
      <c r="Q19" s="233">
        <v>0</v>
      </c>
      <c r="R19" s="233">
        <v>399304913</v>
      </c>
      <c r="S19" s="233">
        <v>0</v>
      </c>
      <c r="T19" s="233">
        <v>399304913</v>
      </c>
      <c r="U19" s="233">
        <v>0</v>
      </c>
      <c r="V19" s="233">
        <v>399304913</v>
      </c>
      <c r="W19" s="233">
        <v>0</v>
      </c>
      <c r="X19" s="233">
        <v>0</v>
      </c>
      <c r="Y19" s="233">
        <v>0</v>
      </c>
      <c r="Z19" s="233">
        <v>0</v>
      </c>
      <c r="AA19" s="233">
        <v>0</v>
      </c>
      <c r="AB19" s="76">
        <f t="shared" si="0"/>
        <v>399304913</v>
      </c>
    </row>
    <row r="20" spans="1:28" ht="15" customHeight="1" x14ac:dyDescent="0.25">
      <c r="A20" s="230" t="s">
        <v>261</v>
      </c>
      <c r="B20" s="231" t="s">
        <v>262</v>
      </c>
      <c r="C20" s="232" t="s">
        <v>286</v>
      </c>
      <c r="D20" s="230" t="s">
        <v>264</v>
      </c>
      <c r="E20" s="230" t="s">
        <v>285</v>
      </c>
      <c r="F20" s="230" t="s">
        <v>277</v>
      </c>
      <c r="G20" s="230" t="s">
        <v>265</v>
      </c>
      <c r="H20" s="230"/>
      <c r="I20" s="230"/>
      <c r="J20" s="230"/>
      <c r="K20" s="230"/>
      <c r="L20" s="230"/>
      <c r="M20" s="230" t="s">
        <v>273</v>
      </c>
      <c r="N20" s="230">
        <v>20</v>
      </c>
      <c r="O20" s="230" t="s">
        <v>267</v>
      </c>
      <c r="P20" s="231" t="s">
        <v>178</v>
      </c>
      <c r="Q20" s="233">
        <v>280000000</v>
      </c>
      <c r="R20" s="233">
        <v>0</v>
      </c>
      <c r="S20" s="233">
        <v>0</v>
      </c>
      <c r="T20" s="233">
        <v>280000000</v>
      </c>
      <c r="U20" s="233">
        <v>0</v>
      </c>
      <c r="V20" s="233">
        <v>280000000</v>
      </c>
      <c r="W20" s="233">
        <v>0</v>
      </c>
      <c r="X20" s="233">
        <v>280000000</v>
      </c>
      <c r="Y20" s="233">
        <v>280000000</v>
      </c>
      <c r="Z20" s="233">
        <v>280000000</v>
      </c>
      <c r="AA20" s="233">
        <v>280000000</v>
      </c>
      <c r="AB20" s="76">
        <f t="shared" si="0"/>
        <v>280000000</v>
      </c>
    </row>
    <row r="21" spans="1:28" ht="15" customHeight="1" x14ac:dyDescent="0.25">
      <c r="A21" s="230" t="s">
        <v>261</v>
      </c>
      <c r="B21" s="231" t="s">
        <v>262</v>
      </c>
      <c r="C21" s="232" t="s">
        <v>288</v>
      </c>
      <c r="D21" s="230" t="s">
        <v>22</v>
      </c>
      <c r="E21" s="230" t="s">
        <v>289</v>
      </c>
      <c r="F21" s="230" t="s">
        <v>290</v>
      </c>
      <c r="G21" s="230" t="s">
        <v>291</v>
      </c>
      <c r="H21" s="230"/>
      <c r="I21" s="230"/>
      <c r="J21" s="230"/>
      <c r="K21" s="230"/>
      <c r="L21" s="230"/>
      <c r="M21" s="230" t="s">
        <v>266</v>
      </c>
      <c r="N21" s="230">
        <v>11</v>
      </c>
      <c r="O21" s="230" t="s">
        <v>267</v>
      </c>
      <c r="P21" s="231" t="s">
        <v>212</v>
      </c>
      <c r="Q21" s="233">
        <v>1036559168</v>
      </c>
      <c r="R21" s="233">
        <v>0</v>
      </c>
      <c r="S21" s="233">
        <v>0</v>
      </c>
      <c r="T21" s="233">
        <v>1036559168</v>
      </c>
      <c r="U21" s="233">
        <v>0</v>
      </c>
      <c r="V21" s="233">
        <v>1036281979</v>
      </c>
      <c r="W21" s="233">
        <v>277189</v>
      </c>
      <c r="X21" s="233">
        <v>1014272315</v>
      </c>
      <c r="Y21" s="233">
        <v>878641193</v>
      </c>
      <c r="Z21" s="233">
        <v>878641193</v>
      </c>
      <c r="AA21" s="233">
        <v>838063075</v>
      </c>
      <c r="AB21" s="76">
        <f t="shared" si="0"/>
        <v>1036559168</v>
      </c>
    </row>
    <row r="22" spans="1:28" ht="15" customHeight="1" x14ac:dyDescent="0.25">
      <c r="A22" s="230" t="s">
        <v>261</v>
      </c>
      <c r="B22" s="231" t="s">
        <v>262</v>
      </c>
      <c r="C22" s="232" t="s">
        <v>288</v>
      </c>
      <c r="D22" s="230" t="s">
        <v>22</v>
      </c>
      <c r="E22" s="230" t="s">
        <v>289</v>
      </c>
      <c r="F22" s="230" t="s">
        <v>290</v>
      </c>
      <c r="G22" s="230" t="s">
        <v>291</v>
      </c>
      <c r="H22" s="230"/>
      <c r="I22" s="230"/>
      <c r="J22" s="230"/>
      <c r="K22" s="230"/>
      <c r="L22" s="230"/>
      <c r="M22" s="230" t="s">
        <v>273</v>
      </c>
      <c r="N22" s="230">
        <v>20</v>
      </c>
      <c r="O22" s="230" t="s">
        <v>267</v>
      </c>
      <c r="P22" s="231" t="s">
        <v>212</v>
      </c>
      <c r="Q22" s="233">
        <v>834778626</v>
      </c>
      <c r="R22" s="233">
        <v>0</v>
      </c>
      <c r="S22" s="233">
        <v>0</v>
      </c>
      <c r="T22" s="233">
        <v>834778626</v>
      </c>
      <c r="U22" s="233">
        <v>0</v>
      </c>
      <c r="V22" s="233">
        <v>797631229</v>
      </c>
      <c r="W22" s="233">
        <v>37147397</v>
      </c>
      <c r="X22" s="233">
        <v>774104965</v>
      </c>
      <c r="Y22" s="233">
        <v>691832122</v>
      </c>
      <c r="Z22" s="233">
        <v>683547376</v>
      </c>
      <c r="AA22" s="233">
        <v>683547376</v>
      </c>
      <c r="AB22" s="76">
        <f t="shared" si="0"/>
        <v>834778626</v>
      </c>
    </row>
    <row r="23" spans="1:28" ht="15" customHeight="1" x14ac:dyDescent="0.25">
      <c r="A23" s="230" t="s">
        <v>261</v>
      </c>
      <c r="B23" s="231" t="s">
        <v>262</v>
      </c>
      <c r="C23" s="232" t="s">
        <v>292</v>
      </c>
      <c r="D23" s="230" t="s">
        <v>22</v>
      </c>
      <c r="E23" s="230" t="s">
        <v>289</v>
      </c>
      <c r="F23" s="230" t="s">
        <v>290</v>
      </c>
      <c r="G23" s="230" t="s">
        <v>293</v>
      </c>
      <c r="H23" s="230"/>
      <c r="I23" s="230"/>
      <c r="J23" s="230"/>
      <c r="K23" s="230"/>
      <c r="L23" s="230"/>
      <c r="M23" s="230" t="s">
        <v>266</v>
      </c>
      <c r="N23" s="230">
        <v>11</v>
      </c>
      <c r="O23" s="230" t="s">
        <v>267</v>
      </c>
      <c r="P23" s="231" t="s">
        <v>215</v>
      </c>
      <c r="Q23" s="233">
        <v>3839249599</v>
      </c>
      <c r="R23" s="233">
        <v>0</v>
      </c>
      <c r="S23" s="233">
        <v>0</v>
      </c>
      <c r="T23" s="233">
        <v>3839249599</v>
      </c>
      <c r="U23" s="233">
        <v>0</v>
      </c>
      <c r="V23" s="233">
        <v>3839249598.2199998</v>
      </c>
      <c r="W23" s="233">
        <v>0.78</v>
      </c>
      <c r="X23" s="233">
        <v>3744778854.2199998</v>
      </c>
      <c r="Y23" s="233">
        <v>3230872179.5799999</v>
      </c>
      <c r="Z23" s="233">
        <v>3165272864.0799999</v>
      </c>
      <c r="AA23" s="233">
        <v>3008378467.0799999</v>
      </c>
      <c r="AB23" s="76">
        <f t="shared" si="0"/>
        <v>3839249599</v>
      </c>
    </row>
    <row r="24" spans="1:28" ht="15" customHeight="1" x14ac:dyDescent="0.25">
      <c r="A24" s="230" t="s">
        <v>261</v>
      </c>
      <c r="B24" s="231" t="s">
        <v>262</v>
      </c>
      <c r="C24" s="232" t="s">
        <v>292</v>
      </c>
      <c r="D24" s="230" t="s">
        <v>22</v>
      </c>
      <c r="E24" s="230" t="s">
        <v>289</v>
      </c>
      <c r="F24" s="230" t="s">
        <v>290</v>
      </c>
      <c r="G24" s="230" t="s">
        <v>293</v>
      </c>
      <c r="H24" s="230"/>
      <c r="I24" s="230"/>
      <c r="J24" s="230"/>
      <c r="K24" s="230"/>
      <c r="L24" s="230"/>
      <c r="M24" s="230" t="s">
        <v>273</v>
      </c>
      <c r="N24" s="230">
        <v>20</v>
      </c>
      <c r="O24" s="230" t="s">
        <v>267</v>
      </c>
      <c r="P24" s="231" t="s">
        <v>215</v>
      </c>
      <c r="Q24" s="233">
        <v>5990764260</v>
      </c>
      <c r="R24" s="233">
        <v>0</v>
      </c>
      <c r="S24" s="233">
        <v>0</v>
      </c>
      <c r="T24" s="233">
        <v>5990764260</v>
      </c>
      <c r="U24" s="233">
        <v>0</v>
      </c>
      <c r="V24" s="233">
        <v>5074207634.1599998</v>
      </c>
      <c r="W24" s="233">
        <v>916556625.84000003</v>
      </c>
      <c r="X24" s="233">
        <v>4678929078.1599998</v>
      </c>
      <c r="Y24" s="233">
        <v>3268447875.8000002</v>
      </c>
      <c r="Z24" s="233">
        <v>2903283789.8000002</v>
      </c>
      <c r="AA24" s="233">
        <v>2900612306.8000002</v>
      </c>
      <c r="AB24" s="76">
        <f t="shared" si="0"/>
        <v>5990764260</v>
      </c>
    </row>
    <row r="25" spans="1:28" ht="15" customHeight="1" x14ac:dyDescent="0.25">
      <c r="A25" s="230" t="s">
        <v>261</v>
      </c>
      <c r="B25" s="231" t="s">
        <v>262</v>
      </c>
      <c r="C25" s="232" t="s">
        <v>294</v>
      </c>
      <c r="D25" s="230" t="s">
        <v>22</v>
      </c>
      <c r="E25" s="230" t="s">
        <v>295</v>
      </c>
      <c r="F25" s="230" t="s">
        <v>290</v>
      </c>
      <c r="G25" s="230" t="s">
        <v>296</v>
      </c>
      <c r="H25" s="230"/>
      <c r="I25" s="230"/>
      <c r="J25" s="230"/>
      <c r="K25" s="230"/>
      <c r="L25" s="230"/>
      <c r="M25" s="230" t="s">
        <v>266</v>
      </c>
      <c r="N25" s="230">
        <v>11</v>
      </c>
      <c r="O25" s="230" t="s">
        <v>267</v>
      </c>
      <c r="P25" s="231" t="s">
        <v>209</v>
      </c>
      <c r="Q25" s="233">
        <v>1170510266</v>
      </c>
      <c r="R25" s="233">
        <v>0</v>
      </c>
      <c r="S25" s="233">
        <v>0</v>
      </c>
      <c r="T25" s="233">
        <v>1170510266</v>
      </c>
      <c r="U25" s="233">
        <v>0</v>
      </c>
      <c r="V25" s="233">
        <v>1168915841</v>
      </c>
      <c r="W25" s="233">
        <v>1594425</v>
      </c>
      <c r="X25" s="233">
        <v>1168915840</v>
      </c>
      <c r="Y25" s="233">
        <v>1137595916</v>
      </c>
      <c r="Z25" s="233">
        <v>1132612871</v>
      </c>
      <c r="AA25" s="233">
        <v>1132612871</v>
      </c>
      <c r="AB25" s="76">
        <f t="shared" si="0"/>
        <v>1170510266</v>
      </c>
    </row>
    <row r="26" spans="1:28" ht="15" customHeight="1" x14ac:dyDescent="0.25">
      <c r="A26" s="230" t="s">
        <v>261</v>
      </c>
      <c r="B26" s="231" t="s">
        <v>262</v>
      </c>
      <c r="C26" s="232" t="s">
        <v>294</v>
      </c>
      <c r="D26" s="230" t="s">
        <v>22</v>
      </c>
      <c r="E26" s="230" t="s">
        <v>295</v>
      </c>
      <c r="F26" s="230" t="s">
        <v>290</v>
      </c>
      <c r="G26" s="230" t="s">
        <v>296</v>
      </c>
      <c r="H26" s="230"/>
      <c r="I26" s="230"/>
      <c r="J26" s="230"/>
      <c r="K26" s="230"/>
      <c r="L26" s="230"/>
      <c r="M26" s="230" t="s">
        <v>273</v>
      </c>
      <c r="N26" s="230">
        <v>20</v>
      </c>
      <c r="O26" s="230" t="s">
        <v>267</v>
      </c>
      <c r="P26" s="231" t="s">
        <v>209</v>
      </c>
      <c r="Q26" s="233">
        <v>11116476893</v>
      </c>
      <c r="R26" s="233">
        <v>0</v>
      </c>
      <c r="S26" s="233">
        <v>0</v>
      </c>
      <c r="T26" s="233">
        <v>11116476893</v>
      </c>
      <c r="U26" s="233">
        <v>0</v>
      </c>
      <c r="V26" s="233">
        <v>1049057258.78</v>
      </c>
      <c r="W26" s="233">
        <v>10067419634.219999</v>
      </c>
      <c r="X26" s="233">
        <v>412550815.77999997</v>
      </c>
      <c r="Y26" s="233">
        <v>218378259.78</v>
      </c>
      <c r="Z26" s="233">
        <v>208637560.78</v>
      </c>
      <c r="AA26" s="233">
        <v>208637560.78</v>
      </c>
      <c r="AB26" s="76">
        <f t="shared" si="0"/>
        <v>11116476893</v>
      </c>
    </row>
    <row r="27" spans="1:28" ht="15" customHeight="1" x14ac:dyDescent="0.25">
      <c r="A27" s="230" t="s">
        <v>261</v>
      </c>
      <c r="B27" s="231" t="s">
        <v>262</v>
      </c>
      <c r="C27" s="232" t="s">
        <v>297</v>
      </c>
      <c r="D27" s="230" t="s">
        <v>22</v>
      </c>
      <c r="E27" s="230" t="s">
        <v>298</v>
      </c>
      <c r="F27" s="230" t="s">
        <v>290</v>
      </c>
      <c r="G27" s="230" t="s">
        <v>296</v>
      </c>
      <c r="H27" s="230"/>
      <c r="I27" s="230"/>
      <c r="J27" s="230"/>
      <c r="K27" s="230"/>
      <c r="L27" s="230"/>
      <c r="M27" s="230" t="s">
        <v>266</v>
      </c>
      <c r="N27" s="230">
        <v>11</v>
      </c>
      <c r="O27" s="230" t="s">
        <v>267</v>
      </c>
      <c r="P27" s="231" t="s">
        <v>186</v>
      </c>
      <c r="Q27" s="233">
        <v>10334515783</v>
      </c>
      <c r="R27" s="233">
        <v>0</v>
      </c>
      <c r="S27" s="233">
        <v>0</v>
      </c>
      <c r="T27" s="233">
        <v>10334515783</v>
      </c>
      <c r="U27" s="233">
        <v>0</v>
      </c>
      <c r="V27" s="233">
        <v>9949786760</v>
      </c>
      <c r="W27" s="233">
        <v>384729023</v>
      </c>
      <c r="X27" s="233">
        <v>9253738888.0300007</v>
      </c>
      <c r="Y27" s="233">
        <v>7415354513.9899998</v>
      </c>
      <c r="Z27" s="233">
        <v>7310024392.9899998</v>
      </c>
      <c r="AA27" s="233">
        <v>7285112991.9899998</v>
      </c>
      <c r="AB27" s="76">
        <f t="shared" si="0"/>
        <v>10334515783</v>
      </c>
    </row>
    <row r="28" spans="1:28" ht="15" customHeight="1" x14ac:dyDescent="0.25">
      <c r="A28" s="230" t="s">
        <v>261</v>
      </c>
      <c r="B28" s="231" t="s">
        <v>262</v>
      </c>
      <c r="C28" s="232" t="s">
        <v>297</v>
      </c>
      <c r="D28" s="230" t="s">
        <v>22</v>
      </c>
      <c r="E28" s="230" t="s">
        <v>298</v>
      </c>
      <c r="F28" s="230" t="s">
        <v>290</v>
      </c>
      <c r="G28" s="230" t="s">
        <v>296</v>
      </c>
      <c r="H28" s="230"/>
      <c r="I28" s="230"/>
      <c r="J28" s="230"/>
      <c r="K28" s="230"/>
      <c r="L28" s="230"/>
      <c r="M28" s="230" t="s">
        <v>266</v>
      </c>
      <c r="N28" s="230">
        <v>14</v>
      </c>
      <c r="O28" s="230" t="s">
        <v>267</v>
      </c>
      <c r="P28" s="231" t="s">
        <v>186</v>
      </c>
      <c r="Q28" s="233">
        <v>134445997196</v>
      </c>
      <c r="R28" s="233">
        <v>0</v>
      </c>
      <c r="S28" s="233">
        <v>0</v>
      </c>
      <c r="T28" s="233">
        <v>134445997196</v>
      </c>
      <c r="U28" s="233">
        <v>0</v>
      </c>
      <c r="V28" s="233">
        <v>60450665807.019997</v>
      </c>
      <c r="W28" s="233">
        <v>73995331388.979996</v>
      </c>
      <c r="X28" s="233">
        <v>29589312278.43</v>
      </c>
      <c r="Y28" s="233">
        <v>7506082286.0299997</v>
      </c>
      <c r="Z28" s="233">
        <v>7469332926.0299997</v>
      </c>
      <c r="AA28" s="233">
        <v>7469332926.0299997</v>
      </c>
      <c r="AB28" s="76">
        <f t="shared" si="0"/>
        <v>134445997196</v>
      </c>
    </row>
    <row r="29" spans="1:28" ht="15" customHeight="1" x14ac:dyDescent="0.25">
      <c r="A29" s="230" t="s">
        <v>261</v>
      </c>
      <c r="B29" s="231" t="s">
        <v>262</v>
      </c>
      <c r="C29" s="232" t="s">
        <v>297</v>
      </c>
      <c r="D29" s="230" t="s">
        <v>22</v>
      </c>
      <c r="E29" s="230" t="s">
        <v>298</v>
      </c>
      <c r="F29" s="230" t="s">
        <v>290</v>
      </c>
      <c r="G29" s="230" t="s">
        <v>296</v>
      </c>
      <c r="H29" s="230"/>
      <c r="I29" s="230"/>
      <c r="J29" s="230"/>
      <c r="K29" s="230"/>
      <c r="L29" s="230"/>
      <c r="M29" s="230" t="s">
        <v>273</v>
      </c>
      <c r="N29" s="230">
        <v>20</v>
      </c>
      <c r="O29" s="230" t="s">
        <v>267</v>
      </c>
      <c r="P29" s="231" t="s">
        <v>186</v>
      </c>
      <c r="Q29" s="233">
        <v>28514586583</v>
      </c>
      <c r="R29" s="233">
        <v>0</v>
      </c>
      <c r="S29" s="233">
        <v>0</v>
      </c>
      <c r="T29" s="233">
        <v>28514586583</v>
      </c>
      <c r="U29" s="233">
        <v>0</v>
      </c>
      <c r="V29" s="233">
        <v>18989989418.950001</v>
      </c>
      <c r="W29" s="233">
        <v>9524597164.0499992</v>
      </c>
      <c r="X29" s="233">
        <v>15886537987.190001</v>
      </c>
      <c r="Y29" s="233">
        <v>11320863757.85</v>
      </c>
      <c r="Z29" s="233">
        <v>11101127084.85</v>
      </c>
      <c r="AA29" s="233">
        <v>11101127084.85</v>
      </c>
      <c r="AB29" s="76">
        <f t="shared" si="0"/>
        <v>28514586583</v>
      </c>
    </row>
    <row r="30" spans="1:28" ht="15" customHeight="1" x14ac:dyDescent="0.25">
      <c r="A30" s="230" t="s">
        <v>261</v>
      </c>
      <c r="B30" s="231" t="s">
        <v>262</v>
      </c>
      <c r="C30" s="232" t="s">
        <v>299</v>
      </c>
      <c r="D30" s="230" t="s">
        <v>22</v>
      </c>
      <c r="E30" s="230" t="s">
        <v>300</v>
      </c>
      <c r="F30" s="230" t="s">
        <v>290</v>
      </c>
      <c r="G30" s="230" t="s">
        <v>301</v>
      </c>
      <c r="H30" s="230"/>
      <c r="I30" s="230"/>
      <c r="J30" s="230"/>
      <c r="K30" s="230"/>
      <c r="L30" s="230"/>
      <c r="M30" s="230" t="s">
        <v>266</v>
      </c>
      <c r="N30" s="230">
        <v>11</v>
      </c>
      <c r="O30" s="230" t="s">
        <v>267</v>
      </c>
      <c r="P30" s="231" t="s">
        <v>197</v>
      </c>
      <c r="Q30" s="233">
        <v>117931087</v>
      </c>
      <c r="R30" s="233">
        <v>0</v>
      </c>
      <c r="S30" s="233">
        <v>0</v>
      </c>
      <c r="T30" s="233">
        <v>117931087</v>
      </c>
      <c r="U30" s="233">
        <v>0</v>
      </c>
      <c r="V30" s="233">
        <v>117774174</v>
      </c>
      <c r="W30" s="233">
        <v>156913</v>
      </c>
      <c r="X30" s="233">
        <v>117774174</v>
      </c>
      <c r="Y30" s="233">
        <v>117529828</v>
      </c>
      <c r="Z30" s="233">
        <v>117529828</v>
      </c>
      <c r="AA30" s="233">
        <v>117529828</v>
      </c>
      <c r="AB30" s="76">
        <f t="shared" si="0"/>
        <v>117931087</v>
      </c>
    </row>
    <row r="31" spans="1:28" ht="15" customHeight="1" x14ac:dyDescent="0.25">
      <c r="A31" s="230" t="s">
        <v>261</v>
      </c>
      <c r="B31" s="231" t="s">
        <v>262</v>
      </c>
      <c r="C31" s="232" t="s">
        <v>299</v>
      </c>
      <c r="D31" s="230" t="s">
        <v>22</v>
      </c>
      <c r="E31" s="230" t="s">
        <v>300</v>
      </c>
      <c r="F31" s="230" t="s">
        <v>290</v>
      </c>
      <c r="G31" s="230" t="s">
        <v>301</v>
      </c>
      <c r="H31" s="230"/>
      <c r="I31" s="230"/>
      <c r="J31" s="230"/>
      <c r="K31" s="230"/>
      <c r="L31" s="230"/>
      <c r="M31" s="230" t="s">
        <v>273</v>
      </c>
      <c r="N31" s="230">
        <v>20</v>
      </c>
      <c r="O31" s="230" t="s">
        <v>267</v>
      </c>
      <c r="P31" s="231" t="s">
        <v>197</v>
      </c>
      <c r="Q31" s="233">
        <v>3673814716</v>
      </c>
      <c r="R31" s="233">
        <v>0</v>
      </c>
      <c r="S31" s="233">
        <v>0</v>
      </c>
      <c r="T31" s="233">
        <v>3673814716</v>
      </c>
      <c r="U31" s="233">
        <v>0</v>
      </c>
      <c r="V31" s="233">
        <v>1080423572.8199999</v>
      </c>
      <c r="W31" s="233">
        <v>2593391143.1799998</v>
      </c>
      <c r="X31" s="233">
        <v>1051131180.8200001</v>
      </c>
      <c r="Y31" s="233">
        <v>840179497.82000005</v>
      </c>
      <c r="Z31" s="233">
        <v>772137241.82000005</v>
      </c>
      <c r="AA31" s="233">
        <v>772137241.82000005</v>
      </c>
      <c r="AB31" s="76">
        <f t="shared" si="0"/>
        <v>3673814716</v>
      </c>
    </row>
    <row r="32" spans="1:28" ht="15" customHeight="1" x14ac:dyDescent="0.25">
      <c r="A32" s="230" t="s">
        <v>261</v>
      </c>
      <c r="B32" s="231" t="s">
        <v>262</v>
      </c>
      <c r="C32" s="232" t="s">
        <v>302</v>
      </c>
      <c r="D32" s="230" t="s">
        <v>22</v>
      </c>
      <c r="E32" s="230" t="s">
        <v>303</v>
      </c>
      <c r="F32" s="230" t="s">
        <v>290</v>
      </c>
      <c r="G32" s="230" t="s">
        <v>304</v>
      </c>
      <c r="H32" s="230"/>
      <c r="I32" s="230"/>
      <c r="J32" s="230"/>
      <c r="K32" s="230"/>
      <c r="L32" s="230"/>
      <c r="M32" s="230" t="s">
        <v>266</v>
      </c>
      <c r="N32" s="230">
        <v>11</v>
      </c>
      <c r="O32" s="230" t="s">
        <v>267</v>
      </c>
      <c r="P32" s="231" t="s">
        <v>202</v>
      </c>
      <c r="Q32" s="233">
        <v>2562805098</v>
      </c>
      <c r="R32" s="233">
        <v>0</v>
      </c>
      <c r="S32" s="233">
        <v>0</v>
      </c>
      <c r="T32" s="233">
        <v>2562805098</v>
      </c>
      <c r="U32" s="233">
        <v>0</v>
      </c>
      <c r="V32" s="233">
        <v>2496618136.7199998</v>
      </c>
      <c r="W32" s="233">
        <v>66186961.280000001</v>
      </c>
      <c r="X32" s="233">
        <v>2395063284.7600002</v>
      </c>
      <c r="Y32" s="233">
        <v>1931832968.24</v>
      </c>
      <c r="Z32" s="233">
        <v>1867136537.24</v>
      </c>
      <c r="AA32" s="233">
        <v>1803025998.24</v>
      </c>
      <c r="AB32" s="76">
        <f t="shared" si="0"/>
        <v>2562805098</v>
      </c>
    </row>
    <row r="33" spans="1:28" ht="15" customHeight="1" x14ac:dyDescent="0.25">
      <c r="A33" s="230" t="s">
        <v>261</v>
      </c>
      <c r="B33" s="231" t="s">
        <v>262</v>
      </c>
      <c r="C33" s="232" t="s">
        <v>302</v>
      </c>
      <c r="D33" s="230" t="s">
        <v>22</v>
      </c>
      <c r="E33" s="230" t="s">
        <v>303</v>
      </c>
      <c r="F33" s="230" t="s">
        <v>290</v>
      </c>
      <c r="G33" s="230" t="s">
        <v>304</v>
      </c>
      <c r="H33" s="230"/>
      <c r="I33" s="230"/>
      <c r="J33" s="230"/>
      <c r="K33" s="230"/>
      <c r="L33" s="230"/>
      <c r="M33" s="230" t="s">
        <v>273</v>
      </c>
      <c r="N33" s="230">
        <v>20</v>
      </c>
      <c r="O33" s="230" t="s">
        <v>267</v>
      </c>
      <c r="P33" s="231" t="s">
        <v>202</v>
      </c>
      <c r="Q33" s="233">
        <v>3402445240</v>
      </c>
      <c r="R33" s="233">
        <v>0</v>
      </c>
      <c r="S33" s="233">
        <v>0</v>
      </c>
      <c r="T33" s="233">
        <v>3402445240</v>
      </c>
      <c r="U33" s="233">
        <v>0</v>
      </c>
      <c r="V33" s="233">
        <v>3225685494</v>
      </c>
      <c r="W33" s="233">
        <v>176759746</v>
      </c>
      <c r="X33" s="233">
        <v>3225685494</v>
      </c>
      <c r="Y33" s="233">
        <v>2876237352</v>
      </c>
      <c r="Z33" s="233">
        <v>2788377599</v>
      </c>
      <c r="AA33" s="233">
        <v>2788377599</v>
      </c>
      <c r="AB33" s="76">
        <f t="shared" si="0"/>
        <v>3402445240</v>
      </c>
    </row>
    <row r="34" spans="1:28" ht="15" customHeight="1" x14ac:dyDescent="0.25">
      <c r="A34" s="230" t="s">
        <v>261</v>
      </c>
      <c r="B34" s="231" t="s">
        <v>262</v>
      </c>
      <c r="C34" s="232" t="s">
        <v>305</v>
      </c>
      <c r="D34" s="230" t="s">
        <v>22</v>
      </c>
      <c r="E34" s="230" t="s">
        <v>303</v>
      </c>
      <c r="F34" s="230" t="s">
        <v>290</v>
      </c>
      <c r="G34" s="230" t="s">
        <v>306</v>
      </c>
      <c r="H34" s="230"/>
      <c r="I34" s="230"/>
      <c r="J34" s="230"/>
      <c r="K34" s="230"/>
      <c r="L34" s="230"/>
      <c r="M34" s="230" t="s">
        <v>266</v>
      </c>
      <c r="N34" s="230">
        <v>11</v>
      </c>
      <c r="O34" s="230" t="s">
        <v>267</v>
      </c>
      <c r="P34" s="231" t="s">
        <v>207</v>
      </c>
      <c r="Q34" s="233">
        <v>1000000000</v>
      </c>
      <c r="R34" s="233">
        <v>0</v>
      </c>
      <c r="S34" s="233">
        <v>0</v>
      </c>
      <c r="T34" s="233">
        <v>1000000000</v>
      </c>
      <c r="U34" s="233">
        <v>0</v>
      </c>
      <c r="V34" s="233">
        <v>935183003.40999997</v>
      </c>
      <c r="W34" s="233">
        <v>64816996.590000004</v>
      </c>
      <c r="X34" s="233">
        <v>439419196.94</v>
      </c>
      <c r="Y34" s="233">
        <v>229213194</v>
      </c>
      <c r="Z34" s="233">
        <v>229213194</v>
      </c>
      <c r="AA34" s="233">
        <v>221882828</v>
      </c>
      <c r="AB34" s="76">
        <f t="shared" si="0"/>
        <v>1000000000</v>
      </c>
    </row>
    <row r="35" spans="1:28" ht="15" customHeight="1" x14ac:dyDescent="0.25">
      <c r="A35" s="230" t="s">
        <v>261</v>
      </c>
      <c r="B35" s="231" t="s">
        <v>262</v>
      </c>
      <c r="C35" s="232" t="s">
        <v>305</v>
      </c>
      <c r="D35" s="230" t="s">
        <v>22</v>
      </c>
      <c r="E35" s="230" t="s">
        <v>303</v>
      </c>
      <c r="F35" s="230" t="s">
        <v>290</v>
      </c>
      <c r="G35" s="230" t="s">
        <v>306</v>
      </c>
      <c r="H35" s="230"/>
      <c r="I35" s="230"/>
      <c r="J35" s="230"/>
      <c r="K35" s="230"/>
      <c r="L35" s="230"/>
      <c r="M35" s="230" t="s">
        <v>273</v>
      </c>
      <c r="N35" s="230">
        <v>20</v>
      </c>
      <c r="O35" s="230" t="s">
        <v>267</v>
      </c>
      <c r="P35" s="231" t="s">
        <v>207</v>
      </c>
      <c r="Q35" s="233">
        <v>793530741</v>
      </c>
      <c r="R35" s="233">
        <v>0</v>
      </c>
      <c r="S35" s="233">
        <v>0</v>
      </c>
      <c r="T35" s="233">
        <v>793530741</v>
      </c>
      <c r="U35" s="233">
        <v>0</v>
      </c>
      <c r="V35" s="233">
        <v>104087600</v>
      </c>
      <c r="W35" s="233">
        <v>689443141</v>
      </c>
      <c r="X35" s="233">
        <v>104087600</v>
      </c>
      <c r="Y35" s="233">
        <v>83578903.870000005</v>
      </c>
      <c r="Z35" s="233">
        <v>83578903.870000005</v>
      </c>
      <c r="AA35" s="233">
        <v>83578903.870000005</v>
      </c>
      <c r="AB35" s="76">
        <f t="shared" si="0"/>
        <v>793530741</v>
      </c>
    </row>
    <row r="36" spans="1:28" ht="33.75" x14ac:dyDescent="0.25">
      <c r="A36" s="230" t="s">
        <v>261</v>
      </c>
      <c r="B36" s="231" t="s">
        <v>262</v>
      </c>
      <c r="C36" s="232" t="s">
        <v>307</v>
      </c>
      <c r="D36" s="230" t="s">
        <v>22</v>
      </c>
      <c r="E36" s="230" t="s">
        <v>303</v>
      </c>
      <c r="F36" s="230" t="s">
        <v>290</v>
      </c>
      <c r="G36" s="230" t="s">
        <v>291</v>
      </c>
      <c r="H36" s="230"/>
      <c r="I36" s="230"/>
      <c r="J36" s="230"/>
      <c r="K36" s="230"/>
      <c r="L36" s="230"/>
      <c r="M36" s="230" t="s">
        <v>266</v>
      </c>
      <c r="N36" s="230">
        <v>11</v>
      </c>
      <c r="O36" s="230" t="s">
        <v>267</v>
      </c>
      <c r="P36" s="231" t="s">
        <v>214</v>
      </c>
      <c r="Q36" s="233">
        <v>206818844</v>
      </c>
      <c r="R36" s="233">
        <v>0</v>
      </c>
      <c r="S36" s="233">
        <v>0</v>
      </c>
      <c r="T36" s="233">
        <v>206818844</v>
      </c>
      <c r="U36" s="233">
        <v>0</v>
      </c>
      <c r="V36" s="233">
        <v>204340906</v>
      </c>
      <c r="W36" s="233">
        <v>2477938</v>
      </c>
      <c r="X36" s="233">
        <v>204340906</v>
      </c>
      <c r="Y36" s="233">
        <v>172892877</v>
      </c>
      <c r="Z36" s="233">
        <v>169252641</v>
      </c>
      <c r="AA36" s="233">
        <v>164055641</v>
      </c>
      <c r="AB36" s="76">
        <f t="shared" si="0"/>
        <v>206818844</v>
      </c>
    </row>
    <row r="37" spans="1:28" ht="45" x14ac:dyDescent="0.25">
      <c r="A37" s="230" t="s">
        <v>261</v>
      </c>
      <c r="B37" s="231" t="s">
        <v>262</v>
      </c>
      <c r="C37" s="232" t="s">
        <v>308</v>
      </c>
      <c r="D37" s="230" t="s">
        <v>22</v>
      </c>
      <c r="E37" s="230" t="s">
        <v>303</v>
      </c>
      <c r="F37" s="230" t="s">
        <v>290</v>
      </c>
      <c r="G37" s="230" t="s">
        <v>293</v>
      </c>
      <c r="H37" s="230"/>
      <c r="I37" s="230"/>
      <c r="J37" s="230"/>
      <c r="K37" s="230"/>
      <c r="L37" s="230"/>
      <c r="M37" s="230" t="s">
        <v>266</v>
      </c>
      <c r="N37" s="230">
        <v>11</v>
      </c>
      <c r="O37" s="230" t="s">
        <v>267</v>
      </c>
      <c r="P37" s="231" t="s">
        <v>208</v>
      </c>
      <c r="Q37" s="233">
        <v>54006100</v>
      </c>
      <c r="R37" s="233">
        <v>0</v>
      </c>
      <c r="S37" s="233">
        <v>0</v>
      </c>
      <c r="T37" s="233">
        <v>54006100</v>
      </c>
      <c r="U37" s="233">
        <v>0</v>
      </c>
      <c r="V37" s="233">
        <v>28778040</v>
      </c>
      <c r="W37" s="233">
        <v>25228060</v>
      </c>
      <c r="X37" s="233">
        <v>23214645</v>
      </c>
      <c r="Y37" s="233">
        <v>11334213</v>
      </c>
      <c r="Z37" s="233">
        <v>11334213</v>
      </c>
      <c r="AA37" s="233">
        <v>11334213</v>
      </c>
      <c r="AB37" s="76">
        <f t="shared" si="0"/>
        <v>54006100</v>
      </c>
    </row>
    <row r="38" spans="1:28" ht="45" x14ac:dyDescent="0.25">
      <c r="A38" s="230" t="s">
        <v>261</v>
      </c>
      <c r="B38" s="231" t="s">
        <v>262</v>
      </c>
      <c r="C38" s="232" t="s">
        <v>308</v>
      </c>
      <c r="D38" s="230" t="s">
        <v>22</v>
      </c>
      <c r="E38" s="230" t="s">
        <v>303</v>
      </c>
      <c r="F38" s="230" t="s">
        <v>290</v>
      </c>
      <c r="G38" s="230" t="s">
        <v>293</v>
      </c>
      <c r="H38" s="230"/>
      <c r="I38" s="230"/>
      <c r="J38" s="230"/>
      <c r="K38" s="230"/>
      <c r="L38" s="230"/>
      <c r="M38" s="230" t="s">
        <v>273</v>
      </c>
      <c r="N38" s="230">
        <v>20</v>
      </c>
      <c r="O38" s="230" t="s">
        <v>267</v>
      </c>
      <c r="P38" s="231" t="s">
        <v>208</v>
      </c>
      <c r="Q38" s="233">
        <v>969041818</v>
      </c>
      <c r="R38" s="233">
        <v>0</v>
      </c>
      <c r="S38" s="233">
        <v>0</v>
      </c>
      <c r="T38" s="233">
        <v>969041818</v>
      </c>
      <c r="U38" s="233">
        <v>0</v>
      </c>
      <c r="V38" s="233">
        <v>932735602</v>
      </c>
      <c r="W38" s="233">
        <v>36306216</v>
      </c>
      <c r="X38" s="233">
        <v>925082658</v>
      </c>
      <c r="Y38" s="233">
        <v>787543958</v>
      </c>
      <c r="Z38" s="233">
        <v>762439993</v>
      </c>
      <c r="AA38" s="233">
        <v>762439993</v>
      </c>
      <c r="AB38" s="76">
        <f t="shared" si="0"/>
        <v>969041818</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268" t="s">
        <v>10811</v>
      </c>
      <c r="C11" s="268"/>
      <c r="D11" s="268"/>
      <c r="E11" s="268"/>
      <c r="G11" s="268" t="s">
        <v>10812</v>
      </c>
      <c r="H11" s="268"/>
      <c r="I11" s="268"/>
      <c r="J11" s="268"/>
      <c r="K11" s="268"/>
    </row>
    <row r="12" spans="2:11" ht="5.0999999999999996" customHeight="1" x14ac:dyDescent="0.25"/>
    <row r="13" spans="2:11" x14ac:dyDescent="0.25">
      <c r="B13" s="208" t="s">
        <v>12</v>
      </c>
      <c r="C13" s="208" t="s">
        <v>502</v>
      </c>
      <c r="D13" s="208" t="s">
        <v>10722</v>
      </c>
      <c r="E13" s="208" t="s">
        <v>10813</v>
      </c>
      <c r="G13" s="208" t="s">
        <v>11</v>
      </c>
      <c r="H13" s="208" t="s">
        <v>12</v>
      </c>
      <c r="I13" s="208" t="s">
        <v>502</v>
      </c>
      <c r="J13" s="208" t="s">
        <v>10722</v>
      </c>
      <c r="K13" s="208" t="s">
        <v>10813</v>
      </c>
    </row>
    <row r="14" spans="2:11" x14ac:dyDescent="0.25">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x14ac:dyDescent="0.25">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x14ac:dyDescent="0.25">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x14ac:dyDescent="0.25">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x14ac:dyDescent="0.25">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x14ac:dyDescent="0.25">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x14ac:dyDescent="0.25">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x14ac:dyDescent="0.25">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x14ac:dyDescent="0.25">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x14ac:dyDescent="0.25"/>
    <row r="56" spans="1:18" x14ac:dyDescent="0.25"/>
    <row r="57" spans="1:18" x14ac:dyDescent="0.25">
      <c r="A57" s="268" t="s">
        <v>10712</v>
      </c>
      <c r="B57" s="268"/>
      <c r="C57" s="268"/>
      <c r="D57" s="268"/>
      <c r="E57" s="268"/>
      <c r="F57" s="268"/>
      <c r="G57" s="268"/>
      <c r="H57" s="268"/>
      <c r="I57" s="268"/>
      <c r="J57" s="268"/>
      <c r="K57" s="268"/>
      <c r="L57" s="268"/>
      <c r="M57" s="268"/>
      <c r="N57" s="268"/>
      <c r="O57" s="268"/>
      <c r="P57" s="268"/>
      <c r="Q57" s="268"/>
      <c r="R57" s="268"/>
    </row>
  </sheetData>
  <mergeCells count="3">
    <mergeCell ref="B11:E11"/>
    <mergeCell ref="G11:K11"/>
    <mergeCell ref="A57:R57"/>
  </mergeCells>
  <conditionalFormatting sqref="C14:D35">
    <cfRule type="cellIs" dxfId="58" priority="3" operator="greaterThan">
      <formula>1</formula>
    </cfRule>
    <cfRule type="cellIs" dxfId="57" priority="4" operator="lessThan">
      <formula>1</formula>
    </cfRule>
  </conditionalFormatting>
  <conditionalFormatting sqref="I14:J54">
    <cfRule type="cellIs" dxfId="56" priority="1" operator="greaterThan">
      <formula>1</formula>
    </cfRule>
    <cfRule type="cellIs" dxfId="55"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5"/>
  <cols>
    <col min="1" max="1" width="2.375" style="3" customWidth="1"/>
    <col min="2" max="2" width="76.125" style="3" bestFit="1" customWidth="1"/>
    <col min="3" max="3" width="16.375" style="3" bestFit="1" customWidth="1"/>
    <col min="4" max="4" width="14.125" style="3" bestFit="1" customWidth="1"/>
    <col min="5" max="5" width="11.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x14ac:dyDescent="0.25"/>
    <row r="2" spans="2:6" x14ac:dyDescent="0.25"/>
    <row r="3" spans="2:6" x14ac:dyDescent="0.25"/>
    <row r="4" spans="2:6" x14ac:dyDescent="0.25"/>
    <row r="5" spans="2:6" x14ac:dyDescent="0.25"/>
    <row r="6" spans="2:6" x14ac:dyDescent="0.25"/>
    <row r="7" spans="2:6" ht="15.75" x14ac:dyDescent="0.25">
      <c r="B7" s="5" t="s">
        <v>9</v>
      </c>
      <c r="C7" t="s">
        <v>216</v>
      </c>
      <c r="D7"/>
      <c r="E7"/>
    </row>
    <row r="8" spans="2:6" ht="15.75" x14ac:dyDescent="0.25">
      <c r="B8"/>
      <c r="C8"/>
      <c r="D8"/>
      <c r="E8"/>
    </row>
    <row r="9" spans="2:6" ht="15.75" x14ac:dyDescent="0.25">
      <c r="B9" s="39" t="s">
        <v>12</v>
      </c>
      <c r="C9" s="5" t="s">
        <v>502</v>
      </c>
      <c r="D9" s="5" t="s">
        <v>10722</v>
      </c>
      <c r="E9" s="5" t="s">
        <v>15</v>
      </c>
      <c r="F9"/>
    </row>
    <row r="10" spans="2:6" ht="15.75" x14ac:dyDescent="0.25">
      <c r="B10" t="s">
        <v>219</v>
      </c>
      <c r="C10" s="12">
        <v>0.37</v>
      </c>
      <c r="D10" s="12">
        <v>0.10393128881049657</v>
      </c>
      <c r="E10" s="12">
        <v>0.28089537516350427</v>
      </c>
      <c r="F10"/>
    </row>
    <row r="11" spans="2:6" ht="15.75" x14ac:dyDescent="0.25">
      <c r="B11" t="s">
        <v>217</v>
      </c>
      <c r="C11" s="12">
        <v>0.23</v>
      </c>
      <c r="D11" s="12">
        <v>2.6372038361293898E-2</v>
      </c>
      <c r="E11" s="12">
        <v>0.11466103635345172</v>
      </c>
      <c r="F11"/>
    </row>
    <row r="12" spans="2:6" ht="15.75" x14ac:dyDescent="0.25">
      <c r="B12" t="s">
        <v>223</v>
      </c>
      <c r="C12" s="12">
        <v>0.19900000000000001</v>
      </c>
      <c r="D12" s="12">
        <v>0</v>
      </c>
      <c r="E12" s="12">
        <v>0</v>
      </c>
      <c r="F12"/>
    </row>
    <row r="13" spans="2:6" ht="15.75" x14ac:dyDescent="0.25">
      <c r="B13" t="s">
        <v>228</v>
      </c>
      <c r="C13">
        <v>200</v>
      </c>
      <c r="D13">
        <v>218</v>
      </c>
      <c r="E13" s="12">
        <v>1.0900000000000001</v>
      </c>
      <c r="F13"/>
    </row>
    <row r="14" spans="2:6" ht="15.75" x14ac:dyDescent="0.25">
      <c r="B14" t="s">
        <v>227</v>
      </c>
      <c r="C14">
        <v>10</v>
      </c>
      <c r="D14">
        <v>11</v>
      </c>
      <c r="E14" s="12">
        <v>1.1000000000000001</v>
      </c>
      <c r="F14"/>
    </row>
    <row r="15" spans="2:6" ht="15.75" x14ac:dyDescent="0.25">
      <c r="B15" t="s">
        <v>225</v>
      </c>
      <c r="C15" s="12">
        <v>0.3</v>
      </c>
      <c r="D15" s="12">
        <v>0.15</v>
      </c>
      <c r="E15" s="12">
        <v>0.5</v>
      </c>
      <c r="F15"/>
    </row>
    <row r="16" spans="2:6" ht="15.75" x14ac:dyDescent="0.25">
      <c r="B16" t="s">
        <v>221</v>
      </c>
      <c r="C16" s="12">
        <v>0.20100000000000001</v>
      </c>
      <c r="D16" s="12">
        <v>0</v>
      </c>
      <c r="E16" s="12">
        <v>0</v>
      </c>
      <c r="F16"/>
    </row>
    <row r="17" spans="1:18" x14ac:dyDescent="0.25"/>
    <row r="18" spans="1:18" x14ac:dyDescent="0.25"/>
    <row r="19" spans="1:18" x14ac:dyDescent="0.25"/>
    <row r="20" spans="1:18" x14ac:dyDescent="0.25"/>
    <row r="21" spans="1:18" x14ac:dyDescent="0.25"/>
    <row r="22" spans="1:18" ht="15.75" x14ac:dyDescent="0.25">
      <c r="A22" s="268" t="s">
        <v>10712</v>
      </c>
      <c r="B22" s="268"/>
      <c r="C22" s="268"/>
      <c r="D22" s="268"/>
      <c r="E22" s="268"/>
      <c r="F22" s="268"/>
      <c r="G22" s="268"/>
      <c r="H22" s="268"/>
      <c r="I22" s="268"/>
      <c r="J22" s="268"/>
      <c r="K22" s="268"/>
      <c r="L22" s="268"/>
      <c r="M22" s="268"/>
      <c r="N22" s="268"/>
      <c r="O22" s="268"/>
      <c r="P22" s="268"/>
      <c r="Q22" s="268"/>
      <c r="R22" s="268"/>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topLeftCell="A4" zoomScale="90" zoomScaleNormal="90" workbookViewId="0">
      <selection activeCell="D15" sqref="D15"/>
    </sheetView>
  </sheetViews>
  <sheetFormatPr baseColWidth="10" defaultColWidth="0" defaultRowHeight="15.75" zeroHeight="1" x14ac:dyDescent="0.25"/>
  <cols>
    <col min="1" max="1" width="2.625" customWidth="1"/>
    <col min="2" max="2" width="44.75" bestFit="1" customWidth="1"/>
    <col min="3" max="3" width="10.7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61" customFormat="1" ht="16.5" thickBot="1" x14ac:dyDescent="0.3"/>
    <row r="6" spans="2:8" x14ac:dyDescent="0.25"/>
    <row r="7" spans="2:8" x14ac:dyDescent="0.25"/>
    <row r="8" spans="2:8" x14ac:dyDescent="0.25"/>
    <row r="9" spans="2:8" x14ac:dyDescent="0.25"/>
    <row r="10" spans="2:8" x14ac:dyDescent="0.25"/>
    <row r="11" spans="2:8" x14ac:dyDescent="0.25"/>
    <row r="12" spans="2:8" x14ac:dyDescent="0.25"/>
    <row r="13" spans="2:8" x14ac:dyDescent="0.25">
      <c r="B13" s="5" t="s">
        <v>2455</v>
      </c>
      <c r="C13" t="s">
        <v>10814</v>
      </c>
      <c r="D13" t="s">
        <v>10815</v>
      </c>
      <c r="E13" t="s">
        <v>10816</v>
      </c>
      <c r="F13" t="s">
        <v>10817</v>
      </c>
      <c r="G13" t="s">
        <v>10818</v>
      </c>
      <c r="H13" t="s">
        <v>10819</v>
      </c>
    </row>
    <row r="14" spans="2:8" x14ac:dyDescent="0.25">
      <c r="B14" s="6" t="s">
        <v>2458</v>
      </c>
      <c r="C14">
        <v>29</v>
      </c>
      <c r="D14" s="12">
        <v>0.71653628899835797</v>
      </c>
      <c r="E14" s="12">
        <v>0.92307692307692313</v>
      </c>
      <c r="F14" s="12">
        <v>1</v>
      </c>
      <c r="G14" s="12">
        <v>0.97543859649122799</v>
      </c>
      <c r="H14" s="12" t="e">
        <v>#DIV/0!</v>
      </c>
    </row>
    <row r="15" spans="2:8" x14ac:dyDescent="0.25">
      <c r="B15" s="6" t="s">
        <v>2841</v>
      </c>
      <c r="C15">
        <v>22</v>
      </c>
      <c r="D15" s="12">
        <v>0.5651919127334728</v>
      </c>
      <c r="E15" s="12">
        <v>0.91040671550671548</v>
      </c>
      <c r="F15" s="12">
        <v>0.78529411764705881</v>
      </c>
      <c r="G15" s="12">
        <v>0.79374999999999996</v>
      </c>
      <c r="H15" s="12" t="e">
        <v>#DIV/0!</v>
      </c>
    </row>
    <row r="16" spans="2:8" x14ac:dyDescent="0.25">
      <c r="B16" s="6" t="s">
        <v>3137</v>
      </c>
      <c r="C16">
        <v>12</v>
      </c>
      <c r="D16" s="12">
        <v>0.68333333333333324</v>
      </c>
      <c r="E16" s="12">
        <v>1</v>
      </c>
      <c r="F16" s="12">
        <v>1</v>
      </c>
      <c r="G16" s="12">
        <v>0.90909090909090906</v>
      </c>
      <c r="H16" s="12" t="e">
        <v>#DIV/0!</v>
      </c>
    </row>
    <row r="17" spans="2:8" x14ac:dyDescent="0.25">
      <c r="B17" s="6" t="s">
        <v>4633</v>
      </c>
      <c r="C17">
        <v>23</v>
      </c>
      <c r="D17" s="12">
        <v>0.79128257290484627</v>
      </c>
      <c r="E17" s="12">
        <v>0.86838361668524711</v>
      </c>
      <c r="F17" s="12">
        <v>1</v>
      </c>
      <c r="G17" s="12">
        <v>1</v>
      </c>
      <c r="H17" s="12" t="e">
        <v>#DIV/0!</v>
      </c>
    </row>
    <row r="18" spans="2:8" x14ac:dyDescent="0.25">
      <c r="B18" s="6" t="s">
        <v>4906</v>
      </c>
      <c r="C18">
        <v>13</v>
      </c>
      <c r="D18" s="12">
        <v>0.53846153846153844</v>
      </c>
      <c r="E18" s="12">
        <v>1</v>
      </c>
      <c r="F18" s="12">
        <v>0.77777777777777779</v>
      </c>
      <c r="G18" s="12">
        <v>1</v>
      </c>
      <c r="H18" s="12" t="e">
        <v>#DIV/0!</v>
      </c>
    </row>
    <row r="19" spans="2:8" x14ac:dyDescent="0.25">
      <c r="B19" s="6" t="s">
        <v>4983</v>
      </c>
      <c r="C19">
        <v>28</v>
      </c>
      <c r="D19" s="12">
        <v>0.62689393939393934</v>
      </c>
      <c r="E19" s="12">
        <v>0.90909090909090906</v>
      </c>
      <c r="F19" s="12">
        <v>0.95833333333333337</v>
      </c>
      <c r="G19" s="12">
        <v>0.92</v>
      </c>
      <c r="H19" s="12" t="e">
        <v>#DIV/0!</v>
      </c>
    </row>
    <row r="20" spans="2:8" x14ac:dyDescent="0.25">
      <c r="B20" s="6" t="s">
        <v>5218</v>
      </c>
      <c r="C20">
        <v>16</v>
      </c>
      <c r="D20" s="12">
        <v>0.7</v>
      </c>
      <c r="E20" s="12">
        <v>1</v>
      </c>
      <c r="F20" s="12">
        <v>1</v>
      </c>
      <c r="G20" s="12">
        <v>1</v>
      </c>
      <c r="H20" s="12" t="e">
        <v>#DIV/0!</v>
      </c>
    </row>
    <row r="21" spans="2:8" x14ac:dyDescent="0.25">
      <c r="B21" s="6" t="s">
        <v>2713</v>
      </c>
      <c r="C21">
        <v>20</v>
      </c>
      <c r="D21" s="12">
        <v>0.68625000000000003</v>
      </c>
      <c r="E21" s="12">
        <v>1</v>
      </c>
      <c r="F21" s="12">
        <v>0.9375</v>
      </c>
      <c r="G21" s="12">
        <v>1</v>
      </c>
      <c r="H21" s="12" t="e">
        <v>#DIV/0!</v>
      </c>
    </row>
    <row r="22" spans="2:8" x14ac:dyDescent="0.25">
      <c r="B22" s="6" t="s">
        <v>3235</v>
      </c>
      <c r="C22">
        <v>22</v>
      </c>
      <c r="D22" s="12">
        <v>0.78760330578512405</v>
      </c>
      <c r="E22" s="12">
        <v>1</v>
      </c>
      <c r="F22" s="12">
        <v>0.94444444444444442</v>
      </c>
      <c r="G22" s="12">
        <v>1</v>
      </c>
      <c r="H22" s="12" t="e">
        <v>#DIV/0!</v>
      </c>
    </row>
    <row r="23" spans="2:8" x14ac:dyDescent="0.25">
      <c r="B23" s="6" t="s">
        <v>3993</v>
      </c>
      <c r="C23">
        <v>14</v>
      </c>
      <c r="D23" s="12">
        <v>0.5892857142857143</v>
      </c>
      <c r="E23" s="12">
        <v>1</v>
      </c>
      <c r="F23" s="12">
        <v>1</v>
      </c>
      <c r="G23" s="12">
        <v>1</v>
      </c>
      <c r="H23" s="12" t="e">
        <v>#DIV/0!</v>
      </c>
    </row>
    <row r="24" spans="2:8" x14ac:dyDescent="0.25">
      <c r="B24" s="6" t="s">
        <v>3066</v>
      </c>
      <c r="C24">
        <v>15</v>
      </c>
      <c r="D24" s="12">
        <v>0.60999999999999988</v>
      </c>
      <c r="E24" s="12">
        <v>0</v>
      </c>
      <c r="F24" s="12">
        <v>0</v>
      </c>
      <c r="G24" s="12">
        <v>1</v>
      </c>
      <c r="H24" s="12" t="e">
        <v>#DIV/0!</v>
      </c>
    </row>
    <row r="25" spans="2:8" x14ac:dyDescent="0.25">
      <c r="B25" s="6" t="s">
        <v>4107</v>
      </c>
      <c r="C25">
        <v>23</v>
      </c>
      <c r="D25" s="12">
        <v>0.67971014492753623</v>
      </c>
      <c r="E25" s="12">
        <v>1</v>
      </c>
      <c r="F25" s="12">
        <v>0.9111111111111112</v>
      </c>
      <c r="G25" s="12">
        <v>1</v>
      </c>
      <c r="H25" s="12" t="e">
        <v>#DIV/0!</v>
      </c>
    </row>
    <row r="26" spans="2:8" x14ac:dyDescent="0.25">
      <c r="B26" s="6" t="s">
        <v>3397</v>
      </c>
      <c r="C26">
        <v>66</v>
      </c>
      <c r="D26" s="12">
        <v>0.69773816412030842</v>
      </c>
      <c r="E26" s="12">
        <v>0.56428295620653579</v>
      </c>
      <c r="F26" s="12">
        <v>0.83445421536796549</v>
      </c>
      <c r="G26" s="12">
        <v>0.93603636363636367</v>
      </c>
      <c r="H26" s="12" t="e">
        <v>#DIV/0!</v>
      </c>
    </row>
    <row r="27" spans="2:8" x14ac:dyDescent="0.25">
      <c r="B27" s="6" t="s">
        <v>4288</v>
      </c>
      <c r="C27">
        <v>46</v>
      </c>
      <c r="D27" s="12">
        <v>0.45808080808080809</v>
      </c>
      <c r="E27" s="12">
        <v>1</v>
      </c>
      <c r="F27" s="12">
        <v>0.88888888888888884</v>
      </c>
      <c r="G27" s="12">
        <v>0.90476190476190477</v>
      </c>
      <c r="H27" s="12" t="e">
        <v>#DIV/0!</v>
      </c>
    </row>
    <row r="28" spans="2:8" x14ac:dyDescent="0.25">
      <c r="B28" s="6" t="s">
        <v>4832</v>
      </c>
      <c r="C28">
        <v>10</v>
      </c>
      <c r="D28" s="12">
        <v>0.58499999999999996</v>
      </c>
      <c r="E28" s="12">
        <v>1</v>
      </c>
      <c r="F28" s="12">
        <v>1</v>
      </c>
      <c r="G28" s="12">
        <v>1</v>
      </c>
      <c r="H28" s="12" t="e">
        <v>#DIV/0!</v>
      </c>
    </row>
    <row r="29" spans="2:8" x14ac:dyDescent="0.25">
      <c r="B29" s="6" t="s">
        <v>5365</v>
      </c>
      <c r="C29">
        <v>31</v>
      </c>
      <c r="D29" s="12">
        <v>0.65942482718894013</v>
      </c>
      <c r="E29" s="12">
        <v>0.83274039781233189</v>
      </c>
      <c r="F29" s="12">
        <v>0.99650349650349646</v>
      </c>
      <c r="G29" s="12">
        <v>1</v>
      </c>
      <c r="H29" s="12" t="e">
        <v>#DIV/0!</v>
      </c>
    </row>
    <row r="30" spans="2:8" x14ac:dyDescent="0.25">
      <c r="B30" s="6" t="s">
        <v>5638</v>
      </c>
      <c r="C30">
        <v>6</v>
      </c>
      <c r="D30" s="12">
        <v>0.65027573529411764</v>
      </c>
      <c r="E30" s="12">
        <v>0.91666666666666663</v>
      </c>
      <c r="F30" s="12">
        <v>1</v>
      </c>
      <c r="G30" s="12">
        <v>1</v>
      </c>
      <c r="H30" s="12" t="e">
        <v>#DIV/0!</v>
      </c>
    </row>
    <row r="31" spans="2:8" x14ac:dyDescent="0.25">
      <c r="B31" s="6" t="s">
        <v>138</v>
      </c>
      <c r="C31">
        <v>396</v>
      </c>
      <c r="D31" s="12">
        <v>0.64840446984802058</v>
      </c>
      <c r="E31" s="12">
        <v>0.83733486517166567</v>
      </c>
      <c r="F31" s="12">
        <v>0.89655180159256798</v>
      </c>
      <c r="G31" s="12">
        <v>0.95704662004662</v>
      </c>
      <c r="H31" s="12" t="e">
        <v>#DIV/0!</v>
      </c>
    </row>
    <row r="32" spans="2:8" x14ac:dyDescent="0.25"/>
    <row r="33" spans="1:19" x14ac:dyDescent="0.25"/>
    <row r="34" spans="1:19" x14ac:dyDescent="0.25"/>
    <row r="35" spans="1:19" x14ac:dyDescent="0.25"/>
    <row r="36" spans="1:19" x14ac:dyDescent="0.25">
      <c r="A36" s="268" t="s">
        <v>10712</v>
      </c>
      <c r="B36" s="268"/>
      <c r="C36" s="268"/>
      <c r="D36" s="268"/>
      <c r="E36" s="268"/>
      <c r="F36" s="268"/>
      <c r="G36" s="268"/>
      <c r="H36" s="268"/>
      <c r="I36" s="268"/>
      <c r="J36" s="77"/>
      <c r="K36" s="77"/>
      <c r="L36" s="77"/>
      <c r="M36" s="77"/>
      <c r="N36" s="77"/>
      <c r="O36" s="77"/>
      <c r="P36" s="77"/>
      <c r="Q36" s="77"/>
      <c r="R36" s="77"/>
      <c r="S36" s="77"/>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zoomScale="90" zoomScaleNormal="90" workbookViewId="0">
      <selection activeCell="F28" sqref="D28:F29"/>
    </sheetView>
  </sheetViews>
  <sheetFormatPr baseColWidth="10" defaultColWidth="0" defaultRowHeight="15.75" customHeight="1" zeroHeight="1" x14ac:dyDescent="0.25"/>
  <cols>
    <col min="1" max="1" width="2.625" customWidth="1"/>
    <col min="2" max="2" width="16.625" bestFit="1" customWidth="1"/>
    <col min="3" max="3" width="13.625" bestFit="1" customWidth="1"/>
    <col min="4" max="4" width="20.125" bestFit="1" customWidth="1"/>
    <col min="5" max="5" width="20.5" bestFit="1" customWidth="1"/>
    <col min="6" max="8" width="20.125" bestFit="1" customWidth="1"/>
    <col min="9" max="9" width="2" customWidth="1"/>
    <col min="10" max="10" width="11" customWidth="1"/>
    <col min="11" max="16384" width="11" hidden="1"/>
  </cols>
  <sheetData>
    <row r="1" spans="2:7" x14ac:dyDescent="0.25"/>
    <row r="2" spans="2:7" x14ac:dyDescent="0.25"/>
    <row r="3" spans="2:7" x14ac:dyDescent="0.25"/>
    <row r="4" spans="2:7" x14ac:dyDescent="0.25"/>
    <row r="5" spans="2:7" s="61" customFormat="1" ht="16.5" thickBot="1" x14ac:dyDescent="0.3"/>
    <row r="6" spans="2:7" x14ac:dyDescent="0.25"/>
    <row r="7" spans="2:7" x14ac:dyDescent="0.25"/>
    <row r="8" spans="2:7" x14ac:dyDescent="0.25"/>
    <row r="9" spans="2:7" x14ac:dyDescent="0.25"/>
    <row r="10" spans="2:7" x14ac:dyDescent="0.25"/>
    <row r="11" spans="2:7" x14ac:dyDescent="0.25"/>
    <row r="12" spans="2:7" x14ac:dyDescent="0.25"/>
    <row r="13" spans="2:7" x14ac:dyDescent="0.25">
      <c r="B13" s="5" t="s">
        <v>2455</v>
      </c>
      <c r="C13" t="s">
        <v>10815</v>
      </c>
      <c r="D13" t="s">
        <v>10816</v>
      </c>
      <c r="E13" t="s">
        <v>10817</v>
      </c>
      <c r="F13" t="s">
        <v>10818</v>
      </c>
      <c r="G13" t="s">
        <v>10819</v>
      </c>
    </row>
    <row r="14" spans="2:7" x14ac:dyDescent="0.25">
      <c r="B14" s="6" t="s">
        <v>489</v>
      </c>
      <c r="C14" s="12">
        <v>0.66193356269131975</v>
      </c>
      <c r="D14" s="12">
        <v>0.89095166371880652</v>
      </c>
      <c r="E14" s="12">
        <v>0.88677002245392289</v>
      </c>
      <c r="F14" s="12">
        <v>0.94329686325430906</v>
      </c>
      <c r="G14" s="12">
        <v>0</v>
      </c>
    </row>
    <row r="15" spans="2:7" x14ac:dyDescent="0.25">
      <c r="B15" s="6" t="s">
        <v>490</v>
      </c>
      <c r="C15" s="12">
        <v>0.46372421744740761</v>
      </c>
      <c r="D15" s="12">
        <v>0.76549098452882836</v>
      </c>
      <c r="E15" s="12">
        <v>0.85440793784465385</v>
      </c>
      <c r="F15" s="12">
        <v>0.89580195516185512</v>
      </c>
      <c r="G15" s="12">
        <v>0</v>
      </c>
    </row>
    <row r="16" spans="2:7" x14ac:dyDescent="0.25">
      <c r="B16" s="6" t="s">
        <v>491</v>
      </c>
      <c r="C16" s="12">
        <v>0.52875011523964344</v>
      </c>
      <c r="D16" s="12">
        <v>0.94264806388958777</v>
      </c>
      <c r="E16" s="12">
        <v>0.89835698584715662</v>
      </c>
      <c r="F16" s="12">
        <v>0.92685830192254404</v>
      </c>
      <c r="G16" s="12">
        <v>0</v>
      </c>
    </row>
    <row r="17" spans="2:7" x14ac:dyDescent="0.25">
      <c r="B17" s="6" t="s">
        <v>492</v>
      </c>
      <c r="C17" s="12">
        <v>0.68684992412524637</v>
      </c>
      <c r="D17" s="12">
        <v>0.81127060753826608</v>
      </c>
      <c r="E17" s="12">
        <v>0.93392869283527258</v>
      </c>
      <c r="F17" s="12">
        <v>0.95326086687726808</v>
      </c>
      <c r="G17" s="12">
        <v>0</v>
      </c>
    </row>
    <row r="18" spans="2:7" x14ac:dyDescent="0.25">
      <c r="B18" s="6" t="s">
        <v>493</v>
      </c>
      <c r="C18" s="12">
        <v>0.66542413023285851</v>
      </c>
      <c r="D18" s="12">
        <v>1</v>
      </c>
      <c r="E18" s="12">
        <v>0.97988123591239484</v>
      </c>
      <c r="F18" s="12">
        <v>1</v>
      </c>
      <c r="G18" s="12">
        <v>0</v>
      </c>
    </row>
    <row r="19" spans="2:7" x14ac:dyDescent="0.25">
      <c r="B19" s="6" t="s">
        <v>494</v>
      </c>
      <c r="C19" s="12">
        <v>0.42007790038454551</v>
      </c>
      <c r="D19" s="12">
        <v>0.68528848218510363</v>
      </c>
      <c r="E19" s="12">
        <v>0.76174853290696787</v>
      </c>
      <c r="F19" s="12">
        <v>0.88105075721944681</v>
      </c>
      <c r="G19" s="12">
        <v>0</v>
      </c>
    </row>
    <row r="20" spans="2:7" x14ac:dyDescent="0.25">
      <c r="B20" s="6" t="s">
        <v>495</v>
      </c>
      <c r="C20" s="12">
        <v>0.56876564018762088</v>
      </c>
      <c r="D20" s="12">
        <v>0.85825316192083134</v>
      </c>
      <c r="E20" s="12">
        <v>0.87601359137562274</v>
      </c>
      <c r="F20" s="12">
        <v>0.90871189400058938</v>
      </c>
      <c r="G20" s="12">
        <v>0</v>
      </c>
    </row>
    <row r="21" spans="2:7" x14ac:dyDescent="0.25">
      <c r="B21" s="6" t="s">
        <v>496</v>
      </c>
      <c r="C21" s="12">
        <v>0.71040401208947479</v>
      </c>
      <c r="D21" s="12">
        <v>0.71450873118918479</v>
      </c>
      <c r="E21" s="12">
        <v>0.83409969301424092</v>
      </c>
      <c r="F21" s="12">
        <v>0.79330284103343573</v>
      </c>
      <c r="G21" s="12">
        <v>0</v>
      </c>
    </row>
    <row r="22" spans="2:7" x14ac:dyDescent="0.25">
      <c r="B22" s="6" t="s">
        <v>497</v>
      </c>
      <c r="C22" s="12">
        <v>0.56500112118412749</v>
      </c>
      <c r="D22" s="12">
        <v>0.80872906792790189</v>
      </c>
      <c r="E22" s="12">
        <v>0.75367040882400516</v>
      </c>
      <c r="F22" s="12">
        <v>0.74608973103022103</v>
      </c>
      <c r="G22" s="12">
        <v>0</v>
      </c>
    </row>
    <row r="23" spans="2:7" x14ac:dyDescent="0.25">
      <c r="B23" s="6" t="s">
        <v>498</v>
      </c>
      <c r="C23" s="12">
        <v>0.6665177203169389</v>
      </c>
      <c r="D23" s="12">
        <v>0.91289277175888583</v>
      </c>
      <c r="E23" s="12">
        <v>0.89975431608598189</v>
      </c>
      <c r="F23" s="12">
        <v>0.9162139945390978</v>
      </c>
      <c r="G23" s="12">
        <v>0</v>
      </c>
    </row>
    <row r="24" spans="2:7" x14ac:dyDescent="0.25">
      <c r="B24" s="6" t="s">
        <v>499</v>
      </c>
      <c r="C24" s="12">
        <v>0.63234068842387692</v>
      </c>
      <c r="D24" s="12">
        <v>0.7142857142857143</v>
      </c>
      <c r="E24" s="12">
        <v>1</v>
      </c>
      <c r="F24" s="12">
        <v>0.96280795427089794</v>
      </c>
      <c r="G24" s="12">
        <v>0</v>
      </c>
    </row>
    <row r="25" spans="2:7" x14ac:dyDescent="0.25">
      <c r="B25" s="6" t="s">
        <v>500</v>
      </c>
      <c r="C25" s="12">
        <v>0.69681207861986005</v>
      </c>
      <c r="D25" s="12">
        <v>0.63237656189858149</v>
      </c>
      <c r="E25" s="12">
        <v>0.52945429975371028</v>
      </c>
      <c r="F25" s="12">
        <v>0.51600307384153077</v>
      </c>
      <c r="G25" s="12">
        <v>0</v>
      </c>
    </row>
    <row r="26" spans="2:7" x14ac:dyDescent="0.25">
      <c r="B26" s="6" t="s">
        <v>501</v>
      </c>
      <c r="C26" s="12">
        <v>0.67008159849407956</v>
      </c>
      <c r="D26" s="12">
        <v>0.81218992958182901</v>
      </c>
      <c r="E26" s="12">
        <v>0.85702468267989307</v>
      </c>
      <c r="F26" s="12">
        <v>0.85946475186191196</v>
      </c>
      <c r="G26" s="12">
        <v>0</v>
      </c>
    </row>
    <row r="27" spans="2:7" x14ac:dyDescent="0.25">
      <c r="B27" s="6" t="s">
        <v>502</v>
      </c>
      <c r="C27" s="12">
        <v>0.61845272082040281</v>
      </c>
      <c r="D27" s="12">
        <v>0.74160797132807166</v>
      </c>
      <c r="E27" s="12">
        <v>0.8571428571428571</v>
      </c>
      <c r="F27" s="12">
        <v>0.73994230029558139</v>
      </c>
      <c r="G27" s="12">
        <v>0</v>
      </c>
    </row>
    <row r="28" spans="2:7" x14ac:dyDescent="0.25">
      <c r="B28" s="6" t="s">
        <v>503</v>
      </c>
      <c r="C28" s="12">
        <v>0.71238272069280051</v>
      </c>
      <c r="D28" s="12">
        <v>0.96631823461091748</v>
      </c>
      <c r="E28" s="12">
        <v>0.99500917805620581</v>
      </c>
      <c r="F28" s="12">
        <v>1</v>
      </c>
      <c r="G28" s="12">
        <v>0</v>
      </c>
    </row>
    <row r="29" spans="2:7" x14ac:dyDescent="0.25">
      <c r="B29" s="6" t="s">
        <v>1950</v>
      </c>
      <c r="C29" s="12">
        <v>0.6134756601538951</v>
      </c>
      <c r="D29" s="12">
        <v>0.90030075037979829</v>
      </c>
      <c r="E29" s="12">
        <v>0.9182338368944517</v>
      </c>
      <c r="F29" s="12">
        <v>0.9310562428173782</v>
      </c>
      <c r="G29" s="12">
        <v>0</v>
      </c>
    </row>
    <row r="30" spans="2:7" x14ac:dyDescent="0.25">
      <c r="B30" s="6" t="s">
        <v>505</v>
      </c>
      <c r="C30" s="12">
        <v>0.65164254177239422</v>
      </c>
      <c r="D30" s="12">
        <v>0.84059618320476559</v>
      </c>
      <c r="E30" s="12">
        <v>0.80436742112999693</v>
      </c>
      <c r="F30" s="12">
        <v>0.92324549929671573</v>
      </c>
      <c r="G30" s="12">
        <v>0</v>
      </c>
    </row>
    <row r="31" spans="2:7" x14ac:dyDescent="0.25">
      <c r="B31" s="6" t="s">
        <v>506</v>
      </c>
      <c r="C31" s="12">
        <v>0.60482179190845597</v>
      </c>
      <c r="D31" s="12">
        <v>0.78200350828636311</v>
      </c>
      <c r="E31" s="12">
        <v>0.7486837486457496</v>
      </c>
      <c r="F31" s="12">
        <v>0.6083645206791306</v>
      </c>
      <c r="G31" s="12">
        <v>0</v>
      </c>
    </row>
    <row r="32" spans="2:7" x14ac:dyDescent="0.25">
      <c r="B32" s="6" t="s">
        <v>507</v>
      </c>
      <c r="C32" s="12">
        <v>0.6536122998881102</v>
      </c>
      <c r="D32" s="12">
        <v>0.90392377547700609</v>
      </c>
      <c r="E32" s="12">
        <v>0.90596707629322593</v>
      </c>
      <c r="F32" s="12">
        <v>0.912561823237517</v>
      </c>
      <c r="G32" s="12">
        <v>0</v>
      </c>
    </row>
    <row r="33" spans="1:19" x14ac:dyDescent="0.25">
      <c r="B33" s="6" t="s">
        <v>2241</v>
      </c>
      <c r="C33" s="12">
        <v>0.37034253554326441</v>
      </c>
      <c r="D33" s="12">
        <v>0</v>
      </c>
      <c r="E33" s="12">
        <v>0.74077283816860984</v>
      </c>
      <c r="F33" s="12">
        <v>0.79017295985723246</v>
      </c>
      <c r="G33" s="12">
        <v>0</v>
      </c>
    </row>
    <row r="34" spans="1:19" x14ac:dyDescent="0.25">
      <c r="B34" s="6" t="s">
        <v>509</v>
      </c>
      <c r="C34" s="12">
        <v>0.37896692061949661</v>
      </c>
      <c r="D34" s="12">
        <v>0.63915631502636938</v>
      </c>
      <c r="E34" s="12">
        <v>0.58389925381600782</v>
      </c>
      <c r="F34" s="12">
        <v>0.62077695905581975</v>
      </c>
      <c r="G34" s="12">
        <v>0</v>
      </c>
    </row>
    <row r="35" spans="1:19" x14ac:dyDescent="0.25">
      <c r="B35" s="6" t="s">
        <v>2391</v>
      </c>
      <c r="C35" s="12">
        <v>0.63977553217057359</v>
      </c>
      <c r="D35" s="12">
        <v>0.82130541678631952</v>
      </c>
      <c r="E35" s="12">
        <v>0.80541130527223881</v>
      </c>
      <c r="F35" s="12">
        <v>0.90209041002323875</v>
      </c>
      <c r="G35" s="12">
        <v>0</v>
      </c>
    </row>
    <row r="36" spans="1:19" x14ac:dyDescent="0.25">
      <c r="B36" s="6" t="s">
        <v>138</v>
      </c>
      <c r="C36" s="12">
        <v>0.59384599671933824</v>
      </c>
      <c r="D36" s="12">
        <v>0.78663462386489735</v>
      </c>
      <c r="E36" s="12">
        <v>0.84937867974239234</v>
      </c>
      <c r="F36" s="12">
        <v>0.86254022846481471</v>
      </c>
      <c r="G36" s="12">
        <v>0</v>
      </c>
    </row>
    <row r="37" spans="1:19" x14ac:dyDescent="0.25"/>
    <row r="44" spans="1:19" x14ac:dyDescent="0.25"/>
    <row r="45" spans="1:19" x14ac:dyDescent="0.25"/>
    <row r="46" spans="1:19" x14ac:dyDescent="0.25">
      <c r="A46" s="268" t="s">
        <v>10712</v>
      </c>
      <c r="B46" s="268"/>
      <c r="C46" s="268"/>
      <c r="D46" s="268"/>
      <c r="E46" s="268"/>
      <c r="F46" s="268"/>
      <c r="G46" s="268"/>
      <c r="H46" s="268"/>
      <c r="I46" s="268"/>
      <c r="J46" s="77"/>
      <c r="K46" s="77"/>
      <c r="L46" s="77"/>
      <c r="M46" s="77"/>
      <c r="N46" s="77"/>
      <c r="O46" s="77"/>
      <c r="P46" s="77"/>
      <c r="Q46" s="77"/>
      <c r="R46" s="77"/>
      <c r="S46" s="77"/>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765"/>
  <sheetViews>
    <sheetView showGridLines="0" topLeftCell="T751" workbookViewId="0">
      <selection activeCell="A4" sqref="A4"/>
    </sheetView>
  </sheetViews>
  <sheetFormatPr baseColWidth="10" defaultColWidth="11" defaultRowHeight="15" x14ac:dyDescent="0.2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x14ac:dyDescent="0.25">
      <c r="A1" s="1" t="s">
        <v>229</v>
      </c>
      <c r="B1" s="1">
        <v>2020</v>
      </c>
      <c r="C1" s="2" t="s">
        <v>230</v>
      </c>
      <c r="D1" s="2" t="s">
        <v>230</v>
      </c>
      <c r="E1" s="2" t="s">
        <v>230</v>
      </c>
      <c r="F1" s="2" t="s">
        <v>230</v>
      </c>
      <c r="G1" s="2" t="s">
        <v>230</v>
      </c>
      <c r="H1" s="2" t="s">
        <v>230</v>
      </c>
      <c r="I1" s="2" t="s">
        <v>230</v>
      </c>
      <c r="J1" s="2" t="s">
        <v>230</v>
      </c>
      <c r="K1" s="2" t="s">
        <v>230</v>
      </c>
      <c r="L1" s="2" t="s">
        <v>230</v>
      </c>
      <c r="M1" s="2" t="s">
        <v>230</v>
      </c>
      <c r="N1" s="2" t="s">
        <v>230</v>
      </c>
      <c r="O1" s="2" t="s">
        <v>230</v>
      </c>
      <c r="P1" s="2" t="s">
        <v>230</v>
      </c>
      <c r="Q1" s="2"/>
      <c r="R1" s="2" t="s">
        <v>230</v>
      </c>
      <c r="S1" s="2" t="s">
        <v>230</v>
      </c>
      <c r="T1" s="2" t="s">
        <v>230</v>
      </c>
      <c r="U1" s="2" t="s">
        <v>230</v>
      </c>
      <c r="V1" s="2" t="s">
        <v>230</v>
      </c>
      <c r="W1" s="2" t="s">
        <v>230</v>
      </c>
      <c r="X1" s="2" t="s">
        <v>230</v>
      </c>
      <c r="Y1" s="2" t="s">
        <v>230</v>
      </c>
      <c r="Z1" s="2" t="s">
        <v>230</v>
      </c>
      <c r="AA1" s="2" t="s">
        <v>230</v>
      </c>
      <c r="AB1" s="2" t="s">
        <v>230</v>
      </c>
    </row>
    <row r="2" spans="1:28" x14ac:dyDescent="0.25">
      <c r="A2" s="1" t="s">
        <v>231</v>
      </c>
      <c r="B2" s="1" t="s">
        <v>232</v>
      </c>
      <c r="C2" s="2" t="s">
        <v>230</v>
      </c>
      <c r="D2" s="2" t="s">
        <v>230</v>
      </c>
      <c r="E2" s="2" t="s">
        <v>230</v>
      </c>
      <c r="F2" s="2" t="s">
        <v>230</v>
      </c>
      <c r="G2" s="2" t="s">
        <v>230</v>
      </c>
      <c r="H2" s="2" t="s">
        <v>230</v>
      </c>
      <c r="I2" s="2" t="s">
        <v>230</v>
      </c>
      <c r="J2" s="2" t="s">
        <v>230</v>
      </c>
      <c r="K2" s="2" t="s">
        <v>230</v>
      </c>
      <c r="L2" s="2" t="s">
        <v>230</v>
      </c>
      <c r="M2" s="2" t="s">
        <v>230</v>
      </c>
      <c r="N2" s="2" t="s">
        <v>230</v>
      </c>
      <c r="O2" s="2" t="s">
        <v>230</v>
      </c>
      <c r="P2" s="2" t="s">
        <v>230</v>
      </c>
      <c r="Q2" s="2"/>
      <c r="R2" s="2" t="s">
        <v>230</v>
      </c>
      <c r="S2" s="2" t="s">
        <v>230</v>
      </c>
      <c r="T2" s="2" t="s">
        <v>230</v>
      </c>
      <c r="U2" s="2" t="s">
        <v>230</v>
      </c>
      <c r="V2" s="2" t="s">
        <v>230</v>
      </c>
      <c r="W2" s="2" t="s">
        <v>230</v>
      </c>
      <c r="X2" s="2" t="s">
        <v>230</v>
      </c>
      <c r="Y2" s="2" t="s">
        <v>230</v>
      </c>
      <c r="Z2" s="2" t="s">
        <v>230</v>
      </c>
      <c r="AA2" s="2" t="s">
        <v>230</v>
      </c>
      <c r="AB2" s="2" t="s">
        <v>230</v>
      </c>
    </row>
    <row r="3" spans="1:28" x14ac:dyDescent="0.25">
      <c r="A3" s="1" t="s">
        <v>233</v>
      </c>
      <c r="B3" s="1" t="s">
        <v>309</v>
      </c>
      <c r="C3" s="2" t="s">
        <v>230</v>
      </c>
      <c r="D3" s="2" t="s">
        <v>230</v>
      </c>
      <c r="E3" s="2" t="s">
        <v>230</v>
      </c>
      <c r="F3" s="2" t="s">
        <v>230</v>
      </c>
      <c r="G3" s="2" t="s">
        <v>230</v>
      </c>
      <c r="H3" s="2" t="s">
        <v>230</v>
      </c>
      <c r="I3" s="2" t="s">
        <v>230</v>
      </c>
      <c r="J3" s="2" t="s">
        <v>230</v>
      </c>
      <c r="K3" s="2" t="s">
        <v>230</v>
      </c>
      <c r="L3" s="2" t="s">
        <v>230</v>
      </c>
      <c r="M3" s="2" t="s">
        <v>230</v>
      </c>
      <c r="N3" s="2" t="s">
        <v>230</v>
      </c>
      <c r="O3" s="2" t="s">
        <v>230</v>
      </c>
      <c r="P3" s="2" t="s">
        <v>230</v>
      </c>
      <c r="Q3" s="2"/>
      <c r="R3" s="2" t="s">
        <v>230</v>
      </c>
      <c r="S3" s="2" t="s">
        <v>230</v>
      </c>
      <c r="T3" s="2" t="s">
        <v>230</v>
      </c>
      <c r="U3" s="2" t="s">
        <v>230</v>
      </c>
      <c r="V3" s="2" t="s">
        <v>230</v>
      </c>
      <c r="W3" s="2" t="s">
        <v>230</v>
      </c>
      <c r="X3" s="2" t="s">
        <v>230</v>
      </c>
      <c r="Y3" s="2" t="s">
        <v>230</v>
      </c>
      <c r="Z3" s="2" t="s">
        <v>230</v>
      </c>
      <c r="AA3" s="2" t="s">
        <v>230</v>
      </c>
      <c r="AB3" s="2" t="s">
        <v>230</v>
      </c>
    </row>
    <row r="4" spans="1:28" ht="24" x14ac:dyDescent="0.25">
      <c r="A4" s="1" t="s">
        <v>235</v>
      </c>
      <c r="B4" s="1" t="s">
        <v>236</v>
      </c>
      <c r="C4" s="1" t="s">
        <v>237</v>
      </c>
      <c r="D4" s="1" t="s">
        <v>20</v>
      </c>
      <c r="E4" s="1" t="s">
        <v>238</v>
      </c>
      <c r="F4" s="1" t="s">
        <v>239</v>
      </c>
      <c r="G4" s="1" t="s">
        <v>240</v>
      </c>
      <c r="H4" s="1" t="s">
        <v>241</v>
      </c>
      <c r="I4" s="1" t="s">
        <v>242</v>
      </c>
      <c r="J4" s="1" t="s">
        <v>243</v>
      </c>
      <c r="K4" s="1" t="s">
        <v>244</v>
      </c>
      <c r="L4" s="1" t="s">
        <v>245</v>
      </c>
      <c r="M4" s="1" t="s">
        <v>246</v>
      </c>
      <c r="N4" s="1" t="s">
        <v>42</v>
      </c>
      <c r="O4" s="1" t="s">
        <v>247</v>
      </c>
      <c r="P4" s="1" t="s">
        <v>72</v>
      </c>
      <c r="Q4" s="1" t="s">
        <v>310</v>
      </c>
      <c r="R4" s="1" t="s">
        <v>249</v>
      </c>
      <c r="S4" s="1" t="s">
        <v>250</v>
      </c>
      <c r="T4" s="1" t="s">
        <v>251</v>
      </c>
      <c r="U4" s="1" t="s">
        <v>252</v>
      </c>
      <c r="V4" s="1" t="s">
        <v>253</v>
      </c>
      <c r="W4" s="1" t="s">
        <v>254</v>
      </c>
      <c r="X4" s="1" t="s">
        <v>255</v>
      </c>
      <c r="Y4" s="1" t="s">
        <v>256</v>
      </c>
      <c r="Z4" s="1" t="s">
        <v>257</v>
      </c>
      <c r="AA4" s="1" t="s">
        <v>258</v>
      </c>
      <c r="AB4" s="1" t="s">
        <v>259</v>
      </c>
    </row>
    <row r="5" spans="1:28" ht="15" customHeight="1" x14ac:dyDescent="0.25">
      <c r="A5" s="230" t="s">
        <v>311</v>
      </c>
      <c r="B5" s="231" t="s">
        <v>312</v>
      </c>
      <c r="C5" s="232" t="s">
        <v>313</v>
      </c>
      <c r="D5" s="230" t="s">
        <v>264</v>
      </c>
      <c r="E5" s="230" t="s">
        <v>265</v>
      </c>
      <c r="F5" s="230" t="s">
        <v>265</v>
      </c>
      <c r="G5" s="230" t="s">
        <v>265</v>
      </c>
      <c r="H5" s="230" t="s">
        <v>281</v>
      </c>
      <c r="I5" s="230" t="s">
        <v>281</v>
      </c>
      <c r="J5" s="230"/>
      <c r="K5" s="230"/>
      <c r="L5" s="230"/>
      <c r="M5" s="230" t="s">
        <v>266</v>
      </c>
      <c r="N5" s="230" t="s">
        <v>280</v>
      </c>
      <c r="O5" s="230" t="s">
        <v>267</v>
      </c>
      <c r="P5" s="231" t="s">
        <v>314</v>
      </c>
      <c r="Q5" s="231"/>
      <c r="R5" s="233">
        <v>660000000</v>
      </c>
      <c r="S5" s="233">
        <v>30000000</v>
      </c>
      <c r="T5" s="233">
        <v>0</v>
      </c>
      <c r="U5" s="233">
        <v>690000000</v>
      </c>
      <c r="V5" s="233">
        <v>0</v>
      </c>
      <c r="W5" s="233">
        <v>633870838</v>
      </c>
      <c r="X5" s="233">
        <v>56129162</v>
      </c>
      <c r="Y5" s="233">
        <v>633870838</v>
      </c>
      <c r="Z5" s="233">
        <v>633870838</v>
      </c>
      <c r="AA5" s="233">
        <v>633870838</v>
      </c>
      <c r="AB5" s="233">
        <v>633870838</v>
      </c>
    </row>
    <row r="6" spans="1:28" ht="15" customHeight="1" x14ac:dyDescent="0.25">
      <c r="A6" s="230" t="s">
        <v>311</v>
      </c>
      <c r="B6" s="231" t="s">
        <v>312</v>
      </c>
      <c r="C6" s="232" t="s">
        <v>315</v>
      </c>
      <c r="D6" s="230" t="s">
        <v>264</v>
      </c>
      <c r="E6" s="230" t="s">
        <v>265</v>
      </c>
      <c r="F6" s="230" t="s">
        <v>265</v>
      </c>
      <c r="G6" s="230" t="s">
        <v>265</v>
      </c>
      <c r="H6" s="230" t="s">
        <v>281</v>
      </c>
      <c r="I6" s="230" t="s">
        <v>316</v>
      </c>
      <c r="J6" s="230"/>
      <c r="K6" s="230"/>
      <c r="L6" s="230"/>
      <c r="M6" s="230" t="s">
        <v>266</v>
      </c>
      <c r="N6" s="230" t="s">
        <v>280</v>
      </c>
      <c r="O6" s="230" t="s">
        <v>267</v>
      </c>
      <c r="P6" s="231" t="s">
        <v>317</v>
      </c>
      <c r="Q6" s="231"/>
      <c r="R6" s="233">
        <v>0</v>
      </c>
      <c r="S6" s="233">
        <v>9000000</v>
      </c>
      <c r="T6" s="233">
        <v>0</v>
      </c>
      <c r="U6" s="233">
        <v>9000000</v>
      </c>
      <c r="V6" s="233">
        <v>0</v>
      </c>
      <c r="W6" s="233">
        <v>8366809</v>
      </c>
      <c r="X6" s="233">
        <v>633191</v>
      </c>
      <c r="Y6" s="233">
        <v>8366809</v>
      </c>
      <c r="Z6" s="233">
        <v>8366809</v>
      </c>
      <c r="AA6" s="233">
        <v>8366809</v>
      </c>
      <c r="AB6" s="233">
        <v>8366809</v>
      </c>
    </row>
    <row r="7" spans="1:28" ht="15" customHeight="1" x14ac:dyDescent="0.25">
      <c r="A7" s="230" t="s">
        <v>311</v>
      </c>
      <c r="B7" s="231" t="s">
        <v>312</v>
      </c>
      <c r="C7" s="232" t="s">
        <v>318</v>
      </c>
      <c r="D7" s="230" t="s">
        <v>264</v>
      </c>
      <c r="E7" s="230" t="s">
        <v>265</v>
      </c>
      <c r="F7" s="230" t="s">
        <v>265</v>
      </c>
      <c r="G7" s="230" t="s">
        <v>265</v>
      </c>
      <c r="H7" s="230" t="s">
        <v>281</v>
      </c>
      <c r="I7" s="230" t="s">
        <v>319</v>
      </c>
      <c r="J7" s="230"/>
      <c r="K7" s="230"/>
      <c r="L7" s="230"/>
      <c r="M7" s="230" t="s">
        <v>266</v>
      </c>
      <c r="N7" s="230" t="s">
        <v>280</v>
      </c>
      <c r="O7" s="230" t="s">
        <v>267</v>
      </c>
      <c r="P7" s="231" t="s">
        <v>320</v>
      </c>
      <c r="Q7" s="231"/>
      <c r="R7" s="233">
        <v>15000000</v>
      </c>
      <c r="S7" s="233">
        <v>0</v>
      </c>
      <c r="T7" s="233">
        <v>0</v>
      </c>
      <c r="U7" s="233">
        <v>15000000</v>
      </c>
      <c r="V7" s="233">
        <v>0</v>
      </c>
      <c r="W7" s="233">
        <v>13928658</v>
      </c>
      <c r="X7" s="233">
        <v>1071342</v>
      </c>
      <c r="Y7" s="233">
        <v>13928658</v>
      </c>
      <c r="Z7" s="233">
        <v>13928658</v>
      </c>
      <c r="AA7" s="233">
        <v>13928658</v>
      </c>
      <c r="AB7" s="233">
        <v>13928658</v>
      </c>
    </row>
    <row r="8" spans="1:28" ht="15" customHeight="1" x14ac:dyDescent="0.25">
      <c r="A8" s="230" t="s">
        <v>311</v>
      </c>
      <c r="B8" s="231" t="s">
        <v>312</v>
      </c>
      <c r="C8" s="232" t="s">
        <v>321</v>
      </c>
      <c r="D8" s="230" t="s">
        <v>264</v>
      </c>
      <c r="E8" s="230" t="s">
        <v>265</v>
      </c>
      <c r="F8" s="230" t="s">
        <v>265</v>
      </c>
      <c r="G8" s="230" t="s">
        <v>265</v>
      </c>
      <c r="H8" s="230" t="s">
        <v>281</v>
      </c>
      <c r="I8" s="230" t="s">
        <v>322</v>
      </c>
      <c r="J8" s="230"/>
      <c r="K8" s="230"/>
      <c r="L8" s="230"/>
      <c r="M8" s="230" t="s">
        <v>266</v>
      </c>
      <c r="N8" s="230" t="s">
        <v>280</v>
      </c>
      <c r="O8" s="230" t="s">
        <v>267</v>
      </c>
      <c r="P8" s="231" t="s">
        <v>323</v>
      </c>
      <c r="Q8" s="231"/>
      <c r="R8" s="233">
        <v>10166000</v>
      </c>
      <c r="S8" s="233">
        <v>3510000</v>
      </c>
      <c r="T8" s="233">
        <v>10166000</v>
      </c>
      <c r="U8" s="233">
        <v>3510000</v>
      </c>
      <c r="V8" s="233">
        <v>0</v>
      </c>
      <c r="W8" s="233">
        <v>3509434</v>
      </c>
      <c r="X8" s="233">
        <v>566</v>
      </c>
      <c r="Y8" s="233">
        <v>3509434</v>
      </c>
      <c r="Z8" s="233">
        <v>3509434</v>
      </c>
      <c r="AA8" s="233">
        <v>3509434</v>
      </c>
      <c r="AB8" s="233">
        <v>3509434</v>
      </c>
    </row>
    <row r="9" spans="1:28" ht="15" customHeight="1" x14ac:dyDescent="0.25">
      <c r="A9" s="230" t="s">
        <v>311</v>
      </c>
      <c r="B9" s="231" t="s">
        <v>312</v>
      </c>
      <c r="C9" s="232" t="s">
        <v>324</v>
      </c>
      <c r="D9" s="230" t="s">
        <v>264</v>
      </c>
      <c r="E9" s="230" t="s">
        <v>265</v>
      </c>
      <c r="F9" s="230" t="s">
        <v>265</v>
      </c>
      <c r="G9" s="230" t="s">
        <v>265</v>
      </c>
      <c r="H9" s="230" t="s">
        <v>281</v>
      </c>
      <c r="I9" s="230" t="s">
        <v>325</v>
      </c>
      <c r="J9" s="230"/>
      <c r="K9" s="230"/>
      <c r="L9" s="230"/>
      <c r="M9" s="230" t="s">
        <v>266</v>
      </c>
      <c r="N9" s="230" t="s">
        <v>280</v>
      </c>
      <c r="O9" s="230" t="s">
        <v>267</v>
      </c>
      <c r="P9" s="231" t="s">
        <v>326</v>
      </c>
      <c r="Q9" s="231"/>
      <c r="R9" s="233">
        <v>66300000</v>
      </c>
      <c r="S9" s="233">
        <v>2720362</v>
      </c>
      <c r="T9" s="233">
        <v>28</v>
      </c>
      <c r="U9" s="233">
        <v>69020334</v>
      </c>
      <c r="V9" s="233">
        <v>0</v>
      </c>
      <c r="W9" s="233">
        <v>69020334</v>
      </c>
      <c r="X9" s="233">
        <v>0</v>
      </c>
      <c r="Y9" s="233">
        <v>69020334</v>
      </c>
      <c r="Z9" s="233">
        <v>69020334</v>
      </c>
      <c r="AA9" s="233">
        <v>69020334</v>
      </c>
      <c r="AB9" s="233">
        <v>69020334</v>
      </c>
    </row>
    <row r="10" spans="1:28" ht="15" customHeight="1" x14ac:dyDescent="0.25">
      <c r="A10" s="230" t="s">
        <v>311</v>
      </c>
      <c r="B10" s="231" t="s">
        <v>312</v>
      </c>
      <c r="C10" s="232" t="s">
        <v>327</v>
      </c>
      <c r="D10" s="230" t="s">
        <v>264</v>
      </c>
      <c r="E10" s="230" t="s">
        <v>265</v>
      </c>
      <c r="F10" s="230" t="s">
        <v>265</v>
      </c>
      <c r="G10" s="230" t="s">
        <v>265</v>
      </c>
      <c r="H10" s="230" t="s">
        <v>281</v>
      </c>
      <c r="I10" s="230" t="s">
        <v>328</v>
      </c>
      <c r="J10" s="230"/>
      <c r="K10" s="230"/>
      <c r="L10" s="230"/>
      <c r="M10" s="230" t="s">
        <v>266</v>
      </c>
      <c r="N10" s="230" t="s">
        <v>280</v>
      </c>
      <c r="O10" s="230" t="s">
        <v>267</v>
      </c>
      <c r="P10" s="231" t="s">
        <v>329</v>
      </c>
      <c r="Q10" s="231"/>
      <c r="R10" s="233">
        <v>25000000</v>
      </c>
      <c r="S10" s="233">
        <v>2000000</v>
      </c>
      <c r="T10" s="233">
        <v>0</v>
      </c>
      <c r="U10" s="233">
        <v>27000000</v>
      </c>
      <c r="V10" s="233">
        <v>0</v>
      </c>
      <c r="W10" s="233">
        <v>22874927</v>
      </c>
      <c r="X10" s="233">
        <v>4125073</v>
      </c>
      <c r="Y10" s="233">
        <v>22874927</v>
      </c>
      <c r="Z10" s="233">
        <v>22874927</v>
      </c>
      <c r="AA10" s="233">
        <v>22874927</v>
      </c>
      <c r="AB10" s="233">
        <v>22874927</v>
      </c>
    </row>
    <row r="11" spans="1:28" ht="15" customHeight="1" x14ac:dyDescent="0.25">
      <c r="A11" s="230" t="s">
        <v>311</v>
      </c>
      <c r="B11" s="231" t="s">
        <v>312</v>
      </c>
      <c r="C11" s="232" t="s">
        <v>330</v>
      </c>
      <c r="D11" s="230" t="s">
        <v>264</v>
      </c>
      <c r="E11" s="230" t="s">
        <v>265</v>
      </c>
      <c r="F11" s="230" t="s">
        <v>265</v>
      </c>
      <c r="G11" s="230" t="s">
        <v>265</v>
      </c>
      <c r="H11" s="230" t="s">
        <v>281</v>
      </c>
      <c r="I11" s="230" t="s">
        <v>331</v>
      </c>
      <c r="J11" s="230"/>
      <c r="K11" s="230"/>
      <c r="L11" s="230"/>
      <c r="M11" s="230" t="s">
        <v>266</v>
      </c>
      <c r="N11" s="230" t="s">
        <v>280</v>
      </c>
      <c r="O11" s="230" t="s">
        <v>267</v>
      </c>
      <c r="P11" s="231" t="s">
        <v>332</v>
      </c>
      <c r="Q11" s="231"/>
      <c r="R11" s="233">
        <v>84000000</v>
      </c>
      <c r="S11" s="233">
        <v>4744000</v>
      </c>
      <c r="T11" s="233">
        <v>0</v>
      </c>
      <c r="U11" s="233">
        <v>88744000</v>
      </c>
      <c r="V11" s="233">
        <v>0</v>
      </c>
      <c r="W11" s="233">
        <v>88743533</v>
      </c>
      <c r="X11" s="233">
        <v>467</v>
      </c>
      <c r="Y11" s="233">
        <v>88743533</v>
      </c>
      <c r="Z11" s="233">
        <v>88743533</v>
      </c>
      <c r="AA11" s="233">
        <v>88743533</v>
      </c>
      <c r="AB11" s="233">
        <v>88743533</v>
      </c>
    </row>
    <row r="12" spans="1:28" ht="15" customHeight="1" x14ac:dyDescent="0.25">
      <c r="A12" s="230" t="s">
        <v>311</v>
      </c>
      <c r="B12" s="231" t="s">
        <v>312</v>
      </c>
      <c r="C12" s="232" t="s">
        <v>333</v>
      </c>
      <c r="D12" s="230" t="s">
        <v>264</v>
      </c>
      <c r="E12" s="230" t="s">
        <v>265</v>
      </c>
      <c r="F12" s="230" t="s">
        <v>265</v>
      </c>
      <c r="G12" s="230" t="s">
        <v>265</v>
      </c>
      <c r="H12" s="230" t="s">
        <v>281</v>
      </c>
      <c r="I12" s="230" t="s">
        <v>334</v>
      </c>
      <c r="J12" s="230"/>
      <c r="K12" s="230"/>
      <c r="L12" s="230"/>
      <c r="M12" s="230" t="s">
        <v>266</v>
      </c>
      <c r="N12" s="230" t="s">
        <v>280</v>
      </c>
      <c r="O12" s="230" t="s">
        <v>267</v>
      </c>
      <c r="P12" s="231" t="s">
        <v>335</v>
      </c>
      <c r="Q12" s="231"/>
      <c r="R12" s="233">
        <v>49000000</v>
      </c>
      <c r="S12" s="233">
        <v>0</v>
      </c>
      <c r="T12" s="233">
        <v>0</v>
      </c>
      <c r="U12" s="233">
        <v>49000000</v>
      </c>
      <c r="V12" s="233">
        <v>0</v>
      </c>
      <c r="W12" s="233">
        <v>36509503</v>
      </c>
      <c r="X12" s="233">
        <v>12490497</v>
      </c>
      <c r="Y12" s="233">
        <v>36509503</v>
      </c>
      <c r="Z12" s="233">
        <v>36509503</v>
      </c>
      <c r="AA12" s="233">
        <v>36509503</v>
      </c>
      <c r="AB12" s="233">
        <v>36509503</v>
      </c>
    </row>
    <row r="13" spans="1:28" ht="15" customHeight="1" x14ac:dyDescent="0.25">
      <c r="A13" s="230" t="s">
        <v>311</v>
      </c>
      <c r="B13" s="231" t="s">
        <v>312</v>
      </c>
      <c r="C13" s="232" t="s">
        <v>336</v>
      </c>
      <c r="D13" s="230" t="s">
        <v>264</v>
      </c>
      <c r="E13" s="230" t="s">
        <v>265</v>
      </c>
      <c r="F13" s="230" t="s">
        <v>265</v>
      </c>
      <c r="G13" s="230" t="s">
        <v>265</v>
      </c>
      <c r="H13" s="230" t="s">
        <v>281</v>
      </c>
      <c r="I13" s="230" t="s">
        <v>278</v>
      </c>
      <c r="J13" s="230"/>
      <c r="K13" s="230"/>
      <c r="L13" s="230"/>
      <c r="M13" s="230" t="s">
        <v>266</v>
      </c>
      <c r="N13" s="230" t="s">
        <v>280</v>
      </c>
      <c r="O13" s="230" t="s">
        <v>267</v>
      </c>
      <c r="P13" s="231" t="s">
        <v>337</v>
      </c>
      <c r="Q13" s="231"/>
      <c r="R13" s="233">
        <v>10000000</v>
      </c>
      <c r="S13" s="233">
        <v>10000000</v>
      </c>
      <c r="T13" s="233">
        <v>3755118</v>
      </c>
      <c r="U13" s="233">
        <v>16244882</v>
      </c>
      <c r="V13" s="233">
        <v>0</v>
      </c>
      <c r="W13" s="233">
        <v>16244882</v>
      </c>
      <c r="X13" s="233">
        <v>0</v>
      </c>
      <c r="Y13" s="233">
        <v>16244882</v>
      </c>
      <c r="Z13" s="233">
        <v>16244882</v>
      </c>
      <c r="AA13" s="233">
        <v>16244882</v>
      </c>
      <c r="AB13" s="233">
        <v>16244882</v>
      </c>
    </row>
    <row r="14" spans="1:28" ht="15" customHeight="1" x14ac:dyDescent="0.25">
      <c r="A14" s="230" t="s">
        <v>311</v>
      </c>
      <c r="B14" s="231" t="s">
        <v>312</v>
      </c>
      <c r="C14" s="232" t="s">
        <v>338</v>
      </c>
      <c r="D14" s="230" t="s">
        <v>264</v>
      </c>
      <c r="E14" s="230" t="s">
        <v>265</v>
      </c>
      <c r="F14" s="230" t="s">
        <v>265</v>
      </c>
      <c r="G14" s="230" t="s">
        <v>269</v>
      </c>
      <c r="H14" s="230" t="s">
        <v>281</v>
      </c>
      <c r="I14" s="230"/>
      <c r="J14" s="230"/>
      <c r="K14" s="230"/>
      <c r="L14" s="230"/>
      <c r="M14" s="230" t="s">
        <v>266</v>
      </c>
      <c r="N14" s="230" t="s">
        <v>280</v>
      </c>
      <c r="O14" s="230" t="s">
        <v>267</v>
      </c>
      <c r="P14" s="231" t="s">
        <v>339</v>
      </c>
      <c r="Q14" s="231"/>
      <c r="R14" s="233">
        <v>80000000</v>
      </c>
      <c r="S14" s="233">
        <v>9000000</v>
      </c>
      <c r="T14" s="233">
        <v>0</v>
      </c>
      <c r="U14" s="233">
        <v>89000000</v>
      </c>
      <c r="V14" s="233">
        <v>0</v>
      </c>
      <c r="W14" s="233">
        <v>84205600</v>
      </c>
      <c r="X14" s="233">
        <v>4794400</v>
      </c>
      <c r="Y14" s="233">
        <v>84205600</v>
      </c>
      <c r="Z14" s="233">
        <v>84205600</v>
      </c>
      <c r="AA14" s="233">
        <v>84205600</v>
      </c>
      <c r="AB14" s="233">
        <v>84205600</v>
      </c>
    </row>
    <row r="15" spans="1:28" ht="15" customHeight="1" x14ac:dyDescent="0.25">
      <c r="A15" s="230" t="s">
        <v>311</v>
      </c>
      <c r="B15" s="231" t="s">
        <v>312</v>
      </c>
      <c r="C15" s="232" t="s">
        <v>340</v>
      </c>
      <c r="D15" s="230" t="s">
        <v>264</v>
      </c>
      <c r="E15" s="230" t="s">
        <v>265</v>
      </c>
      <c r="F15" s="230" t="s">
        <v>265</v>
      </c>
      <c r="G15" s="230" t="s">
        <v>269</v>
      </c>
      <c r="H15" s="230" t="s">
        <v>283</v>
      </c>
      <c r="I15" s="230"/>
      <c r="J15" s="230"/>
      <c r="K15" s="230"/>
      <c r="L15" s="230"/>
      <c r="M15" s="230" t="s">
        <v>266</v>
      </c>
      <c r="N15" s="230" t="s">
        <v>280</v>
      </c>
      <c r="O15" s="230" t="s">
        <v>267</v>
      </c>
      <c r="P15" s="231" t="s">
        <v>341</v>
      </c>
      <c r="Q15" s="231"/>
      <c r="R15" s="233">
        <v>62000000</v>
      </c>
      <c r="S15" s="233">
        <v>0</v>
      </c>
      <c r="T15" s="233">
        <v>0</v>
      </c>
      <c r="U15" s="233">
        <v>62000000</v>
      </c>
      <c r="V15" s="233">
        <v>0</v>
      </c>
      <c r="W15" s="233">
        <v>60612000</v>
      </c>
      <c r="X15" s="233">
        <v>1388000</v>
      </c>
      <c r="Y15" s="233">
        <v>60612000</v>
      </c>
      <c r="Z15" s="233">
        <v>60612000</v>
      </c>
      <c r="AA15" s="233">
        <v>60612000</v>
      </c>
      <c r="AB15" s="233">
        <v>60612000</v>
      </c>
    </row>
    <row r="16" spans="1:28" ht="15" customHeight="1" x14ac:dyDescent="0.25">
      <c r="A16" s="230" t="s">
        <v>311</v>
      </c>
      <c r="B16" s="231" t="s">
        <v>312</v>
      </c>
      <c r="C16" s="232" t="s">
        <v>342</v>
      </c>
      <c r="D16" s="230" t="s">
        <v>264</v>
      </c>
      <c r="E16" s="230" t="s">
        <v>265</v>
      </c>
      <c r="F16" s="230" t="s">
        <v>265</v>
      </c>
      <c r="G16" s="230" t="s">
        <v>269</v>
      </c>
      <c r="H16" s="230" t="s">
        <v>319</v>
      </c>
      <c r="I16" s="230"/>
      <c r="J16" s="230"/>
      <c r="K16" s="230"/>
      <c r="L16" s="230"/>
      <c r="M16" s="230" t="s">
        <v>266</v>
      </c>
      <c r="N16" s="230" t="s">
        <v>280</v>
      </c>
      <c r="O16" s="230" t="s">
        <v>267</v>
      </c>
      <c r="P16" s="231" t="s">
        <v>343</v>
      </c>
      <c r="Q16" s="231"/>
      <c r="R16" s="233">
        <v>35000000</v>
      </c>
      <c r="S16" s="233">
        <v>2000000</v>
      </c>
      <c r="T16" s="233">
        <v>0</v>
      </c>
      <c r="U16" s="233">
        <v>37000000</v>
      </c>
      <c r="V16" s="233">
        <v>0</v>
      </c>
      <c r="W16" s="233">
        <v>33797500</v>
      </c>
      <c r="X16" s="233">
        <v>3202500</v>
      </c>
      <c r="Y16" s="233">
        <v>33797500</v>
      </c>
      <c r="Z16" s="233">
        <v>33797500</v>
      </c>
      <c r="AA16" s="233">
        <v>33797500</v>
      </c>
      <c r="AB16" s="233">
        <v>33797500</v>
      </c>
    </row>
    <row r="17" spans="1:28" ht="15" customHeight="1" x14ac:dyDescent="0.25">
      <c r="A17" s="230" t="s">
        <v>311</v>
      </c>
      <c r="B17" s="231" t="s">
        <v>312</v>
      </c>
      <c r="C17" s="232" t="s">
        <v>344</v>
      </c>
      <c r="D17" s="230" t="s">
        <v>264</v>
      </c>
      <c r="E17" s="230" t="s">
        <v>265</v>
      </c>
      <c r="F17" s="230" t="s">
        <v>265</v>
      </c>
      <c r="G17" s="230" t="s">
        <v>269</v>
      </c>
      <c r="H17" s="230" t="s">
        <v>322</v>
      </c>
      <c r="I17" s="230"/>
      <c r="J17" s="230"/>
      <c r="K17" s="230"/>
      <c r="L17" s="230"/>
      <c r="M17" s="230" t="s">
        <v>266</v>
      </c>
      <c r="N17" s="230" t="s">
        <v>280</v>
      </c>
      <c r="O17" s="230" t="s">
        <v>267</v>
      </c>
      <c r="P17" s="231" t="s">
        <v>345</v>
      </c>
      <c r="Q17" s="231"/>
      <c r="R17" s="233">
        <v>7000000</v>
      </c>
      <c r="S17" s="233">
        <v>1000000</v>
      </c>
      <c r="T17" s="233">
        <v>0</v>
      </c>
      <c r="U17" s="233">
        <v>8000000</v>
      </c>
      <c r="V17" s="233">
        <v>0</v>
      </c>
      <c r="W17" s="233">
        <v>7921900</v>
      </c>
      <c r="X17" s="233">
        <v>78100</v>
      </c>
      <c r="Y17" s="233">
        <v>7921900</v>
      </c>
      <c r="Z17" s="233">
        <v>7921900</v>
      </c>
      <c r="AA17" s="233">
        <v>7921900</v>
      </c>
      <c r="AB17" s="233">
        <v>7921900</v>
      </c>
    </row>
    <row r="18" spans="1:28" ht="15" customHeight="1" x14ac:dyDescent="0.25">
      <c r="A18" s="230" t="s">
        <v>311</v>
      </c>
      <c r="B18" s="231" t="s">
        <v>312</v>
      </c>
      <c r="C18" s="232" t="s">
        <v>346</v>
      </c>
      <c r="D18" s="230" t="s">
        <v>264</v>
      </c>
      <c r="E18" s="230" t="s">
        <v>265</v>
      </c>
      <c r="F18" s="230" t="s">
        <v>265</v>
      </c>
      <c r="G18" s="230" t="s">
        <v>269</v>
      </c>
      <c r="H18" s="230" t="s">
        <v>325</v>
      </c>
      <c r="I18" s="230"/>
      <c r="J18" s="230"/>
      <c r="K18" s="230"/>
      <c r="L18" s="230"/>
      <c r="M18" s="230" t="s">
        <v>266</v>
      </c>
      <c r="N18" s="230" t="s">
        <v>280</v>
      </c>
      <c r="O18" s="230" t="s">
        <v>267</v>
      </c>
      <c r="P18" s="231" t="s">
        <v>347</v>
      </c>
      <c r="Q18" s="231"/>
      <c r="R18" s="233">
        <v>27000000</v>
      </c>
      <c r="S18" s="233">
        <v>1000000</v>
      </c>
      <c r="T18" s="233">
        <v>0</v>
      </c>
      <c r="U18" s="233">
        <v>28000000</v>
      </c>
      <c r="V18" s="233">
        <v>0</v>
      </c>
      <c r="W18" s="233">
        <v>24752100</v>
      </c>
      <c r="X18" s="233">
        <v>3247900</v>
      </c>
      <c r="Y18" s="233">
        <v>24752100</v>
      </c>
      <c r="Z18" s="233">
        <v>24752100</v>
      </c>
      <c r="AA18" s="233">
        <v>24752100</v>
      </c>
      <c r="AB18" s="233">
        <v>24752100</v>
      </c>
    </row>
    <row r="19" spans="1:28" ht="15" customHeight="1" x14ac:dyDescent="0.25">
      <c r="A19" s="230" t="s">
        <v>311</v>
      </c>
      <c r="B19" s="231" t="s">
        <v>312</v>
      </c>
      <c r="C19" s="232" t="s">
        <v>348</v>
      </c>
      <c r="D19" s="230" t="s">
        <v>264</v>
      </c>
      <c r="E19" s="230" t="s">
        <v>265</v>
      </c>
      <c r="F19" s="230" t="s">
        <v>265</v>
      </c>
      <c r="G19" s="230" t="s">
        <v>269</v>
      </c>
      <c r="H19" s="230" t="s">
        <v>328</v>
      </c>
      <c r="I19" s="230"/>
      <c r="J19" s="230"/>
      <c r="K19" s="230"/>
      <c r="L19" s="230"/>
      <c r="M19" s="230" t="s">
        <v>266</v>
      </c>
      <c r="N19" s="230" t="s">
        <v>280</v>
      </c>
      <c r="O19" s="230" t="s">
        <v>267</v>
      </c>
      <c r="P19" s="231" t="s">
        <v>349</v>
      </c>
      <c r="Q19" s="231"/>
      <c r="R19" s="233">
        <v>4000000</v>
      </c>
      <c r="S19" s="233">
        <v>13505000</v>
      </c>
      <c r="T19" s="233">
        <v>0</v>
      </c>
      <c r="U19" s="233">
        <v>17505000</v>
      </c>
      <c r="V19" s="233">
        <v>0</v>
      </c>
      <c r="W19" s="233">
        <v>17504100</v>
      </c>
      <c r="X19" s="233">
        <v>900</v>
      </c>
      <c r="Y19" s="233">
        <v>17504100</v>
      </c>
      <c r="Z19" s="233">
        <v>17504100</v>
      </c>
      <c r="AA19" s="233">
        <v>17504100</v>
      </c>
      <c r="AB19" s="233">
        <v>17504100</v>
      </c>
    </row>
    <row r="20" spans="1:28" ht="15" customHeight="1" x14ac:dyDescent="0.25">
      <c r="A20" s="230" t="s">
        <v>311</v>
      </c>
      <c r="B20" s="231" t="s">
        <v>312</v>
      </c>
      <c r="C20" s="232" t="s">
        <v>350</v>
      </c>
      <c r="D20" s="230" t="s">
        <v>264</v>
      </c>
      <c r="E20" s="230" t="s">
        <v>265</v>
      </c>
      <c r="F20" s="230" t="s">
        <v>265</v>
      </c>
      <c r="G20" s="230" t="s">
        <v>269</v>
      </c>
      <c r="H20" s="230" t="s">
        <v>351</v>
      </c>
      <c r="I20" s="230"/>
      <c r="J20" s="230"/>
      <c r="K20" s="230"/>
      <c r="L20" s="230"/>
      <c r="M20" s="230" t="s">
        <v>266</v>
      </c>
      <c r="N20" s="230" t="s">
        <v>280</v>
      </c>
      <c r="O20" s="230" t="s">
        <v>267</v>
      </c>
      <c r="P20" s="231" t="s">
        <v>352</v>
      </c>
      <c r="Q20" s="231"/>
      <c r="R20" s="233">
        <v>4000000</v>
      </c>
      <c r="S20" s="233">
        <v>0</v>
      </c>
      <c r="T20" s="233">
        <v>4000000</v>
      </c>
      <c r="U20" s="233">
        <v>0</v>
      </c>
      <c r="V20" s="233">
        <v>0</v>
      </c>
      <c r="W20" s="233">
        <v>0</v>
      </c>
      <c r="X20" s="233">
        <v>0</v>
      </c>
      <c r="Y20" s="233">
        <v>0</v>
      </c>
      <c r="Z20" s="233">
        <v>0</v>
      </c>
      <c r="AA20" s="233">
        <v>0</v>
      </c>
      <c r="AB20" s="233">
        <v>0</v>
      </c>
    </row>
    <row r="21" spans="1:28" ht="15" customHeight="1" x14ac:dyDescent="0.25">
      <c r="A21" s="230" t="s">
        <v>311</v>
      </c>
      <c r="B21" s="231" t="s">
        <v>312</v>
      </c>
      <c r="C21" s="232" t="s">
        <v>353</v>
      </c>
      <c r="D21" s="230" t="s">
        <v>264</v>
      </c>
      <c r="E21" s="230" t="s">
        <v>265</v>
      </c>
      <c r="F21" s="230" t="s">
        <v>265</v>
      </c>
      <c r="G21" s="230" t="s">
        <v>269</v>
      </c>
      <c r="H21" s="230" t="s">
        <v>331</v>
      </c>
      <c r="I21" s="230"/>
      <c r="J21" s="230"/>
      <c r="K21" s="230"/>
      <c r="L21" s="230"/>
      <c r="M21" s="230" t="s">
        <v>266</v>
      </c>
      <c r="N21" s="230" t="s">
        <v>280</v>
      </c>
      <c r="O21" s="230" t="s">
        <v>267</v>
      </c>
      <c r="P21" s="231" t="s">
        <v>354</v>
      </c>
      <c r="Q21" s="231"/>
      <c r="R21" s="233">
        <v>8000000</v>
      </c>
      <c r="S21" s="233">
        <v>0</v>
      </c>
      <c r="T21" s="233">
        <v>8000000</v>
      </c>
      <c r="U21" s="233">
        <v>0</v>
      </c>
      <c r="V21" s="233">
        <v>0</v>
      </c>
      <c r="W21" s="233">
        <v>0</v>
      </c>
      <c r="X21" s="233">
        <v>0</v>
      </c>
      <c r="Y21" s="233">
        <v>0</v>
      </c>
      <c r="Z21" s="233">
        <v>0</v>
      </c>
      <c r="AA21" s="233">
        <v>0</v>
      </c>
      <c r="AB21" s="233">
        <v>0</v>
      </c>
    </row>
    <row r="22" spans="1:28" ht="15" customHeight="1" x14ac:dyDescent="0.25">
      <c r="A22" s="230" t="s">
        <v>311</v>
      </c>
      <c r="B22" s="231" t="s">
        <v>312</v>
      </c>
      <c r="C22" s="232" t="s">
        <v>355</v>
      </c>
      <c r="D22" s="230" t="s">
        <v>264</v>
      </c>
      <c r="E22" s="230" t="s">
        <v>265</v>
      </c>
      <c r="F22" s="230" t="s">
        <v>265</v>
      </c>
      <c r="G22" s="230" t="s">
        <v>271</v>
      </c>
      <c r="H22" s="230" t="s">
        <v>281</v>
      </c>
      <c r="I22" s="230" t="s">
        <v>281</v>
      </c>
      <c r="J22" s="230"/>
      <c r="K22" s="230"/>
      <c r="L22" s="230"/>
      <c r="M22" s="230" t="s">
        <v>266</v>
      </c>
      <c r="N22" s="230" t="s">
        <v>280</v>
      </c>
      <c r="O22" s="230" t="s">
        <v>267</v>
      </c>
      <c r="P22" s="231" t="s">
        <v>356</v>
      </c>
      <c r="Q22" s="231"/>
      <c r="R22" s="233">
        <v>52000000</v>
      </c>
      <c r="S22" s="233">
        <v>0</v>
      </c>
      <c r="T22" s="233">
        <v>0</v>
      </c>
      <c r="U22" s="233">
        <v>52000000</v>
      </c>
      <c r="V22" s="233">
        <v>0</v>
      </c>
      <c r="W22" s="233">
        <v>38096363</v>
      </c>
      <c r="X22" s="233">
        <v>13903637</v>
      </c>
      <c r="Y22" s="233">
        <v>38096363</v>
      </c>
      <c r="Z22" s="233">
        <v>38096363</v>
      </c>
      <c r="AA22" s="233">
        <v>38096363</v>
      </c>
      <c r="AB22" s="233">
        <v>38096363</v>
      </c>
    </row>
    <row r="23" spans="1:28" ht="15" customHeight="1" x14ac:dyDescent="0.25">
      <c r="A23" s="230" t="s">
        <v>311</v>
      </c>
      <c r="B23" s="231" t="s">
        <v>312</v>
      </c>
      <c r="C23" s="232" t="s">
        <v>357</v>
      </c>
      <c r="D23" s="230" t="s">
        <v>264</v>
      </c>
      <c r="E23" s="230" t="s">
        <v>265</v>
      </c>
      <c r="F23" s="230" t="s">
        <v>265</v>
      </c>
      <c r="G23" s="230" t="s">
        <v>271</v>
      </c>
      <c r="H23" s="230" t="s">
        <v>281</v>
      </c>
      <c r="I23" s="230" t="s">
        <v>283</v>
      </c>
      <c r="J23" s="230"/>
      <c r="K23" s="230"/>
      <c r="L23" s="230"/>
      <c r="M23" s="230" t="s">
        <v>266</v>
      </c>
      <c r="N23" s="230" t="s">
        <v>280</v>
      </c>
      <c r="O23" s="230" t="s">
        <v>267</v>
      </c>
      <c r="P23" s="231" t="s">
        <v>358</v>
      </c>
      <c r="Q23" s="231"/>
      <c r="R23" s="233">
        <v>0</v>
      </c>
      <c r="S23" s="233">
        <v>1422500</v>
      </c>
      <c r="T23" s="233">
        <v>0</v>
      </c>
      <c r="U23" s="233">
        <v>1422500</v>
      </c>
      <c r="V23" s="233">
        <v>0</v>
      </c>
      <c r="W23" s="233">
        <v>1306171</v>
      </c>
      <c r="X23" s="233">
        <v>116329</v>
      </c>
      <c r="Y23" s="233">
        <v>1306171</v>
      </c>
      <c r="Z23" s="233">
        <v>1306171</v>
      </c>
      <c r="AA23" s="233">
        <v>1306171</v>
      </c>
      <c r="AB23" s="233">
        <v>1306171</v>
      </c>
    </row>
    <row r="24" spans="1:28" ht="15" customHeight="1" x14ac:dyDescent="0.25">
      <c r="A24" s="230" t="s">
        <v>311</v>
      </c>
      <c r="B24" s="231" t="s">
        <v>312</v>
      </c>
      <c r="C24" s="232" t="s">
        <v>359</v>
      </c>
      <c r="D24" s="230" t="s">
        <v>264</v>
      </c>
      <c r="E24" s="230" t="s">
        <v>265</v>
      </c>
      <c r="F24" s="230" t="s">
        <v>265</v>
      </c>
      <c r="G24" s="230" t="s">
        <v>271</v>
      </c>
      <c r="H24" s="230" t="s">
        <v>281</v>
      </c>
      <c r="I24" s="230" t="s">
        <v>316</v>
      </c>
      <c r="J24" s="230"/>
      <c r="K24" s="230"/>
      <c r="L24" s="230"/>
      <c r="M24" s="230" t="s">
        <v>266</v>
      </c>
      <c r="N24" s="230" t="s">
        <v>280</v>
      </c>
      <c r="O24" s="230" t="s">
        <v>267</v>
      </c>
      <c r="P24" s="231" t="s">
        <v>360</v>
      </c>
      <c r="Q24" s="231"/>
      <c r="R24" s="233">
        <v>4000000</v>
      </c>
      <c r="S24" s="233">
        <v>0</v>
      </c>
      <c r="T24" s="233">
        <v>0</v>
      </c>
      <c r="U24" s="233">
        <v>4000000</v>
      </c>
      <c r="V24" s="233">
        <v>0</v>
      </c>
      <c r="W24" s="233">
        <v>2967860</v>
      </c>
      <c r="X24" s="233">
        <v>1032140</v>
      </c>
      <c r="Y24" s="233">
        <v>2967860</v>
      </c>
      <c r="Z24" s="233">
        <v>2967860</v>
      </c>
      <c r="AA24" s="233">
        <v>2967860</v>
      </c>
      <c r="AB24" s="233">
        <v>2967860</v>
      </c>
    </row>
    <row r="25" spans="1:28" ht="15" customHeight="1" x14ac:dyDescent="0.25">
      <c r="A25" s="230" t="s">
        <v>311</v>
      </c>
      <c r="B25" s="231" t="s">
        <v>312</v>
      </c>
      <c r="C25" s="232" t="s">
        <v>361</v>
      </c>
      <c r="D25" s="230" t="s">
        <v>264</v>
      </c>
      <c r="E25" s="230" t="s">
        <v>265</v>
      </c>
      <c r="F25" s="230" t="s">
        <v>265</v>
      </c>
      <c r="G25" s="230" t="s">
        <v>271</v>
      </c>
      <c r="H25" s="230" t="s">
        <v>283</v>
      </c>
      <c r="I25" s="230"/>
      <c r="J25" s="230"/>
      <c r="K25" s="230"/>
      <c r="L25" s="230"/>
      <c r="M25" s="230" t="s">
        <v>266</v>
      </c>
      <c r="N25" s="230" t="s">
        <v>280</v>
      </c>
      <c r="O25" s="230" t="s">
        <v>267</v>
      </c>
      <c r="P25" s="231" t="s">
        <v>362</v>
      </c>
      <c r="Q25" s="231"/>
      <c r="R25" s="233">
        <v>29000000</v>
      </c>
      <c r="S25" s="233">
        <v>0</v>
      </c>
      <c r="T25" s="233">
        <v>0</v>
      </c>
      <c r="U25" s="233">
        <v>29000000</v>
      </c>
      <c r="V25" s="233">
        <v>0</v>
      </c>
      <c r="W25" s="233">
        <v>20678991</v>
      </c>
      <c r="X25" s="233">
        <v>8321009</v>
      </c>
      <c r="Y25" s="233">
        <v>20678991</v>
      </c>
      <c r="Z25" s="233">
        <v>20678991</v>
      </c>
      <c r="AA25" s="233">
        <v>20678991</v>
      </c>
      <c r="AB25" s="233">
        <v>20678991</v>
      </c>
    </row>
    <row r="26" spans="1:28" ht="15" customHeight="1" x14ac:dyDescent="0.25">
      <c r="A26" s="230" t="s">
        <v>311</v>
      </c>
      <c r="B26" s="231" t="s">
        <v>312</v>
      </c>
      <c r="C26" s="232" t="s">
        <v>363</v>
      </c>
      <c r="D26" s="230" t="s">
        <v>264</v>
      </c>
      <c r="E26" s="230" t="s">
        <v>269</v>
      </c>
      <c r="F26" s="230" t="s">
        <v>269</v>
      </c>
      <c r="G26" s="230" t="s">
        <v>269</v>
      </c>
      <c r="H26" s="230" t="s">
        <v>325</v>
      </c>
      <c r="I26" s="230" t="s">
        <v>319</v>
      </c>
      <c r="J26" s="230"/>
      <c r="K26" s="230"/>
      <c r="L26" s="230"/>
      <c r="M26" s="230" t="s">
        <v>266</v>
      </c>
      <c r="N26" s="230" t="s">
        <v>280</v>
      </c>
      <c r="O26" s="230" t="s">
        <v>267</v>
      </c>
      <c r="P26" s="231" t="s">
        <v>364</v>
      </c>
      <c r="Q26" s="231"/>
      <c r="R26" s="233">
        <v>0</v>
      </c>
      <c r="S26" s="233">
        <v>120000</v>
      </c>
      <c r="T26" s="233">
        <v>0</v>
      </c>
      <c r="U26" s="233">
        <v>120000</v>
      </c>
      <c r="V26" s="233">
        <v>0</v>
      </c>
      <c r="W26" s="233">
        <v>120000</v>
      </c>
      <c r="X26" s="233">
        <v>0</v>
      </c>
      <c r="Y26" s="233">
        <v>120000</v>
      </c>
      <c r="Z26" s="233">
        <v>120000</v>
      </c>
      <c r="AA26" s="233">
        <v>120000</v>
      </c>
      <c r="AB26" s="233">
        <v>120000</v>
      </c>
    </row>
    <row r="27" spans="1:28" ht="15" customHeight="1" x14ac:dyDescent="0.25">
      <c r="A27" s="230" t="s">
        <v>311</v>
      </c>
      <c r="B27" s="231" t="s">
        <v>312</v>
      </c>
      <c r="C27" s="232" t="s">
        <v>363</v>
      </c>
      <c r="D27" s="230" t="s">
        <v>264</v>
      </c>
      <c r="E27" s="230" t="s">
        <v>269</v>
      </c>
      <c r="F27" s="230" t="s">
        <v>269</v>
      </c>
      <c r="G27" s="230" t="s">
        <v>269</v>
      </c>
      <c r="H27" s="230" t="s">
        <v>325</v>
      </c>
      <c r="I27" s="230" t="s">
        <v>319</v>
      </c>
      <c r="J27" s="230"/>
      <c r="K27" s="230"/>
      <c r="L27" s="230"/>
      <c r="M27" s="230" t="s">
        <v>273</v>
      </c>
      <c r="N27" s="230" t="s">
        <v>34</v>
      </c>
      <c r="O27" s="230" t="s">
        <v>267</v>
      </c>
      <c r="P27" s="231" t="s">
        <v>364</v>
      </c>
      <c r="Q27" s="231"/>
      <c r="R27" s="233">
        <v>0</v>
      </c>
      <c r="S27" s="233">
        <v>210000</v>
      </c>
      <c r="T27" s="233">
        <v>0</v>
      </c>
      <c r="U27" s="233">
        <v>210000</v>
      </c>
      <c r="V27" s="233">
        <v>0</v>
      </c>
      <c r="W27" s="233">
        <v>210000</v>
      </c>
      <c r="X27" s="233">
        <v>0</v>
      </c>
      <c r="Y27" s="233">
        <v>210000</v>
      </c>
      <c r="Z27" s="233">
        <v>210000</v>
      </c>
      <c r="AA27" s="233">
        <v>210000</v>
      </c>
      <c r="AB27" s="233">
        <v>210000</v>
      </c>
    </row>
    <row r="28" spans="1:28" ht="15" customHeight="1" x14ac:dyDescent="0.25">
      <c r="A28" s="230" t="s">
        <v>311</v>
      </c>
      <c r="B28" s="231" t="s">
        <v>312</v>
      </c>
      <c r="C28" s="232" t="s">
        <v>365</v>
      </c>
      <c r="D28" s="230" t="s">
        <v>264</v>
      </c>
      <c r="E28" s="230" t="s">
        <v>269</v>
      </c>
      <c r="F28" s="230" t="s">
        <v>269</v>
      </c>
      <c r="G28" s="230" t="s">
        <v>269</v>
      </c>
      <c r="H28" s="230" t="s">
        <v>325</v>
      </c>
      <c r="I28" s="230" t="s">
        <v>331</v>
      </c>
      <c r="J28" s="230"/>
      <c r="K28" s="230"/>
      <c r="L28" s="230"/>
      <c r="M28" s="230" t="s">
        <v>266</v>
      </c>
      <c r="N28" s="230" t="s">
        <v>280</v>
      </c>
      <c r="O28" s="230" t="s">
        <v>267</v>
      </c>
      <c r="P28" s="231" t="s">
        <v>366</v>
      </c>
      <c r="Q28" s="231"/>
      <c r="R28" s="233">
        <v>61000000</v>
      </c>
      <c r="S28" s="233">
        <v>50100000</v>
      </c>
      <c r="T28" s="233">
        <v>0</v>
      </c>
      <c r="U28" s="233">
        <v>111100000</v>
      </c>
      <c r="V28" s="233">
        <v>0</v>
      </c>
      <c r="W28" s="233">
        <v>111100000</v>
      </c>
      <c r="X28" s="233">
        <v>0</v>
      </c>
      <c r="Y28" s="233">
        <v>103655983</v>
      </c>
      <c r="Z28" s="233">
        <v>103655983</v>
      </c>
      <c r="AA28" s="233">
        <v>103655983</v>
      </c>
      <c r="AB28" s="233">
        <v>103655983</v>
      </c>
    </row>
    <row r="29" spans="1:28" ht="15" customHeight="1" x14ac:dyDescent="0.25">
      <c r="A29" s="230" t="s">
        <v>311</v>
      </c>
      <c r="B29" s="231" t="s">
        <v>312</v>
      </c>
      <c r="C29" s="232" t="s">
        <v>367</v>
      </c>
      <c r="D29" s="230" t="s">
        <v>264</v>
      </c>
      <c r="E29" s="230" t="s">
        <v>269</v>
      </c>
      <c r="F29" s="230" t="s">
        <v>269</v>
      </c>
      <c r="G29" s="230" t="s">
        <v>269</v>
      </c>
      <c r="H29" s="230" t="s">
        <v>351</v>
      </c>
      <c r="I29" s="230" t="s">
        <v>319</v>
      </c>
      <c r="J29" s="230"/>
      <c r="K29" s="230"/>
      <c r="L29" s="230"/>
      <c r="M29" s="230" t="s">
        <v>266</v>
      </c>
      <c r="N29" s="230" t="s">
        <v>280</v>
      </c>
      <c r="O29" s="230" t="s">
        <v>267</v>
      </c>
      <c r="P29" s="231" t="s">
        <v>368</v>
      </c>
      <c r="Q29" s="231"/>
      <c r="R29" s="233">
        <v>400000</v>
      </c>
      <c r="S29" s="233">
        <v>0</v>
      </c>
      <c r="T29" s="233">
        <v>400000</v>
      </c>
      <c r="U29" s="233">
        <v>0</v>
      </c>
      <c r="V29" s="233">
        <v>0</v>
      </c>
      <c r="W29" s="233">
        <v>0</v>
      </c>
      <c r="X29" s="233">
        <v>0</v>
      </c>
      <c r="Y29" s="233">
        <v>0</v>
      </c>
      <c r="Z29" s="233">
        <v>0</v>
      </c>
      <c r="AA29" s="233">
        <v>0</v>
      </c>
      <c r="AB29" s="233">
        <v>0</v>
      </c>
    </row>
    <row r="30" spans="1:28" ht="15" customHeight="1" x14ac:dyDescent="0.25">
      <c r="A30" s="230" t="s">
        <v>311</v>
      </c>
      <c r="B30" s="231" t="s">
        <v>312</v>
      </c>
      <c r="C30" s="232" t="s">
        <v>369</v>
      </c>
      <c r="D30" s="230" t="s">
        <v>264</v>
      </c>
      <c r="E30" s="230" t="s">
        <v>269</v>
      </c>
      <c r="F30" s="230" t="s">
        <v>269</v>
      </c>
      <c r="G30" s="230" t="s">
        <v>269</v>
      </c>
      <c r="H30" s="230" t="s">
        <v>331</v>
      </c>
      <c r="I30" s="230" t="s">
        <v>319</v>
      </c>
      <c r="J30" s="230"/>
      <c r="K30" s="230"/>
      <c r="L30" s="230"/>
      <c r="M30" s="230" t="s">
        <v>266</v>
      </c>
      <c r="N30" s="230" t="s">
        <v>280</v>
      </c>
      <c r="O30" s="230" t="s">
        <v>267</v>
      </c>
      <c r="P30" s="231" t="s">
        <v>370</v>
      </c>
      <c r="Q30" s="231"/>
      <c r="R30" s="233">
        <v>1500000</v>
      </c>
      <c r="S30" s="233">
        <v>11164400</v>
      </c>
      <c r="T30" s="233">
        <v>9264400</v>
      </c>
      <c r="U30" s="233">
        <v>3400000</v>
      </c>
      <c r="V30" s="233">
        <v>0</v>
      </c>
      <c r="W30" s="233">
        <v>3400000</v>
      </c>
      <c r="X30" s="233">
        <v>0</v>
      </c>
      <c r="Y30" s="233">
        <v>3107352</v>
      </c>
      <c r="Z30" s="233">
        <v>3107352</v>
      </c>
      <c r="AA30" s="233">
        <v>3107352</v>
      </c>
      <c r="AB30" s="233">
        <v>3107352</v>
      </c>
    </row>
    <row r="31" spans="1:28" ht="15" customHeight="1" x14ac:dyDescent="0.25">
      <c r="A31" s="230" t="s">
        <v>311</v>
      </c>
      <c r="B31" s="231" t="s">
        <v>312</v>
      </c>
      <c r="C31" s="232" t="s">
        <v>371</v>
      </c>
      <c r="D31" s="230" t="s">
        <v>264</v>
      </c>
      <c r="E31" s="230" t="s">
        <v>269</v>
      </c>
      <c r="F31" s="230" t="s">
        <v>269</v>
      </c>
      <c r="G31" s="230" t="s">
        <v>269</v>
      </c>
      <c r="H31" s="230" t="s">
        <v>334</v>
      </c>
      <c r="I31" s="230"/>
      <c r="J31" s="230"/>
      <c r="K31" s="230"/>
      <c r="L31" s="230"/>
      <c r="M31" s="230" t="s">
        <v>266</v>
      </c>
      <c r="N31" s="230" t="s">
        <v>280</v>
      </c>
      <c r="O31" s="230" t="s">
        <v>267</v>
      </c>
      <c r="P31" s="231" t="s">
        <v>372</v>
      </c>
      <c r="Q31" s="231"/>
      <c r="R31" s="233">
        <v>0</v>
      </c>
      <c r="S31" s="233">
        <v>2421346</v>
      </c>
      <c r="T31" s="233">
        <v>0</v>
      </c>
      <c r="U31" s="233">
        <v>2421346</v>
      </c>
      <c r="V31" s="233">
        <v>0</v>
      </c>
      <c r="W31" s="233">
        <v>2421346</v>
      </c>
      <c r="X31" s="233">
        <v>0</v>
      </c>
      <c r="Y31" s="233">
        <v>2421346</v>
      </c>
      <c r="Z31" s="233">
        <v>2421346</v>
      </c>
      <c r="AA31" s="233">
        <v>2421346</v>
      </c>
      <c r="AB31" s="233">
        <v>2421346</v>
      </c>
    </row>
    <row r="32" spans="1:28" ht="15" customHeight="1" x14ac:dyDescent="0.25">
      <c r="A32" s="230" t="s">
        <v>311</v>
      </c>
      <c r="B32" s="231" t="s">
        <v>312</v>
      </c>
      <c r="C32" s="232" t="s">
        <v>373</v>
      </c>
      <c r="D32" s="230" t="s">
        <v>264</v>
      </c>
      <c r="E32" s="230" t="s">
        <v>271</v>
      </c>
      <c r="F32" s="230" t="s">
        <v>277</v>
      </c>
      <c r="G32" s="230" t="s">
        <v>269</v>
      </c>
      <c r="H32" s="230" t="s">
        <v>278</v>
      </c>
      <c r="I32" s="230" t="s">
        <v>281</v>
      </c>
      <c r="J32" s="230"/>
      <c r="K32" s="230"/>
      <c r="L32" s="230"/>
      <c r="M32" s="230" t="s">
        <v>266</v>
      </c>
      <c r="N32" s="230" t="s">
        <v>280</v>
      </c>
      <c r="O32" s="230" t="s">
        <v>267</v>
      </c>
      <c r="P32" s="231" t="s">
        <v>374</v>
      </c>
      <c r="Q32" s="231"/>
      <c r="R32" s="233">
        <v>0</v>
      </c>
      <c r="S32" s="233">
        <v>1715000</v>
      </c>
      <c r="T32" s="233">
        <v>0</v>
      </c>
      <c r="U32" s="233">
        <v>1715000</v>
      </c>
      <c r="V32" s="233">
        <v>0</v>
      </c>
      <c r="W32" s="233">
        <v>1099394</v>
      </c>
      <c r="X32" s="233">
        <v>615606</v>
      </c>
      <c r="Y32" s="233">
        <v>1099394</v>
      </c>
      <c r="Z32" s="233">
        <v>1099394</v>
      </c>
      <c r="AA32" s="233">
        <v>1099394</v>
      </c>
      <c r="AB32" s="233">
        <v>1099394</v>
      </c>
    </row>
    <row r="33" spans="1:28" ht="15" customHeight="1" x14ac:dyDescent="0.25">
      <c r="A33" s="230" t="s">
        <v>311</v>
      </c>
      <c r="B33" s="231" t="s">
        <v>312</v>
      </c>
      <c r="C33" s="232" t="s">
        <v>375</v>
      </c>
      <c r="D33" s="230" t="s">
        <v>264</v>
      </c>
      <c r="E33" s="230" t="s">
        <v>285</v>
      </c>
      <c r="F33" s="230" t="s">
        <v>265</v>
      </c>
      <c r="G33" s="230" t="s">
        <v>269</v>
      </c>
      <c r="H33" s="230" t="s">
        <v>281</v>
      </c>
      <c r="I33" s="230"/>
      <c r="J33" s="230"/>
      <c r="K33" s="230"/>
      <c r="L33" s="230"/>
      <c r="M33" s="230" t="s">
        <v>266</v>
      </c>
      <c r="N33" s="230" t="s">
        <v>280</v>
      </c>
      <c r="O33" s="230" t="s">
        <v>267</v>
      </c>
      <c r="P33" s="231" t="s">
        <v>376</v>
      </c>
      <c r="Q33" s="231"/>
      <c r="R33" s="233">
        <v>0</v>
      </c>
      <c r="S33" s="233">
        <v>18286020</v>
      </c>
      <c r="T33" s="233">
        <v>0</v>
      </c>
      <c r="U33" s="233">
        <v>18286020</v>
      </c>
      <c r="V33" s="233">
        <v>0</v>
      </c>
      <c r="W33" s="233">
        <v>18286020</v>
      </c>
      <c r="X33" s="233">
        <v>0</v>
      </c>
      <c r="Y33" s="233">
        <v>18286020</v>
      </c>
      <c r="Z33" s="233">
        <v>18286020</v>
      </c>
      <c r="AA33" s="233">
        <v>18286020</v>
      </c>
      <c r="AB33" s="233">
        <v>18286020</v>
      </c>
    </row>
    <row r="34" spans="1:28" ht="15" customHeight="1" x14ac:dyDescent="0.25">
      <c r="A34" s="230" t="s">
        <v>311</v>
      </c>
      <c r="B34" s="231" t="s">
        <v>312</v>
      </c>
      <c r="C34" s="232" t="s">
        <v>377</v>
      </c>
      <c r="D34" s="230" t="s">
        <v>264</v>
      </c>
      <c r="E34" s="230" t="s">
        <v>285</v>
      </c>
      <c r="F34" s="230" t="s">
        <v>265</v>
      </c>
      <c r="G34" s="230" t="s">
        <v>269</v>
      </c>
      <c r="H34" s="230" t="s">
        <v>316</v>
      </c>
      <c r="I34" s="230"/>
      <c r="J34" s="230"/>
      <c r="K34" s="230"/>
      <c r="L34" s="230"/>
      <c r="M34" s="230" t="s">
        <v>273</v>
      </c>
      <c r="N34" s="230" t="s">
        <v>34</v>
      </c>
      <c r="O34" s="230" t="s">
        <v>267</v>
      </c>
      <c r="P34" s="231" t="s">
        <v>378</v>
      </c>
      <c r="Q34" s="231"/>
      <c r="R34" s="233">
        <v>0</v>
      </c>
      <c r="S34" s="233">
        <v>1102567</v>
      </c>
      <c r="T34" s="233">
        <v>49720</v>
      </c>
      <c r="U34" s="233">
        <v>1052847</v>
      </c>
      <c r="V34" s="233">
        <v>0</v>
      </c>
      <c r="W34" s="233">
        <v>1052847</v>
      </c>
      <c r="X34" s="233">
        <v>0</v>
      </c>
      <c r="Y34" s="233">
        <v>1052847</v>
      </c>
      <c r="Z34" s="233">
        <v>1052847</v>
      </c>
      <c r="AA34" s="233">
        <v>1052847</v>
      </c>
      <c r="AB34" s="233">
        <v>1052847</v>
      </c>
    </row>
    <row r="35" spans="1:28" ht="15" customHeight="1" x14ac:dyDescent="0.25">
      <c r="A35" s="230" t="s">
        <v>311</v>
      </c>
      <c r="B35" s="231" t="s">
        <v>312</v>
      </c>
      <c r="C35" s="232" t="s">
        <v>379</v>
      </c>
      <c r="D35" s="230" t="s">
        <v>264</v>
      </c>
      <c r="E35" s="230" t="s">
        <v>285</v>
      </c>
      <c r="F35" s="230" t="s">
        <v>265</v>
      </c>
      <c r="G35" s="230" t="s">
        <v>269</v>
      </c>
      <c r="H35" s="230" t="s">
        <v>325</v>
      </c>
      <c r="I35" s="230"/>
      <c r="J35" s="230"/>
      <c r="K35" s="230"/>
      <c r="L35" s="230"/>
      <c r="M35" s="230" t="s">
        <v>266</v>
      </c>
      <c r="N35" s="230" t="s">
        <v>280</v>
      </c>
      <c r="O35" s="230" t="s">
        <v>267</v>
      </c>
      <c r="P35" s="231" t="s">
        <v>380</v>
      </c>
      <c r="Q35" s="231"/>
      <c r="R35" s="233">
        <v>0</v>
      </c>
      <c r="S35" s="233">
        <v>951852</v>
      </c>
      <c r="T35" s="233">
        <v>0</v>
      </c>
      <c r="U35" s="233">
        <v>951852</v>
      </c>
      <c r="V35" s="233">
        <v>0</v>
      </c>
      <c r="W35" s="233">
        <v>687399</v>
      </c>
      <c r="X35" s="233">
        <v>264453</v>
      </c>
      <c r="Y35" s="233">
        <v>687399</v>
      </c>
      <c r="Z35" s="233">
        <v>687399</v>
      </c>
      <c r="AA35" s="233">
        <v>687399</v>
      </c>
      <c r="AB35" s="233">
        <v>687399</v>
      </c>
    </row>
    <row r="36" spans="1:28" ht="15" customHeight="1" x14ac:dyDescent="0.25">
      <c r="A36" s="230" t="s">
        <v>381</v>
      </c>
      <c r="B36" s="231" t="s">
        <v>382</v>
      </c>
      <c r="C36" s="232" t="s">
        <v>313</v>
      </c>
      <c r="D36" s="230" t="s">
        <v>264</v>
      </c>
      <c r="E36" s="230" t="s">
        <v>265</v>
      </c>
      <c r="F36" s="230" t="s">
        <v>265</v>
      </c>
      <c r="G36" s="230" t="s">
        <v>265</v>
      </c>
      <c r="H36" s="230" t="s">
        <v>281</v>
      </c>
      <c r="I36" s="230" t="s">
        <v>281</v>
      </c>
      <c r="J36" s="230"/>
      <c r="K36" s="230"/>
      <c r="L36" s="230"/>
      <c r="M36" s="230" t="s">
        <v>266</v>
      </c>
      <c r="N36" s="230" t="s">
        <v>280</v>
      </c>
      <c r="O36" s="230" t="s">
        <v>267</v>
      </c>
      <c r="P36" s="231" t="s">
        <v>314</v>
      </c>
      <c r="Q36" s="231"/>
      <c r="R36" s="233">
        <v>529000000</v>
      </c>
      <c r="S36" s="233">
        <v>0</v>
      </c>
      <c r="T36" s="233">
        <v>0</v>
      </c>
      <c r="U36" s="233">
        <v>529000000</v>
      </c>
      <c r="V36" s="233">
        <v>0</v>
      </c>
      <c r="W36" s="233">
        <v>418664237</v>
      </c>
      <c r="X36" s="233">
        <v>110335763</v>
      </c>
      <c r="Y36" s="233">
        <v>418664237</v>
      </c>
      <c r="Z36" s="233">
        <v>418664237</v>
      </c>
      <c r="AA36" s="233">
        <v>418664237</v>
      </c>
      <c r="AB36" s="233">
        <v>418664237</v>
      </c>
    </row>
    <row r="37" spans="1:28" ht="15" customHeight="1" x14ac:dyDescent="0.25">
      <c r="A37" s="230" t="s">
        <v>381</v>
      </c>
      <c r="B37" s="231" t="s">
        <v>382</v>
      </c>
      <c r="C37" s="232" t="s">
        <v>315</v>
      </c>
      <c r="D37" s="230" t="s">
        <v>264</v>
      </c>
      <c r="E37" s="230" t="s">
        <v>265</v>
      </c>
      <c r="F37" s="230" t="s">
        <v>265</v>
      </c>
      <c r="G37" s="230" t="s">
        <v>265</v>
      </c>
      <c r="H37" s="230" t="s">
        <v>281</v>
      </c>
      <c r="I37" s="230" t="s">
        <v>316</v>
      </c>
      <c r="J37" s="230"/>
      <c r="K37" s="230"/>
      <c r="L37" s="230"/>
      <c r="M37" s="230" t="s">
        <v>266</v>
      </c>
      <c r="N37" s="230" t="s">
        <v>280</v>
      </c>
      <c r="O37" s="230" t="s">
        <v>267</v>
      </c>
      <c r="P37" s="231" t="s">
        <v>317</v>
      </c>
      <c r="Q37" s="231"/>
      <c r="R37" s="233">
        <v>0</v>
      </c>
      <c r="S37" s="233">
        <v>7683804</v>
      </c>
      <c r="T37" s="233">
        <v>0</v>
      </c>
      <c r="U37" s="233">
        <v>7683804</v>
      </c>
      <c r="V37" s="233">
        <v>0</v>
      </c>
      <c r="W37" s="233">
        <v>5122536</v>
      </c>
      <c r="X37" s="233">
        <v>2561268</v>
      </c>
      <c r="Y37" s="233">
        <v>5122536</v>
      </c>
      <c r="Z37" s="233">
        <v>5122536</v>
      </c>
      <c r="AA37" s="233">
        <v>5122536</v>
      </c>
      <c r="AB37" s="233">
        <v>5122536</v>
      </c>
    </row>
    <row r="38" spans="1:28" ht="15" customHeight="1" x14ac:dyDescent="0.25">
      <c r="A38" s="230" t="s">
        <v>381</v>
      </c>
      <c r="B38" s="231" t="s">
        <v>382</v>
      </c>
      <c r="C38" s="232" t="s">
        <v>318</v>
      </c>
      <c r="D38" s="230" t="s">
        <v>264</v>
      </c>
      <c r="E38" s="230" t="s">
        <v>265</v>
      </c>
      <c r="F38" s="230" t="s">
        <v>265</v>
      </c>
      <c r="G38" s="230" t="s">
        <v>265</v>
      </c>
      <c r="H38" s="230" t="s">
        <v>281</v>
      </c>
      <c r="I38" s="230" t="s">
        <v>319</v>
      </c>
      <c r="J38" s="230"/>
      <c r="K38" s="230"/>
      <c r="L38" s="230"/>
      <c r="M38" s="230" t="s">
        <v>266</v>
      </c>
      <c r="N38" s="230" t="s">
        <v>280</v>
      </c>
      <c r="O38" s="230" t="s">
        <v>267</v>
      </c>
      <c r="P38" s="231" t="s">
        <v>320</v>
      </c>
      <c r="Q38" s="231"/>
      <c r="R38" s="233">
        <v>9665000</v>
      </c>
      <c r="S38" s="233">
        <v>0</v>
      </c>
      <c r="T38" s="233">
        <v>0</v>
      </c>
      <c r="U38" s="233">
        <v>9665000</v>
      </c>
      <c r="V38" s="233">
        <v>0</v>
      </c>
      <c r="W38" s="233">
        <v>6973138</v>
      </c>
      <c r="X38" s="233">
        <v>2691862</v>
      </c>
      <c r="Y38" s="233">
        <v>6973138</v>
      </c>
      <c r="Z38" s="233">
        <v>6973138</v>
      </c>
      <c r="AA38" s="233">
        <v>6973138</v>
      </c>
      <c r="AB38" s="233">
        <v>6973138</v>
      </c>
    </row>
    <row r="39" spans="1:28" ht="15" customHeight="1" x14ac:dyDescent="0.25">
      <c r="A39" s="230" t="s">
        <v>381</v>
      </c>
      <c r="B39" s="231" t="s">
        <v>382</v>
      </c>
      <c r="C39" s="232" t="s">
        <v>321</v>
      </c>
      <c r="D39" s="230" t="s">
        <v>264</v>
      </c>
      <c r="E39" s="230" t="s">
        <v>265</v>
      </c>
      <c r="F39" s="230" t="s">
        <v>265</v>
      </c>
      <c r="G39" s="230" t="s">
        <v>265</v>
      </c>
      <c r="H39" s="230" t="s">
        <v>281</v>
      </c>
      <c r="I39" s="230" t="s">
        <v>322</v>
      </c>
      <c r="J39" s="230"/>
      <c r="K39" s="230"/>
      <c r="L39" s="230"/>
      <c r="M39" s="230" t="s">
        <v>266</v>
      </c>
      <c r="N39" s="230" t="s">
        <v>280</v>
      </c>
      <c r="O39" s="230" t="s">
        <v>267</v>
      </c>
      <c r="P39" s="231" t="s">
        <v>323</v>
      </c>
      <c r="Q39" s="231"/>
      <c r="R39" s="233">
        <v>6508000</v>
      </c>
      <c r="S39" s="233">
        <v>3200000</v>
      </c>
      <c r="T39" s="233">
        <v>6508000</v>
      </c>
      <c r="U39" s="233">
        <v>3200000</v>
      </c>
      <c r="V39" s="233">
        <v>0</v>
      </c>
      <c r="W39" s="233">
        <v>1380354</v>
      </c>
      <c r="X39" s="233">
        <v>1819646</v>
      </c>
      <c r="Y39" s="233">
        <v>1380354</v>
      </c>
      <c r="Z39" s="233">
        <v>1380354</v>
      </c>
      <c r="AA39" s="233">
        <v>1380354</v>
      </c>
      <c r="AB39" s="233">
        <v>1380354</v>
      </c>
    </row>
    <row r="40" spans="1:28" ht="15" customHeight="1" x14ac:dyDescent="0.25">
      <c r="A40" s="230" t="s">
        <v>381</v>
      </c>
      <c r="B40" s="231" t="s">
        <v>382</v>
      </c>
      <c r="C40" s="232" t="s">
        <v>324</v>
      </c>
      <c r="D40" s="230" t="s">
        <v>264</v>
      </c>
      <c r="E40" s="230" t="s">
        <v>265</v>
      </c>
      <c r="F40" s="230" t="s">
        <v>265</v>
      </c>
      <c r="G40" s="230" t="s">
        <v>265</v>
      </c>
      <c r="H40" s="230" t="s">
        <v>281</v>
      </c>
      <c r="I40" s="230" t="s">
        <v>325</v>
      </c>
      <c r="J40" s="230"/>
      <c r="K40" s="230"/>
      <c r="L40" s="230"/>
      <c r="M40" s="230" t="s">
        <v>266</v>
      </c>
      <c r="N40" s="230" t="s">
        <v>280</v>
      </c>
      <c r="O40" s="230" t="s">
        <v>267</v>
      </c>
      <c r="P40" s="231" t="s">
        <v>326</v>
      </c>
      <c r="Q40" s="231"/>
      <c r="R40" s="233">
        <v>53000000</v>
      </c>
      <c r="S40" s="233">
        <v>1174000</v>
      </c>
      <c r="T40" s="233">
        <v>8196372</v>
      </c>
      <c r="U40" s="233">
        <v>45977628</v>
      </c>
      <c r="V40" s="233">
        <v>0</v>
      </c>
      <c r="W40" s="233">
        <v>45977103</v>
      </c>
      <c r="X40" s="233">
        <v>525</v>
      </c>
      <c r="Y40" s="233">
        <v>45977103</v>
      </c>
      <c r="Z40" s="233">
        <v>45977103</v>
      </c>
      <c r="AA40" s="233">
        <v>45977103</v>
      </c>
      <c r="AB40" s="233">
        <v>45977103</v>
      </c>
    </row>
    <row r="41" spans="1:28" ht="15" customHeight="1" x14ac:dyDescent="0.25">
      <c r="A41" s="230" t="s">
        <v>381</v>
      </c>
      <c r="B41" s="231" t="s">
        <v>382</v>
      </c>
      <c r="C41" s="232" t="s">
        <v>327</v>
      </c>
      <c r="D41" s="230" t="s">
        <v>264</v>
      </c>
      <c r="E41" s="230" t="s">
        <v>265</v>
      </c>
      <c r="F41" s="230" t="s">
        <v>265</v>
      </c>
      <c r="G41" s="230" t="s">
        <v>265</v>
      </c>
      <c r="H41" s="230" t="s">
        <v>281</v>
      </c>
      <c r="I41" s="230" t="s">
        <v>328</v>
      </c>
      <c r="J41" s="230"/>
      <c r="K41" s="230"/>
      <c r="L41" s="230"/>
      <c r="M41" s="230" t="s">
        <v>266</v>
      </c>
      <c r="N41" s="230" t="s">
        <v>280</v>
      </c>
      <c r="O41" s="230" t="s">
        <v>267</v>
      </c>
      <c r="P41" s="231" t="s">
        <v>329</v>
      </c>
      <c r="Q41" s="231"/>
      <c r="R41" s="233">
        <v>18000000</v>
      </c>
      <c r="S41" s="233">
        <v>2300000</v>
      </c>
      <c r="T41" s="233">
        <v>0</v>
      </c>
      <c r="U41" s="233">
        <v>20300000</v>
      </c>
      <c r="V41" s="233">
        <v>0</v>
      </c>
      <c r="W41" s="233">
        <v>18902524</v>
      </c>
      <c r="X41" s="233">
        <v>1397476</v>
      </c>
      <c r="Y41" s="233">
        <v>18902524</v>
      </c>
      <c r="Z41" s="233">
        <v>18902524</v>
      </c>
      <c r="AA41" s="233">
        <v>18902524</v>
      </c>
      <c r="AB41" s="233">
        <v>18902524</v>
      </c>
    </row>
    <row r="42" spans="1:28" ht="15" customHeight="1" x14ac:dyDescent="0.25">
      <c r="A42" s="230" t="s">
        <v>381</v>
      </c>
      <c r="B42" s="231" t="s">
        <v>382</v>
      </c>
      <c r="C42" s="232" t="s">
        <v>330</v>
      </c>
      <c r="D42" s="230" t="s">
        <v>264</v>
      </c>
      <c r="E42" s="230" t="s">
        <v>265</v>
      </c>
      <c r="F42" s="230" t="s">
        <v>265</v>
      </c>
      <c r="G42" s="230" t="s">
        <v>265</v>
      </c>
      <c r="H42" s="230" t="s">
        <v>281</v>
      </c>
      <c r="I42" s="230" t="s">
        <v>331</v>
      </c>
      <c r="J42" s="230"/>
      <c r="K42" s="230"/>
      <c r="L42" s="230"/>
      <c r="M42" s="230" t="s">
        <v>266</v>
      </c>
      <c r="N42" s="230" t="s">
        <v>280</v>
      </c>
      <c r="O42" s="230" t="s">
        <v>267</v>
      </c>
      <c r="P42" s="231" t="s">
        <v>332</v>
      </c>
      <c r="Q42" s="231"/>
      <c r="R42" s="233">
        <v>67000000</v>
      </c>
      <c r="S42" s="233">
        <v>0</v>
      </c>
      <c r="T42" s="233">
        <v>0</v>
      </c>
      <c r="U42" s="233">
        <v>67000000</v>
      </c>
      <c r="V42" s="233">
        <v>0</v>
      </c>
      <c r="W42" s="233">
        <v>56523652</v>
      </c>
      <c r="X42" s="233">
        <v>10476348</v>
      </c>
      <c r="Y42" s="233">
        <v>56523652</v>
      </c>
      <c r="Z42" s="233">
        <v>56523652</v>
      </c>
      <c r="AA42" s="233">
        <v>56523652</v>
      </c>
      <c r="AB42" s="233">
        <v>56523652</v>
      </c>
    </row>
    <row r="43" spans="1:28" ht="15" customHeight="1" x14ac:dyDescent="0.25">
      <c r="A43" s="230" t="s">
        <v>381</v>
      </c>
      <c r="B43" s="231" t="s">
        <v>382</v>
      </c>
      <c r="C43" s="232" t="s">
        <v>333</v>
      </c>
      <c r="D43" s="230" t="s">
        <v>264</v>
      </c>
      <c r="E43" s="230" t="s">
        <v>265</v>
      </c>
      <c r="F43" s="230" t="s">
        <v>265</v>
      </c>
      <c r="G43" s="230" t="s">
        <v>265</v>
      </c>
      <c r="H43" s="230" t="s">
        <v>281</v>
      </c>
      <c r="I43" s="230" t="s">
        <v>334</v>
      </c>
      <c r="J43" s="230"/>
      <c r="K43" s="230"/>
      <c r="L43" s="230"/>
      <c r="M43" s="230" t="s">
        <v>266</v>
      </c>
      <c r="N43" s="230" t="s">
        <v>280</v>
      </c>
      <c r="O43" s="230" t="s">
        <v>267</v>
      </c>
      <c r="P43" s="231" t="s">
        <v>335</v>
      </c>
      <c r="Q43" s="231"/>
      <c r="R43" s="233">
        <v>34000000</v>
      </c>
      <c r="S43" s="233">
        <v>800000</v>
      </c>
      <c r="T43" s="233">
        <v>0</v>
      </c>
      <c r="U43" s="233">
        <v>34800000</v>
      </c>
      <c r="V43" s="233">
        <v>0</v>
      </c>
      <c r="W43" s="233">
        <v>33387926</v>
      </c>
      <c r="X43" s="233">
        <v>1412074</v>
      </c>
      <c r="Y43" s="233">
        <v>33387926</v>
      </c>
      <c r="Z43" s="233">
        <v>33387926</v>
      </c>
      <c r="AA43" s="233">
        <v>33387926</v>
      </c>
      <c r="AB43" s="233">
        <v>33387926</v>
      </c>
    </row>
    <row r="44" spans="1:28" ht="15" customHeight="1" x14ac:dyDescent="0.25">
      <c r="A44" s="230" t="s">
        <v>381</v>
      </c>
      <c r="B44" s="231" t="s">
        <v>382</v>
      </c>
      <c r="C44" s="232" t="s">
        <v>336</v>
      </c>
      <c r="D44" s="230" t="s">
        <v>264</v>
      </c>
      <c r="E44" s="230" t="s">
        <v>265</v>
      </c>
      <c r="F44" s="230" t="s">
        <v>265</v>
      </c>
      <c r="G44" s="230" t="s">
        <v>265</v>
      </c>
      <c r="H44" s="230" t="s">
        <v>281</v>
      </c>
      <c r="I44" s="230" t="s">
        <v>278</v>
      </c>
      <c r="J44" s="230"/>
      <c r="K44" s="230"/>
      <c r="L44" s="230"/>
      <c r="M44" s="230" t="s">
        <v>266</v>
      </c>
      <c r="N44" s="230" t="s">
        <v>280</v>
      </c>
      <c r="O44" s="230" t="s">
        <v>267</v>
      </c>
      <c r="P44" s="231" t="s">
        <v>337</v>
      </c>
      <c r="Q44" s="231"/>
      <c r="R44" s="233">
        <v>6000000</v>
      </c>
      <c r="S44" s="233">
        <v>2000000</v>
      </c>
      <c r="T44" s="233">
        <v>218214</v>
      </c>
      <c r="U44" s="233">
        <v>7781786</v>
      </c>
      <c r="V44" s="233">
        <v>0</v>
      </c>
      <c r="W44" s="233">
        <v>7781786</v>
      </c>
      <c r="X44" s="233">
        <v>0</v>
      </c>
      <c r="Y44" s="233">
        <v>7781786</v>
      </c>
      <c r="Z44" s="233">
        <v>7781786</v>
      </c>
      <c r="AA44" s="233">
        <v>7781786</v>
      </c>
      <c r="AB44" s="233">
        <v>7781786</v>
      </c>
    </row>
    <row r="45" spans="1:28" ht="15" customHeight="1" x14ac:dyDescent="0.25">
      <c r="A45" s="230" t="s">
        <v>381</v>
      </c>
      <c r="B45" s="231" t="s">
        <v>382</v>
      </c>
      <c r="C45" s="232" t="s">
        <v>338</v>
      </c>
      <c r="D45" s="230" t="s">
        <v>264</v>
      </c>
      <c r="E45" s="230" t="s">
        <v>265</v>
      </c>
      <c r="F45" s="230" t="s">
        <v>265</v>
      </c>
      <c r="G45" s="230" t="s">
        <v>269</v>
      </c>
      <c r="H45" s="230" t="s">
        <v>281</v>
      </c>
      <c r="I45" s="230"/>
      <c r="J45" s="230"/>
      <c r="K45" s="230"/>
      <c r="L45" s="230"/>
      <c r="M45" s="230" t="s">
        <v>266</v>
      </c>
      <c r="N45" s="230" t="s">
        <v>280</v>
      </c>
      <c r="O45" s="230" t="s">
        <v>267</v>
      </c>
      <c r="P45" s="231" t="s">
        <v>339</v>
      </c>
      <c r="Q45" s="231"/>
      <c r="R45" s="233">
        <v>70000000</v>
      </c>
      <c r="S45" s="233">
        <v>0</v>
      </c>
      <c r="T45" s="233">
        <v>0</v>
      </c>
      <c r="U45" s="233">
        <v>70000000</v>
      </c>
      <c r="V45" s="233">
        <v>0</v>
      </c>
      <c r="W45" s="233">
        <v>57014700</v>
      </c>
      <c r="X45" s="233">
        <v>12985300</v>
      </c>
      <c r="Y45" s="233">
        <v>57014700</v>
      </c>
      <c r="Z45" s="233">
        <v>57014700</v>
      </c>
      <c r="AA45" s="233">
        <v>57014700</v>
      </c>
      <c r="AB45" s="233">
        <v>57014700</v>
      </c>
    </row>
    <row r="46" spans="1:28" ht="15" customHeight="1" x14ac:dyDescent="0.25">
      <c r="A46" s="230" t="s">
        <v>381</v>
      </c>
      <c r="B46" s="231" t="s">
        <v>382</v>
      </c>
      <c r="C46" s="232" t="s">
        <v>340</v>
      </c>
      <c r="D46" s="230" t="s">
        <v>264</v>
      </c>
      <c r="E46" s="230" t="s">
        <v>265</v>
      </c>
      <c r="F46" s="230" t="s">
        <v>265</v>
      </c>
      <c r="G46" s="230" t="s">
        <v>269</v>
      </c>
      <c r="H46" s="230" t="s">
        <v>283</v>
      </c>
      <c r="I46" s="230"/>
      <c r="J46" s="230"/>
      <c r="K46" s="230"/>
      <c r="L46" s="230"/>
      <c r="M46" s="230" t="s">
        <v>266</v>
      </c>
      <c r="N46" s="230" t="s">
        <v>280</v>
      </c>
      <c r="O46" s="230" t="s">
        <v>267</v>
      </c>
      <c r="P46" s="231" t="s">
        <v>341</v>
      </c>
      <c r="Q46" s="231"/>
      <c r="R46" s="233">
        <v>49000000</v>
      </c>
      <c r="S46" s="233">
        <v>2000000</v>
      </c>
      <c r="T46" s="233">
        <v>0</v>
      </c>
      <c r="U46" s="233">
        <v>51000000</v>
      </c>
      <c r="V46" s="233">
        <v>0</v>
      </c>
      <c r="W46" s="233">
        <v>40376800</v>
      </c>
      <c r="X46" s="233">
        <v>10623200</v>
      </c>
      <c r="Y46" s="233">
        <v>40376800</v>
      </c>
      <c r="Z46" s="233">
        <v>40376800</v>
      </c>
      <c r="AA46" s="233">
        <v>40376800</v>
      </c>
      <c r="AB46" s="233">
        <v>40376800</v>
      </c>
    </row>
    <row r="47" spans="1:28" ht="15" customHeight="1" x14ac:dyDescent="0.25">
      <c r="A47" s="230" t="s">
        <v>381</v>
      </c>
      <c r="B47" s="231" t="s">
        <v>382</v>
      </c>
      <c r="C47" s="232" t="s">
        <v>342</v>
      </c>
      <c r="D47" s="230" t="s">
        <v>264</v>
      </c>
      <c r="E47" s="230" t="s">
        <v>265</v>
      </c>
      <c r="F47" s="230" t="s">
        <v>265</v>
      </c>
      <c r="G47" s="230" t="s">
        <v>269</v>
      </c>
      <c r="H47" s="230" t="s">
        <v>319</v>
      </c>
      <c r="I47" s="230"/>
      <c r="J47" s="230"/>
      <c r="K47" s="230"/>
      <c r="L47" s="230"/>
      <c r="M47" s="230" t="s">
        <v>266</v>
      </c>
      <c r="N47" s="230" t="s">
        <v>280</v>
      </c>
      <c r="O47" s="230" t="s">
        <v>267</v>
      </c>
      <c r="P47" s="231" t="s">
        <v>343</v>
      </c>
      <c r="Q47" s="231"/>
      <c r="R47" s="233">
        <v>28000000</v>
      </c>
      <c r="S47" s="233">
        <v>800000</v>
      </c>
      <c r="T47" s="233">
        <v>0</v>
      </c>
      <c r="U47" s="233">
        <v>28800000</v>
      </c>
      <c r="V47" s="233">
        <v>0</v>
      </c>
      <c r="W47" s="233">
        <v>22860800</v>
      </c>
      <c r="X47" s="233">
        <v>5939200</v>
      </c>
      <c r="Y47" s="233">
        <v>22860800</v>
      </c>
      <c r="Z47" s="233">
        <v>22860800</v>
      </c>
      <c r="AA47" s="233">
        <v>22860800</v>
      </c>
      <c r="AB47" s="233">
        <v>22860800</v>
      </c>
    </row>
    <row r="48" spans="1:28" ht="15" customHeight="1" x14ac:dyDescent="0.25">
      <c r="A48" s="230" t="s">
        <v>381</v>
      </c>
      <c r="B48" s="231" t="s">
        <v>382</v>
      </c>
      <c r="C48" s="232" t="s">
        <v>344</v>
      </c>
      <c r="D48" s="230" t="s">
        <v>264</v>
      </c>
      <c r="E48" s="230" t="s">
        <v>265</v>
      </c>
      <c r="F48" s="230" t="s">
        <v>265</v>
      </c>
      <c r="G48" s="230" t="s">
        <v>269</v>
      </c>
      <c r="H48" s="230" t="s">
        <v>322</v>
      </c>
      <c r="I48" s="230"/>
      <c r="J48" s="230"/>
      <c r="K48" s="230"/>
      <c r="L48" s="230"/>
      <c r="M48" s="230" t="s">
        <v>266</v>
      </c>
      <c r="N48" s="230" t="s">
        <v>280</v>
      </c>
      <c r="O48" s="230" t="s">
        <v>267</v>
      </c>
      <c r="P48" s="231" t="s">
        <v>345</v>
      </c>
      <c r="Q48" s="231"/>
      <c r="R48" s="233">
        <v>7000000</v>
      </c>
      <c r="S48" s="233">
        <v>0</v>
      </c>
      <c r="T48" s="233">
        <v>0</v>
      </c>
      <c r="U48" s="233">
        <v>7000000</v>
      </c>
      <c r="V48" s="233">
        <v>0</v>
      </c>
      <c r="W48" s="233">
        <v>5936300</v>
      </c>
      <c r="X48" s="233">
        <v>1063700</v>
      </c>
      <c r="Y48" s="233">
        <v>5936300</v>
      </c>
      <c r="Z48" s="233">
        <v>5936300</v>
      </c>
      <c r="AA48" s="233">
        <v>5936300</v>
      </c>
      <c r="AB48" s="233">
        <v>5936300</v>
      </c>
    </row>
    <row r="49" spans="1:28" ht="15" customHeight="1" x14ac:dyDescent="0.25">
      <c r="A49" s="230" t="s">
        <v>381</v>
      </c>
      <c r="B49" s="231" t="s">
        <v>382</v>
      </c>
      <c r="C49" s="232" t="s">
        <v>346</v>
      </c>
      <c r="D49" s="230" t="s">
        <v>264</v>
      </c>
      <c r="E49" s="230" t="s">
        <v>265</v>
      </c>
      <c r="F49" s="230" t="s">
        <v>265</v>
      </c>
      <c r="G49" s="230" t="s">
        <v>269</v>
      </c>
      <c r="H49" s="230" t="s">
        <v>325</v>
      </c>
      <c r="I49" s="230"/>
      <c r="J49" s="230"/>
      <c r="K49" s="230"/>
      <c r="L49" s="230"/>
      <c r="M49" s="230" t="s">
        <v>266</v>
      </c>
      <c r="N49" s="230" t="s">
        <v>280</v>
      </c>
      <c r="O49" s="230" t="s">
        <v>267</v>
      </c>
      <c r="P49" s="231" t="s">
        <v>347</v>
      </c>
      <c r="Q49" s="231"/>
      <c r="R49" s="233">
        <v>21000000</v>
      </c>
      <c r="S49" s="233">
        <v>1000000</v>
      </c>
      <c r="T49" s="233">
        <v>0</v>
      </c>
      <c r="U49" s="233">
        <v>22000000</v>
      </c>
      <c r="V49" s="233">
        <v>0</v>
      </c>
      <c r="W49" s="233">
        <v>17148900</v>
      </c>
      <c r="X49" s="233">
        <v>4851100</v>
      </c>
      <c r="Y49" s="233">
        <v>17148900</v>
      </c>
      <c r="Z49" s="233">
        <v>17148900</v>
      </c>
      <c r="AA49" s="233">
        <v>17148900</v>
      </c>
      <c r="AB49" s="233">
        <v>17148900</v>
      </c>
    </row>
    <row r="50" spans="1:28" ht="15" customHeight="1" x14ac:dyDescent="0.25">
      <c r="A50" s="230" t="s">
        <v>381</v>
      </c>
      <c r="B50" s="231" t="s">
        <v>382</v>
      </c>
      <c r="C50" s="232" t="s">
        <v>348</v>
      </c>
      <c r="D50" s="230" t="s">
        <v>264</v>
      </c>
      <c r="E50" s="230" t="s">
        <v>265</v>
      </c>
      <c r="F50" s="230" t="s">
        <v>265</v>
      </c>
      <c r="G50" s="230" t="s">
        <v>269</v>
      </c>
      <c r="H50" s="230" t="s">
        <v>328</v>
      </c>
      <c r="I50" s="230"/>
      <c r="J50" s="230"/>
      <c r="K50" s="230"/>
      <c r="L50" s="230"/>
      <c r="M50" s="230" t="s">
        <v>266</v>
      </c>
      <c r="N50" s="230" t="s">
        <v>280</v>
      </c>
      <c r="O50" s="230" t="s">
        <v>267</v>
      </c>
      <c r="P50" s="231" t="s">
        <v>349</v>
      </c>
      <c r="Q50" s="231"/>
      <c r="R50" s="233">
        <v>3000000</v>
      </c>
      <c r="S50" s="233">
        <v>9600000</v>
      </c>
      <c r="T50" s="233">
        <v>0</v>
      </c>
      <c r="U50" s="233">
        <v>12600000</v>
      </c>
      <c r="V50" s="233">
        <v>0</v>
      </c>
      <c r="W50" s="233">
        <v>11436100</v>
      </c>
      <c r="X50" s="233">
        <v>1163900</v>
      </c>
      <c r="Y50" s="233">
        <v>11436100</v>
      </c>
      <c r="Z50" s="233">
        <v>11436100</v>
      </c>
      <c r="AA50" s="233">
        <v>11436100</v>
      </c>
      <c r="AB50" s="233">
        <v>11436100</v>
      </c>
    </row>
    <row r="51" spans="1:28" ht="15" customHeight="1" x14ac:dyDescent="0.25">
      <c r="A51" s="230" t="s">
        <v>381</v>
      </c>
      <c r="B51" s="231" t="s">
        <v>382</v>
      </c>
      <c r="C51" s="232" t="s">
        <v>350</v>
      </c>
      <c r="D51" s="230" t="s">
        <v>264</v>
      </c>
      <c r="E51" s="230" t="s">
        <v>265</v>
      </c>
      <c r="F51" s="230" t="s">
        <v>265</v>
      </c>
      <c r="G51" s="230" t="s">
        <v>269</v>
      </c>
      <c r="H51" s="230" t="s">
        <v>351</v>
      </c>
      <c r="I51" s="230"/>
      <c r="J51" s="230"/>
      <c r="K51" s="230"/>
      <c r="L51" s="230"/>
      <c r="M51" s="230" t="s">
        <v>266</v>
      </c>
      <c r="N51" s="230" t="s">
        <v>280</v>
      </c>
      <c r="O51" s="230" t="s">
        <v>267</v>
      </c>
      <c r="P51" s="231" t="s">
        <v>352</v>
      </c>
      <c r="Q51" s="231"/>
      <c r="R51" s="233">
        <v>3000000</v>
      </c>
      <c r="S51" s="233">
        <v>0</v>
      </c>
      <c r="T51" s="233">
        <v>3000000</v>
      </c>
      <c r="U51" s="233">
        <v>0</v>
      </c>
      <c r="V51" s="233">
        <v>0</v>
      </c>
      <c r="W51" s="233">
        <v>0</v>
      </c>
      <c r="X51" s="233">
        <v>0</v>
      </c>
      <c r="Y51" s="233">
        <v>0</v>
      </c>
      <c r="Z51" s="233">
        <v>0</v>
      </c>
      <c r="AA51" s="233">
        <v>0</v>
      </c>
      <c r="AB51" s="233">
        <v>0</v>
      </c>
    </row>
    <row r="52" spans="1:28" ht="15" customHeight="1" x14ac:dyDescent="0.25">
      <c r="A52" s="230" t="s">
        <v>381</v>
      </c>
      <c r="B52" s="231" t="s">
        <v>382</v>
      </c>
      <c r="C52" s="232" t="s">
        <v>353</v>
      </c>
      <c r="D52" s="230" t="s">
        <v>264</v>
      </c>
      <c r="E52" s="230" t="s">
        <v>265</v>
      </c>
      <c r="F52" s="230" t="s">
        <v>265</v>
      </c>
      <c r="G52" s="230" t="s">
        <v>269</v>
      </c>
      <c r="H52" s="230" t="s">
        <v>331</v>
      </c>
      <c r="I52" s="230"/>
      <c r="J52" s="230"/>
      <c r="K52" s="230"/>
      <c r="L52" s="230"/>
      <c r="M52" s="230" t="s">
        <v>266</v>
      </c>
      <c r="N52" s="230" t="s">
        <v>280</v>
      </c>
      <c r="O52" s="230" t="s">
        <v>267</v>
      </c>
      <c r="P52" s="231" t="s">
        <v>354</v>
      </c>
      <c r="Q52" s="231"/>
      <c r="R52" s="233">
        <v>6000000</v>
      </c>
      <c r="S52" s="233">
        <v>0</v>
      </c>
      <c r="T52" s="233">
        <v>6000000</v>
      </c>
      <c r="U52" s="233">
        <v>0</v>
      </c>
      <c r="V52" s="233">
        <v>0</v>
      </c>
      <c r="W52" s="233">
        <v>0</v>
      </c>
      <c r="X52" s="233">
        <v>0</v>
      </c>
      <c r="Y52" s="233">
        <v>0</v>
      </c>
      <c r="Z52" s="233">
        <v>0</v>
      </c>
      <c r="AA52" s="233">
        <v>0</v>
      </c>
      <c r="AB52" s="233">
        <v>0</v>
      </c>
    </row>
    <row r="53" spans="1:28" ht="15" customHeight="1" x14ac:dyDescent="0.25">
      <c r="A53" s="230" t="s">
        <v>381</v>
      </c>
      <c r="B53" s="231" t="s">
        <v>382</v>
      </c>
      <c r="C53" s="232" t="s">
        <v>355</v>
      </c>
      <c r="D53" s="230" t="s">
        <v>264</v>
      </c>
      <c r="E53" s="230" t="s">
        <v>265</v>
      </c>
      <c r="F53" s="230" t="s">
        <v>265</v>
      </c>
      <c r="G53" s="230" t="s">
        <v>271</v>
      </c>
      <c r="H53" s="230" t="s">
        <v>281</v>
      </c>
      <c r="I53" s="230" t="s">
        <v>281</v>
      </c>
      <c r="J53" s="230"/>
      <c r="K53" s="230"/>
      <c r="L53" s="230"/>
      <c r="M53" s="230" t="s">
        <v>266</v>
      </c>
      <c r="N53" s="230" t="s">
        <v>280</v>
      </c>
      <c r="O53" s="230" t="s">
        <v>267</v>
      </c>
      <c r="P53" s="231" t="s">
        <v>356</v>
      </c>
      <c r="Q53" s="231"/>
      <c r="R53" s="233">
        <v>40000000</v>
      </c>
      <c r="S53" s="233">
        <v>0</v>
      </c>
      <c r="T53" s="233">
        <v>0</v>
      </c>
      <c r="U53" s="233">
        <v>40000000</v>
      </c>
      <c r="V53" s="233">
        <v>0</v>
      </c>
      <c r="W53" s="233">
        <v>24031245</v>
      </c>
      <c r="X53" s="233">
        <v>15968755</v>
      </c>
      <c r="Y53" s="233">
        <v>24031245</v>
      </c>
      <c r="Z53" s="233">
        <v>24031245</v>
      </c>
      <c r="AA53" s="233">
        <v>24031245</v>
      </c>
      <c r="AB53" s="233">
        <v>24031245</v>
      </c>
    </row>
    <row r="54" spans="1:28" ht="15" customHeight="1" x14ac:dyDescent="0.25">
      <c r="A54" s="230" t="s">
        <v>381</v>
      </c>
      <c r="B54" s="231" t="s">
        <v>382</v>
      </c>
      <c r="C54" s="232" t="s">
        <v>357</v>
      </c>
      <c r="D54" s="230" t="s">
        <v>264</v>
      </c>
      <c r="E54" s="230" t="s">
        <v>265</v>
      </c>
      <c r="F54" s="230" t="s">
        <v>265</v>
      </c>
      <c r="G54" s="230" t="s">
        <v>271</v>
      </c>
      <c r="H54" s="230" t="s">
        <v>281</v>
      </c>
      <c r="I54" s="230" t="s">
        <v>283</v>
      </c>
      <c r="J54" s="230"/>
      <c r="K54" s="230"/>
      <c r="L54" s="230"/>
      <c r="M54" s="230" t="s">
        <v>266</v>
      </c>
      <c r="N54" s="230" t="s">
        <v>280</v>
      </c>
      <c r="O54" s="230" t="s">
        <v>267</v>
      </c>
      <c r="P54" s="231" t="s">
        <v>358</v>
      </c>
      <c r="Q54" s="231"/>
      <c r="R54" s="233">
        <v>0</v>
      </c>
      <c r="S54" s="233">
        <v>11782035</v>
      </c>
      <c r="T54" s="233">
        <v>0</v>
      </c>
      <c r="U54" s="233">
        <v>11782035</v>
      </c>
      <c r="V54" s="233">
        <v>0</v>
      </c>
      <c r="W54" s="233">
        <v>11759678</v>
      </c>
      <c r="X54" s="233">
        <v>22357</v>
      </c>
      <c r="Y54" s="233">
        <v>11759678</v>
      </c>
      <c r="Z54" s="233">
        <v>11759678</v>
      </c>
      <c r="AA54" s="233">
        <v>11759678</v>
      </c>
      <c r="AB54" s="233">
        <v>11759678</v>
      </c>
    </row>
    <row r="55" spans="1:28" ht="15" customHeight="1" x14ac:dyDescent="0.25">
      <c r="A55" s="230" t="s">
        <v>381</v>
      </c>
      <c r="B55" s="231" t="s">
        <v>382</v>
      </c>
      <c r="C55" s="232" t="s">
        <v>359</v>
      </c>
      <c r="D55" s="230" t="s">
        <v>264</v>
      </c>
      <c r="E55" s="230" t="s">
        <v>265</v>
      </c>
      <c r="F55" s="230" t="s">
        <v>265</v>
      </c>
      <c r="G55" s="230" t="s">
        <v>271</v>
      </c>
      <c r="H55" s="230" t="s">
        <v>281</v>
      </c>
      <c r="I55" s="230" t="s">
        <v>316</v>
      </c>
      <c r="J55" s="230"/>
      <c r="K55" s="230"/>
      <c r="L55" s="230"/>
      <c r="M55" s="230" t="s">
        <v>266</v>
      </c>
      <c r="N55" s="230" t="s">
        <v>280</v>
      </c>
      <c r="O55" s="230" t="s">
        <v>267</v>
      </c>
      <c r="P55" s="231" t="s">
        <v>360</v>
      </c>
      <c r="Q55" s="231"/>
      <c r="R55" s="233">
        <v>3000000</v>
      </c>
      <c r="S55" s="233">
        <v>0</v>
      </c>
      <c r="T55" s="233">
        <v>0</v>
      </c>
      <c r="U55" s="233">
        <v>3000000</v>
      </c>
      <c r="V55" s="233">
        <v>0</v>
      </c>
      <c r="W55" s="233">
        <v>2927288</v>
      </c>
      <c r="X55" s="233">
        <v>72712</v>
      </c>
      <c r="Y55" s="233">
        <v>2927288</v>
      </c>
      <c r="Z55" s="233">
        <v>2927288</v>
      </c>
      <c r="AA55" s="233">
        <v>2927288</v>
      </c>
      <c r="AB55" s="233">
        <v>2927288</v>
      </c>
    </row>
    <row r="56" spans="1:28" ht="15" customHeight="1" x14ac:dyDescent="0.25">
      <c r="A56" s="230" t="s">
        <v>381</v>
      </c>
      <c r="B56" s="231" t="s">
        <v>382</v>
      </c>
      <c r="C56" s="232" t="s">
        <v>361</v>
      </c>
      <c r="D56" s="230" t="s">
        <v>264</v>
      </c>
      <c r="E56" s="230" t="s">
        <v>265</v>
      </c>
      <c r="F56" s="230" t="s">
        <v>265</v>
      </c>
      <c r="G56" s="230" t="s">
        <v>271</v>
      </c>
      <c r="H56" s="230" t="s">
        <v>283</v>
      </c>
      <c r="I56" s="230"/>
      <c r="J56" s="230"/>
      <c r="K56" s="230"/>
      <c r="L56" s="230"/>
      <c r="M56" s="230" t="s">
        <v>266</v>
      </c>
      <c r="N56" s="230" t="s">
        <v>280</v>
      </c>
      <c r="O56" s="230" t="s">
        <v>267</v>
      </c>
      <c r="P56" s="231" t="s">
        <v>362</v>
      </c>
      <c r="Q56" s="231"/>
      <c r="R56" s="233">
        <v>29000000</v>
      </c>
      <c r="S56" s="233">
        <v>0</v>
      </c>
      <c r="T56" s="233">
        <v>0</v>
      </c>
      <c r="U56" s="233">
        <v>29000000</v>
      </c>
      <c r="V56" s="233">
        <v>0</v>
      </c>
      <c r="W56" s="233">
        <v>23923264</v>
      </c>
      <c r="X56" s="233">
        <v>5076736</v>
      </c>
      <c r="Y56" s="233">
        <v>23923264</v>
      </c>
      <c r="Z56" s="233">
        <v>23923264</v>
      </c>
      <c r="AA56" s="233">
        <v>23923264</v>
      </c>
      <c r="AB56" s="233">
        <v>23923264</v>
      </c>
    </row>
    <row r="57" spans="1:28" ht="15" customHeight="1" x14ac:dyDescent="0.25">
      <c r="A57" s="230" t="s">
        <v>381</v>
      </c>
      <c r="B57" s="231" t="s">
        <v>382</v>
      </c>
      <c r="C57" s="232" t="s">
        <v>363</v>
      </c>
      <c r="D57" s="230" t="s">
        <v>264</v>
      </c>
      <c r="E57" s="230" t="s">
        <v>269</v>
      </c>
      <c r="F57" s="230" t="s">
        <v>269</v>
      </c>
      <c r="G57" s="230" t="s">
        <v>269</v>
      </c>
      <c r="H57" s="230" t="s">
        <v>325</v>
      </c>
      <c r="I57" s="230" t="s">
        <v>319</v>
      </c>
      <c r="J57" s="230"/>
      <c r="K57" s="230"/>
      <c r="L57" s="230"/>
      <c r="M57" s="230" t="s">
        <v>273</v>
      </c>
      <c r="N57" s="230" t="s">
        <v>34</v>
      </c>
      <c r="O57" s="230" t="s">
        <v>267</v>
      </c>
      <c r="P57" s="231" t="s">
        <v>364</v>
      </c>
      <c r="Q57" s="231"/>
      <c r="R57" s="233">
        <v>0</v>
      </c>
      <c r="S57" s="233">
        <v>1326600</v>
      </c>
      <c r="T57" s="233">
        <v>1</v>
      </c>
      <c r="U57" s="233">
        <v>1326599</v>
      </c>
      <c r="V57" s="233">
        <v>0</v>
      </c>
      <c r="W57" s="233">
        <v>1326599</v>
      </c>
      <c r="X57" s="233">
        <v>0</v>
      </c>
      <c r="Y57" s="233">
        <v>1326599</v>
      </c>
      <c r="Z57" s="233">
        <v>1326599</v>
      </c>
      <c r="AA57" s="233">
        <v>1326599</v>
      </c>
      <c r="AB57" s="233">
        <v>1326599</v>
      </c>
    </row>
    <row r="58" spans="1:28" ht="15" customHeight="1" x14ac:dyDescent="0.25">
      <c r="A58" s="230" t="s">
        <v>381</v>
      </c>
      <c r="B58" s="231" t="s">
        <v>382</v>
      </c>
      <c r="C58" s="232" t="s">
        <v>365</v>
      </c>
      <c r="D58" s="230" t="s">
        <v>264</v>
      </c>
      <c r="E58" s="230" t="s">
        <v>269</v>
      </c>
      <c r="F58" s="230" t="s">
        <v>269</v>
      </c>
      <c r="G58" s="230" t="s">
        <v>269</v>
      </c>
      <c r="H58" s="230" t="s">
        <v>325</v>
      </c>
      <c r="I58" s="230" t="s">
        <v>331</v>
      </c>
      <c r="J58" s="230"/>
      <c r="K58" s="230"/>
      <c r="L58" s="230"/>
      <c r="M58" s="230" t="s">
        <v>266</v>
      </c>
      <c r="N58" s="230" t="s">
        <v>280</v>
      </c>
      <c r="O58" s="230" t="s">
        <v>267</v>
      </c>
      <c r="P58" s="231" t="s">
        <v>366</v>
      </c>
      <c r="Q58" s="231"/>
      <c r="R58" s="233">
        <v>53000000</v>
      </c>
      <c r="S58" s="233">
        <v>13000000</v>
      </c>
      <c r="T58" s="233">
        <v>0</v>
      </c>
      <c r="U58" s="233">
        <v>66000000</v>
      </c>
      <c r="V58" s="233">
        <v>0</v>
      </c>
      <c r="W58" s="233">
        <v>66000000</v>
      </c>
      <c r="X58" s="233">
        <v>0</v>
      </c>
      <c r="Y58" s="233">
        <v>61427690</v>
      </c>
      <c r="Z58" s="233">
        <v>61427690</v>
      </c>
      <c r="AA58" s="233">
        <v>61427690</v>
      </c>
      <c r="AB58" s="233">
        <v>61427690</v>
      </c>
    </row>
    <row r="59" spans="1:28" ht="15" customHeight="1" x14ac:dyDescent="0.25">
      <c r="A59" s="230" t="s">
        <v>381</v>
      </c>
      <c r="B59" s="231" t="s">
        <v>382</v>
      </c>
      <c r="C59" s="232" t="s">
        <v>383</v>
      </c>
      <c r="D59" s="230" t="s">
        <v>264</v>
      </c>
      <c r="E59" s="230" t="s">
        <v>269</v>
      </c>
      <c r="F59" s="230" t="s">
        <v>269</v>
      </c>
      <c r="G59" s="230" t="s">
        <v>269</v>
      </c>
      <c r="H59" s="230" t="s">
        <v>328</v>
      </c>
      <c r="I59" s="230" t="s">
        <v>283</v>
      </c>
      <c r="J59" s="230"/>
      <c r="K59" s="230"/>
      <c r="L59" s="230"/>
      <c r="M59" s="230" t="s">
        <v>266</v>
      </c>
      <c r="N59" s="230" t="s">
        <v>280</v>
      </c>
      <c r="O59" s="230" t="s">
        <v>267</v>
      </c>
      <c r="P59" s="231" t="s">
        <v>384</v>
      </c>
      <c r="Q59" s="231"/>
      <c r="R59" s="233">
        <v>80000000</v>
      </c>
      <c r="S59" s="233">
        <v>10878162.67</v>
      </c>
      <c r="T59" s="233">
        <v>1284139.67</v>
      </c>
      <c r="U59" s="233">
        <v>89594023</v>
      </c>
      <c r="V59" s="233">
        <v>0</v>
      </c>
      <c r="W59" s="233">
        <v>89594023</v>
      </c>
      <c r="X59" s="233">
        <v>0</v>
      </c>
      <c r="Y59" s="233">
        <v>89594022.989999995</v>
      </c>
      <c r="Z59" s="233">
        <v>78586588</v>
      </c>
      <c r="AA59" s="233">
        <v>78586588</v>
      </c>
      <c r="AB59" s="233">
        <v>78586588</v>
      </c>
    </row>
    <row r="60" spans="1:28" ht="15" customHeight="1" x14ac:dyDescent="0.25">
      <c r="A60" s="230" t="s">
        <v>381</v>
      </c>
      <c r="B60" s="231" t="s">
        <v>382</v>
      </c>
      <c r="C60" s="232" t="s">
        <v>367</v>
      </c>
      <c r="D60" s="230" t="s">
        <v>264</v>
      </c>
      <c r="E60" s="230" t="s">
        <v>269</v>
      </c>
      <c r="F60" s="230" t="s">
        <v>269</v>
      </c>
      <c r="G60" s="230" t="s">
        <v>269</v>
      </c>
      <c r="H60" s="230" t="s">
        <v>351</v>
      </c>
      <c r="I60" s="230" t="s">
        <v>319</v>
      </c>
      <c r="J60" s="230"/>
      <c r="K60" s="230"/>
      <c r="L60" s="230"/>
      <c r="M60" s="230" t="s">
        <v>266</v>
      </c>
      <c r="N60" s="230" t="s">
        <v>280</v>
      </c>
      <c r="O60" s="230" t="s">
        <v>267</v>
      </c>
      <c r="P60" s="231" t="s">
        <v>368</v>
      </c>
      <c r="Q60" s="231"/>
      <c r="R60" s="233">
        <v>3000000</v>
      </c>
      <c r="S60" s="233">
        <v>3150000</v>
      </c>
      <c r="T60" s="233">
        <v>0</v>
      </c>
      <c r="U60" s="233">
        <v>6150000</v>
      </c>
      <c r="V60" s="233">
        <v>0</v>
      </c>
      <c r="W60" s="233">
        <v>6150000</v>
      </c>
      <c r="X60" s="233">
        <v>0</v>
      </c>
      <c r="Y60" s="233">
        <v>5725184</v>
      </c>
      <c r="Z60" s="233">
        <v>5725184</v>
      </c>
      <c r="AA60" s="233">
        <v>5725184</v>
      </c>
      <c r="AB60" s="233">
        <v>5725184</v>
      </c>
    </row>
    <row r="61" spans="1:28" ht="15" customHeight="1" x14ac:dyDescent="0.25">
      <c r="A61" s="230" t="s">
        <v>381</v>
      </c>
      <c r="B61" s="231" t="s">
        <v>382</v>
      </c>
      <c r="C61" s="232" t="s">
        <v>369</v>
      </c>
      <c r="D61" s="230" t="s">
        <v>264</v>
      </c>
      <c r="E61" s="230" t="s">
        <v>269</v>
      </c>
      <c r="F61" s="230" t="s">
        <v>269</v>
      </c>
      <c r="G61" s="230" t="s">
        <v>269</v>
      </c>
      <c r="H61" s="230" t="s">
        <v>331</v>
      </c>
      <c r="I61" s="230" t="s">
        <v>319</v>
      </c>
      <c r="J61" s="230"/>
      <c r="K61" s="230"/>
      <c r="L61" s="230"/>
      <c r="M61" s="230" t="s">
        <v>266</v>
      </c>
      <c r="N61" s="230" t="s">
        <v>280</v>
      </c>
      <c r="O61" s="230" t="s">
        <v>267</v>
      </c>
      <c r="P61" s="231" t="s">
        <v>370</v>
      </c>
      <c r="Q61" s="231"/>
      <c r="R61" s="233">
        <v>2000000</v>
      </c>
      <c r="S61" s="233">
        <v>1690000</v>
      </c>
      <c r="T61" s="233">
        <v>670000</v>
      </c>
      <c r="U61" s="233">
        <v>3020000</v>
      </c>
      <c r="V61" s="233">
        <v>0</v>
      </c>
      <c r="W61" s="233">
        <v>3020000</v>
      </c>
      <c r="X61" s="233">
        <v>0</v>
      </c>
      <c r="Y61" s="233">
        <v>2807096</v>
      </c>
      <c r="Z61" s="233">
        <v>2807096</v>
      </c>
      <c r="AA61" s="233">
        <v>2807096</v>
      </c>
      <c r="AB61" s="233">
        <v>2807096</v>
      </c>
    </row>
    <row r="62" spans="1:28" ht="15" customHeight="1" x14ac:dyDescent="0.25">
      <c r="A62" s="230" t="s">
        <v>381</v>
      </c>
      <c r="B62" s="231" t="s">
        <v>382</v>
      </c>
      <c r="C62" s="232" t="s">
        <v>371</v>
      </c>
      <c r="D62" s="230" t="s">
        <v>264</v>
      </c>
      <c r="E62" s="230" t="s">
        <v>269</v>
      </c>
      <c r="F62" s="230" t="s">
        <v>269</v>
      </c>
      <c r="G62" s="230" t="s">
        <v>269</v>
      </c>
      <c r="H62" s="230" t="s">
        <v>334</v>
      </c>
      <c r="I62" s="230"/>
      <c r="J62" s="230"/>
      <c r="K62" s="230"/>
      <c r="L62" s="230"/>
      <c r="M62" s="230" t="s">
        <v>266</v>
      </c>
      <c r="N62" s="230" t="s">
        <v>280</v>
      </c>
      <c r="O62" s="230" t="s">
        <v>267</v>
      </c>
      <c r="P62" s="231" t="s">
        <v>372</v>
      </c>
      <c r="Q62" s="231"/>
      <c r="R62" s="233">
        <v>0</v>
      </c>
      <c r="S62" s="233">
        <v>2998639</v>
      </c>
      <c r="T62" s="233">
        <v>0</v>
      </c>
      <c r="U62" s="233">
        <v>2998639</v>
      </c>
      <c r="V62" s="233">
        <v>0</v>
      </c>
      <c r="W62" s="233">
        <v>2998639</v>
      </c>
      <c r="X62" s="233">
        <v>0</v>
      </c>
      <c r="Y62" s="233">
        <v>2998639</v>
      </c>
      <c r="Z62" s="233">
        <v>2998639</v>
      </c>
      <c r="AA62" s="233">
        <v>2998639</v>
      </c>
      <c r="AB62" s="233">
        <v>2998639</v>
      </c>
    </row>
    <row r="63" spans="1:28" ht="15" customHeight="1" x14ac:dyDescent="0.25">
      <c r="A63" s="230" t="s">
        <v>381</v>
      </c>
      <c r="B63" s="231" t="s">
        <v>382</v>
      </c>
      <c r="C63" s="232" t="s">
        <v>371</v>
      </c>
      <c r="D63" s="230" t="s">
        <v>264</v>
      </c>
      <c r="E63" s="230" t="s">
        <v>269</v>
      </c>
      <c r="F63" s="230" t="s">
        <v>269</v>
      </c>
      <c r="G63" s="230" t="s">
        <v>269</v>
      </c>
      <c r="H63" s="230" t="s">
        <v>334</v>
      </c>
      <c r="I63" s="230"/>
      <c r="J63" s="230"/>
      <c r="K63" s="230"/>
      <c r="L63" s="230"/>
      <c r="M63" s="230" t="s">
        <v>273</v>
      </c>
      <c r="N63" s="230" t="s">
        <v>34</v>
      </c>
      <c r="O63" s="230" t="s">
        <v>267</v>
      </c>
      <c r="P63" s="231" t="s">
        <v>372</v>
      </c>
      <c r="Q63" s="231"/>
      <c r="R63" s="233">
        <v>0</v>
      </c>
      <c r="S63" s="233">
        <v>1523040</v>
      </c>
      <c r="T63" s="233">
        <v>0</v>
      </c>
      <c r="U63" s="233">
        <v>1523040</v>
      </c>
      <c r="V63" s="233">
        <v>0</v>
      </c>
      <c r="W63" s="233">
        <v>1523040</v>
      </c>
      <c r="X63" s="233">
        <v>0</v>
      </c>
      <c r="Y63" s="233">
        <v>1523040</v>
      </c>
      <c r="Z63" s="233">
        <v>1523040</v>
      </c>
      <c r="AA63" s="233">
        <v>1523040</v>
      </c>
      <c r="AB63" s="233">
        <v>1523040</v>
      </c>
    </row>
    <row r="64" spans="1:28" ht="15" customHeight="1" x14ac:dyDescent="0.25">
      <c r="A64" s="230" t="s">
        <v>381</v>
      </c>
      <c r="B64" s="231" t="s">
        <v>382</v>
      </c>
      <c r="C64" s="232" t="s">
        <v>373</v>
      </c>
      <c r="D64" s="230" t="s">
        <v>264</v>
      </c>
      <c r="E64" s="230" t="s">
        <v>271</v>
      </c>
      <c r="F64" s="230" t="s">
        <v>277</v>
      </c>
      <c r="G64" s="230" t="s">
        <v>269</v>
      </c>
      <c r="H64" s="230" t="s">
        <v>278</v>
      </c>
      <c r="I64" s="230" t="s">
        <v>281</v>
      </c>
      <c r="J64" s="230"/>
      <c r="K64" s="230"/>
      <c r="L64" s="230"/>
      <c r="M64" s="230" t="s">
        <v>266</v>
      </c>
      <c r="N64" s="230" t="s">
        <v>280</v>
      </c>
      <c r="O64" s="230" t="s">
        <v>267</v>
      </c>
      <c r="P64" s="231" t="s">
        <v>374</v>
      </c>
      <c r="Q64" s="231"/>
      <c r="R64" s="233">
        <v>0</v>
      </c>
      <c r="S64" s="233">
        <v>4646128</v>
      </c>
      <c r="T64" s="233">
        <v>0</v>
      </c>
      <c r="U64" s="233">
        <v>4646128</v>
      </c>
      <c r="V64" s="233">
        <v>0</v>
      </c>
      <c r="W64" s="233">
        <v>3119371</v>
      </c>
      <c r="X64" s="233">
        <v>1526757</v>
      </c>
      <c r="Y64" s="233">
        <v>3119371</v>
      </c>
      <c r="Z64" s="233">
        <v>3119371</v>
      </c>
      <c r="AA64" s="233">
        <v>3119371</v>
      </c>
      <c r="AB64" s="233">
        <v>3119371</v>
      </c>
    </row>
    <row r="65" spans="1:28" ht="15" customHeight="1" x14ac:dyDescent="0.25">
      <c r="A65" s="230" t="s">
        <v>381</v>
      </c>
      <c r="B65" s="231" t="s">
        <v>382</v>
      </c>
      <c r="C65" s="232" t="s">
        <v>375</v>
      </c>
      <c r="D65" s="230" t="s">
        <v>264</v>
      </c>
      <c r="E65" s="230" t="s">
        <v>285</v>
      </c>
      <c r="F65" s="230" t="s">
        <v>265</v>
      </c>
      <c r="G65" s="230" t="s">
        <v>269</v>
      </c>
      <c r="H65" s="230" t="s">
        <v>281</v>
      </c>
      <c r="I65" s="230"/>
      <c r="J65" s="230"/>
      <c r="K65" s="230"/>
      <c r="L65" s="230"/>
      <c r="M65" s="230" t="s">
        <v>266</v>
      </c>
      <c r="N65" s="230" t="s">
        <v>280</v>
      </c>
      <c r="O65" s="230" t="s">
        <v>267</v>
      </c>
      <c r="P65" s="231" t="s">
        <v>376</v>
      </c>
      <c r="Q65" s="231"/>
      <c r="R65" s="233">
        <v>0</v>
      </c>
      <c r="S65" s="233">
        <v>50701699</v>
      </c>
      <c r="T65" s="233">
        <v>0</v>
      </c>
      <c r="U65" s="233">
        <v>50701699</v>
      </c>
      <c r="V65" s="233">
        <v>0</v>
      </c>
      <c r="W65" s="233">
        <v>50701699</v>
      </c>
      <c r="X65" s="233">
        <v>0</v>
      </c>
      <c r="Y65" s="233">
        <v>50701699</v>
      </c>
      <c r="Z65" s="233">
        <v>50701699</v>
      </c>
      <c r="AA65" s="233">
        <v>50701699</v>
      </c>
      <c r="AB65" s="233">
        <v>50701699</v>
      </c>
    </row>
    <row r="66" spans="1:28" ht="15" customHeight="1" x14ac:dyDescent="0.25">
      <c r="A66" s="230" t="s">
        <v>381</v>
      </c>
      <c r="B66" s="231" t="s">
        <v>382</v>
      </c>
      <c r="C66" s="232" t="s">
        <v>377</v>
      </c>
      <c r="D66" s="230" t="s">
        <v>264</v>
      </c>
      <c r="E66" s="230" t="s">
        <v>285</v>
      </c>
      <c r="F66" s="230" t="s">
        <v>265</v>
      </c>
      <c r="G66" s="230" t="s">
        <v>269</v>
      </c>
      <c r="H66" s="230" t="s">
        <v>316</v>
      </c>
      <c r="I66" s="230"/>
      <c r="J66" s="230"/>
      <c r="K66" s="230"/>
      <c r="L66" s="230"/>
      <c r="M66" s="230" t="s">
        <v>273</v>
      </c>
      <c r="N66" s="230" t="s">
        <v>34</v>
      </c>
      <c r="O66" s="230" t="s">
        <v>267</v>
      </c>
      <c r="P66" s="231" t="s">
        <v>378</v>
      </c>
      <c r="Q66" s="231"/>
      <c r="R66" s="233">
        <v>0</v>
      </c>
      <c r="S66" s="233">
        <v>1520000</v>
      </c>
      <c r="T66" s="233">
        <v>0</v>
      </c>
      <c r="U66" s="233">
        <v>1520000</v>
      </c>
      <c r="V66" s="233">
        <v>0</v>
      </c>
      <c r="W66" s="233">
        <v>1520000</v>
      </c>
      <c r="X66" s="233">
        <v>0</v>
      </c>
      <c r="Y66" s="233">
        <v>1520000</v>
      </c>
      <c r="Z66" s="233">
        <v>1520000</v>
      </c>
      <c r="AA66" s="233">
        <v>1520000</v>
      </c>
      <c r="AB66" s="233">
        <v>1520000</v>
      </c>
    </row>
    <row r="67" spans="1:28" ht="15" customHeight="1" x14ac:dyDescent="0.25">
      <c r="A67" s="230" t="s">
        <v>385</v>
      </c>
      <c r="B67" s="231" t="s">
        <v>386</v>
      </c>
      <c r="C67" s="232" t="s">
        <v>313</v>
      </c>
      <c r="D67" s="230" t="s">
        <v>264</v>
      </c>
      <c r="E67" s="230" t="s">
        <v>265</v>
      </c>
      <c r="F67" s="230" t="s">
        <v>265</v>
      </c>
      <c r="G67" s="230" t="s">
        <v>265</v>
      </c>
      <c r="H67" s="230" t="s">
        <v>281</v>
      </c>
      <c r="I67" s="230" t="s">
        <v>281</v>
      </c>
      <c r="J67" s="230"/>
      <c r="K67" s="230"/>
      <c r="L67" s="230"/>
      <c r="M67" s="230" t="s">
        <v>266</v>
      </c>
      <c r="N67" s="230" t="s">
        <v>280</v>
      </c>
      <c r="O67" s="230" t="s">
        <v>267</v>
      </c>
      <c r="P67" s="231" t="s">
        <v>314</v>
      </c>
      <c r="Q67" s="231"/>
      <c r="R67" s="233">
        <v>932000000</v>
      </c>
      <c r="S67" s="233">
        <v>0</v>
      </c>
      <c r="T67" s="233">
        <v>0</v>
      </c>
      <c r="U67" s="233">
        <v>932000000</v>
      </c>
      <c r="V67" s="233">
        <v>0</v>
      </c>
      <c r="W67" s="233">
        <v>818586543</v>
      </c>
      <c r="X67" s="233">
        <v>113413457</v>
      </c>
      <c r="Y67" s="233">
        <v>818586543</v>
      </c>
      <c r="Z67" s="233">
        <v>818586543</v>
      </c>
      <c r="AA67" s="233">
        <v>818586543</v>
      </c>
      <c r="AB67" s="233">
        <v>818586543</v>
      </c>
    </row>
    <row r="68" spans="1:28" ht="15" customHeight="1" x14ac:dyDescent="0.25">
      <c r="A68" s="230" t="s">
        <v>385</v>
      </c>
      <c r="B68" s="231" t="s">
        <v>386</v>
      </c>
      <c r="C68" s="232" t="s">
        <v>315</v>
      </c>
      <c r="D68" s="230" t="s">
        <v>264</v>
      </c>
      <c r="E68" s="230" t="s">
        <v>265</v>
      </c>
      <c r="F68" s="230" t="s">
        <v>265</v>
      </c>
      <c r="G68" s="230" t="s">
        <v>265</v>
      </c>
      <c r="H68" s="230" t="s">
        <v>281</v>
      </c>
      <c r="I68" s="230" t="s">
        <v>316</v>
      </c>
      <c r="J68" s="230"/>
      <c r="K68" s="230"/>
      <c r="L68" s="230"/>
      <c r="M68" s="230" t="s">
        <v>266</v>
      </c>
      <c r="N68" s="230" t="s">
        <v>280</v>
      </c>
      <c r="O68" s="230" t="s">
        <v>267</v>
      </c>
      <c r="P68" s="231" t="s">
        <v>317</v>
      </c>
      <c r="Q68" s="231"/>
      <c r="R68" s="233">
        <v>0</v>
      </c>
      <c r="S68" s="233">
        <v>10000000</v>
      </c>
      <c r="T68" s="233">
        <v>0</v>
      </c>
      <c r="U68" s="233">
        <v>10000000</v>
      </c>
      <c r="V68" s="233">
        <v>0</v>
      </c>
      <c r="W68" s="233">
        <v>8366809</v>
      </c>
      <c r="X68" s="233">
        <v>1633191</v>
      </c>
      <c r="Y68" s="233">
        <v>8366809</v>
      </c>
      <c r="Z68" s="233">
        <v>8366809</v>
      </c>
      <c r="AA68" s="233">
        <v>8366809</v>
      </c>
      <c r="AB68" s="233">
        <v>8366809</v>
      </c>
    </row>
    <row r="69" spans="1:28" ht="15" customHeight="1" x14ac:dyDescent="0.25">
      <c r="A69" s="230" t="s">
        <v>385</v>
      </c>
      <c r="B69" s="231" t="s">
        <v>386</v>
      </c>
      <c r="C69" s="232" t="s">
        <v>318</v>
      </c>
      <c r="D69" s="230" t="s">
        <v>264</v>
      </c>
      <c r="E69" s="230" t="s">
        <v>265</v>
      </c>
      <c r="F69" s="230" t="s">
        <v>265</v>
      </c>
      <c r="G69" s="230" t="s">
        <v>265</v>
      </c>
      <c r="H69" s="230" t="s">
        <v>281</v>
      </c>
      <c r="I69" s="230" t="s">
        <v>319</v>
      </c>
      <c r="J69" s="230"/>
      <c r="K69" s="230"/>
      <c r="L69" s="230"/>
      <c r="M69" s="230" t="s">
        <v>266</v>
      </c>
      <c r="N69" s="230" t="s">
        <v>280</v>
      </c>
      <c r="O69" s="230" t="s">
        <v>267</v>
      </c>
      <c r="P69" s="231" t="s">
        <v>320</v>
      </c>
      <c r="Q69" s="231"/>
      <c r="R69" s="233">
        <v>23000000</v>
      </c>
      <c r="S69" s="233">
        <v>0</v>
      </c>
      <c r="T69" s="233">
        <v>0</v>
      </c>
      <c r="U69" s="233">
        <v>23000000</v>
      </c>
      <c r="V69" s="233">
        <v>0</v>
      </c>
      <c r="W69" s="233">
        <v>17526171</v>
      </c>
      <c r="X69" s="233">
        <v>5473829</v>
      </c>
      <c r="Y69" s="233">
        <v>17526171</v>
      </c>
      <c r="Z69" s="233">
        <v>17526171</v>
      </c>
      <c r="AA69" s="233">
        <v>17526171</v>
      </c>
      <c r="AB69" s="233">
        <v>17526171</v>
      </c>
    </row>
    <row r="70" spans="1:28" ht="15" customHeight="1" x14ac:dyDescent="0.25">
      <c r="A70" s="230" t="s">
        <v>385</v>
      </c>
      <c r="B70" s="231" t="s">
        <v>386</v>
      </c>
      <c r="C70" s="232" t="s">
        <v>321</v>
      </c>
      <c r="D70" s="230" t="s">
        <v>264</v>
      </c>
      <c r="E70" s="230" t="s">
        <v>265</v>
      </c>
      <c r="F70" s="230" t="s">
        <v>265</v>
      </c>
      <c r="G70" s="230" t="s">
        <v>265</v>
      </c>
      <c r="H70" s="230" t="s">
        <v>281</v>
      </c>
      <c r="I70" s="230" t="s">
        <v>322</v>
      </c>
      <c r="J70" s="230"/>
      <c r="K70" s="230"/>
      <c r="L70" s="230"/>
      <c r="M70" s="230" t="s">
        <v>266</v>
      </c>
      <c r="N70" s="230" t="s">
        <v>280</v>
      </c>
      <c r="O70" s="230" t="s">
        <v>267</v>
      </c>
      <c r="P70" s="231" t="s">
        <v>323</v>
      </c>
      <c r="Q70" s="231"/>
      <c r="R70" s="233">
        <v>18896000</v>
      </c>
      <c r="S70" s="233">
        <v>4300000</v>
      </c>
      <c r="T70" s="233">
        <v>18896000</v>
      </c>
      <c r="U70" s="233">
        <v>4300000</v>
      </c>
      <c r="V70" s="233">
        <v>0</v>
      </c>
      <c r="W70" s="233">
        <v>4034606</v>
      </c>
      <c r="X70" s="233">
        <v>265394</v>
      </c>
      <c r="Y70" s="233">
        <v>4034606</v>
      </c>
      <c r="Z70" s="233">
        <v>4034606</v>
      </c>
      <c r="AA70" s="233">
        <v>4034606</v>
      </c>
      <c r="AB70" s="233">
        <v>4034606</v>
      </c>
    </row>
    <row r="71" spans="1:28" ht="15" customHeight="1" x14ac:dyDescent="0.25">
      <c r="A71" s="230" t="s">
        <v>385</v>
      </c>
      <c r="B71" s="231" t="s">
        <v>386</v>
      </c>
      <c r="C71" s="232" t="s">
        <v>324</v>
      </c>
      <c r="D71" s="230" t="s">
        <v>264</v>
      </c>
      <c r="E71" s="230" t="s">
        <v>265</v>
      </c>
      <c r="F71" s="230" t="s">
        <v>265</v>
      </c>
      <c r="G71" s="230" t="s">
        <v>265</v>
      </c>
      <c r="H71" s="230" t="s">
        <v>281</v>
      </c>
      <c r="I71" s="230" t="s">
        <v>325</v>
      </c>
      <c r="J71" s="230"/>
      <c r="K71" s="230"/>
      <c r="L71" s="230"/>
      <c r="M71" s="230" t="s">
        <v>266</v>
      </c>
      <c r="N71" s="230" t="s">
        <v>280</v>
      </c>
      <c r="O71" s="230" t="s">
        <v>267</v>
      </c>
      <c r="P71" s="231" t="s">
        <v>326</v>
      </c>
      <c r="Q71" s="231"/>
      <c r="R71" s="233">
        <v>90000000</v>
      </c>
      <c r="S71" s="233">
        <v>3120000</v>
      </c>
      <c r="T71" s="233">
        <v>875</v>
      </c>
      <c r="U71" s="233">
        <v>93119125</v>
      </c>
      <c r="V71" s="233">
        <v>0</v>
      </c>
      <c r="W71" s="233">
        <v>93116831</v>
      </c>
      <c r="X71" s="233">
        <v>2294</v>
      </c>
      <c r="Y71" s="233">
        <v>93116831</v>
      </c>
      <c r="Z71" s="233">
        <v>93116831</v>
      </c>
      <c r="AA71" s="233">
        <v>93116831</v>
      </c>
      <c r="AB71" s="233">
        <v>93116831</v>
      </c>
    </row>
    <row r="72" spans="1:28" ht="15" customHeight="1" x14ac:dyDescent="0.25">
      <c r="A72" s="230" t="s">
        <v>385</v>
      </c>
      <c r="B72" s="231" t="s">
        <v>386</v>
      </c>
      <c r="C72" s="232" t="s">
        <v>327</v>
      </c>
      <c r="D72" s="230" t="s">
        <v>264</v>
      </c>
      <c r="E72" s="230" t="s">
        <v>265</v>
      </c>
      <c r="F72" s="230" t="s">
        <v>265</v>
      </c>
      <c r="G72" s="230" t="s">
        <v>265</v>
      </c>
      <c r="H72" s="230" t="s">
        <v>281</v>
      </c>
      <c r="I72" s="230" t="s">
        <v>328</v>
      </c>
      <c r="J72" s="230"/>
      <c r="K72" s="230"/>
      <c r="L72" s="230"/>
      <c r="M72" s="230" t="s">
        <v>266</v>
      </c>
      <c r="N72" s="230" t="s">
        <v>280</v>
      </c>
      <c r="O72" s="230" t="s">
        <v>267</v>
      </c>
      <c r="P72" s="231" t="s">
        <v>329</v>
      </c>
      <c r="Q72" s="231"/>
      <c r="R72" s="233">
        <v>35000000</v>
      </c>
      <c r="S72" s="233">
        <v>8500000</v>
      </c>
      <c r="T72" s="233">
        <v>0</v>
      </c>
      <c r="U72" s="233">
        <v>43500000</v>
      </c>
      <c r="V72" s="233">
        <v>0</v>
      </c>
      <c r="W72" s="233">
        <v>34655041</v>
      </c>
      <c r="X72" s="233">
        <v>8844959</v>
      </c>
      <c r="Y72" s="233">
        <v>34655041</v>
      </c>
      <c r="Z72" s="233">
        <v>34655041</v>
      </c>
      <c r="AA72" s="233">
        <v>34655041</v>
      </c>
      <c r="AB72" s="233">
        <v>34655041</v>
      </c>
    </row>
    <row r="73" spans="1:28" ht="15" customHeight="1" x14ac:dyDescent="0.25">
      <c r="A73" s="230" t="s">
        <v>385</v>
      </c>
      <c r="B73" s="231" t="s">
        <v>386</v>
      </c>
      <c r="C73" s="232" t="s">
        <v>330</v>
      </c>
      <c r="D73" s="230" t="s">
        <v>264</v>
      </c>
      <c r="E73" s="230" t="s">
        <v>265</v>
      </c>
      <c r="F73" s="230" t="s">
        <v>265</v>
      </c>
      <c r="G73" s="230" t="s">
        <v>265</v>
      </c>
      <c r="H73" s="230" t="s">
        <v>281</v>
      </c>
      <c r="I73" s="230" t="s">
        <v>331</v>
      </c>
      <c r="J73" s="230"/>
      <c r="K73" s="230"/>
      <c r="L73" s="230"/>
      <c r="M73" s="230" t="s">
        <v>266</v>
      </c>
      <c r="N73" s="230" t="s">
        <v>280</v>
      </c>
      <c r="O73" s="230" t="s">
        <v>267</v>
      </c>
      <c r="P73" s="231" t="s">
        <v>332</v>
      </c>
      <c r="Q73" s="231"/>
      <c r="R73" s="233">
        <v>122000000</v>
      </c>
      <c r="S73" s="233">
        <v>0</v>
      </c>
      <c r="T73" s="233">
        <v>0</v>
      </c>
      <c r="U73" s="233">
        <v>122000000</v>
      </c>
      <c r="V73" s="233">
        <v>0</v>
      </c>
      <c r="W73" s="233">
        <v>106673068</v>
      </c>
      <c r="X73" s="233">
        <v>15326932</v>
      </c>
      <c r="Y73" s="233">
        <v>106673068</v>
      </c>
      <c r="Z73" s="233">
        <v>106673068</v>
      </c>
      <c r="AA73" s="233">
        <v>106673068</v>
      </c>
      <c r="AB73" s="233">
        <v>106673068</v>
      </c>
    </row>
    <row r="74" spans="1:28" ht="15" customHeight="1" x14ac:dyDescent="0.25">
      <c r="A74" s="230" t="s">
        <v>385</v>
      </c>
      <c r="B74" s="231" t="s">
        <v>386</v>
      </c>
      <c r="C74" s="232" t="s">
        <v>333</v>
      </c>
      <c r="D74" s="230" t="s">
        <v>264</v>
      </c>
      <c r="E74" s="230" t="s">
        <v>265</v>
      </c>
      <c r="F74" s="230" t="s">
        <v>265</v>
      </c>
      <c r="G74" s="230" t="s">
        <v>265</v>
      </c>
      <c r="H74" s="230" t="s">
        <v>281</v>
      </c>
      <c r="I74" s="230" t="s">
        <v>334</v>
      </c>
      <c r="J74" s="230"/>
      <c r="K74" s="230"/>
      <c r="L74" s="230"/>
      <c r="M74" s="230" t="s">
        <v>266</v>
      </c>
      <c r="N74" s="230" t="s">
        <v>280</v>
      </c>
      <c r="O74" s="230" t="s">
        <v>267</v>
      </c>
      <c r="P74" s="231" t="s">
        <v>335</v>
      </c>
      <c r="Q74" s="231"/>
      <c r="R74" s="233">
        <v>57000000</v>
      </c>
      <c r="S74" s="233">
        <v>18220000</v>
      </c>
      <c r="T74" s="233">
        <v>0</v>
      </c>
      <c r="U74" s="233">
        <v>75220000</v>
      </c>
      <c r="V74" s="233">
        <v>0</v>
      </c>
      <c r="W74" s="233">
        <v>73348664</v>
      </c>
      <c r="X74" s="233">
        <v>1871336</v>
      </c>
      <c r="Y74" s="233">
        <v>73348664</v>
      </c>
      <c r="Z74" s="233">
        <v>73348664</v>
      </c>
      <c r="AA74" s="233">
        <v>73348664</v>
      </c>
      <c r="AB74" s="233">
        <v>73348664</v>
      </c>
    </row>
    <row r="75" spans="1:28" ht="15" customHeight="1" x14ac:dyDescent="0.25">
      <c r="A75" s="230" t="s">
        <v>385</v>
      </c>
      <c r="B75" s="231" t="s">
        <v>386</v>
      </c>
      <c r="C75" s="232" t="s">
        <v>336</v>
      </c>
      <c r="D75" s="230" t="s">
        <v>264</v>
      </c>
      <c r="E75" s="230" t="s">
        <v>265</v>
      </c>
      <c r="F75" s="230" t="s">
        <v>265</v>
      </c>
      <c r="G75" s="230" t="s">
        <v>265</v>
      </c>
      <c r="H75" s="230" t="s">
        <v>281</v>
      </c>
      <c r="I75" s="230" t="s">
        <v>278</v>
      </c>
      <c r="J75" s="230"/>
      <c r="K75" s="230"/>
      <c r="L75" s="230"/>
      <c r="M75" s="230" t="s">
        <v>266</v>
      </c>
      <c r="N75" s="230" t="s">
        <v>280</v>
      </c>
      <c r="O75" s="230" t="s">
        <v>267</v>
      </c>
      <c r="P75" s="231" t="s">
        <v>337</v>
      </c>
      <c r="Q75" s="231"/>
      <c r="R75" s="233">
        <v>18000000</v>
      </c>
      <c r="S75" s="233">
        <v>4800000</v>
      </c>
      <c r="T75" s="233">
        <v>430468</v>
      </c>
      <c r="U75" s="233">
        <v>22369532</v>
      </c>
      <c r="V75" s="233">
        <v>0</v>
      </c>
      <c r="W75" s="233">
        <v>22369532</v>
      </c>
      <c r="X75" s="233">
        <v>0</v>
      </c>
      <c r="Y75" s="233">
        <v>22369532</v>
      </c>
      <c r="Z75" s="233">
        <v>22369532</v>
      </c>
      <c r="AA75" s="233">
        <v>22369532</v>
      </c>
      <c r="AB75" s="233">
        <v>22369532</v>
      </c>
    </row>
    <row r="76" spans="1:28" ht="15" customHeight="1" x14ac:dyDescent="0.25">
      <c r="A76" s="230" t="s">
        <v>385</v>
      </c>
      <c r="B76" s="231" t="s">
        <v>386</v>
      </c>
      <c r="C76" s="232" t="s">
        <v>338</v>
      </c>
      <c r="D76" s="230" t="s">
        <v>264</v>
      </c>
      <c r="E76" s="230" t="s">
        <v>265</v>
      </c>
      <c r="F76" s="230" t="s">
        <v>265</v>
      </c>
      <c r="G76" s="230" t="s">
        <v>269</v>
      </c>
      <c r="H76" s="230" t="s">
        <v>281</v>
      </c>
      <c r="I76" s="230"/>
      <c r="J76" s="230"/>
      <c r="K76" s="230"/>
      <c r="L76" s="230"/>
      <c r="M76" s="230" t="s">
        <v>266</v>
      </c>
      <c r="N76" s="230" t="s">
        <v>280</v>
      </c>
      <c r="O76" s="230" t="s">
        <v>267</v>
      </c>
      <c r="P76" s="231" t="s">
        <v>339</v>
      </c>
      <c r="Q76" s="231"/>
      <c r="R76" s="233">
        <v>115000000</v>
      </c>
      <c r="S76" s="233">
        <v>6000000</v>
      </c>
      <c r="T76" s="233">
        <v>0</v>
      </c>
      <c r="U76" s="233">
        <v>121000000</v>
      </c>
      <c r="V76" s="233">
        <v>0</v>
      </c>
      <c r="W76" s="233">
        <v>110735200</v>
      </c>
      <c r="X76" s="233">
        <v>10264800</v>
      </c>
      <c r="Y76" s="233">
        <v>110735200</v>
      </c>
      <c r="Z76" s="233">
        <v>110735200</v>
      </c>
      <c r="AA76" s="233">
        <v>110735200</v>
      </c>
      <c r="AB76" s="233">
        <v>110735200</v>
      </c>
    </row>
    <row r="77" spans="1:28" ht="15" customHeight="1" x14ac:dyDescent="0.25">
      <c r="A77" s="230" t="s">
        <v>385</v>
      </c>
      <c r="B77" s="231" t="s">
        <v>386</v>
      </c>
      <c r="C77" s="232" t="s">
        <v>340</v>
      </c>
      <c r="D77" s="230" t="s">
        <v>264</v>
      </c>
      <c r="E77" s="230" t="s">
        <v>265</v>
      </c>
      <c r="F77" s="230" t="s">
        <v>265</v>
      </c>
      <c r="G77" s="230" t="s">
        <v>269</v>
      </c>
      <c r="H77" s="230" t="s">
        <v>283</v>
      </c>
      <c r="I77" s="230"/>
      <c r="J77" s="230"/>
      <c r="K77" s="230"/>
      <c r="L77" s="230"/>
      <c r="M77" s="230" t="s">
        <v>266</v>
      </c>
      <c r="N77" s="230" t="s">
        <v>280</v>
      </c>
      <c r="O77" s="230" t="s">
        <v>267</v>
      </c>
      <c r="P77" s="231" t="s">
        <v>341</v>
      </c>
      <c r="Q77" s="231"/>
      <c r="R77" s="233">
        <v>86000000</v>
      </c>
      <c r="S77" s="233">
        <v>4500000</v>
      </c>
      <c r="T77" s="233">
        <v>0</v>
      </c>
      <c r="U77" s="233">
        <v>90500000</v>
      </c>
      <c r="V77" s="233">
        <v>0</v>
      </c>
      <c r="W77" s="233">
        <v>78448600</v>
      </c>
      <c r="X77" s="233">
        <v>12051400</v>
      </c>
      <c r="Y77" s="233">
        <v>78448600</v>
      </c>
      <c r="Z77" s="233">
        <v>78448600</v>
      </c>
      <c r="AA77" s="233">
        <v>78448600</v>
      </c>
      <c r="AB77" s="233">
        <v>78448600</v>
      </c>
    </row>
    <row r="78" spans="1:28" ht="15" customHeight="1" x14ac:dyDescent="0.25">
      <c r="A78" s="230" t="s">
        <v>385</v>
      </c>
      <c r="B78" s="231" t="s">
        <v>386</v>
      </c>
      <c r="C78" s="232" t="s">
        <v>342</v>
      </c>
      <c r="D78" s="230" t="s">
        <v>264</v>
      </c>
      <c r="E78" s="230" t="s">
        <v>265</v>
      </c>
      <c r="F78" s="230" t="s">
        <v>265</v>
      </c>
      <c r="G78" s="230" t="s">
        <v>269</v>
      </c>
      <c r="H78" s="230" t="s">
        <v>319</v>
      </c>
      <c r="I78" s="230"/>
      <c r="J78" s="230"/>
      <c r="K78" s="230"/>
      <c r="L78" s="230"/>
      <c r="M78" s="230" t="s">
        <v>266</v>
      </c>
      <c r="N78" s="230" t="s">
        <v>280</v>
      </c>
      <c r="O78" s="230" t="s">
        <v>267</v>
      </c>
      <c r="P78" s="231" t="s">
        <v>343</v>
      </c>
      <c r="Q78" s="231"/>
      <c r="R78" s="233">
        <v>51000000</v>
      </c>
      <c r="S78" s="233">
        <v>2000000</v>
      </c>
      <c r="T78" s="233">
        <v>0</v>
      </c>
      <c r="U78" s="233">
        <v>53000000</v>
      </c>
      <c r="V78" s="233">
        <v>0</v>
      </c>
      <c r="W78" s="233">
        <v>46671300</v>
      </c>
      <c r="X78" s="233">
        <v>6328700</v>
      </c>
      <c r="Y78" s="233">
        <v>46671300</v>
      </c>
      <c r="Z78" s="233">
        <v>46671300</v>
      </c>
      <c r="AA78" s="233">
        <v>46671300</v>
      </c>
      <c r="AB78" s="233">
        <v>46671300</v>
      </c>
    </row>
    <row r="79" spans="1:28" ht="15" customHeight="1" x14ac:dyDescent="0.25">
      <c r="A79" s="230" t="s">
        <v>385</v>
      </c>
      <c r="B79" s="231" t="s">
        <v>386</v>
      </c>
      <c r="C79" s="232" t="s">
        <v>344</v>
      </c>
      <c r="D79" s="230" t="s">
        <v>264</v>
      </c>
      <c r="E79" s="230" t="s">
        <v>265</v>
      </c>
      <c r="F79" s="230" t="s">
        <v>265</v>
      </c>
      <c r="G79" s="230" t="s">
        <v>269</v>
      </c>
      <c r="H79" s="230" t="s">
        <v>322</v>
      </c>
      <c r="I79" s="230"/>
      <c r="J79" s="230"/>
      <c r="K79" s="230"/>
      <c r="L79" s="230"/>
      <c r="M79" s="230" t="s">
        <v>266</v>
      </c>
      <c r="N79" s="230" t="s">
        <v>280</v>
      </c>
      <c r="O79" s="230" t="s">
        <v>267</v>
      </c>
      <c r="P79" s="231" t="s">
        <v>345</v>
      </c>
      <c r="Q79" s="231"/>
      <c r="R79" s="233">
        <v>16000000</v>
      </c>
      <c r="S79" s="233">
        <v>0</v>
      </c>
      <c r="T79" s="233">
        <v>0</v>
      </c>
      <c r="U79" s="233">
        <v>16000000</v>
      </c>
      <c r="V79" s="233">
        <v>0</v>
      </c>
      <c r="W79" s="233">
        <v>14295600</v>
      </c>
      <c r="X79" s="233">
        <v>1704400</v>
      </c>
      <c r="Y79" s="233">
        <v>14295600</v>
      </c>
      <c r="Z79" s="233">
        <v>14295600</v>
      </c>
      <c r="AA79" s="233">
        <v>14295600</v>
      </c>
      <c r="AB79" s="233">
        <v>14295600</v>
      </c>
    </row>
    <row r="80" spans="1:28" ht="15" customHeight="1" x14ac:dyDescent="0.25">
      <c r="A80" s="230" t="s">
        <v>385</v>
      </c>
      <c r="B80" s="231" t="s">
        <v>386</v>
      </c>
      <c r="C80" s="232" t="s">
        <v>346</v>
      </c>
      <c r="D80" s="230" t="s">
        <v>264</v>
      </c>
      <c r="E80" s="230" t="s">
        <v>265</v>
      </c>
      <c r="F80" s="230" t="s">
        <v>265</v>
      </c>
      <c r="G80" s="230" t="s">
        <v>269</v>
      </c>
      <c r="H80" s="230" t="s">
        <v>325</v>
      </c>
      <c r="I80" s="230"/>
      <c r="J80" s="230"/>
      <c r="K80" s="230"/>
      <c r="L80" s="230"/>
      <c r="M80" s="230" t="s">
        <v>266</v>
      </c>
      <c r="N80" s="230" t="s">
        <v>280</v>
      </c>
      <c r="O80" s="230" t="s">
        <v>267</v>
      </c>
      <c r="P80" s="231" t="s">
        <v>347</v>
      </c>
      <c r="Q80" s="231"/>
      <c r="R80" s="233">
        <v>38000000</v>
      </c>
      <c r="S80" s="233">
        <v>3900000</v>
      </c>
      <c r="T80" s="233">
        <v>0</v>
      </c>
      <c r="U80" s="233">
        <v>41900000</v>
      </c>
      <c r="V80" s="233">
        <v>0</v>
      </c>
      <c r="W80" s="233">
        <v>35007100</v>
      </c>
      <c r="X80" s="233">
        <v>6892900</v>
      </c>
      <c r="Y80" s="233">
        <v>35007100</v>
      </c>
      <c r="Z80" s="233">
        <v>35007100</v>
      </c>
      <c r="AA80" s="233">
        <v>35007100</v>
      </c>
      <c r="AB80" s="233">
        <v>35007100</v>
      </c>
    </row>
    <row r="81" spans="1:28" ht="15" customHeight="1" x14ac:dyDescent="0.25">
      <c r="A81" s="230" t="s">
        <v>385</v>
      </c>
      <c r="B81" s="231" t="s">
        <v>386</v>
      </c>
      <c r="C81" s="232" t="s">
        <v>348</v>
      </c>
      <c r="D81" s="230" t="s">
        <v>264</v>
      </c>
      <c r="E81" s="230" t="s">
        <v>265</v>
      </c>
      <c r="F81" s="230" t="s">
        <v>265</v>
      </c>
      <c r="G81" s="230" t="s">
        <v>269</v>
      </c>
      <c r="H81" s="230" t="s">
        <v>328</v>
      </c>
      <c r="I81" s="230"/>
      <c r="J81" s="230"/>
      <c r="K81" s="230"/>
      <c r="L81" s="230"/>
      <c r="M81" s="230" t="s">
        <v>266</v>
      </c>
      <c r="N81" s="230" t="s">
        <v>280</v>
      </c>
      <c r="O81" s="230" t="s">
        <v>267</v>
      </c>
      <c r="P81" s="231" t="s">
        <v>349</v>
      </c>
      <c r="Q81" s="231"/>
      <c r="R81" s="233">
        <v>5000000</v>
      </c>
      <c r="S81" s="233">
        <v>19220000</v>
      </c>
      <c r="T81" s="233">
        <v>0</v>
      </c>
      <c r="U81" s="233">
        <v>24220000</v>
      </c>
      <c r="V81" s="233">
        <v>0</v>
      </c>
      <c r="W81" s="233">
        <v>23349100</v>
      </c>
      <c r="X81" s="233">
        <v>870900</v>
      </c>
      <c r="Y81" s="233">
        <v>23349100</v>
      </c>
      <c r="Z81" s="233">
        <v>23349100</v>
      </c>
      <c r="AA81" s="233">
        <v>23349100</v>
      </c>
      <c r="AB81" s="233">
        <v>23349100</v>
      </c>
    </row>
    <row r="82" spans="1:28" ht="15" customHeight="1" x14ac:dyDescent="0.25">
      <c r="A82" s="230" t="s">
        <v>385</v>
      </c>
      <c r="B82" s="231" t="s">
        <v>386</v>
      </c>
      <c r="C82" s="232" t="s">
        <v>350</v>
      </c>
      <c r="D82" s="230" t="s">
        <v>264</v>
      </c>
      <c r="E82" s="230" t="s">
        <v>265</v>
      </c>
      <c r="F82" s="230" t="s">
        <v>265</v>
      </c>
      <c r="G82" s="230" t="s">
        <v>269</v>
      </c>
      <c r="H82" s="230" t="s">
        <v>351</v>
      </c>
      <c r="I82" s="230"/>
      <c r="J82" s="230"/>
      <c r="K82" s="230"/>
      <c r="L82" s="230"/>
      <c r="M82" s="230" t="s">
        <v>266</v>
      </c>
      <c r="N82" s="230" t="s">
        <v>280</v>
      </c>
      <c r="O82" s="230" t="s">
        <v>267</v>
      </c>
      <c r="P82" s="231" t="s">
        <v>352</v>
      </c>
      <c r="Q82" s="231"/>
      <c r="R82" s="233">
        <v>5000000</v>
      </c>
      <c r="S82" s="233">
        <v>0</v>
      </c>
      <c r="T82" s="233">
        <v>5000000</v>
      </c>
      <c r="U82" s="233">
        <v>0</v>
      </c>
      <c r="V82" s="233">
        <v>0</v>
      </c>
      <c r="W82" s="233">
        <v>0</v>
      </c>
      <c r="X82" s="233">
        <v>0</v>
      </c>
      <c r="Y82" s="233">
        <v>0</v>
      </c>
      <c r="Z82" s="233">
        <v>0</v>
      </c>
      <c r="AA82" s="233">
        <v>0</v>
      </c>
      <c r="AB82" s="233">
        <v>0</v>
      </c>
    </row>
    <row r="83" spans="1:28" ht="15" customHeight="1" x14ac:dyDescent="0.25">
      <c r="A83" s="230" t="s">
        <v>385</v>
      </c>
      <c r="B83" s="231" t="s">
        <v>386</v>
      </c>
      <c r="C83" s="232" t="s">
        <v>353</v>
      </c>
      <c r="D83" s="230" t="s">
        <v>264</v>
      </c>
      <c r="E83" s="230" t="s">
        <v>265</v>
      </c>
      <c r="F83" s="230" t="s">
        <v>265</v>
      </c>
      <c r="G83" s="230" t="s">
        <v>269</v>
      </c>
      <c r="H83" s="230" t="s">
        <v>331</v>
      </c>
      <c r="I83" s="230"/>
      <c r="J83" s="230"/>
      <c r="K83" s="230"/>
      <c r="L83" s="230"/>
      <c r="M83" s="230" t="s">
        <v>266</v>
      </c>
      <c r="N83" s="230" t="s">
        <v>280</v>
      </c>
      <c r="O83" s="230" t="s">
        <v>267</v>
      </c>
      <c r="P83" s="231" t="s">
        <v>354</v>
      </c>
      <c r="Q83" s="231"/>
      <c r="R83" s="233">
        <v>10000000</v>
      </c>
      <c r="S83" s="233">
        <v>0</v>
      </c>
      <c r="T83" s="233">
        <v>10000000</v>
      </c>
      <c r="U83" s="233">
        <v>0</v>
      </c>
      <c r="V83" s="233">
        <v>0</v>
      </c>
      <c r="W83" s="233">
        <v>0</v>
      </c>
      <c r="X83" s="233">
        <v>0</v>
      </c>
      <c r="Y83" s="233">
        <v>0</v>
      </c>
      <c r="Z83" s="233">
        <v>0</v>
      </c>
      <c r="AA83" s="233">
        <v>0</v>
      </c>
      <c r="AB83" s="233">
        <v>0</v>
      </c>
    </row>
    <row r="84" spans="1:28" ht="15" customHeight="1" x14ac:dyDescent="0.25">
      <c r="A84" s="230" t="s">
        <v>385</v>
      </c>
      <c r="B84" s="231" t="s">
        <v>386</v>
      </c>
      <c r="C84" s="232" t="s">
        <v>355</v>
      </c>
      <c r="D84" s="230" t="s">
        <v>264</v>
      </c>
      <c r="E84" s="230" t="s">
        <v>265</v>
      </c>
      <c r="F84" s="230" t="s">
        <v>265</v>
      </c>
      <c r="G84" s="230" t="s">
        <v>271</v>
      </c>
      <c r="H84" s="230" t="s">
        <v>281</v>
      </c>
      <c r="I84" s="230" t="s">
        <v>281</v>
      </c>
      <c r="J84" s="230"/>
      <c r="K84" s="230"/>
      <c r="L84" s="230"/>
      <c r="M84" s="230" t="s">
        <v>266</v>
      </c>
      <c r="N84" s="230" t="s">
        <v>280</v>
      </c>
      <c r="O84" s="230" t="s">
        <v>267</v>
      </c>
      <c r="P84" s="231" t="s">
        <v>356</v>
      </c>
      <c r="Q84" s="231"/>
      <c r="R84" s="233">
        <v>63000000</v>
      </c>
      <c r="S84" s="233">
        <v>0</v>
      </c>
      <c r="T84" s="233">
        <v>0</v>
      </c>
      <c r="U84" s="233">
        <v>63000000</v>
      </c>
      <c r="V84" s="233">
        <v>0</v>
      </c>
      <c r="W84" s="233">
        <v>47085356</v>
      </c>
      <c r="X84" s="233">
        <v>15914644</v>
      </c>
      <c r="Y84" s="233">
        <v>47085356</v>
      </c>
      <c r="Z84" s="233">
        <v>47085356</v>
      </c>
      <c r="AA84" s="233">
        <v>47085356</v>
      </c>
      <c r="AB84" s="233">
        <v>47085356</v>
      </c>
    </row>
    <row r="85" spans="1:28" ht="15" customHeight="1" x14ac:dyDescent="0.25">
      <c r="A85" s="230" t="s">
        <v>385</v>
      </c>
      <c r="B85" s="231" t="s">
        <v>386</v>
      </c>
      <c r="C85" s="232" t="s">
        <v>357</v>
      </c>
      <c r="D85" s="230" t="s">
        <v>264</v>
      </c>
      <c r="E85" s="230" t="s">
        <v>265</v>
      </c>
      <c r="F85" s="230" t="s">
        <v>265</v>
      </c>
      <c r="G85" s="230" t="s">
        <v>271</v>
      </c>
      <c r="H85" s="230" t="s">
        <v>281</v>
      </c>
      <c r="I85" s="230" t="s">
        <v>283</v>
      </c>
      <c r="J85" s="230"/>
      <c r="K85" s="230"/>
      <c r="L85" s="230"/>
      <c r="M85" s="230" t="s">
        <v>266</v>
      </c>
      <c r="N85" s="230" t="s">
        <v>280</v>
      </c>
      <c r="O85" s="230" t="s">
        <v>267</v>
      </c>
      <c r="P85" s="231" t="s">
        <v>358</v>
      </c>
      <c r="Q85" s="231"/>
      <c r="R85" s="233">
        <v>0</v>
      </c>
      <c r="S85" s="233">
        <v>32426692</v>
      </c>
      <c r="T85" s="233">
        <v>0</v>
      </c>
      <c r="U85" s="233">
        <v>32426692</v>
      </c>
      <c r="V85" s="233">
        <v>0</v>
      </c>
      <c r="W85" s="233">
        <v>31348099</v>
      </c>
      <c r="X85" s="233">
        <v>1078593</v>
      </c>
      <c r="Y85" s="233">
        <v>31348099</v>
      </c>
      <c r="Z85" s="233">
        <v>31348099</v>
      </c>
      <c r="AA85" s="233">
        <v>31348099</v>
      </c>
      <c r="AB85" s="233">
        <v>31348099</v>
      </c>
    </row>
    <row r="86" spans="1:28" ht="15" customHeight="1" x14ac:dyDescent="0.25">
      <c r="A86" s="230" t="s">
        <v>385</v>
      </c>
      <c r="B86" s="231" t="s">
        <v>386</v>
      </c>
      <c r="C86" s="232" t="s">
        <v>359</v>
      </c>
      <c r="D86" s="230" t="s">
        <v>264</v>
      </c>
      <c r="E86" s="230" t="s">
        <v>265</v>
      </c>
      <c r="F86" s="230" t="s">
        <v>265</v>
      </c>
      <c r="G86" s="230" t="s">
        <v>271</v>
      </c>
      <c r="H86" s="230" t="s">
        <v>281</v>
      </c>
      <c r="I86" s="230" t="s">
        <v>316</v>
      </c>
      <c r="J86" s="230"/>
      <c r="K86" s="230"/>
      <c r="L86" s="230"/>
      <c r="M86" s="230" t="s">
        <v>266</v>
      </c>
      <c r="N86" s="230" t="s">
        <v>280</v>
      </c>
      <c r="O86" s="230" t="s">
        <v>267</v>
      </c>
      <c r="P86" s="231" t="s">
        <v>360</v>
      </c>
      <c r="Q86" s="231"/>
      <c r="R86" s="233">
        <v>5000000</v>
      </c>
      <c r="S86" s="233">
        <v>1000000</v>
      </c>
      <c r="T86" s="233">
        <v>0</v>
      </c>
      <c r="U86" s="233">
        <v>6000000</v>
      </c>
      <c r="V86" s="233">
        <v>0</v>
      </c>
      <c r="W86" s="233">
        <v>5823059</v>
      </c>
      <c r="X86" s="233">
        <v>176941</v>
      </c>
      <c r="Y86" s="233">
        <v>5823059</v>
      </c>
      <c r="Z86" s="233">
        <v>5823059</v>
      </c>
      <c r="AA86" s="233">
        <v>5823059</v>
      </c>
      <c r="AB86" s="233">
        <v>5823059</v>
      </c>
    </row>
    <row r="87" spans="1:28" ht="15" customHeight="1" x14ac:dyDescent="0.25">
      <c r="A87" s="230" t="s">
        <v>385</v>
      </c>
      <c r="B87" s="231" t="s">
        <v>386</v>
      </c>
      <c r="C87" s="232" t="s">
        <v>361</v>
      </c>
      <c r="D87" s="230" t="s">
        <v>264</v>
      </c>
      <c r="E87" s="230" t="s">
        <v>265</v>
      </c>
      <c r="F87" s="230" t="s">
        <v>265</v>
      </c>
      <c r="G87" s="230" t="s">
        <v>271</v>
      </c>
      <c r="H87" s="230" t="s">
        <v>283</v>
      </c>
      <c r="I87" s="230"/>
      <c r="J87" s="230"/>
      <c r="K87" s="230"/>
      <c r="L87" s="230"/>
      <c r="M87" s="230" t="s">
        <v>266</v>
      </c>
      <c r="N87" s="230" t="s">
        <v>280</v>
      </c>
      <c r="O87" s="230" t="s">
        <v>267</v>
      </c>
      <c r="P87" s="231" t="s">
        <v>362</v>
      </c>
      <c r="Q87" s="231"/>
      <c r="R87" s="233">
        <v>29000000</v>
      </c>
      <c r="S87" s="233">
        <v>0</v>
      </c>
      <c r="T87" s="233">
        <v>0</v>
      </c>
      <c r="U87" s="233">
        <v>29000000</v>
      </c>
      <c r="V87" s="233">
        <v>0</v>
      </c>
      <c r="W87" s="233">
        <v>18971478</v>
      </c>
      <c r="X87" s="233">
        <v>10028522</v>
      </c>
      <c r="Y87" s="233">
        <v>18971478</v>
      </c>
      <c r="Z87" s="233">
        <v>18971478</v>
      </c>
      <c r="AA87" s="233">
        <v>18971478</v>
      </c>
      <c r="AB87" s="233">
        <v>18971478</v>
      </c>
    </row>
    <row r="88" spans="1:28" ht="15" customHeight="1" x14ac:dyDescent="0.25">
      <c r="A88" s="230" t="s">
        <v>385</v>
      </c>
      <c r="B88" s="231" t="s">
        <v>386</v>
      </c>
      <c r="C88" s="232" t="s">
        <v>363</v>
      </c>
      <c r="D88" s="230" t="s">
        <v>264</v>
      </c>
      <c r="E88" s="230" t="s">
        <v>269</v>
      </c>
      <c r="F88" s="230" t="s">
        <v>269</v>
      </c>
      <c r="G88" s="230" t="s">
        <v>269</v>
      </c>
      <c r="H88" s="230" t="s">
        <v>325</v>
      </c>
      <c r="I88" s="230" t="s">
        <v>319</v>
      </c>
      <c r="J88" s="230"/>
      <c r="K88" s="230"/>
      <c r="L88" s="230"/>
      <c r="M88" s="230" t="s">
        <v>273</v>
      </c>
      <c r="N88" s="230" t="s">
        <v>34</v>
      </c>
      <c r="O88" s="230" t="s">
        <v>267</v>
      </c>
      <c r="P88" s="231" t="s">
        <v>364</v>
      </c>
      <c r="Q88" s="231"/>
      <c r="R88" s="233">
        <v>1440000</v>
      </c>
      <c r="S88" s="233">
        <v>2587000</v>
      </c>
      <c r="T88" s="233">
        <v>733000</v>
      </c>
      <c r="U88" s="233">
        <v>3294000</v>
      </c>
      <c r="V88" s="233">
        <v>0</v>
      </c>
      <c r="W88" s="233">
        <v>3294000</v>
      </c>
      <c r="X88" s="233">
        <v>0</v>
      </c>
      <c r="Y88" s="233">
        <v>3294000</v>
      </c>
      <c r="Z88" s="233">
        <v>3294000</v>
      </c>
      <c r="AA88" s="233">
        <v>3294000</v>
      </c>
      <c r="AB88" s="233">
        <v>3294000</v>
      </c>
    </row>
    <row r="89" spans="1:28" ht="15" customHeight="1" x14ac:dyDescent="0.25">
      <c r="A89" s="230" t="s">
        <v>385</v>
      </c>
      <c r="B89" s="231" t="s">
        <v>386</v>
      </c>
      <c r="C89" s="232" t="s">
        <v>365</v>
      </c>
      <c r="D89" s="230" t="s">
        <v>264</v>
      </c>
      <c r="E89" s="230" t="s">
        <v>269</v>
      </c>
      <c r="F89" s="230" t="s">
        <v>269</v>
      </c>
      <c r="G89" s="230" t="s">
        <v>269</v>
      </c>
      <c r="H89" s="230" t="s">
        <v>325</v>
      </c>
      <c r="I89" s="230" t="s">
        <v>331</v>
      </c>
      <c r="J89" s="230"/>
      <c r="K89" s="230"/>
      <c r="L89" s="230"/>
      <c r="M89" s="230" t="s">
        <v>266</v>
      </c>
      <c r="N89" s="230" t="s">
        <v>280</v>
      </c>
      <c r="O89" s="230" t="s">
        <v>267</v>
      </c>
      <c r="P89" s="231" t="s">
        <v>366</v>
      </c>
      <c r="Q89" s="231"/>
      <c r="R89" s="233">
        <v>11600000</v>
      </c>
      <c r="S89" s="233">
        <v>5600000</v>
      </c>
      <c r="T89" s="233">
        <v>0</v>
      </c>
      <c r="U89" s="233">
        <v>17200000</v>
      </c>
      <c r="V89" s="233">
        <v>0</v>
      </c>
      <c r="W89" s="233">
        <v>17200000</v>
      </c>
      <c r="X89" s="233">
        <v>0</v>
      </c>
      <c r="Y89" s="233">
        <v>16151627</v>
      </c>
      <c r="Z89" s="233">
        <v>16112077</v>
      </c>
      <c r="AA89" s="233">
        <v>16112077</v>
      </c>
      <c r="AB89" s="233">
        <v>16112077</v>
      </c>
    </row>
    <row r="90" spans="1:28" ht="15" customHeight="1" x14ac:dyDescent="0.25">
      <c r="A90" s="230" t="s">
        <v>385</v>
      </c>
      <c r="B90" s="231" t="s">
        <v>386</v>
      </c>
      <c r="C90" s="232" t="s">
        <v>383</v>
      </c>
      <c r="D90" s="230" t="s">
        <v>264</v>
      </c>
      <c r="E90" s="230" t="s">
        <v>269</v>
      </c>
      <c r="F90" s="230" t="s">
        <v>269</v>
      </c>
      <c r="G90" s="230" t="s">
        <v>269</v>
      </c>
      <c r="H90" s="230" t="s">
        <v>328</v>
      </c>
      <c r="I90" s="230" t="s">
        <v>283</v>
      </c>
      <c r="J90" s="230"/>
      <c r="K90" s="230"/>
      <c r="L90" s="230"/>
      <c r="M90" s="230" t="s">
        <v>266</v>
      </c>
      <c r="N90" s="230" t="s">
        <v>280</v>
      </c>
      <c r="O90" s="230" t="s">
        <v>267</v>
      </c>
      <c r="P90" s="231" t="s">
        <v>384</v>
      </c>
      <c r="Q90" s="231"/>
      <c r="R90" s="233">
        <v>4000000</v>
      </c>
      <c r="S90" s="233">
        <v>666975</v>
      </c>
      <c r="T90" s="233">
        <v>5</v>
      </c>
      <c r="U90" s="233">
        <v>4666970</v>
      </c>
      <c r="V90" s="233">
        <v>0</v>
      </c>
      <c r="W90" s="233">
        <v>4666970</v>
      </c>
      <c r="X90" s="233">
        <v>0</v>
      </c>
      <c r="Y90" s="233">
        <v>4666970</v>
      </c>
      <c r="Z90" s="233">
        <v>2927463</v>
      </c>
      <c r="AA90" s="233">
        <v>2927463</v>
      </c>
      <c r="AB90" s="233">
        <v>2927463</v>
      </c>
    </row>
    <row r="91" spans="1:28" ht="15" customHeight="1" x14ac:dyDescent="0.25">
      <c r="A91" s="230" t="s">
        <v>385</v>
      </c>
      <c r="B91" s="231" t="s">
        <v>386</v>
      </c>
      <c r="C91" s="232" t="s">
        <v>383</v>
      </c>
      <c r="D91" s="230" t="s">
        <v>264</v>
      </c>
      <c r="E91" s="230" t="s">
        <v>269</v>
      </c>
      <c r="F91" s="230" t="s">
        <v>269</v>
      </c>
      <c r="G91" s="230" t="s">
        <v>269</v>
      </c>
      <c r="H91" s="230" t="s">
        <v>328</v>
      </c>
      <c r="I91" s="230" t="s">
        <v>283</v>
      </c>
      <c r="J91" s="230"/>
      <c r="K91" s="230"/>
      <c r="L91" s="230"/>
      <c r="M91" s="230" t="s">
        <v>273</v>
      </c>
      <c r="N91" s="230" t="s">
        <v>34</v>
      </c>
      <c r="O91" s="230" t="s">
        <v>267</v>
      </c>
      <c r="P91" s="231" t="s">
        <v>384</v>
      </c>
      <c r="Q91" s="231"/>
      <c r="R91" s="233">
        <v>0</v>
      </c>
      <c r="S91" s="233">
        <v>38500000</v>
      </c>
      <c r="T91" s="233">
        <v>0</v>
      </c>
      <c r="U91" s="233">
        <v>38500000</v>
      </c>
      <c r="V91" s="233">
        <v>0</v>
      </c>
      <c r="W91" s="233">
        <v>38500000</v>
      </c>
      <c r="X91" s="233">
        <v>0</v>
      </c>
      <c r="Y91" s="233">
        <v>38500000</v>
      </c>
      <c r="Z91" s="233">
        <v>34650000</v>
      </c>
      <c r="AA91" s="233">
        <v>34650000</v>
      </c>
      <c r="AB91" s="233">
        <v>34650000</v>
      </c>
    </row>
    <row r="92" spans="1:28" ht="15" customHeight="1" x14ac:dyDescent="0.25">
      <c r="A92" s="230" t="s">
        <v>385</v>
      </c>
      <c r="B92" s="231" t="s">
        <v>386</v>
      </c>
      <c r="C92" s="232" t="s">
        <v>367</v>
      </c>
      <c r="D92" s="230" t="s">
        <v>264</v>
      </c>
      <c r="E92" s="230" t="s">
        <v>269</v>
      </c>
      <c r="F92" s="230" t="s">
        <v>269</v>
      </c>
      <c r="G92" s="230" t="s">
        <v>269</v>
      </c>
      <c r="H92" s="230" t="s">
        <v>351</v>
      </c>
      <c r="I92" s="230" t="s">
        <v>319</v>
      </c>
      <c r="J92" s="230"/>
      <c r="K92" s="230"/>
      <c r="L92" s="230"/>
      <c r="M92" s="230" t="s">
        <v>266</v>
      </c>
      <c r="N92" s="230" t="s">
        <v>280</v>
      </c>
      <c r="O92" s="230" t="s">
        <v>267</v>
      </c>
      <c r="P92" s="231" t="s">
        <v>368</v>
      </c>
      <c r="Q92" s="231"/>
      <c r="R92" s="233">
        <v>2800000</v>
      </c>
      <c r="S92" s="233">
        <v>0</v>
      </c>
      <c r="T92" s="233">
        <v>0</v>
      </c>
      <c r="U92" s="233">
        <v>2800000</v>
      </c>
      <c r="V92" s="233">
        <v>0</v>
      </c>
      <c r="W92" s="233">
        <v>2800000</v>
      </c>
      <c r="X92" s="233">
        <v>0</v>
      </c>
      <c r="Y92" s="233">
        <v>1804000</v>
      </c>
      <c r="Z92" s="233">
        <v>1804000</v>
      </c>
      <c r="AA92" s="233">
        <v>1804000</v>
      </c>
      <c r="AB92" s="233">
        <v>1804000</v>
      </c>
    </row>
    <row r="93" spans="1:28" ht="15" customHeight="1" x14ac:dyDescent="0.25">
      <c r="A93" s="230" t="s">
        <v>385</v>
      </c>
      <c r="B93" s="231" t="s">
        <v>386</v>
      </c>
      <c r="C93" s="232" t="s">
        <v>369</v>
      </c>
      <c r="D93" s="230" t="s">
        <v>264</v>
      </c>
      <c r="E93" s="230" t="s">
        <v>269</v>
      </c>
      <c r="F93" s="230" t="s">
        <v>269</v>
      </c>
      <c r="G93" s="230" t="s">
        <v>269</v>
      </c>
      <c r="H93" s="230" t="s">
        <v>331</v>
      </c>
      <c r="I93" s="230" t="s">
        <v>319</v>
      </c>
      <c r="J93" s="230"/>
      <c r="K93" s="230"/>
      <c r="L93" s="230"/>
      <c r="M93" s="230" t="s">
        <v>266</v>
      </c>
      <c r="N93" s="230" t="s">
        <v>280</v>
      </c>
      <c r="O93" s="230" t="s">
        <v>267</v>
      </c>
      <c r="P93" s="231" t="s">
        <v>370</v>
      </c>
      <c r="Q93" s="231"/>
      <c r="R93" s="233">
        <v>1500000</v>
      </c>
      <c r="S93" s="233">
        <v>670000</v>
      </c>
      <c r="T93" s="233">
        <v>0</v>
      </c>
      <c r="U93" s="233">
        <v>2170000</v>
      </c>
      <c r="V93" s="233">
        <v>0</v>
      </c>
      <c r="W93" s="233">
        <v>2170000</v>
      </c>
      <c r="X93" s="233">
        <v>0</v>
      </c>
      <c r="Y93" s="233">
        <v>1812444</v>
      </c>
      <c r="Z93" s="233">
        <v>1812444</v>
      </c>
      <c r="AA93" s="233">
        <v>1812444</v>
      </c>
      <c r="AB93" s="233">
        <v>1812444</v>
      </c>
    </row>
    <row r="94" spans="1:28" ht="15" customHeight="1" x14ac:dyDescent="0.25">
      <c r="A94" s="230" t="s">
        <v>385</v>
      </c>
      <c r="B94" s="231" t="s">
        <v>386</v>
      </c>
      <c r="C94" s="232" t="s">
        <v>371</v>
      </c>
      <c r="D94" s="230" t="s">
        <v>264</v>
      </c>
      <c r="E94" s="230" t="s">
        <v>269</v>
      </c>
      <c r="F94" s="230" t="s">
        <v>269</v>
      </c>
      <c r="G94" s="230" t="s">
        <v>269</v>
      </c>
      <c r="H94" s="230" t="s">
        <v>334</v>
      </c>
      <c r="I94" s="230"/>
      <c r="J94" s="230"/>
      <c r="K94" s="230"/>
      <c r="L94" s="230"/>
      <c r="M94" s="230" t="s">
        <v>266</v>
      </c>
      <c r="N94" s="230" t="s">
        <v>280</v>
      </c>
      <c r="O94" s="230" t="s">
        <v>267</v>
      </c>
      <c r="P94" s="231" t="s">
        <v>372</v>
      </c>
      <c r="Q94" s="231"/>
      <c r="R94" s="233">
        <v>0</v>
      </c>
      <c r="S94" s="233">
        <v>1023976</v>
      </c>
      <c r="T94" s="233">
        <v>0</v>
      </c>
      <c r="U94" s="233">
        <v>1023976</v>
      </c>
      <c r="V94" s="233">
        <v>0</v>
      </c>
      <c r="W94" s="233">
        <v>1023976</v>
      </c>
      <c r="X94" s="233">
        <v>0</v>
      </c>
      <c r="Y94" s="233">
        <v>1023976</v>
      </c>
      <c r="Z94" s="233">
        <v>1023976</v>
      </c>
      <c r="AA94" s="233">
        <v>1023976</v>
      </c>
      <c r="AB94" s="233">
        <v>1023976</v>
      </c>
    </row>
    <row r="95" spans="1:28" ht="15" customHeight="1" x14ac:dyDescent="0.25">
      <c r="A95" s="230" t="s">
        <v>385</v>
      </c>
      <c r="B95" s="231" t="s">
        <v>386</v>
      </c>
      <c r="C95" s="232" t="s">
        <v>371</v>
      </c>
      <c r="D95" s="230" t="s">
        <v>264</v>
      </c>
      <c r="E95" s="230" t="s">
        <v>269</v>
      </c>
      <c r="F95" s="230" t="s">
        <v>269</v>
      </c>
      <c r="G95" s="230" t="s">
        <v>269</v>
      </c>
      <c r="H95" s="230" t="s">
        <v>334</v>
      </c>
      <c r="I95" s="230"/>
      <c r="J95" s="230"/>
      <c r="K95" s="230"/>
      <c r="L95" s="230"/>
      <c r="M95" s="230" t="s">
        <v>273</v>
      </c>
      <c r="N95" s="230" t="s">
        <v>34</v>
      </c>
      <c r="O95" s="230" t="s">
        <v>267</v>
      </c>
      <c r="P95" s="231" t="s">
        <v>372</v>
      </c>
      <c r="Q95" s="231"/>
      <c r="R95" s="233">
        <v>1706531</v>
      </c>
      <c r="S95" s="233">
        <v>9234</v>
      </c>
      <c r="T95" s="233">
        <v>9234</v>
      </c>
      <c r="U95" s="233">
        <v>1706531</v>
      </c>
      <c r="V95" s="233">
        <v>0</v>
      </c>
      <c r="W95" s="233">
        <v>1706531</v>
      </c>
      <c r="X95" s="233">
        <v>0</v>
      </c>
      <c r="Y95" s="233">
        <v>1706531</v>
      </c>
      <c r="Z95" s="233">
        <v>1706531</v>
      </c>
      <c r="AA95" s="233">
        <v>1706531</v>
      </c>
      <c r="AB95" s="233">
        <v>1706531</v>
      </c>
    </row>
    <row r="96" spans="1:28" ht="15" customHeight="1" x14ac:dyDescent="0.25">
      <c r="A96" s="230" t="s">
        <v>385</v>
      </c>
      <c r="B96" s="231" t="s">
        <v>386</v>
      </c>
      <c r="C96" s="232" t="s">
        <v>373</v>
      </c>
      <c r="D96" s="230" t="s">
        <v>264</v>
      </c>
      <c r="E96" s="230" t="s">
        <v>271</v>
      </c>
      <c r="F96" s="230" t="s">
        <v>277</v>
      </c>
      <c r="G96" s="230" t="s">
        <v>269</v>
      </c>
      <c r="H96" s="230" t="s">
        <v>278</v>
      </c>
      <c r="I96" s="230" t="s">
        <v>281</v>
      </c>
      <c r="J96" s="230"/>
      <c r="K96" s="230"/>
      <c r="L96" s="230"/>
      <c r="M96" s="230" t="s">
        <v>266</v>
      </c>
      <c r="N96" s="230" t="s">
        <v>280</v>
      </c>
      <c r="O96" s="230" t="s">
        <v>267</v>
      </c>
      <c r="P96" s="231" t="s">
        <v>374</v>
      </c>
      <c r="Q96" s="231"/>
      <c r="R96" s="233">
        <v>0</v>
      </c>
      <c r="S96" s="233">
        <v>7619468</v>
      </c>
      <c r="T96" s="233">
        <v>0</v>
      </c>
      <c r="U96" s="233">
        <v>7619468</v>
      </c>
      <c r="V96" s="233">
        <v>0</v>
      </c>
      <c r="W96" s="233">
        <v>5587094</v>
      </c>
      <c r="X96" s="233">
        <v>2032374</v>
      </c>
      <c r="Y96" s="233">
        <v>5587094</v>
      </c>
      <c r="Z96" s="233">
        <v>5587094</v>
      </c>
      <c r="AA96" s="233">
        <v>5587094</v>
      </c>
      <c r="AB96" s="233">
        <v>5587094</v>
      </c>
    </row>
    <row r="97" spans="1:28" ht="15" customHeight="1" x14ac:dyDescent="0.25">
      <c r="A97" s="230" t="s">
        <v>385</v>
      </c>
      <c r="B97" s="231" t="s">
        <v>386</v>
      </c>
      <c r="C97" s="232" t="s">
        <v>387</v>
      </c>
      <c r="D97" s="230" t="s">
        <v>264</v>
      </c>
      <c r="E97" s="230" t="s">
        <v>271</v>
      </c>
      <c r="F97" s="230" t="s">
        <v>277</v>
      </c>
      <c r="G97" s="230" t="s">
        <v>269</v>
      </c>
      <c r="H97" s="230" t="s">
        <v>278</v>
      </c>
      <c r="I97" s="230" t="s">
        <v>283</v>
      </c>
      <c r="J97" s="230"/>
      <c r="K97" s="230"/>
      <c r="L97" s="230"/>
      <c r="M97" s="230" t="s">
        <v>266</v>
      </c>
      <c r="N97" s="230" t="s">
        <v>280</v>
      </c>
      <c r="O97" s="230" t="s">
        <v>267</v>
      </c>
      <c r="P97" s="231" t="s">
        <v>388</v>
      </c>
      <c r="Q97" s="231"/>
      <c r="R97" s="233">
        <v>0</v>
      </c>
      <c r="S97" s="233">
        <v>10400000</v>
      </c>
      <c r="T97" s="233">
        <v>0</v>
      </c>
      <c r="U97" s="233">
        <v>10400000</v>
      </c>
      <c r="V97" s="233">
        <v>0</v>
      </c>
      <c r="W97" s="233">
        <v>10225247</v>
      </c>
      <c r="X97" s="233">
        <v>174753</v>
      </c>
      <c r="Y97" s="233">
        <v>10225247</v>
      </c>
      <c r="Z97" s="233">
        <v>10225247</v>
      </c>
      <c r="AA97" s="233">
        <v>10225247</v>
      </c>
      <c r="AB97" s="233">
        <v>10225247</v>
      </c>
    </row>
    <row r="98" spans="1:28" ht="15" customHeight="1" x14ac:dyDescent="0.25">
      <c r="A98" s="230" t="s">
        <v>385</v>
      </c>
      <c r="B98" s="231" t="s">
        <v>386</v>
      </c>
      <c r="C98" s="232" t="s">
        <v>375</v>
      </c>
      <c r="D98" s="230" t="s">
        <v>264</v>
      </c>
      <c r="E98" s="230" t="s">
        <v>285</v>
      </c>
      <c r="F98" s="230" t="s">
        <v>265</v>
      </c>
      <c r="G98" s="230" t="s">
        <v>269</v>
      </c>
      <c r="H98" s="230" t="s">
        <v>281</v>
      </c>
      <c r="I98" s="230"/>
      <c r="J98" s="230"/>
      <c r="K98" s="230"/>
      <c r="L98" s="230"/>
      <c r="M98" s="230" t="s">
        <v>266</v>
      </c>
      <c r="N98" s="230" t="s">
        <v>280</v>
      </c>
      <c r="O98" s="230" t="s">
        <v>267</v>
      </c>
      <c r="P98" s="231" t="s">
        <v>376</v>
      </c>
      <c r="Q98" s="231"/>
      <c r="R98" s="233">
        <v>0</v>
      </c>
      <c r="S98" s="233">
        <v>33208000</v>
      </c>
      <c r="T98" s="233">
        <v>0</v>
      </c>
      <c r="U98" s="233">
        <v>33208000</v>
      </c>
      <c r="V98" s="233">
        <v>0</v>
      </c>
      <c r="W98" s="233">
        <v>33208000</v>
      </c>
      <c r="X98" s="233">
        <v>0</v>
      </c>
      <c r="Y98" s="233">
        <v>33208000</v>
      </c>
      <c r="Z98" s="233">
        <v>33208000</v>
      </c>
      <c r="AA98" s="233">
        <v>33208000</v>
      </c>
      <c r="AB98" s="233">
        <v>33208000</v>
      </c>
    </row>
    <row r="99" spans="1:28" ht="15" customHeight="1" x14ac:dyDescent="0.25">
      <c r="A99" s="230" t="s">
        <v>385</v>
      </c>
      <c r="B99" s="231" t="s">
        <v>386</v>
      </c>
      <c r="C99" s="232" t="s">
        <v>377</v>
      </c>
      <c r="D99" s="230" t="s">
        <v>264</v>
      </c>
      <c r="E99" s="230" t="s">
        <v>285</v>
      </c>
      <c r="F99" s="230" t="s">
        <v>265</v>
      </c>
      <c r="G99" s="230" t="s">
        <v>269</v>
      </c>
      <c r="H99" s="230" t="s">
        <v>316</v>
      </c>
      <c r="I99" s="230"/>
      <c r="J99" s="230"/>
      <c r="K99" s="230"/>
      <c r="L99" s="230"/>
      <c r="M99" s="230" t="s">
        <v>273</v>
      </c>
      <c r="N99" s="230" t="s">
        <v>34</v>
      </c>
      <c r="O99" s="230" t="s">
        <v>267</v>
      </c>
      <c r="P99" s="231" t="s">
        <v>378</v>
      </c>
      <c r="Q99" s="231"/>
      <c r="R99" s="233">
        <v>0</v>
      </c>
      <c r="S99" s="233">
        <v>3542000</v>
      </c>
      <c r="T99" s="233">
        <v>762000</v>
      </c>
      <c r="U99" s="233">
        <v>2780000</v>
      </c>
      <c r="V99" s="233">
        <v>0</v>
      </c>
      <c r="W99" s="233">
        <v>2780000</v>
      </c>
      <c r="X99" s="233">
        <v>0</v>
      </c>
      <c r="Y99" s="233">
        <v>2780000</v>
      </c>
      <c r="Z99" s="233">
        <v>2780000</v>
      </c>
      <c r="AA99" s="233">
        <v>2780000</v>
      </c>
      <c r="AB99" s="233">
        <v>2780000</v>
      </c>
    </row>
    <row r="100" spans="1:28" ht="15" customHeight="1" x14ac:dyDescent="0.25">
      <c r="A100" s="230" t="s">
        <v>389</v>
      </c>
      <c r="B100" s="231" t="s">
        <v>390</v>
      </c>
      <c r="C100" s="232" t="s">
        <v>313</v>
      </c>
      <c r="D100" s="230" t="s">
        <v>264</v>
      </c>
      <c r="E100" s="230" t="s">
        <v>265</v>
      </c>
      <c r="F100" s="230" t="s">
        <v>265</v>
      </c>
      <c r="G100" s="230" t="s">
        <v>265</v>
      </c>
      <c r="H100" s="230" t="s">
        <v>281</v>
      </c>
      <c r="I100" s="230" t="s">
        <v>281</v>
      </c>
      <c r="J100" s="230"/>
      <c r="K100" s="230"/>
      <c r="L100" s="230"/>
      <c r="M100" s="230" t="s">
        <v>266</v>
      </c>
      <c r="N100" s="230" t="s">
        <v>280</v>
      </c>
      <c r="O100" s="230" t="s">
        <v>267</v>
      </c>
      <c r="P100" s="231" t="s">
        <v>314</v>
      </c>
      <c r="Q100" s="231"/>
      <c r="R100" s="233">
        <v>445000000</v>
      </c>
      <c r="S100" s="233">
        <v>42694000</v>
      </c>
      <c r="T100" s="233">
        <v>0</v>
      </c>
      <c r="U100" s="233">
        <v>487694000</v>
      </c>
      <c r="V100" s="233">
        <v>0</v>
      </c>
      <c r="W100" s="233">
        <v>448369197</v>
      </c>
      <c r="X100" s="233">
        <v>39324803</v>
      </c>
      <c r="Y100" s="233">
        <v>448369197</v>
      </c>
      <c r="Z100" s="233">
        <v>448369197</v>
      </c>
      <c r="AA100" s="233">
        <v>448369197</v>
      </c>
      <c r="AB100" s="233">
        <v>448369197</v>
      </c>
    </row>
    <row r="101" spans="1:28" ht="15" customHeight="1" x14ac:dyDescent="0.25">
      <c r="A101" s="230" t="s">
        <v>389</v>
      </c>
      <c r="B101" s="231" t="s">
        <v>390</v>
      </c>
      <c r="C101" s="232" t="s">
        <v>315</v>
      </c>
      <c r="D101" s="230" t="s">
        <v>264</v>
      </c>
      <c r="E101" s="230" t="s">
        <v>265</v>
      </c>
      <c r="F101" s="230" t="s">
        <v>265</v>
      </c>
      <c r="G101" s="230" t="s">
        <v>265</v>
      </c>
      <c r="H101" s="230" t="s">
        <v>281</v>
      </c>
      <c r="I101" s="230" t="s">
        <v>316</v>
      </c>
      <c r="J101" s="230"/>
      <c r="K101" s="230"/>
      <c r="L101" s="230"/>
      <c r="M101" s="230" t="s">
        <v>266</v>
      </c>
      <c r="N101" s="230" t="s">
        <v>280</v>
      </c>
      <c r="O101" s="230" t="s">
        <v>267</v>
      </c>
      <c r="P101" s="231" t="s">
        <v>317</v>
      </c>
      <c r="Q101" s="231"/>
      <c r="R101" s="233">
        <v>0</v>
      </c>
      <c r="S101" s="233">
        <v>10928077</v>
      </c>
      <c r="T101" s="233">
        <v>0</v>
      </c>
      <c r="U101" s="233">
        <v>10928077</v>
      </c>
      <c r="V101" s="233">
        <v>0</v>
      </c>
      <c r="W101" s="233">
        <v>8366809</v>
      </c>
      <c r="X101" s="233">
        <v>2561268</v>
      </c>
      <c r="Y101" s="233">
        <v>8366809</v>
      </c>
      <c r="Z101" s="233">
        <v>8366809</v>
      </c>
      <c r="AA101" s="233">
        <v>8366809</v>
      </c>
      <c r="AB101" s="233">
        <v>8366809</v>
      </c>
    </row>
    <row r="102" spans="1:28" ht="15" customHeight="1" x14ac:dyDescent="0.25">
      <c r="A102" s="230" t="s">
        <v>389</v>
      </c>
      <c r="B102" s="231" t="s">
        <v>390</v>
      </c>
      <c r="C102" s="232" t="s">
        <v>318</v>
      </c>
      <c r="D102" s="230" t="s">
        <v>264</v>
      </c>
      <c r="E102" s="230" t="s">
        <v>265</v>
      </c>
      <c r="F102" s="230" t="s">
        <v>265</v>
      </c>
      <c r="G102" s="230" t="s">
        <v>265</v>
      </c>
      <c r="H102" s="230" t="s">
        <v>281</v>
      </c>
      <c r="I102" s="230" t="s">
        <v>319</v>
      </c>
      <c r="J102" s="230"/>
      <c r="K102" s="230"/>
      <c r="L102" s="230"/>
      <c r="M102" s="230" t="s">
        <v>266</v>
      </c>
      <c r="N102" s="230" t="s">
        <v>280</v>
      </c>
      <c r="O102" s="230" t="s">
        <v>267</v>
      </c>
      <c r="P102" s="231" t="s">
        <v>320</v>
      </c>
      <c r="Q102" s="231"/>
      <c r="R102" s="233">
        <v>9000000</v>
      </c>
      <c r="S102" s="233">
        <v>0</v>
      </c>
      <c r="T102" s="233">
        <v>0</v>
      </c>
      <c r="U102" s="233">
        <v>9000000</v>
      </c>
      <c r="V102" s="233">
        <v>0</v>
      </c>
      <c r="W102" s="233">
        <v>8387250</v>
      </c>
      <c r="X102" s="233">
        <v>612750</v>
      </c>
      <c r="Y102" s="233">
        <v>8387250</v>
      </c>
      <c r="Z102" s="233">
        <v>8387250</v>
      </c>
      <c r="AA102" s="233">
        <v>8387250</v>
      </c>
      <c r="AB102" s="233">
        <v>8387250</v>
      </c>
    </row>
    <row r="103" spans="1:28" ht="15" customHeight="1" x14ac:dyDescent="0.25">
      <c r="A103" s="230" t="s">
        <v>389</v>
      </c>
      <c r="B103" s="231" t="s">
        <v>390</v>
      </c>
      <c r="C103" s="232" t="s">
        <v>321</v>
      </c>
      <c r="D103" s="230" t="s">
        <v>264</v>
      </c>
      <c r="E103" s="230" t="s">
        <v>265</v>
      </c>
      <c r="F103" s="230" t="s">
        <v>265</v>
      </c>
      <c r="G103" s="230" t="s">
        <v>265</v>
      </c>
      <c r="H103" s="230" t="s">
        <v>281</v>
      </c>
      <c r="I103" s="230" t="s">
        <v>322</v>
      </c>
      <c r="J103" s="230"/>
      <c r="K103" s="230"/>
      <c r="L103" s="230"/>
      <c r="M103" s="230" t="s">
        <v>266</v>
      </c>
      <c r="N103" s="230" t="s">
        <v>280</v>
      </c>
      <c r="O103" s="230" t="s">
        <v>267</v>
      </c>
      <c r="P103" s="231" t="s">
        <v>323</v>
      </c>
      <c r="Q103" s="231"/>
      <c r="R103" s="233">
        <v>5771000</v>
      </c>
      <c r="S103" s="233">
        <v>3247000</v>
      </c>
      <c r="T103" s="233">
        <v>5771000</v>
      </c>
      <c r="U103" s="233">
        <v>3247000</v>
      </c>
      <c r="V103" s="233">
        <v>0</v>
      </c>
      <c r="W103" s="233">
        <v>1877140</v>
      </c>
      <c r="X103" s="233">
        <v>1369860</v>
      </c>
      <c r="Y103" s="233">
        <v>1877140</v>
      </c>
      <c r="Z103" s="233">
        <v>1877140</v>
      </c>
      <c r="AA103" s="233">
        <v>1877140</v>
      </c>
      <c r="AB103" s="233">
        <v>1877140</v>
      </c>
    </row>
    <row r="104" spans="1:28" ht="15" customHeight="1" x14ac:dyDescent="0.25">
      <c r="A104" s="230" t="s">
        <v>389</v>
      </c>
      <c r="B104" s="231" t="s">
        <v>390</v>
      </c>
      <c r="C104" s="232" t="s">
        <v>324</v>
      </c>
      <c r="D104" s="230" t="s">
        <v>264</v>
      </c>
      <c r="E104" s="230" t="s">
        <v>265</v>
      </c>
      <c r="F104" s="230" t="s">
        <v>265</v>
      </c>
      <c r="G104" s="230" t="s">
        <v>265</v>
      </c>
      <c r="H104" s="230" t="s">
        <v>281</v>
      </c>
      <c r="I104" s="230" t="s">
        <v>325</v>
      </c>
      <c r="J104" s="230"/>
      <c r="K104" s="230"/>
      <c r="L104" s="230"/>
      <c r="M104" s="230" t="s">
        <v>266</v>
      </c>
      <c r="N104" s="230" t="s">
        <v>280</v>
      </c>
      <c r="O104" s="230" t="s">
        <v>267</v>
      </c>
      <c r="P104" s="231" t="s">
        <v>326</v>
      </c>
      <c r="Q104" s="231"/>
      <c r="R104" s="233">
        <v>41000000</v>
      </c>
      <c r="S104" s="233">
        <v>7714210</v>
      </c>
      <c r="T104" s="233">
        <v>6</v>
      </c>
      <c r="U104" s="233">
        <v>48714204</v>
      </c>
      <c r="V104" s="233">
        <v>0</v>
      </c>
      <c r="W104" s="233">
        <v>48714204</v>
      </c>
      <c r="X104" s="233">
        <v>0</v>
      </c>
      <c r="Y104" s="233">
        <v>48714204</v>
      </c>
      <c r="Z104" s="233">
        <v>48714204</v>
      </c>
      <c r="AA104" s="233">
        <v>48714204</v>
      </c>
      <c r="AB104" s="233">
        <v>48714204</v>
      </c>
    </row>
    <row r="105" spans="1:28" ht="15" customHeight="1" x14ac:dyDescent="0.25">
      <c r="A105" s="230" t="s">
        <v>389</v>
      </c>
      <c r="B105" s="231" t="s">
        <v>390</v>
      </c>
      <c r="C105" s="232" t="s">
        <v>327</v>
      </c>
      <c r="D105" s="230" t="s">
        <v>264</v>
      </c>
      <c r="E105" s="230" t="s">
        <v>265</v>
      </c>
      <c r="F105" s="230" t="s">
        <v>265</v>
      </c>
      <c r="G105" s="230" t="s">
        <v>265</v>
      </c>
      <c r="H105" s="230" t="s">
        <v>281</v>
      </c>
      <c r="I105" s="230" t="s">
        <v>328</v>
      </c>
      <c r="J105" s="230"/>
      <c r="K105" s="230"/>
      <c r="L105" s="230"/>
      <c r="M105" s="230" t="s">
        <v>266</v>
      </c>
      <c r="N105" s="230" t="s">
        <v>280</v>
      </c>
      <c r="O105" s="230" t="s">
        <v>267</v>
      </c>
      <c r="P105" s="231" t="s">
        <v>329</v>
      </c>
      <c r="Q105" s="231"/>
      <c r="R105" s="233">
        <v>14000000</v>
      </c>
      <c r="S105" s="233">
        <v>8900000</v>
      </c>
      <c r="T105" s="233">
        <v>0</v>
      </c>
      <c r="U105" s="233">
        <v>22900000</v>
      </c>
      <c r="V105" s="233">
        <v>0</v>
      </c>
      <c r="W105" s="233">
        <v>18602975</v>
      </c>
      <c r="X105" s="233">
        <v>4297025</v>
      </c>
      <c r="Y105" s="233">
        <v>18602975</v>
      </c>
      <c r="Z105" s="233">
        <v>18602975</v>
      </c>
      <c r="AA105" s="233">
        <v>18602975</v>
      </c>
      <c r="AB105" s="233">
        <v>18602975</v>
      </c>
    </row>
    <row r="106" spans="1:28" ht="15" customHeight="1" x14ac:dyDescent="0.25">
      <c r="A106" s="230" t="s">
        <v>389</v>
      </c>
      <c r="B106" s="231" t="s">
        <v>390</v>
      </c>
      <c r="C106" s="232" t="s">
        <v>330</v>
      </c>
      <c r="D106" s="230" t="s">
        <v>264</v>
      </c>
      <c r="E106" s="230" t="s">
        <v>265</v>
      </c>
      <c r="F106" s="230" t="s">
        <v>265</v>
      </c>
      <c r="G106" s="230" t="s">
        <v>265</v>
      </c>
      <c r="H106" s="230" t="s">
        <v>281</v>
      </c>
      <c r="I106" s="230" t="s">
        <v>331</v>
      </c>
      <c r="J106" s="230"/>
      <c r="K106" s="230"/>
      <c r="L106" s="230"/>
      <c r="M106" s="230" t="s">
        <v>266</v>
      </c>
      <c r="N106" s="230" t="s">
        <v>280</v>
      </c>
      <c r="O106" s="230" t="s">
        <v>267</v>
      </c>
      <c r="P106" s="231" t="s">
        <v>332</v>
      </c>
      <c r="Q106" s="231"/>
      <c r="R106" s="233">
        <v>53000000</v>
      </c>
      <c r="S106" s="233">
        <v>4011934</v>
      </c>
      <c r="T106" s="233">
        <v>0</v>
      </c>
      <c r="U106" s="233">
        <v>57011934</v>
      </c>
      <c r="V106" s="233">
        <v>0</v>
      </c>
      <c r="W106" s="233">
        <v>56993970</v>
      </c>
      <c r="X106" s="233">
        <v>17964</v>
      </c>
      <c r="Y106" s="233">
        <v>56993970</v>
      </c>
      <c r="Z106" s="233">
        <v>56993970</v>
      </c>
      <c r="AA106" s="233">
        <v>56993970</v>
      </c>
      <c r="AB106" s="233">
        <v>56993970</v>
      </c>
    </row>
    <row r="107" spans="1:28" ht="15" customHeight="1" x14ac:dyDescent="0.25">
      <c r="A107" s="230" t="s">
        <v>389</v>
      </c>
      <c r="B107" s="231" t="s">
        <v>390</v>
      </c>
      <c r="C107" s="232" t="s">
        <v>333</v>
      </c>
      <c r="D107" s="230" t="s">
        <v>264</v>
      </c>
      <c r="E107" s="230" t="s">
        <v>265</v>
      </c>
      <c r="F107" s="230" t="s">
        <v>265</v>
      </c>
      <c r="G107" s="230" t="s">
        <v>265</v>
      </c>
      <c r="H107" s="230" t="s">
        <v>281</v>
      </c>
      <c r="I107" s="230" t="s">
        <v>334</v>
      </c>
      <c r="J107" s="230"/>
      <c r="K107" s="230"/>
      <c r="L107" s="230"/>
      <c r="M107" s="230" t="s">
        <v>266</v>
      </c>
      <c r="N107" s="230" t="s">
        <v>280</v>
      </c>
      <c r="O107" s="230" t="s">
        <v>267</v>
      </c>
      <c r="P107" s="231" t="s">
        <v>335</v>
      </c>
      <c r="Q107" s="231"/>
      <c r="R107" s="233">
        <v>28000000</v>
      </c>
      <c r="S107" s="233">
        <v>2500000</v>
      </c>
      <c r="T107" s="233">
        <v>0</v>
      </c>
      <c r="U107" s="233">
        <v>30500000</v>
      </c>
      <c r="V107" s="233">
        <v>0</v>
      </c>
      <c r="W107" s="233">
        <v>27833342</v>
      </c>
      <c r="X107" s="233">
        <v>2666658</v>
      </c>
      <c r="Y107" s="233">
        <v>27833342</v>
      </c>
      <c r="Z107" s="233">
        <v>27833342</v>
      </c>
      <c r="AA107" s="233">
        <v>27833342</v>
      </c>
      <c r="AB107" s="233">
        <v>27833342</v>
      </c>
    </row>
    <row r="108" spans="1:28" ht="15" customHeight="1" x14ac:dyDescent="0.25">
      <c r="A108" s="230" t="s">
        <v>389</v>
      </c>
      <c r="B108" s="231" t="s">
        <v>390</v>
      </c>
      <c r="C108" s="232" t="s">
        <v>336</v>
      </c>
      <c r="D108" s="230" t="s">
        <v>264</v>
      </c>
      <c r="E108" s="230" t="s">
        <v>265</v>
      </c>
      <c r="F108" s="230" t="s">
        <v>265</v>
      </c>
      <c r="G108" s="230" t="s">
        <v>265</v>
      </c>
      <c r="H108" s="230" t="s">
        <v>281</v>
      </c>
      <c r="I108" s="230" t="s">
        <v>278</v>
      </c>
      <c r="J108" s="230"/>
      <c r="K108" s="230"/>
      <c r="L108" s="230"/>
      <c r="M108" s="230" t="s">
        <v>266</v>
      </c>
      <c r="N108" s="230" t="s">
        <v>280</v>
      </c>
      <c r="O108" s="230" t="s">
        <v>267</v>
      </c>
      <c r="P108" s="231" t="s">
        <v>337</v>
      </c>
      <c r="Q108" s="231"/>
      <c r="R108" s="233">
        <v>5000000</v>
      </c>
      <c r="S108" s="233">
        <v>5762920</v>
      </c>
      <c r="T108" s="233">
        <v>770439</v>
      </c>
      <c r="U108" s="233">
        <v>9992481</v>
      </c>
      <c r="V108" s="233">
        <v>0</v>
      </c>
      <c r="W108" s="233">
        <v>9992481</v>
      </c>
      <c r="X108" s="233">
        <v>0</v>
      </c>
      <c r="Y108" s="233">
        <v>9992481</v>
      </c>
      <c r="Z108" s="233">
        <v>9992481</v>
      </c>
      <c r="AA108" s="233">
        <v>9992481</v>
      </c>
      <c r="AB108" s="233">
        <v>9992481</v>
      </c>
    </row>
    <row r="109" spans="1:28" ht="15" customHeight="1" x14ac:dyDescent="0.25">
      <c r="A109" s="230" t="s">
        <v>389</v>
      </c>
      <c r="B109" s="231" t="s">
        <v>390</v>
      </c>
      <c r="C109" s="232" t="s">
        <v>338</v>
      </c>
      <c r="D109" s="230" t="s">
        <v>264</v>
      </c>
      <c r="E109" s="230" t="s">
        <v>265</v>
      </c>
      <c r="F109" s="230" t="s">
        <v>265</v>
      </c>
      <c r="G109" s="230" t="s">
        <v>269</v>
      </c>
      <c r="H109" s="230" t="s">
        <v>281</v>
      </c>
      <c r="I109" s="230"/>
      <c r="J109" s="230"/>
      <c r="K109" s="230"/>
      <c r="L109" s="230"/>
      <c r="M109" s="230" t="s">
        <v>266</v>
      </c>
      <c r="N109" s="230" t="s">
        <v>280</v>
      </c>
      <c r="O109" s="230" t="s">
        <v>267</v>
      </c>
      <c r="P109" s="231" t="s">
        <v>339</v>
      </c>
      <c r="Q109" s="231"/>
      <c r="R109" s="233">
        <v>57000000</v>
      </c>
      <c r="S109" s="233">
        <v>6000000</v>
      </c>
      <c r="T109" s="233">
        <v>0</v>
      </c>
      <c r="U109" s="233">
        <v>63000000</v>
      </c>
      <c r="V109" s="233">
        <v>0</v>
      </c>
      <c r="W109" s="233">
        <v>59046600</v>
      </c>
      <c r="X109" s="233">
        <v>3953400</v>
      </c>
      <c r="Y109" s="233">
        <v>59046600</v>
      </c>
      <c r="Z109" s="233">
        <v>59046600</v>
      </c>
      <c r="AA109" s="233">
        <v>59046600</v>
      </c>
      <c r="AB109" s="233">
        <v>59046600</v>
      </c>
    </row>
    <row r="110" spans="1:28" ht="15" customHeight="1" x14ac:dyDescent="0.25">
      <c r="A110" s="230" t="s">
        <v>389</v>
      </c>
      <c r="B110" s="231" t="s">
        <v>390</v>
      </c>
      <c r="C110" s="232" t="s">
        <v>340</v>
      </c>
      <c r="D110" s="230" t="s">
        <v>264</v>
      </c>
      <c r="E110" s="230" t="s">
        <v>265</v>
      </c>
      <c r="F110" s="230" t="s">
        <v>265</v>
      </c>
      <c r="G110" s="230" t="s">
        <v>269</v>
      </c>
      <c r="H110" s="230" t="s">
        <v>283</v>
      </c>
      <c r="I110" s="230"/>
      <c r="J110" s="230"/>
      <c r="K110" s="230"/>
      <c r="L110" s="230"/>
      <c r="M110" s="230" t="s">
        <v>266</v>
      </c>
      <c r="N110" s="230" t="s">
        <v>280</v>
      </c>
      <c r="O110" s="230" t="s">
        <v>267</v>
      </c>
      <c r="P110" s="231" t="s">
        <v>341</v>
      </c>
      <c r="Q110" s="231"/>
      <c r="R110" s="233">
        <v>40000000</v>
      </c>
      <c r="S110" s="233">
        <v>4000000</v>
      </c>
      <c r="T110" s="233">
        <v>0</v>
      </c>
      <c r="U110" s="233">
        <v>44000000</v>
      </c>
      <c r="V110" s="233">
        <v>0</v>
      </c>
      <c r="W110" s="233">
        <v>41813700</v>
      </c>
      <c r="X110" s="233">
        <v>2186300</v>
      </c>
      <c r="Y110" s="233">
        <v>41813700</v>
      </c>
      <c r="Z110" s="233">
        <v>41813700</v>
      </c>
      <c r="AA110" s="233">
        <v>41813700</v>
      </c>
      <c r="AB110" s="233">
        <v>41813700</v>
      </c>
    </row>
    <row r="111" spans="1:28" ht="15" customHeight="1" x14ac:dyDescent="0.25">
      <c r="A111" s="230" t="s">
        <v>389</v>
      </c>
      <c r="B111" s="231" t="s">
        <v>390</v>
      </c>
      <c r="C111" s="232" t="s">
        <v>342</v>
      </c>
      <c r="D111" s="230" t="s">
        <v>264</v>
      </c>
      <c r="E111" s="230" t="s">
        <v>265</v>
      </c>
      <c r="F111" s="230" t="s">
        <v>265</v>
      </c>
      <c r="G111" s="230" t="s">
        <v>269</v>
      </c>
      <c r="H111" s="230" t="s">
        <v>319</v>
      </c>
      <c r="I111" s="230"/>
      <c r="J111" s="230"/>
      <c r="K111" s="230"/>
      <c r="L111" s="230"/>
      <c r="M111" s="230" t="s">
        <v>266</v>
      </c>
      <c r="N111" s="230" t="s">
        <v>280</v>
      </c>
      <c r="O111" s="230" t="s">
        <v>267</v>
      </c>
      <c r="P111" s="231" t="s">
        <v>343</v>
      </c>
      <c r="Q111" s="231"/>
      <c r="R111" s="233">
        <v>23000000</v>
      </c>
      <c r="S111" s="233">
        <v>4000000</v>
      </c>
      <c r="T111" s="233">
        <v>0</v>
      </c>
      <c r="U111" s="233">
        <v>27000000</v>
      </c>
      <c r="V111" s="233">
        <v>0</v>
      </c>
      <c r="W111" s="233">
        <v>24546400</v>
      </c>
      <c r="X111" s="233">
        <v>2453600</v>
      </c>
      <c r="Y111" s="233">
        <v>24546400</v>
      </c>
      <c r="Z111" s="233">
        <v>24546400</v>
      </c>
      <c r="AA111" s="233">
        <v>24546400</v>
      </c>
      <c r="AB111" s="233">
        <v>24546400</v>
      </c>
    </row>
    <row r="112" spans="1:28" ht="15" customHeight="1" x14ac:dyDescent="0.25">
      <c r="A112" s="230" t="s">
        <v>389</v>
      </c>
      <c r="B112" s="231" t="s">
        <v>390</v>
      </c>
      <c r="C112" s="232" t="s">
        <v>344</v>
      </c>
      <c r="D112" s="230" t="s">
        <v>264</v>
      </c>
      <c r="E112" s="230" t="s">
        <v>265</v>
      </c>
      <c r="F112" s="230" t="s">
        <v>265</v>
      </c>
      <c r="G112" s="230" t="s">
        <v>269</v>
      </c>
      <c r="H112" s="230" t="s">
        <v>322</v>
      </c>
      <c r="I112" s="230"/>
      <c r="J112" s="230"/>
      <c r="K112" s="230"/>
      <c r="L112" s="230"/>
      <c r="M112" s="230" t="s">
        <v>266</v>
      </c>
      <c r="N112" s="230" t="s">
        <v>280</v>
      </c>
      <c r="O112" s="230" t="s">
        <v>267</v>
      </c>
      <c r="P112" s="231" t="s">
        <v>345</v>
      </c>
      <c r="Q112" s="231"/>
      <c r="R112" s="233">
        <v>5000000</v>
      </c>
      <c r="S112" s="233">
        <v>2000000</v>
      </c>
      <c r="T112" s="233">
        <v>0</v>
      </c>
      <c r="U112" s="233">
        <v>7000000</v>
      </c>
      <c r="V112" s="233">
        <v>0</v>
      </c>
      <c r="W112" s="233">
        <v>6130000</v>
      </c>
      <c r="X112" s="233">
        <v>870000</v>
      </c>
      <c r="Y112" s="233">
        <v>6130000</v>
      </c>
      <c r="Z112" s="233">
        <v>6130000</v>
      </c>
      <c r="AA112" s="233">
        <v>6130000</v>
      </c>
      <c r="AB112" s="233">
        <v>6130000</v>
      </c>
    </row>
    <row r="113" spans="1:28" ht="15" customHeight="1" x14ac:dyDescent="0.25">
      <c r="A113" s="230" t="s">
        <v>389</v>
      </c>
      <c r="B113" s="231" t="s">
        <v>390</v>
      </c>
      <c r="C113" s="232" t="s">
        <v>346</v>
      </c>
      <c r="D113" s="230" t="s">
        <v>264</v>
      </c>
      <c r="E113" s="230" t="s">
        <v>265</v>
      </c>
      <c r="F113" s="230" t="s">
        <v>265</v>
      </c>
      <c r="G113" s="230" t="s">
        <v>269</v>
      </c>
      <c r="H113" s="230" t="s">
        <v>325</v>
      </c>
      <c r="I113" s="230"/>
      <c r="J113" s="230"/>
      <c r="K113" s="230"/>
      <c r="L113" s="230"/>
      <c r="M113" s="230" t="s">
        <v>266</v>
      </c>
      <c r="N113" s="230" t="s">
        <v>280</v>
      </c>
      <c r="O113" s="230" t="s">
        <v>267</v>
      </c>
      <c r="P113" s="231" t="s">
        <v>347</v>
      </c>
      <c r="Q113" s="231"/>
      <c r="R113" s="233">
        <v>17000000</v>
      </c>
      <c r="S113" s="233">
        <v>2000000</v>
      </c>
      <c r="T113" s="233">
        <v>0</v>
      </c>
      <c r="U113" s="233">
        <v>19000000</v>
      </c>
      <c r="V113" s="233">
        <v>0</v>
      </c>
      <c r="W113" s="233">
        <v>18414300</v>
      </c>
      <c r="X113" s="233">
        <v>585700</v>
      </c>
      <c r="Y113" s="233">
        <v>18414300</v>
      </c>
      <c r="Z113" s="233">
        <v>18414300</v>
      </c>
      <c r="AA113" s="233">
        <v>18414300</v>
      </c>
      <c r="AB113" s="233">
        <v>18414300</v>
      </c>
    </row>
    <row r="114" spans="1:28" ht="15" customHeight="1" x14ac:dyDescent="0.25">
      <c r="A114" s="230" t="s">
        <v>389</v>
      </c>
      <c r="B114" s="231" t="s">
        <v>390</v>
      </c>
      <c r="C114" s="232" t="s">
        <v>348</v>
      </c>
      <c r="D114" s="230" t="s">
        <v>264</v>
      </c>
      <c r="E114" s="230" t="s">
        <v>265</v>
      </c>
      <c r="F114" s="230" t="s">
        <v>265</v>
      </c>
      <c r="G114" s="230" t="s">
        <v>269</v>
      </c>
      <c r="H114" s="230" t="s">
        <v>328</v>
      </c>
      <c r="I114" s="230"/>
      <c r="J114" s="230"/>
      <c r="K114" s="230"/>
      <c r="L114" s="230"/>
      <c r="M114" s="230" t="s">
        <v>266</v>
      </c>
      <c r="N114" s="230" t="s">
        <v>280</v>
      </c>
      <c r="O114" s="230" t="s">
        <v>267</v>
      </c>
      <c r="P114" s="231" t="s">
        <v>349</v>
      </c>
      <c r="Q114" s="231"/>
      <c r="R114" s="233">
        <v>2500000</v>
      </c>
      <c r="S114" s="233">
        <v>11500000</v>
      </c>
      <c r="T114" s="233">
        <v>0</v>
      </c>
      <c r="U114" s="233">
        <v>14000000</v>
      </c>
      <c r="V114" s="233">
        <v>0</v>
      </c>
      <c r="W114" s="233">
        <v>12279800</v>
      </c>
      <c r="X114" s="233">
        <v>1720200</v>
      </c>
      <c r="Y114" s="233">
        <v>12279800</v>
      </c>
      <c r="Z114" s="233">
        <v>12279800</v>
      </c>
      <c r="AA114" s="233">
        <v>12279800</v>
      </c>
      <c r="AB114" s="233">
        <v>12279800</v>
      </c>
    </row>
    <row r="115" spans="1:28" ht="15" customHeight="1" x14ac:dyDescent="0.25">
      <c r="A115" s="230" t="s">
        <v>389</v>
      </c>
      <c r="B115" s="231" t="s">
        <v>390</v>
      </c>
      <c r="C115" s="232" t="s">
        <v>350</v>
      </c>
      <c r="D115" s="230" t="s">
        <v>264</v>
      </c>
      <c r="E115" s="230" t="s">
        <v>265</v>
      </c>
      <c r="F115" s="230" t="s">
        <v>265</v>
      </c>
      <c r="G115" s="230" t="s">
        <v>269</v>
      </c>
      <c r="H115" s="230" t="s">
        <v>351</v>
      </c>
      <c r="I115" s="230"/>
      <c r="J115" s="230"/>
      <c r="K115" s="230"/>
      <c r="L115" s="230"/>
      <c r="M115" s="230" t="s">
        <v>266</v>
      </c>
      <c r="N115" s="230" t="s">
        <v>280</v>
      </c>
      <c r="O115" s="230" t="s">
        <v>267</v>
      </c>
      <c r="P115" s="231" t="s">
        <v>352</v>
      </c>
      <c r="Q115" s="231"/>
      <c r="R115" s="233">
        <v>2500000</v>
      </c>
      <c r="S115" s="233">
        <v>0</v>
      </c>
      <c r="T115" s="233">
        <v>2500000</v>
      </c>
      <c r="U115" s="233">
        <v>0</v>
      </c>
      <c r="V115" s="233">
        <v>0</v>
      </c>
      <c r="W115" s="233">
        <v>0</v>
      </c>
      <c r="X115" s="233">
        <v>0</v>
      </c>
      <c r="Y115" s="233">
        <v>0</v>
      </c>
      <c r="Z115" s="233">
        <v>0</v>
      </c>
      <c r="AA115" s="233">
        <v>0</v>
      </c>
      <c r="AB115" s="233">
        <v>0</v>
      </c>
    </row>
    <row r="116" spans="1:28" ht="15" customHeight="1" x14ac:dyDescent="0.25">
      <c r="A116" s="230" t="s">
        <v>389</v>
      </c>
      <c r="B116" s="231" t="s">
        <v>390</v>
      </c>
      <c r="C116" s="232" t="s">
        <v>353</v>
      </c>
      <c r="D116" s="230" t="s">
        <v>264</v>
      </c>
      <c r="E116" s="230" t="s">
        <v>265</v>
      </c>
      <c r="F116" s="230" t="s">
        <v>265</v>
      </c>
      <c r="G116" s="230" t="s">
        <v>269</v>
      </c>
      <c r="H116" s="230" t="s">
        <v>331</v>
      </c>
      <c r="I116" s="230"/>
      <c r="J116" s="230"/>
      <c r="K116" s="230"/>
      <c r="L116" s="230"/>
      <c r="M116" s="230" t="s">
        <v>266</v>
      </c>
      <c r="N116" s="230" t="s">
        <v>280</v>
      </c>
      <c r="O116" s="230" t="s">
        <v>267</v>
      </c>
      <c r="P116" s="231" t="s">
        <v>354</v>
      </c>
      <c r="Q116" s="231"/>
      <c r="R116" s="233">
        <v>5000000</v>
      </c>
      <c r="S116" s="233">
        <v>0</v>
      </c>
      <c r="T116" s="233">
        <v>5000000</v>
      </c>
      <c r="U116" s="233">
        <v>0</v>
      </c>
      <c r="V116" s="233">
        <v>0</v>
      </c>
      <c r="W116" s="233">
        <v>0</v>
      </c>
      <c r="X116" s="233">
        <v>0</v>
      </c>
      <c r="Y116" s="233">
        <v>0</v>
      </c>
      <c r="Z116" s="233">
        <v>0</v>
      </c>
      <c r="AA116" s="233">
        <v>0</v>
      </c>
      <c r="AB116" s="233">
        <v>0</v>
      </c>
    </row>
    <row r="117" spans="1:28" ht="15" customHeight="1" x14ac:dyDescent="0.25">
      <c r="A117" s="230" t="s">
        <v>389</v>
      </c>
      <c r="B117" s="231" t="s">
        <v>390</v>
      </c>
      <c r="C117" s="232" t="s">
        <v>355</v>
      </c>
      <c r="D117" s="230" t="s">
        <v>264</v>
      </c>
      <c r="E117" s="230" t="s">
        <v>265</v>
      </c>
      <c r="F117" s="230" t="s">
        <v>265</v>
      </c>
      <c r="G117" s="230" t="s">
        <v>271</v>
      </c>
      <c r="H117" s="230" t="s">
        <v>281</v>
      </c>
      <c r="I117" s="230" t="s">
        <v>281</v>
      </c>
      <c r="J117" s="230"/>
      <c r="K117" s="230"/>
      <c r="L117" s="230"/>
      <c r="M117" s="230" t="s">
        <v>266</v>
      </c>
      <c r="N117" s="230" t="s">
        <v>280</v>
      </c>
      <c r="O117" s="230" t="s">
        <v>267</v>
      </c>
      <c r="P117" s="231" t="s">
        <v>356</v>
      </c>
      <c r="Q117" s="231"/>
      <c r="R117" s="233">
        <v>25000000</v>
      </c>
      <c r="S117" s="233">
        <v>0</v>
      </c>
      <c r="T117" s="233">
        <v>0</v>
      </c>
      <c r="U117" s="233">
        <v>25000000</v>
      </c>
      <c r="V117" s="233">
        <v>0</v>
      </c>
      <c r="W117" s="233">
        <v>17537427</v>
      </c>
      <c r="X117" s="233">
        <v>7462573</v>
      </c>
      <c r="Y117" s="233">
        <v>17537427</v>
      </c>
      <c r="Z117" s="233">
        <v>17537427</v>
      </c>
      <c r="AA117" s="233">
        <v>17537427</v>
      </c>
      <c r="AB117" s="233">
        <v>17537427</v>
      </c>
    </row>
    <row r="118" spans="1:28" ht="15" customHeight="1" x14ac:dyDescent="0.25">
      <c r="A118" s="230" t="s">
        <v>389</v>
      </c>
      <c r="B118" s="231" t="s">
        <v>390</v>
      </c>
      <c r="C118" s="232" t="s">
        <v>357</v>
      </c>
      <c r="D118" s="230" t="s">
        <v>264</v>
      </c>
      <c r="E118" s="230" t="s">
        <v>265</v>
      </c>
      <c r="F118" s="230" t="s">
        <v>265</v>
      </c>
      <c r="G118" s="230" t="s">
        <v>271</v>
      </c>
      <c r="H118" s="230" t="s">
        <v>281</v>
      </c>
      <c r="I118" s="230" t="s">
        <v>283</v>
      </c>
      <c r="J118" s="230"/>
      <c r="K118" s="230"/>
      <c r="L118" s="230"/>
      <c r="M118" s="230" t="s">
        <v>266</v>
      </c>
      <c r="N118" s="230" t="s">
        <v>280</v>
      </c>
      <c r="O118" s="230" t="s">
        <v>267</v>
      </c>
      <c r="P118" s="231" t="s">
        <v>358</v>
      </c>
      <c r="Q118" s="231"/>
      <c r="R118" s="233">
        <v>0</v>
      </c>
      <c r="S118" s="233">
        <v>14495678</v>
      </c>
      <c r="T118" s="233">
        <v>0</v>
      </c>
      <c r="U118" s="233">
        <v>14495678</v>
      </c>
      <c r="V118" s="233">
        <v>0</v>
      </c>
      <c r="W118" s="233">
        <v>13508558</v>
      </c>
      <c r="X118" s="233">
        <v>987120</v>
      </c>
      <c r="Y118" s="233">
        <v>13508558</v>
      </c>
      <c r="Z118" s="233">
        <v>13508558</v>
      </c>
      <c r="AA118" s="233">
        <v>13508558</v>
      </c>
      <c r="AB118" s="233">
        <v>13508558</v>
      </c>
    </row>
    <row r="119" spans="1:28" ht="15" customHeight="1" x14ac:dyDescent="0.25">
      <c r="A119" s="230" t="s">
        <v>389</v>
      </c>
      <c r="B119" s="231" t="s">
        <v>390</v>
      </c>
      <c r="C119" s="232" t="s">
        <v>359</v>
      </c>
      <c r="D119" s="230" t="s">
        <v>264</v>
      </c>
      <c r="E119" s="230" t="s">
        <v>265</v>
      </c>
      <c r="F119" s="230" t="s">
        <v>265</v>
      </c>
      <c r="G119" s="230" t="s">
        <v>271</v>
      </c>
      <c r="H119" s="230" t="s">
        <v>281</v>
      </c>
      <c r="I119" s="230" t="s">
        <v>316</v>
      </c>
      <c r="J119" s="230"/>
      <c r="K119" s="230"/>
      <c r="L119" s="230"/>
      <c r="M119" s="230" t="s">
        <v>266</v>
      </c>
      <c r="N119" s="230" t="s">
        <v>280</v>
      </c>
      <c r="O119" s="230" t="s">
        <v>267</v>
      </c>
      <c r="P119" s="231" t="s">
        <v>360</v>
      </c>
      <c r="Q119" s="231"/>
      <c r="R119" s="233">
        <v>2000000</v>
      </c>
      <c r="S119" s="233">
        <v>540000</v>
      </c>
      <c r="T119" s="233">
        <v>0</v>
      </c>
      <c r="U119" s="233">
        <v>2540000</v>
      </c>
      <c r="V119" s="233">
        <v>0</v>
      </c>
      <c r="W119" s="233">
        <v>2440173</v>
      </c>
      <c r="X119" s="233">
        <v>99827</v>
      </c>
      <c r="Y119" s="233">
        <v>2440173</v>
      </c>
      <c r="Z119" s="233">
        <v>2440173</v>
      </c>
      <c r="AA119" s="233">
        <v>2440173</v>
      </c>
      <c r="AB119" s="233">
        <v>2440173</v>
      </c>
    </row>
    <row r="120" spans="1:28" ht="15" customHeight="1" x14ac:dyDescent="0.25">
      <c r="A120" s="230" t="s">
        <v>389</v>
      </c>
      <c r="B120" s="231" t="s">
        <v>390</v>
      </c>
      <c r="C120" s="232" t="s">
        <v>361</v>
      </c>
      <c r="D120" s="230" t="s">
        <v>264</v>
      </c>
      <c r="E120" s="230" t="s">
        <v>265</v>
      </c>
      <c r="F120" s="230" t="s">
        <v>265</v>
      </c>
      <c r="G120" s="230" t="s">
        <v>271</v>
      </c>
      <c r="H120" s="230" t="s">
        <v>283</v>
      </c>
      <c r="I120" s="230"/>
      <c r="J120" s="230"/>
      <c r="K120" s="230"/>
      <c r="L120" s="230"/>
      <c r="M120" s="230" t="s">
        <v>266</v>
      </c>
      <c r="N120" s="230" t="s">
        <v>280</v>
      </c>
      <c r="O120" s="230" t="s">
        <v>267</v>
      </c>
      <c r="P120" s="231" t="s">
        <v>362</v>
      </c>
      <c r="Q120" s="231"/>
      <c r="R120" s="233">
        <v>14000000</v>
      </c>
      <c r="S120" s="233">
        <v>9129802</v>
      </c>
      <c r="T120" s="233">
        <v>0</v>
      </c>
      <c r="U120" s="233">
        <v>23129802</v>
      </c>
      <c r="V120" s="233">
        <v>0</v>
      </c>
      <c r="W120" s="233">
        <v>20678991</v>
      </c>
      <c r="X120" s="233">
        <v>2450811</v>
      </c>
      <c r="Y120" s="233">
        <v>20678991</v>
      </c>
      <c r="Z120" s="233">
        <v>20678991</v>
      </c>
      <c r="AA120" s="233">
        <v>20678991</v>
      </c>
      <c r="AB120" s="233">
        <v>20678991</v>
      </c>
    </row>
    <row r="121" spans="1:28" ht="15" customHeight="1" x14ac:dyDescent="0.25">
      <c r="A121" s="230" t="s">
        <v>389</v>
      </c>
      <c r="B121" s="231" t="s">
        <v>390</v>
      </c>
      <c r="C121" s="232" t="s">
        <v>363</v>
      </c>
      <c r="D121" s="230" t="s">
        <v>264</v>
      </c>
      <c r="E121" s="230" t="s">
        <v>269</v>
      </c>
      <c r="F121" s="230" t="s">
        <v>269</v>
      </c>
      <c r="G121" s="230" t="s">
        <v>269</v>
      </c>
      <c r="H121" s="230" t="s">
        <v>325</v>
      </c>
      <c r="I121" s="230" t="s">
        <v>319</v>
      </c>
      <c r="J121" s="230"/>
      <c r="K121" s="230"/>
      <c r="L121" s="230"/>
      <c r="M121" s="230" t="s">
        <v>273</v>
      </c>
      <c r="N121" s="230" t="s">
        <v>34</v>
      </c>
      <c r="O121" s="230" t="s">
        <v>267</v>
      </c>
      <c r="P121" s="231" t="s">
        <v>364</v>
      </c>
      <c r="Q121" s="231"/>
      <c r="R121" s="233">
        <v>0</v>
      </c>
      <c r="S121" s="233">
        <v>30000</v>
      </c>
      <c r="T121" s="233">
        <v>30000</v>
      </c>
      <c r="U121" s="233">
        <v>0</v>
      </c>
      <c r="V121" s="233">
        <v>0</v>
      </c>
      <c r="W121" s="233">
        <v>0</v>
      </c>
      <c r="X121" s="233">
        <v>0</v>
      </c>
      <c r="Y121" s="233">
        <v>0</v>
      </c>
      <c r="Z121" s="233">
        <v>0</v>
      </c>
      <c r="AA121" s="233">
        <v>0</v>
      </c>
      <c r="AB121" s="233">
        <v>0</v>
      </c>
    </row>
    <row r="122" spans="1:28" ht="15" customHeight="1" x14ac:dyDescent="0.25">
      <c r="A122" s="230" t="s">
        <v>389</v>
      </c>
      <c r="B122" s="231" t="s">
        <v>390</v>
      </c>
      <c r="C122" s="232" t="s">
        <v>365</v>
      </c>
      <c r="D122" s="230" t="s">
        <v>264</v>
      </c>
      <c r="E122" s="230" t="s">
        <v>269</v>
      </c>
      <c r="F122" s="230" t="s">
        <v>269</v>
      </c>
      <c r="G122" s="230" t="s">
        <v>269</v>
      </c>
      <c r="H122" s="230" t="s">
        <v>325</v>
      </c>
      <c r="I122" s="230" t="s">
        <v>331</v>
      </c>
      <c r="J122" s="230"/>
      <c r="K122" s="230"/>
      <c r="L122" s="230"/>
      <c r="M122" s="230" t="s">
        <v>266</v>
      </c>
      <c r="N122" s="230" t="s">
        <v>280</v>
      </c>
      <c r="O122" s="230" t="s">
        <v>267</v>
      </c>
      <c r="P122" s="231" t="s">
        <v>366</v>
      </c>
      <c r="Q122" s="231"/>
      <c r="R122" s="233">
        <v>16000000</v>
      </c>
      <c r="S122" s="233">
        <v>8929112</v>
      </c>
      <c r="T122" s="233">
        <v>0</v>
      </c>
      <c r="U122" s="233">
        <v>24929112</v>
      </c>
      <c r="V122" s="233">
        <v>0</v>
      </c>
      <c r="W122" s="233">
        <v>24876640</v>
      </c>
      <c r="X122" s="233">
        <v>52472</v>
      </c>
      <c r="Y122" s="233">
        <v>22379402</v>
      </c>
      <c r="Z122" s="233">
        <v>22379402</v>
      </c>
      <c r="AA122" s="233">
        <v>22379402</v>
      </c>
      <c r="AB122" s="233">
        <v>22379402</v>
      </c>
    </row>
    <row r="123" spans="1:28" ht="15" customHeight="1" x14ac:dyDescent="0.25">
      <c r="A123" s="230" t="s">
        <v>389</v>
      </c>
      <c r="B123" s="231" t="s">
        <v>390</v>
      </c>
      <c r="C123" s="232" t="s">
        <v>383</v>
      </c>
      <c r="D123" s="230" t="s">
        <v>264</v>
      </c>
      <c r="E123" s="230" t="s">
        <v>269</v>
      </c>
      <c r="F123" s="230" t="s">
        <v>269</v>
      </c>
      <c r="G123" s="230" t="s">
        <v>269</v>
      </c>
      <c r="H123" s="230" t="s">
        <v>328</v>
      </c>
      <c r="I123" s="230" t="s">
        <v>283</v>
      </c>
      <c r="J123" s="230"/>
      <c r="K123" s="230"/>
      <c r="L123" s="230"/>
      <c r="M123" s="230" t="s">
        <v>266</v>
      </c>
      <c r="N123" s="230" t="s">
        <v>280</v>
      </c>
      <c r="O123" s="230" t="s">
        <v>267</v>
      </c>
      <c r="P123" s="231" t="s">
        <v>384</v>
      </c>
      <c r="Q123" s="231"/>
      <c r="R123" s="233">
        <v>57000000</v>
      </c>
      <c r="S123" s="233">
        <v>12000</v>
      </c>
      <c r="T123" s="233">
        <v>0</v>
      </c>
      <c r="U123" s="233">
        <v>57012000</v>
      </c>
      <c r="V123" s="233">
        <v>0</v>
      </c>
      <c r="W123" s="233">
        <v>57012000</v>
      </c>
      <c r="X123" s="233">
        <v>0</v>
      </c>
      <c r="Y123" s="233">
        <v>52261000</v>
      </c>
      <c r="Z123" s="233">
        <v>52261000</v>
      </c>
      <c r="AA123" s="233">
        <v>52261000</v>
      </c>
      <c r="AB123" s="233">
        <v>52261000</v>
      </c>
    </row>
    <row r="124" spans="1:28" ht="15" customHeight="1" x14ac:dyDescent="0.25">
      <c r="A124" s="230" t="s">
        <v>389</v>
      </c>
      <c r="B124" s="231" t="s">
        <v>390</v>
      </c>
      <c r="C124" s="232" t="s">
        <v>367</v>
      </c>
      <c r="D124" s="230" t="s">
        <v>264</v>
      </c>
      <c r="E124" s="230" t="s">
        <v>269</v>
      </c>
      <c r="F124" s="230" t="s">
        <v>269</v>
      </c>
      <c r="G124" s="230" t="s">
        <v>269</v>
      </c>
      <c r="H124" s="230" t="s">
        <v>351</v>
      </c>
      <c r="I124" s="230" t="s">
        <v>319</v>
      </c>
      <c r="J124" s="230"/>
      <c r="K124" s="230"/>
      <c r="L124" s="230"/>
      <c r="M124" s="230" t="s">
        <v>266</v>
      </c>
      <c r="N124" s="230" t="s">
        <v>280</v>
      </c>
      <c r="O124" s="230" t="s">
        <v>267</v>
      </c>
      <c r="P124" s="231" t="s">
        <v>368</v>
      </c>
      <c r="Q124" s="231"/>
      <c r="R124" s="233">
        <v>4000000</v>
      </c>
      <c r="S124" s="233">
        <v>2114292</v>
      </c>
      <c r="T124" s="233">
        <v>0</v>
      </c>
      <c r="U124" s="233">
        <v>6114292</v>
      </c>
      <c r="V124" s="233">
        <v>0</v>
      </c>
      <c r="W124" s="233">
        <v>6114292</v>
      </c>
      <c r="X124" s="233">
        <v>0</v>
      </c>
      <c r="Y124" s="233">
        <v>5563076</v>
      </c>
      <c r="Z124" s="233">
        <v>5563076</v>
      </c>
      <c r="AA124" s="233">
        <v>5563076</v>
      </c>
      <c r="AB124" s="233">
        <v>5563076</v>
      </c>
    </row>
    <row r="125" spans="1:28" ht="15" customHeight="1" x14ac:dyDescent="0.25">
      <c r="A125" s="230" t="s">
        <v>389</v>
      </c>
      <c r="B125" s="231" t="s">
        <v>390</v>
      </c>
      <c r="C125" s="232" t="s">
        <v>369</v>
      </c>
      <c r="D125" s="230" t="s">
        <v>264</v>
      </c>
      <c r="E125" s="230" t="s">
        <v>269</v>
      </c>
      <c r="F125" s="230" t="s">
        <v>269</v>
      </c>
      <c r="G125" s="230" t="s">
        <v>269</v>
      </c>
      <c r="H125" s="230" t="s">
        <v>331</v>
      </c>
      <c r="I125" s="230" t="s">
        <v>319</v>
      </c>
      <c r="J125" s="230"/>
      <c r="K125" s="230"/>
      <c r="L125" s="230"/>
      <c r="M125" s="230" t="s">
        <v>266</v>
      </c>
      <c r="N125" s="230" t="s">
        <v>280</v>
      </c>
      <c r="O125" s="230" t="s">
        <v>267</v>
      </c>
      <c r="P125" s="231" t="s">
        <v>370</v>
      </c>
      <c r="Q125" s="231"/>
      <c r="R125" s="233">
        <v>500000</v>
      </c>
      <c r="S125" s="233">
        <v>0</v>
      </c>
      <c r="T125" s="233">
        <v>500000</v>
      </c>
      <c r="U125" s="233">
        <v>0</v>
      </c>
      <c r="V125" s="233">
        <v>0</v>
      </c>
      <c r="W125" s="233">
        <v>0</v>
      </c>
      <c r="X125" s="233">
        <v>0</v>
      </c>
      <c r="Y125" s="233">
        <v>0</v>
      </c>
      <c r="Z125" s="233">
        <v>0</v>
      </c>
      <c r="AA125" s="233">
        <v>0</v>
      </c>
      <c r="AB125" s="233">
        <v>0</v>
      </c>
    </row>
    <row r="126" spans="1:28" ht="15" customHeight="1" x14ac:dyDescent="0.25">
      <c r="A126" s="230" t="s">
        <v>389</v>
      </c>
      <c r="B126" s="231" t="s">
        <v>390</v>
      </c>
      <c r="C126" s="232" t="s">
        <v>371</v>
      </c>
      <c r="D126" s="230" t="s">
        <v>264</v>
      </c>
      <c r="E126" s="230" t="s">
        <v>269</v>
      </c>
      <c r="F126" s="230" t="s">
        <v>269</v>
      </c>
      <c r="G126" s="230" t="s">
        <v>269</v>
      </c>
      <c r="H126" s="230" t="s">
        <v>334</v>
      </c>
      <c r="I126" s="230"/>
      <c r="J126" s="230"/>
      <c r="K126" s="230"/>
      <c r="L126" s="230"/>
      <c r="M126" s="230" t="s">
        <v>266</v>
      </c>
      <c r="N126" s="230" t="s">
        <v>280</v>
      </c>
      <c r="O126" s="230" t="s">
        <v>267</v>
      </c>
      <c r="P126" s="231" t="s">
        <v>372</v>
      </c>
      <c r="Q126" s="231"/>
      <c r="R126" s="233">
        <v>0</v>
      </c>
      <c r="S126" s="233">
        <v>271546</v>
      </c>
      <c r="T126" s="233">
        <v>0</v>
      </c>
      <c r="U126" s="233">
        <v>271546</v>
      </c>
      <c r="V126" s="233">
        <v>0</v>
      </c>
      <c r="W126" s="233">
        <v>271546</v>
      </c>
      <c r="X126" s="233">
        <v>0</v>
      </c>
      <c r="Y126" s="233">
        <v>271546</v>
      </c>
      <c r="Z126" s="233">
        <v>271546</v>
      </c>
      <c r="AA126" s="233">
        <v>271546</v>
      </c>
      <c r="AB126" s="233">
        <v>271546</v>
      </c>
    </row>
    <row r="127" spans="1:28" ht="15" customHeight="1" x14ac:dyDescent="0.25">
      <c r="A127" s="230" t="s">
        <v>389</v>
      </c>
      <c r="B127" s="231" t="s">
        <v>390</v>
      </c>
      <c r="C127" s="232" t="s">
        <v>373</v>
      </c>
      <c r="D127" s="230" t="s">
        <v>264</v>
      </c>
      <c r="E127" s="230" t="s">
        <v>271</v>
      </c>
      <c r="F127" s="230" t="s">
        <v>277</v>
      </c>
      <c r="G127" s="230" t="s">
        <v>269</v>
      </c>
      <c r="H127" s="230" t="s">
        <v>278</v>
      </c>
      <c r="I127" s="230" t="s">
        <v>281</v>
      </c>
      <c r="J127" s="230"/>
      <c r="K127" s="230"/>
      <c r="L127" s="230"/>
      <c r="M127" s="230" t="s">
        <v>266</v>
      </c>
      <c r="N127" s="230" t="s">
        <v>280</v>
      </c>
      <c r="O127" s="230" t="s">
        <v>267</v>
      </c>
      <c r="P127" s="231" t="s">
        <v>374</v>
      </c>
      <c r="Q127" s="231"/>
      <c r="R127" s="233">
        <v>0</v>
      </c>
      <c r="S127" s="233">
        <v>867206</v>
      </c>
      <c r="T127" s="233">
        <v>0</v>
      </c>
      <c r="U127" s="233">
        <v>867206</v>
      </c>
      <c r="V127" s="233">
        <v>0</v>
      </c>
      <c r="W127" s="233">
        <v>756201</v>
      </c>
      <c r="X127" s="233">
        <v>111005</v>
      </c>
      <c r="Y127" s="233">
        <v>756201</v>
      </c>
      <c r="Z127" s="233">
        <v>756201</v>
      </c>
      <c r="AA127" s="233">
        <v>756201</v>
      </c>
      <c r="AB127" s="233">
        <v>756201</v>
      </c>
    </row>
    <row r="128" spans="1:28" ht="15" customHeight="1" x14ac:dyDescent="0.25">
      <c r="A128" s="230" t="s">
        <v>389</v>
      </c>
      <c r="B128" s="231" t="s">
        <v>390</v>
      </c>
      <c r="C128" s="232" t="s">
        <v>375</v>
      </c>
      <c r="D128" s="230" t="s">
        <v>264</v>
      </c>
      <c r="E128" s="230" t="s">
        <v>285</v>
      </c>
      <c r="F128" s="230" t="s">
        <v>265</v>
      </c>
      <c r="G128" s="230" t="s">
        <v>269</v>
      </c>
      <c r="H128" s="230" t="s">
        <v>281</v>
      </c>
      <c r="I128" s="230"/>
      <c r="J128" s="230"/>
      <c r="K128" s="230"/>
      <c r="L128" s="230"/>
      <c r="M128" s="230" t="s">
        <v>266</v>
      </c>
      <c r="N128" s="230" t="s">
        <v>280</v>
      </c>
      <c r="O128" s="230" t="s">
        <v>267</v>
      </c>
      <c r="P128" s="231" t="s">
        <v>376</v>
      </c>
      <c r="Q128" s="231"/>
      <c r="R128" s="233">
        <v>0</v>
      </c>
      <c r="S128" s="233">
        <v>8800000</v>
      </c>
      <c r="T128" s="233">
        <v>258800</v>
      </c>
      <c r="U128" s="233">
        <v>8541200</v>
      </c>
      <c r="V128" s="233">
        <v>0</v>
      </c>
      <c r="W128" s="233">
        <v>8541200</v>
      </c>
      <c r="X128" s="233">
        <v>0</v>
      </c>
      <c r="Y128" s="233">
        <v>8541200</v>
      </c>
      <c r="Z128" s="233">
        <v>8541200</v>
      </c>
      <c r="AA128" s="233">
        <v>8541200</v>
      </c>
      <c r="AB128" s="233">
        <v>8541200</v>
      </c>
    </row>
    <row r="129" spans="1:28" ht="15" customHeight="1" x14ac:dyDescent="0.25">
      <c r="A129" s="230" t="s">
        <v>389</v>
      </c>
      <c r="B129" s="231" t="s">
        <v>390</v>
      </c>
      <c r="C129" s="232" t="s">
        <v>377</v>
      </c>
      <c r="D129" s="230" t="s">
        <v>264</v>
      </c>
      <c r="E129" s="230" t="s">
        <v>285</v>
      </c>
      <c r="F129" s="230" t="s">
        <v>265</v>
      </c>
      <c r="G129" s="230" t="s">
        <v>269</v>
      </c>
      <c r="H129" s="230" t="s">
        <v>316</v>
      </c>
      <c r="I129" s="230"/>
      <c r="J129" s="230"/>
      <c r="K129" s="230"/>
      <c r="L129" s="230"/>
      <c r="M129" s="230" t="s">
        <v>273</v>
      </c>
      <c r="N129" s="230" t="s">
        <v>34</v>
      </c>
      <c r="O129" s="230" t="s">
        <v>267</v>
      </c>
      <c r="P129" s="231" t="s">
        <v>378</v>
      </c>
      <c r="Q129" s="231"/>
      <c r="R129" s="233">
        <v>0</v>
      </c>
      <c r="S129" s="233">
        <v>785114</v>
      </c>
      <c r="T129" s="233">
        <v>158000</v>
      </c>
      <c r="U129" s="233">
        <v>627114</v>
      </c>
      <c r="V129" s="233">
        <v>0</v>
      </c>
      <c r="W129" s="233">
        <v>627114</v>
      </c>
      <c r="X129" s="233">
        <v>0</v>
      </c>
      <c r="Y129" s="233">
        <v>627114</v>
      </c>
      <c r="Z129" s="233">
        <v>627114</v>
      </c>
      <c r="AA129" s="233">
        <v>627114</v>
      </c>
      <c r="AB129" s="233">
        <v>627114</v>
      </c>
    </row>
    <row r="130" spans="1:28" ht="15" customHeight="1" x14ac:dyDescent="0.25">
      <c r="A130" s="230" t="s">
        <v>391</v>
      </c>
      <c r="B130" s="231" t="s">
        <v>392</v>
      </c>
      <c r="C130" s="232" t="s">
        <v>313</v>
      </c>
      <c r="D130" s="230" t="s">
        <v>264</v>
      </c>
      <c r="E130" s="230" t="s">
        <v>265</v>
      </c>
      <c r="F130" s="230" t="s">
        <v>265</v>
      </c>
      <c r="G130" s="230" t="s">
        <v>265</v>
      </c>
      <c r="H130" s="230" t="s">
        <v>281</v>
      </c>
      <c r="I130" s="230" t="s">
        <v>281</v>
      </c>
      <c r="J130" s="230"/>
      <c r="K130" s="230"/>
      <c r="L130" s="230"/>
      <c r="M130" s="230" t="s">
        <v>266</v>
      </c>
      <c r="N130" s="230" t="s">
        <v>280</v>
      </c>
      <c r="O130" s="230" t="s">
        <v>267</v>
      </c>
      <c r="P130" s="231" t="s">
        <v>314</v>
      </c>
      <c r="Q130" s="231"/>
      <c r="R130" s="233">
        <v>409000000</v>
      </c>
      <c r="S130" s="233">
        <v>0</v>
      </c>
      <c r="T130" s="233">
        <v>0</v>
      </c>
      <c r="U130" s="233">
        <v>409000000</v>
      </c>
      <c r="V130" s="233">
        <v>0</v>
      </c>
      <c r="W130" s="233">
        <v>367800552</v>
      </c>
      <c r="X130" s="233">
        <v>41199448</v>
      </c>
      <c r="Y130" s="233">
        <v>367800552</v>
      </c>
      <c r="Z130" s="233">
        <v>367800552</v>
      </c>
      <c r="AA130" s="233">
        <v>367800552</v>
      </c>
      <c r="AB130" s="233">
        <v>367800552</v>
      </c>
    </row>
    <row r="131" spans="1:28" ht="15" customHeight="1" x14ac:dyDescent="0.25">
      <c r="A131" s="230" t="s">
        <v>391</v>
      </c>
      <c r="B131" s="231" t="s">
        <v>392</v>
      </c>
      <c r="C131" s="232" t="s">
        <v>315</v>
      </c>
      <c r="D131" s="230" t="s">
        <v>264</v>
      </c>
      <c r="E131" s="230" t="s">
        <v>265</v>
      </c>
      <c r="F131" s="230" t="s">
        <v>265</v>
      </c>
      <c r="G131" s="230" t="s">
        <v>265</v>
      </c>
      <c r="H131" s="230" t="s">
        <v>281</v>
      </c>
      <c r="I131" s="230" t="s">
        <v>316</v>
      </c>
      <c r="J131" s="230"/>
      <c r="K131" s="230"/>
      <c r="L131" s="230"/>
      <c r="M131" s="230" t="s">
        <v>266</v>
      </c>
      <c r="N131" s="230" t="s">
        <v>280</v>
      </c>
      <c r="O131" s="230" t="s">
        <v>267</v>
      </c>
      <c r="P131" s="231" t="s">
        <v>317</v>
      </c>
      <c r="Q131" s="231"/>
      <c r="R131" s="233">
        <v>0</v>
      </c>
      <c r="S131" s="233">
        <v>11000000</v>
      </c>
      <c r="T131" s="233">
        <v>0</v>
      </c>
      <c r="U131" s="233">
        <v>11000000</v>
      </c>
      <c r="V131" s="233">
        <v>0</v>
      </c>
      <c r="W131" s="233">
        <v>8366809</v>
      </c>
      <c r="X131" s="233">
        <v>2633191</v>
      </c>
      <c r="Y131" s="233">
        <v>8366809</v>
      </c>
      <c r="Z131" s="233">
        <v>8366809</v>
      </c>
      <c r="AA131" s="233">
        <v>8366809</v>
      </c>
      <c r="AB131" s="233">
        <v>8366809</v>
      </c>
    </row>
    <row r="132" spans="1:28" ht="15" customHeight="1" x14ac:dyDescent="0.25">
      <c r="A132" s="230" t="s">
        <v>391</v>
      </c>
      <c r="B132" s="231" t="s">
        <v>392</v>
      </c>
      <c r="C132" s="232" t="s">
        <v>318</v>
      </c>
      <c r="D132" s="230" t="s">
        <v>264</v>
      </c>
      <c r="E132" s="230" t="s">
        <v>265</v>
      </c>
      <c r="F132" s="230" t="s">
        <v>265</v>
      </c>
      <c r="G132" s="230" t="s">
        <v>265</v>
      </c>
      <c r="H132" s="230" t="s">
        <v>281</v>
      </c>
      <c r="I132" s="230" t="s">
        <v>319</v>
      </c>
      <c r="J132" s="230"/>
      <c r="K132" s="230"/>
      <c r="L132" s="230"/>
      <c r="M132" s="230" t="s">
        <v>266</v>
      </c>
      <c r="N132" s="230" t="s">
        <v>280</v>
      </c>
      <c r="O132" s="230" t="s">
        <v>267</v>
      </c>
      <c r="P132" s="231" t="s">
        <v>320</v>
      </c>
      <c r="Q132" s="231"/>
      <c r="R132" s="233">
        <v>5000000</v>
      </c>
      <c r="S132" s="233">
        <v>0</v>
      </c>
      <c r="T132" s="233">
        <v>0</v>
      </c>
      <c r="U132" s="233">
        <v>5000000</v>
      </c>
      <c r="V132" s="233">
        <v>0</v>
      </c>
      <c r="W132" s="233">
        <v>4967303</v>
      </c>
      <c r="X132" s="233">
        <v>32697</v>
      </c>
      <c r="Y132" s="233">
        <v>4967303</v>
      </c>
      <c r="Z132" s="233">
        <v>4967303</v>
      </c>
      <c r="AA132" s="233">
        <v>4967303</v>
      </c>
      <c r="AB132" s="233">
        <v>4967303</v>
      </c>
    </row>
    <row r="133" spans="1:28" ht="15" customHeight="1" x14ac:dyDescent="0.25">
      <c r="A133" s="230" t="s">
        <v>391</v>
      </c>
      <c r="B133" s="231" t="s">
        <v>392</v>
      </c>
      <c r="C133" s="232" t="s">
        <v>321</v>
      </c>
      <c r="D133" s="230" t="s">
        <v>264</v>
      </c>
      <c r="E133" s="230" t="s">
        <v>265</v>
      </c>
      <c r="F133" s="230" t="s">
        <v>265</v>
      </c>
      <c r="G133" s="230" t="s">
        <v>265</v>
      </c>
      <c r="H133" s="230" t="s">
        <v>281</v>
      </c>
      <c r="I133" s="230" t="s">
        <v>322</v>
      </c>
      <c r="J133" s="230"/>
      <c r="K133" s="230"/>
      <c r="L133" s="230"/>
      <c r="M133" s="230" t="s">
        <v>266</v>
      </c>
      <c r="N133" s="230" t="s">
        <v>280</v>
      </c>
      <c r="O133" s="230" t="s">
        <v>267</v>
      </c>
      <c r="P133" s="231" t="s">
        <v>323</v>
      </c>
      <c r="Q133" s="231"/>
      <c r="R133" s="233">
        <v>2712000</v>
      </c>
      <c r="S133" s="233">
        <v>1680000</v>
      </c>
      <c r="T133" s="233">
        <v>2712000</v>
      </c>
      <c r="U133" s="233">
        <v>1680000</v>
      </c>
      <c r="V133" s="233">
        <v>0</v>
      </c>
      <c r="W133" s="233">
        <v>518076</v>
      </c>
      <c r="X133" s="233">
        <v>1161924</v>
      </c>
      <c r="Y133" s="233">
        <v>518076</v>
      </c>
      <c r="Z133" s="233">
        <v>518076</v>
      </c>
      <c r="AA133" s="233">
        <v>518076</v>
      </c>
      <c r="AB133" s="233">
        <v>518076</v>
      </c>
    </row>
    <row r="134" spans="1:28" ht="15" customHeight="1" x14ac:dyDescent="0.25">
      <c r="A134" s="230" t="s">
        <v>391</v>
      </c>
      <c r="B134" s="231" t="s">
        <v>392</v>
      </c>
      <c r="C134" s="232" t="s">
        <v>324</v>
      </c>
      <c r="D134" s="230" t="s">
        <v>264</v>
      </c>
      <c r="E134" s="230" t="s">
        <v>265</v>
      </c>
      <c r="F134" s="230" t="s">
        <v>265</v>
      </c>
      <c r="G134" s="230" t="s">
        <v>265</v>
      </c>
      <c r="H134" s="230" t="s">
        <v>281</v>
      </c>
      <c r="I134" s="230" t="s">
        <v>325</v>
      </c>
      <c r="J134" s="230"/>
      <c r="K134" s="230"/>
      <c r="L134" s="230"/>
      <c r="M134" s="230" t="s">
        <v>266</v>
      </c>
      <c r="N134" s="230" t="s">
        <v>280</v>
      </c>
      <c r="O134" s="230" t="s">
        <v>267</v>
      </c>
      <c r="P134" s="231" t="s">
        <v>326</v>
      </c>
      <c r="Q134" s="231"/>
      <c r="R134" s="233">
        <v>39000000</v>
      </c>
      <c r="S134" s="233">
        <v>2423266</v>
      </c>
      <c r="T134" s="233">
        <v>0</v>
      </c>
      <c r="U134" s="233">
        <v>41423266</v>
      </c>
      <c r="V134" s="233">
        <v>0</v>
      </c>
      <c r="W134" s="233">
        <v>41423226</v>
      </c>
      <c r="X134" s="233">
        <v>40</v>
      </c>
      <c r="Y134" s="233">
        <v>41423226</v>
      </c>
      <c r="Z134" s="233">
        <v>41423226</v>
      </c>
      <c r="AA134" s="233">
        <v>41423226</v>
      </c>
      <c r="AB134" s="233">
        <v>41423226</v>
      </c>
    </row>
    <row r="135" spans="1:28" ht="15" customHeight="1" x14ac:dyDescent="0.25">
      <c r="A135" s="230" t="s">
        <v>391</v>
      </c>
      <c r="B135" s="231" t="s">
        <v>392</v>
      </c>
      <c r="C135" s="232" t="s">
        <v>327</v>
      </c>
      <c r="D135" s="230" t="s">
        <v>264</v>
      </c>
      <c r="E135" s="230" t="s">
        <v>265</v>
      </c>
      <c r="F135" s="230" t="s">
        <v>265</v>
      </c>
      <c r="G135" s="230" t="s">
        <v>265</v>
      </c>
      <c r="H135" s="230" t="s">
        <v>281</v>
      </c>
      <c r="I135" s="230" t="s">
        <v>328</v>
      </c>
      <c r="J135" s="230"/>
      <c r="K135" s="230"/>
      <c r="L135" s="230"/>
      <c r="M135" s="230" t="s">
        <v>266</v>
      </c>
      <c r="N135" s="230" t="s">
        <v>280</v>
      </c>
      <c r="O135" s="230" t="s">
        <v>267</v>
      </c>
      <c r="P135" s="231" t="s">
        <v>329</v>
      </c>
      <c r="Q135" s="231"/>
      <c r="R135" s="233">
        <v>14000000</v>
      </c>
      <c r="S135" s="233">
        <v>6268331</v>
      </c>
      <c r="T135" s="233">
        <v>4536000</v>
      </c>
      <c r="U135" s="233">
        <v>15732331</v>
      </c>
      <c r="V135" s="233">
        <v>0</v>
      </c>
      <c r="W135" s="233">
        <v>14921669</v>
      </c>
      <c r="X135" s="233">
        <v>810662</v>
      </c>
      <c r="Y135" s="233">
        <v>14921669</v>
      </c>
      <c r="Z135" s="233">
        <v>14921669</v>
      </c>
      <c r="AA135" s="233">
        <v>14921669</v>
      </c>
      <c r="AB135" s="233">
        <v>14921669</v>
      </c>
    </row>
    <row r="136" spans="1:28" ht="15" customHeight="1" x14ac:dyDescent="0.25">
      <c r="A136" s="230" t="s">
        <v>391</v>
      </c>
      <c r="B136" s="231" t="s">
        <v>392</v>
      </c>
      <c r="C136" s="232" t="s">
        <v>330</v>
      </c>
      <c r="D136" s="230" t="s">
        <v>264</v>
      </c>
      <c r="E136" s="230" t="s">
        <v>265</v>
      </c>
      <c r="F136" s="230" t="s">
        <v>265</v>
      </c>
      <c r="G136" s="230" t="s">
        <v>265</v>
      </c>
      <c r="H136" s="230" t="s">
        <v>281</v>
      </c>
      <c r="I136" s="230" t="s">
        <v>331</v>
      </c>
      <c r="J136" s="230"/>
      <c r="K136" s="230"/>
      <c r="L136" s="230"/>
      <c r="M136" s="230" t="s">
        <v>266</v>
      </c>
      <c r="N136" s="230" t="s">
        <v>280</v>
      </c>
      <c r="O136" s="230" t="s">
        <v>267</v>
      </c>
      <c r="P136" s="231" t="s">
        <v>332</v>
      </c>
      <c r="Q136" s="231"/>
      <c r="R136" s="233">
        <v>50000000</v>
      </c>
      <c r="S136" s="233">
        <v>0</v>
      </c>
      <c r="T136" s="233">
        <v>5470218</v>
      </c>
      <c r="U136" s="233">
        <v>44529782</v>
      </c>
      <c r="V136" s="233">
        <v>0</v>
      </c>
      <c r="W136" s="233">
        <v>44529782</v>
      </c>
      <c r="X136" s="233">
        <v>0</v>
      </c>
      <c r="Y136" s="233">
        <v>44529782</v>
      </c>
      <c r="Z136" s="233">
        <v>44529782</v>
      </c>
      <c r="AA136" s="233">
        <v>44529782</v>
      </c>
      <c r="AB136" s="233">
        <v>44529782</v>
      </c>
    </row>
    <row r="137" spans="1:28" ht="15" customHeight="1" x14ac:dyDescent="0.25">
      <c r="A137" s="230" t="s">
        <v>391</v>
      </c>
      <c r="B137" s="231" t="s">
        <v>392</v>
      </c>
      <c r="C137" s="232" t="s">
        <v>333</v>
      </c>
      <c r="D137" s="230" t="s">
        <v>264</v>
      </c>
      <c r="E137" s="230" t="s">
        <v>265</v>
      </c>
      <c r="F137" s="230" t="s">
        <v>265</v>
      </c>
      <c r="G137" s="230" t="s">
        <v>265</v>
      </c>
      <c r="H137" s="230" t="s">
        <v>281</v>
      </c>
      <c r="I137" s="230" t="s">
        <v>334</v>
      </c>
      <c r="J137" s="230"/>
      <c r="K137" s="230"/>
      <c r="L137" s="230"/>
      <c r="M137" s="230" t="s">
        <v>266</v>
      </c>
      <c r="N137" s="230" t="s">
        <v>280</v>
      </c>
      <c r="O137" s="230" t="s">
        <v>267</v>
      </c>
      <c r="P137" s="231" t="s">
        <v>335</v>
      </c>
      <c r="Q137" s="231"/>
      <c r="R137" s="233">
        <v>15000000</v>
      </c>
      <c r="S137" s="233">
        <v>22500000</v>
      </c>
      <c r="T137" s="233">
        <v>0</v>
      </c>
      <c r="U137" s="233">
        <v>37500000</v>
      </c>
      <c r="V137" s="233">
        <v>0</v>
      </c>
      <c r="W137" s="233">
        <v>34409655</v>
      </c>
      <c r="X137" s="233">
        <v>3090345</v>
      </c>
      <c r="Y137" s="233">
        <v>34409655</v>
      </c>
      <c r="Z137" s="233">
        <v>34409655</v>
      </c>
      <c r="AA137" s="233">
        <v>34409655</v>
      </c>
      <c r="AB137" s="233">
        <v>34409655</v>
      </c>
    </row>
    <row r="138" spans="1:28" ht="15" customHeight="1" x14ac:dyDescent="0.25">
      <c r="A138" s="230" t="s">
        <v>391</v>
      </c>
      <c r="B138" s="231" t="s">
        <v>392</v>
      </c>
      <c r="C138" s="232" t="s">
        <v>336</v>
      </c>
      <c r="D138" s="230" t="s">
        <v>264</v>
      </c>
      <c r="E138" s="230" t="s">
        <v>265</v>
      </c>
      <c r="F138" s="230" t="s">
        <v>265</v>
      </c>
      <c r="G138" s="230" t="s">
        <v>265</v>
      </c>
      <c r="H138" s="230" t="s">
        <v>281</v>
      </c>
      <c r="I138" s="230" t="s">
        <v>278</v>
      </c>
      <c r="J138" s="230"/>
      <c r="K138" s="230"/>
      <c r="L138" s="230"/>
      <c r="M138" s="230" t="s">
        <v>266</v>
      </c>
      <c r="N138" s="230" t="s">
        <v>280</v>
      </c>
      <c r="O138" s="230" t="s">
        <v>267</v>
      </c>
      <c r="P138" s="231" t="s">
        <v>337</v>
      </c>
      <c r="Q138" s="231"/>
      <c r="R138" s="233">
        <v>3000000</v>
      </c>
      <c r="S138" s="233">
        <v>4860000</v>
      </c>
      <c r="T138" s="233">
        <v>2317296</v>
      </c>
      <c r="U138" s="233">
        <v>5542704</v>
      </c>
      <c r="V138" s="233">
        <v>0</v>
      </c>
      <c r="W138" s="233">
        <v>5542704</v>
      </c>
      <c r="X138" s="233">
        <v>0</v>
      </c>
      <c r="Y138" s="233">
        <v>5542704</v>
      </c>
      <c r="Z138" s="233">
        <v>5542704</v>
      </c>
      <c r="AA138" s="233">
        <v>5542704</v>
      </c>
      <c r="AB138" s="233">
        <v>5542704</v>
      </c>
    </row>
    <row r="139" spans="1:28" ht="15" customHeight="1" x14ac:dyDescent="0.25">
      <c r="A139" s="230" t="s">
        <v>391</v>
      </c>
      <c r="B139" s="231" t="s">
        <v>392</v>
      </c>
      <c r="C139" s="232" t="s">
        <v>338</v>
      </c>
      <c r="D139" s="230" t="s">
        <v>264</v>
      </c>
      <c r="E139" s="230" t="s">
        <v>265</v>
      </c>
      <c r="F139" s="230" t="s">
        <v>265</v>
      </c>
      <c r="G139" s="230" t="s">
        <v>269</v>
      </c>
      <c r="H139" s="230" t="s">
        <v>281</v>
      </c>
      <c r="I139" s="230"/>
      <c r="J139" s="230"/>
      <c r="K139" s="230"/>
      <c r="L139" s="230"/>
      <c r="M139" s="230" t="s">
        <v>266</v>
      </c>
      <c r="N139" s="230" t="s">
        <v>280</v>
      </c>
      <c r="O139" s="230" t="s">
        <v>267</v>
      </c>
      <c r="P139" s="231" t="s">
        <v>339</v>
      </c>
      <c r="Q139" s="231"/>
      <c r="R139" s="233">
        <v>50000000</v>
      </c>
      <c r="S139" s="233">
        <v>2000000</v>
      </c>
      <c r="T139" s="233">
        <v>0</v>
      </c>
      <c r="U139" s="233">
        <v>52000000</v>
      </c>
      <c r="V139" s="233">
        <v>0</v>
      </c>
      <c r="W139" s="233">
        <v>48596600</v>
      </c>
      <c r="X139" s="233">
        <v>3403400</v>
      </c>
      <c r="Y139" s="233">
        <v>48596600</v>
      </c>
      <c r="Z139" s="233">
        <v>48596600</v>
      </c>
      <c r="AA139" s="233">
        <v>48596600</v>
      </c>
      <c r="AB139" s="233">
        <v>48596600</v>
      </c>
    </row>
    <row r="140" spans="1:28" ht="15" customHeight="1" x14ac:dyDescent="0.25">
      <c r="A140" s="230" t="s">
        <v>391</v>
      </c>
      <c r="B140" s="231" t="s">
        <v>392</v>
      </c>
      <c r="C140" s="232" t="s">
        <v>340</v>
      </c>
      <c r="D140" s="230" t="s">
        <v>264</v>
      </c>
      <c r="E140" s="230" t="s">
        <v>265</v>
      </c>
      <c r="F140" s="230" t="s">
        <v>265</v>
      </c>
      <c r="G140" s="230" t="s">
        <v>269</v>
      </c>
      <c r="H140" s="230" t="s">
        <v>283</v>
      </c>
      <c r="I140" s="230"/>
      <c r="J140" s="230"/>
      <c r="K140" s="230"/>
      <c r="L140" s="230"/>
      <c r="M140" s="230" t="s">
        <v>266</v>
      </c>
      <c r="N140" s="230" t="s">
        <v>280</v>
      </c>
      <c r="O140" s="230" t="s">
        <v>267</v>
      </c>
      <c r="P140" s="231" t="s">
        <v>341</v>
      </c>
      <c r="Q140" s="231"/>
      <c r="R140" s="233">
        <v>37000000</v>
      </c>
      <c r="S140" s="233">
        <v>620000</v>
      </c>
      <c r="T140" s="233">
        <v>0</v>
      </c>
      <c r="U140" s="233">
        <v>37620000</v>
      </c>
      <c r="V140" s="233">
        <v>0</v>
      </c>
      <c r="W140" s="233">
        <v>34324400</v>
      </c>
      <c r="X140" s="233">
        <v>3295600</v>
      </c>
      <c r="Y140" s="233">
        <v>34324400</v>
      </c>
      <c r="Z140" s="233">
        <v>34324400</v>
      </c>
      <c r="AA140" s="233">
        <v>34324400</v>
      </c>
      <c r="AB140" s="233">
        <v>34324400</v>
      </c>
    </row>
    <row r="141" spans="1:28" ht="15" customHeight="1" x14ac:dyDescent="0.25">
      <c r="A141" s="230" t="s">
        <v>391</v>
      </c>
      <c r="B141" s="231" t="s">
        <v>392</v>
      </c>
      <c r="C141" s="232" t="s">
        <v>342</v>
      </c>
      <c r="D141" s="230" t="s">
        <v>264</v>
      </c>
      <c r="E141" s="230" t="s">
        <v>265</v>
      </c>
      <c r="F141" s="230" t="s">
        <v>265</v>
      </c>
      <c r="G141" s="230" t="s">
        <v>269</v>
      </c>
      <c r="H141" s="230" t="s">
        <v>319</v>
      </c>
      <c r="I141" s="230"/>
      <c r="J141" s="230"/>
      <c r="K141" s="230"/>
      <c r="L141" s="230"/>
      <c r="M141" s="230" t="s">
        <v>266</v>
      </c>
      <c r="N141" s="230" t="s">
        <v>280</v>
      </c>
      <c r="O141" s="230" t="s">
        <v>267</v>
      </c>
      <c r="P141" s="231" t="s">
        <v>343</v>
      </c>
      <c r="Q141" s="231"/>
      <c r="R141" s="233">
        <v>22000000</v>
      </c>
      <c r="S141" s="233">
        <v>1000000</v>
      </c>
      <c r="T141" s="233">
        <v>0</v>
      </c>
      <c r="U141" s="233">
        <v>23000000</v>
      </c>
      <c r="V141" s="233">
        <v>0</v>
      </c>
      <c r="W141" s="233">
        <v>20646500</v>
      </c>
      <c r="X141" s="233">
        <v>2353500</v>
      </c>
      <c r="Y141" s="233">
        <v>20646500</v>
      </c>
      <c r="Z141" s="233">
        <v>20646500</v>
      </c>
      <c r="AA141" s="233">
        <v>20646500</v>
      </c>
      <c r="AB141" s="233">
        <v>20646500</v>
      </c>
    </row>
    <row r="142" spans="1:28" ht="15" customHeight="1" x14ac:dyDescent="0.25">
      <c r="A142" s="230" t="s">
        <v>391</v>
      </c>
      <c r="B142" s="231" t="s">
        <v>392</v>
      </c>
      <c r="C142" s="232" t="s">
        <v>344</v>
      </c>
      <c r="D142" s="230" t="s">
        <v>264</v>
      </c>
      <c r="E142" s="230" t="s">
        <v>265</v>
      </c>
      <c r="F142" s="230" t="s">
        <v>265</v>
      </c>
      <c r="G142" s="230" t="s">
        <v>269</v>
      </c>
      <c r="H142" s="230" t="s">
        <v>322</v>
      </c>
      <c r="I142" s="230"/>
      <c r="J142" s="230"/>
      <c r="K142" s="230"/>
      <c r="L142" s="230"/>
      <c r="M142" s="230" t="s">
        <v>266</v>
      </c>
      <c r="N142" s="230" t="s">
        <v>280</v>
      </c>
      <c r="O142" s="230" t="s">
        <v>267</v>
      </c>
      <c r="P142" s="231" t="s">
        <v>345</v>
      </c>
      <c r="Q142" s="231"/>
      <c r="R142" s="233">
        <v>5000000</v>
      </c>
      <c r="S142" s="233">
        <v>1000000</v>
      </c>
      <c r="T142" s="233">
        <v>0</v>
      </c>
      <c r="U142" s="233">
        <v>6000000</v>
      </c>
      <c r="V142" s="233">
        <v>0</v>
      </c>
      <c r="W142" s="233">
        <v>5052900</v>
      </c>
      <c r="X142" s="233">
        <v>947100</v>
      </c>
      <c r="Y142" s="233">
        <v>5052900</v>
      </c>
      <c r="Z142" s="233">
        <v>5052900</v>
      </c>
      <c r="AA142" s="233">
        <v>5052900</v>
      </c>
      <c r="AB142" s="233">
        <v>5052900</v>
      </c>
    </row>
    <row r="143" spans="1:28" ht="15" customHeight="1" x14ac:dyDescent="0.25">
      <c r="A143" s="230" t="s">
        <v>391</v>
      </c>
      <c r="B143" s="231" t="s">
        <v>392</v>
      </c>
      <c r="C143" s="232" t="s">
        <v>346</v>
      </c>
      <c r="D143" s="230" t="s">
        <v>264</v>
      </c>
      <c r="E143" s="230" t="s">
        <v>265</v>
      </c>
      <c r="F143" s="230" t="s">
        <v>265</v>
      </c>
      <c r="G143" s="230" t="s">
        <v>269</v>
      </c>
      <c r="H143" s="230" t="s">
        <v>325</v>
      </c>
      <c r="I143" s="230"/>
      <c r="J143" s="230"/>
      <c r="K143" s="230"/>
      <c r="L143" s="230"/>
      <c r="M143" s="230" t="s">
        <v>266</v>
      </c>
      <c r="N143" s="230" t="s">
        <v>280</v>
      </c>
      <c r="O143" s="230" t="s">
        <v>267</v>
      </c>
      <c r="P143" s="231" t="s">
        <v>347</v>
      </c>
      <c r="Q143" s="231"/>
      <c r="R143" s="233">
        <v>16000000</v>
      </c>
      <c r="S143" s="233">
        <v>500000</v>
      </c>
      <c r="T143" s="233">
        <v>0</v>
      </c>
      <c r="U143" s="233">
        <v>16500000</v>
      </c>
      <c r="V143" s="233">
        <v>0</v>
      </c>
      <c r="W143" s="233">
        <v>15486000</v>
      </c>
      <c r="X143" s="233">
        <v>1014000</v>
      </c>
      <c r="Y143" s="233">
        <v>15486000</v>
      </c>
      <c r="Z143" s="233">
        <v>15486000</v>
      </c>
      <c r="AA143" s="233">
        <v>15486000</v>
      </c>
      <c r="AB143" s="233">
        <v>15486000</v>
      </c>
    </row>
    <row r="144" spans="1:28" ht="15" customHeight="1" x14ac:dyDescent="0.25">
      <c r="A144" s="230" t="s">
        <v>391</v>
      </c>
      <c r="B144" s="231" t="s">
        <v>392</v>
      </c>
      <c r="C144" s="232" t="s">
        <v>348</v>
      </c>
      <c r="D144" s="230" t="s">
        <v>264</v>
      </c>
      <c r="E144" s="230" t="s">
        <v>265</v>
      </c>
      <c r="F144" s="230" t="s">
        <v>265</v>
      </c>
      <c r="G144" s="230" t="s">
        <v>269</v>
      </c>
      <c r="H144" s="230" t="s">
        <v>328</v>
      </c>
      <c r="I144" s="230"/>
      <c r="J144" s="230"/>
      <c r="K144" s="230"/>
      <c r="L144" s="230"/>
      <c r="M144" s="230" t="s">
        <v>266</v>
      </c>
      <c r="N144" s="230" t="s">
        <v>280</v>
      </c>
      <c r="O144" s="230" t="s">
        <v>267</v>
      </c>
      <c r="P144" s="231" t="s">
        <v>349</v>
      </c>
      <c r="Q144" s="231"/>
      <c r="R144" s="233">
        <v>2500000</v>
      </c>
      <c r="S144" s="233">
        <v>8180000</v>
      </c>
      <c r="T144" s="233">
        <v>0</v>
      </c>
      <c r="U144" s="233">
        <v>10680000</v>
      </c>
      <c r="V144" s="233">
        <v>0</v>
      </c>
      <c r="W144" s="233">
        <v>10327600</v>
      </c>
      <c r="X144" s="233">
        <v>352400</v>
      </c>
      <c r="Y144" s="233">
        <v>10327600</v>
      </c>
      <c r="Z144" s="233">
        <v>10327600</v>
      </c>
      <c r="AA144" s="233">
        <v>10327600</v>
      </c>
      <c r="AB144" s="233">
        <v>10327600</v>
      </c>
    </row>
    <row r="145" spans="1:28" ht="15" customHeight="1" x14ac:dyDescent="0.25">
      <c r="A145" s="230" t="s">
        <v>391</v>
      </c>
      <c r="B145" s="231" t="s">
        <v>392</v>
      </c>
      <c r="C145" s="232" t="s">
        <v>350</v>
      </c>
      <c r="D145" s="230" t="s">
        <v>264</v>
      </c>
      <c r="E145" s="230" t="s">
        <v>265</v>
      </c>
      <c r="F145" s="230" t="s">
        <v>265</v>
      </c>
      <c r="G145" s="230" t="s">
        <v>269</v>
      </c>
      <c r="H145" s="230" t="s">
        <v>351</v>
      </c>
      <c r="I145" s="230"/>
      <c r="J145" s="230"/>
      <c r="K145" s="230"/>
      <c r="L145" s="230"/>
      <c r="M145" s="230" t="s">
        <v>266</v>
      </c>
      <c r="N145" s="230" t="s">
        <v>280</v>
      </c>
      <c r="O145" s="230" t="s">
        <v>267</v>
      </c>
      <c r="P145" s="231" t="s">
        <v>352</v>
      </c>
      <c r="Q145" s="231"/>
      <c r="R145" s="233">
        <v>2500000</v>
      </c>
      <c r="S145" s="233">
        <v>0</v>
      </c>
      <c r="T145" s="233">
        <v>2500000</v>
      </c>
      <c r="U145" s="233">
        <v>0</v>
      </c>
      <c r="V145" s="233">
        <v>0</v>
      </c>
      <c r="W145" s="233">
        <v>0</v>
      </c>
      <c r="X145" s="233">
        <v>0</v>
      </c>
      <c r="Y145" s="233">
        <v>0</v>
      </c>
      <c r="Z145" s="233">
        <v>0</v>
      </c>
      <c r="AA145" s="233">
        <v>0</v>
      </c>
      <c r="AB145" s="233">
        <v>0</v>
      </c>
    </row>
    <row r="146" spans="1:28" ht="15" customHeight="1" x14ac:dyDescent="0.25">
      <c r="A146" s="230" t="s">
        <v>391</v>
      </c>
      <c r="B146" s="231" t="s">
        <v>392</v>
      </c>
      <c r="C146" s="232" t="s">
        <v>353</v>
      </c>
      <c r="D146" s="230" t="s">
        <v>264</v>
      </c>
      <c r="E146" s="230" t="s">
        <v>265</v>
      </c>
      <c r="F146" s="230" t="s">
        <v>265</v>
      </c>
      <c r="G146" s="230" t="s">
        <v>269</v>
      </c>
      <c r="H146" s="230" t="s">
        <v>331</v>
      </c>
      <c r="I146" s="230"/>
      <c r="J146" s="230"/>
      <c r="K146" s="230"/>
      <c r="L146" s="230"/>
      <c r="M146" s="230" t="s">
        <v>266</v>
      </c>
      <c r="N146" s="230" t="s">
        <v>280</v>
      </c>
      <c r="O146" s="230" t="s">
        <v>267</v>
      </c>
      <c r="P146" s="231" t="s">
        <v>354</v>
      </c>
      <c r="Q146" s="231"/>
      <c r="R146" s="233">
        <v>5000000</v>
      </c>
      <c r="S146" s="233">
        <v>0</v>
      </c>
      <c r="T146" s="233">
        <v>5000000</v>
      </c>
      <c r="U146" s="233">
        <v>0</v>
      </c>
      <c r="V146" s="233">
        <v>0</v>
      </c>
      <c r="W146" s="233">
        <v>0</v>
      </c>
      <c r="X146" s="233">
        <v>0</v>
      </c>
      <c r="Y146" s="233">
        <v>0</v>
      </c>
      <c r="Z146" s="233">
        <v>0</v>
      </c>
      <c r="AA146" s="233">
        <v>0</v>
      </c>
      <c r="AB146" s="233">
        <v>0</v>
      </c>
    </row>
    <row r="147" spans="1:28" ht="15" customHeight="1" x14ac:dyDescent="0.25">
      <c r="A147" s="230" t="s">
        <v>391</v>
      </c>
      <c r="B147" s="231" t="s">
        <v>392</v>
      </c>
      <c r="C147" s="232" t="s">
        <v>355</v>
      </c>
      <c r="D147" s="230" t="s">
        <v>264</v>
      </c>
      <c r="E147" s="230" t="s">
        <v>265</v>
      </c>
      <c r="F147" s="230" t="s">
        <v>265</v>
      </c>
      <c r="G147" s="230" t="s">
        <v>271</v>
      </c>
      <c r="H147" s="230" t="s">
        <v>281</v>
      </c>
      <c r="I147" s="230" t="s">
        <v>281</v>
      </c>
      <c r="J147" s="230"/>
      <c r="K147" s="230"/>
      <c r="L147" s="230"/>
      <c r="M147" s="230" t="s">
        <v>266</v>
      </c>
      <c r="N147" s="230" t="s">
        <v>280</v>
      </c>
      <c r="O147" s="230" t="s">
        <v>267</v>
      </c>
      <c r="P147" s="231" t="s">
        <v>356</v>
      </c>
      <c r="Q147" s="231"/>
      <c r="R147" s="233">
        <v>19000000</v>
      </c>
      <c r="S147" s="233">
        <v>4000000</v>
      </c>
      <c r="T147" s="233">
        <v>0</v>
      </c>
      <c r="U147" s="233">
        <v>23000000</v>
      </c>
      <c r="V147" s="233">
        <v>0</v>
      </c>
      <c r="W147" s="233">
        <v>21510106</v>
      </c>
      <c r="X147" s="233">
        <v>1489894</v>
      </c>
      <c r="Y147" s="233">
        <v>21510106</v>
      </c>
      <c r="Z147" s="233">
        <v>21510106</v>
      </c>
      <c r="AA147" s="233">
        <v>21510106</v>
      </c>
      <c r="AB147" s="233">
        <v>21510106</v>
      </c>
    </row>
    <row r="148" spans="1:28" ht="15" customHeight="1" x14ac:dyDescent="0.25">
      <c r="A148" s="230" t="s">
        <v>391</v>
      </c>
      <c r="B148" s="231" t="s">
        <v>392</v>
      </c>
      <c r="C148" s="232" t="s">
        <v>357</v>
      </c>
      <c r="D148" s="230" t="s">
        <v>264</v>
      </c>
      <c r="E148" s="230" t="s">
        <v>265</v>
      </c>
      <c r="F148" s="230" t="s">
        <v>265</v>
      </c>
      <c r="G148" s="230" t="s">
        <v>271</v>
      </c>
      <c r="H148" s="230" t="s">
        <v>281</v>
      </c>
      <c r="I148" s="230" t="s">
        <v>283</v>
      </c>
      <c r="J148" s="230"/>
      <c r="K148" s="230"/>
      <c r="L148" s="230"/>
      <c r="M148" s="230" t="s">
        <v>266</v>
      </c>
      <c r="N148" s="230" t="s">
        <v>280</v>
      </c>
      <c r="O148" s="230" t="s">
        <v>267</v>
      </c>
      <c r="P148" s="231" t="s">
        <v>358</v>
      </c>
      <c r="Q148" s="231"/>
      <c r="R148" s="233">
        <v>0</v>
      </c>
      <c r="S148" s="233">
        <v>18704000</v>
      </c>
      <c r="T148" s="233">
        <v>380756</v>
      </c>
      <c r="U148" s="233">
        <v>18323244</v>
      </c>
      <c r="V148" s="233">
        <v>0</v>
      </c>
      <c r="W148" s="233">
        <v>18323244</v>
      </c>
      <c r="X148" s="233">
        <v>0</v>
      </c>
      <c r="Y148" s="233">
        <v>18323244</v>
      </c>
      <c r="Z148" s="233">
        <v>18323244</v>
      </c>
      <c r="AA148" s="233">
        <v>18323244</v>
      </c>
      <c r="AB148" s="233">
        <v>18323244</v>
      </c>
    </row>
    <row r="149" spans="1:28" ht="15" customHeight="1" x14ac:dyDescent="0.25">
      <c r="A149" s="230" t="s">
        <v>391</v>
      </c>
      <c r="B149" s="231" t="s">
        <v>392</v>
      </c>
      <c r="C149" s="232" t="s">
        <v>359</v>
      </c>
      <c r="D149" s="230" t="s">
        <v>264</v>
      </c>
      <c r="E149" s="230" t="s">
        <v>265</v>
      </c>
      <c r="F149" s="230" t="s">
        <v>265</v>
      </c>
      <c r="G149" s="230" t="s">
        <v>271</v>
      </c>
      <c r="H149" s="230" t="s">
        <v>281</v>
      </c>
      <c r="I149" s="230" t="s">
        <v>316</v>
      </c>
      <c r="J149" s="230"/>
      <c r="K149" s="230"/>
      <c r="L149" s="230"/>
      <c r="M149" s="230" t="s">
        <v>266</v>
      </c>
      <c r="N149" s="230" t="s">
        <v>280</v>
      </c>
      <c r="O149" s="230" t="s">
        <v>267</v>
      </c>
      <c r="P149" s="231" t="s">
        <v>360</v>
      </c>
      <c r="Q149" s="231"/>
      <c r="R149" s="233">
        <v>1000000</v>
      </c>
      <c r="S149" s="233">
        <v>2600000</v>
      </c>
      <c r="T149" s="233">
        <v>0</v>
      </c>
      <c r="U149" s="233">
        <v>3600000</v>
      </c>
      <c r="V149" s="233">
        <v>0</v>
      </c>
      <c r="W149" s="233">
        <v>3129754</v>
      </c>
      <c r="X149" s="233">
        <v>470246</v>
      </c>
      <c r="Y149" s="233">
        <v>3129754</v>
      </c>
      <c r="Z149" s="233">
        <v>3129754</v>
      </c>
      <c r="AA149" s="233">
        <v>3129754</v>
      </c>
      <c r="AB149" s="233">
        <v>3129754</v>
      </c>
    </row>
    <row r="150" spans="1:28" ht="15" customHeight="1" x14ac:dyDescent="0.25">
      <c r="A150" s="230" t="s">
        <v>391</v>
      </c>
      <c r="B150" s="231" t="s">
        <v>392</v>
      </c>
      <c r="C150" s="232" t="s">
        <v>361</v>
      </c>
      <c r="D150" s="230" t="s">
        <v>264</v>
      </c>
      <c r="E150" s="230" t="s">
        <v>265</v>
      </c>
      <c r="F150" s="230" t="s">
        <v>265</v>
      </c>
      <c r="G150" s="230" t="s">
        <v>271</v>
      </c>
      <c r="H150" s="230" t="s">
        <v>283</v>
      </c>
      <c r="I150" s="230"/>
      <c r="J150" s="230"/>
      <c r="K150" s="230"/>
      <c r="L150" s="230"/>
      <c r="M150" s="230" t="s">
        <v>266</v>
      </c>
      <c r="N150" s="230" t="s">
        <v>280</v>
      </c>
      <c r="O150" s="230" t="s">
        <v>267</v>
      </c>
      <c r="P150" s="231" t="s">
        <v>362</v>
      </c>
      <c r="Q150" s="231"/>
      <c r="R150" s="233">
        <v>29000000</v>
      </c>
      <c r="S150" s="233">
        <v>0</v>
      </c>
      <c r="T150" s="233">
        <v>10028522</v>
      </c>
      <c r="U150" s="233">
        <v>18971478</v>
      </c>
      <c r="V150" s="233">
        <v>0</v>
      </c>
      <c r="W150" s="233">
        <v>18971478</v>
      </c>
      <c r="X150" s="233">
        <v>0</v>
      </c>
      <c r="Y150" s="233">
        <v>18971478</v>
      </c>
      <c r="Z150" s="233">
        <v>18971478</v>
      </c>
      <c r="AA150" s="233">
        <v>18971478</v>
      </c>
      <c r="AB150" s="233">
        <v>18971478</v>
      </c>
    </row>
    <row r="151" spans="1:28" ht="15" customHeight="1" x14ac:dyDescent="0.25">
      <c r="A151" s="230" t="s">
        <v>391</v>
      </c>
      <c r="B151" s="231" t="s">
        <v>392</v>
      </c>
      <c r="C151" s="232" t="s">
        <v>363</v>
      </c>
      <c r="D151" s="230" t="s">
        <v>264</v>
      </c>
      <c r="E151" s="230" t="s">
        <v>269</v>
      </c>
      <c r="F151" s="230" t="s">
        <v>269</v>
      </c>
      <c r="G151" s="230" t="s">
        <v>269</v>
      </c>
      <c r="H151" s="230" t="s">
        <v>325</v>
      </c>
      <c r="I151" s="230" t="s">
        <v>319</v>
      </c>
      <c r="J151" s="230"/>
      <c r="K151" s="230"/>
      <c r="L151" s="230"/>
      <c r="M151" s="230" t="s">
        <v>273</v>
      </c>
      <c r="N151" s="230" t="s">
        <v>34</v>
      </c>
      <c r="O151" s="230" t="s">
        <v>267</v>
      </c>
      <c r="P151" s="231" t="s">
        <v>364</v>
      </c>
      <c r="Q151" s="231"/>
      <c r="R151" s="233">
        <v>0</v>
      </c>
      <c r="S151" s="233">
        <v>889000</v>
      </c>
      <c r="T151" s="233">
        <v>68000</v>
      </c>
      <c r="U151" s="233">
        <v>821000</v>
      </c>
      <c r="V151" s="233">
        <v>0</v>
      </c>
      <c r="W151" s="233">
        <v>821000</v>
      </c>
      <c r="X151" s="233">
        <v>0</v>
      </c>
      <c r="Y151" s="233">
        <v>821000</v>
      </c>
      <c r="Z151" s="233">
        <v>821000</v>
      </c>
      <c r="AA151" s="233">
        <v>821000</v>
      </c>
      <c r="AB151" s="233">
        <v>821000</v>
      </c>
    </row>
    <row r="152" spans="1:28" ht="15" customHeight="1" x14ac:dyDescent="0.25">
      <c r="A152" s="230" t="s">
        <v>391</v>
      </c>
      <c r="B152" s="231" t="s">
        <v>392</v>
      </c>
      <c r="C152" s="232" t="s">
        <v>365</v>
      </c>
      <c r="D152" s="230" t="s">
        <v>264</v>
      </c>
      <c r="E152" s="230" t="s">
        <v>269</v>
      </c>
      <c r="F152" s="230" t="s">
        <v>269</v>
      </c>
      <c r="G152" s="230" t="s">
        <v>269</v>
      </c>
      <c r="H152" s="230" t="s">
        <v>325</v>
      </c>
      <c r="I152" s="230" t="s">
        <v>331</v>
      </c>
      <c r="J152" s="230"/>
      <c r="K152" s="230"/>
      <c r="L152" s="230"/>
      <c r="M152" s="230" t="s">
        <v>266</v>
      </c>
      <c r="N152" s="230" t="s">
        <v>280</v>
      </c>
      <c r="O152" s="230" t="s">
        <v>267</v>
      </c>
      <c r="P152" s="231" t="s">
        <v>366</v>
      </c>
      <c r="Q152" s="231"/>
      <c r="R152" s="233">
        <v>20500000</v>
      </c>
      <c r="S152" s="233">
        <v>7000000</v>
      </c>
      <c r="T152" s="233">
        <v>847000</v>
      </c>
      <c r="U152" s="233">
        <v>26653000</v>
      </c>
      <c r="V152" s="233">
        <v>0</v>
      </c>
      <c r="W152" s="233">
        <v>23962323</v>
      </c>
      <c r="X152" s="233">
        <v>2690677</v>
      </c>
      <c r="Y152" s="233">
        <v>23962323</v>
      </c>
      <c r="Z152" s="233">
        <v>23962323</v>
      </c>
      <c r="AA152" s="233">
        <v>23962323</v>
      </c>
      <c r="AB152" s="233">
        <v>23962323</v>
      </c>
    </row>
    <row r="153" spans="1:28" ht="15" customHeight="1" x14ac:dyDescent="0.25">
      <c r="A153" s="230" t="s">
        <v>391</v>
      </c>
      <c r="B153" s="231" t="s">
        <v>392</v>
      </c>
      <c r="C153" s="232" t="s">
        <v>367</v>
      </c>
      <c r="D153" s="230" t="s">
        <v>264</v>
      </c>
      <c r="E153" s="230" t="s">
        <v>269</v>
      </c>
      <c r="F153" s="230" t="s">
        <v>269</v>
      </c>
      <c r="G153" s="230" t="s">
        <v>269</v>
      </c>
      <c r="H153" s="230" t="s">
        <v>351</v>
      </c>
      <c r="I153" s="230" t="s">
        <v>319</v>
      </c>
      <c r="J153" s="230"/>
      <c r="K153" s="230"/>
      <c r="L153" s="230"/>
      <c r="M153" s="230" t="s">
        <v>266</v>
      </c>
      <c r="N153" s="230" t="s">
        <v>280</v>
      </c>
      <c r="O153" s="230" t="s">
        <v>267</v>
      </c>
      <c r="P153" s="231" t="s">
        <v>368</v>
      </c>
      <c r="Q153" s="231"/>
      <c r="R153" s="233">
        <v>0</v>
      </c>
      <c r="S153" s="233">
        <v>597000</v>
      </c>
      <c r="T153" s="233">
        <v>597000</v>
      </c>
      <c r="U153" s="233">
        <v>0</v>
      </c>
      <c r="V153" s="233">
        <v>0</v>
      </c>
      <c r="W153" s="233">
        <v>0</v>
      </c>
      <c r="X153" s="233">
        <v>0</v>
      </c>
      <c r="Y153" s="233">
        <v>0</v>
      </c>
      <c r="Z153" s="233">
        <v>0</v>
      </c>
      <c r="AA153" s="233">
        <v>0</v>
      </c>
      <c r="AB153" s="233">
        <v>0</v>
      </c>
    </row>
    <row r="154" spans="1:28" ht="15" customHeight="1" x14ac:dyDescent="0.25">
      <c r="A154" s="230" t="s">
        <v>391</v>
      </c>
      <c r="B154" s="231" t="s">
        <v>392</v>
      </c>
      <c r="C154" s="232" t="s">
        <v>369</v>
      </c>
      <c r="D154" s="230" t="s">
        <v>264</v>
      </c>
      <c r="E154" s="230" t="s">
        <v>269</v>
      </c>
      <c r="F154" s="230" t="s">
        <v>269</v>
      </c>
      <c r="G154" s="230" t="s">
        <v>269</v>
      </c>
      <c r="H154" s="230" t="s">
        <v>331</v>
      </c>
      <c r="I154" s="230" t="s">
        <v>319</v>
      </c>
      <c r="J154" s="230"/>
      <c r="K154" s="230"/>
      <c r="L154" s="230"/>
      <c r="M154" s="230" t="s">
        <v>266</v>
      </c>
      <c r="N154" s="230" t="s">
        <v>280</v>
      </c>
      <c r="O154" s="230" t="s">
        <v>267</v>
      </c>
      <c r="P154" s="231" t="s">
        <v>370</v>
      </c>
      <c r="Q154" s="231"/>
      <c r="R154" s="233">
        <v>500000</v>
      </c>
      <c r="S154" s="233">
        <v>797000</v>
      </c>
      <c r="T154" s="233">
        <v>0</v>
      </c>
      <c r="U154" s="233">
        <v>1297000</v>
      </c>
      <c r="V154" s="233">
        <v>0</v>
      </c>
      <c r="W154" s="233">
        <v>993675</v>
      </c>
      <c r="X154" s="233">
        <v>303325</v>
      </c>
      <c r="Y154" s="233">
        <v>993675</v>
      </c>
      <c r="Z154" s="233">
        <v>993675</v>
      </c>
      <c r="AA154" s="233">
        <v>993675</v>
      </c>
      <c r="AB154" s="233">
        <v>993675</v>
      </c>
    </row>
    <row r="155" spans="1:28" ht="15" customHeight="1" x14ac:dyDescent="0.25">
      <c r="A155" s="230" t="s">
        <v>391</v>
      </c>
      <c r="B155" s="231" t="s">
        <v>392</v>
      </c>
      <c r="C155" s="232" t="s">
        <v>371</v>
      </c>
      <c r="D155" s="230" t="s">
        <v>264</v>
      </c>
      <c r="E155" s="230" t="s">
        <v>269</v>
      </c>
      <c r="F155" s="230" t="s">
        <v>269</v>
      </c>
      <c r="G155" s="230" t="s">
        <v>269</v>
      </c>
      <c r="H155" s="230" t="s">
        <v>334</v>
      </c>
      <c r="I155" s="230"/>
      <c r="J155" s="230"/>
      <c r="K155" s="230"/>
      <c r="L155" s="230"/>
      <c r="M155" s="230" t="s">
        <v>266</v>
      </c>
      <c r="N155" s="230" t="s">
        <v>280</v>
      </c>
      <c r="O155" s="230" t="s">
        <v>267</v>
      </c>
      <c r="P155" s="231" t="s">
        <v>372</v>
      </c>
      <c r="Q155" s="231"/>
      <c r="R155" s="233">
        <v>0</v>
      </c>
      <c r="S155" s="233">
        <v>1826501</v>
      </c>
      <c r="T155" s="233">
        <v>360106</v>
      </c>
      <c r="U155" s="233">
        <v>1466395</v>
      </c>
      <c r="V155" s="233">
        <v>0</v>
      </c>
      <c r="W155" s="233">
        <v>1466395</v>
      </c>
      <c r="X155" s="233">
        <v>0</v>
      </c>
      <c r="Y155" s="233">
        <v>1466395</v>
      </c>
      <c r="Z155" s="233">
        <v>1466395</v>
      </c>
      <c r="AA155" s="233">
        <v>1466395</v>
      </c>
      <c r="AB155" s="233">
        <v>1466395</v>
      </c>
    </row>
    <row r="156" spans="1:28" ht="15" customHeight="1" x14ac:dyDescent="0.25">
      <c r="A156" s="230" t="s">
        <v>391</v>
      </c>
      <c r="B156" s="231" t="s">
        <v>392</v>
      </c>
      <c r="C156" s="232" t="s">
        <v>371</v>
      </c>
      <c r="D156" s="230" t="s">
        <v>264</v>
      </c>
      <c r="E156" s="230" t="s">
        <v>269</v>
      </c>
      <c r="F156" s="230" t="s">
        <v>269</v>
      </c>
      <c r="G156" s="230" t="s">
        <v>269</v>
      </c>
      <c r="H156" s="230" t="s">
        <v>334</v>
      </c>
      <c r="I156" s="230"/>
      <c r="J156" s="230"/>
      <c r="K156" s="230"/>
      <c r="L156" s="230"/>
      <c r="M156" s="230" t="s">
        <v>273</v>
      </c>
      <c r="N156" s="230" t="s">
        <v>34</v>
      </c>
      <c r="O156" s="230" t="s">
        <v>267</v>
      </c>
      <c r="P156" s="231" t="s">
        <v>372</v>
      </c>
      <c r="Q156" s="231"/>
      <c r="R156" s="233">
        <v>0</v>
      </c>
      <c r="S156" s="233">
        <v>990292</v>
      </c>
      <c r="T156" s="233">
        <v>810239</v>
      </c>
      <c r="U156" s="233">
        <v>180053</v>
      </c>
      <c r="V156" s="233">
        <v>0</v>
      </c>
      <c r="W156" s="233">
        <v>180053</v>
      </c>
      <c r="X156" s="233">
        <v>0</v>
      </c>
      <c r="Y156" s="233">
        <v>180053</v>
      </c>
      <c r="Z156" s="233">
        <v>180053</v>
      </c>
      <c r="AA156" s="233">
        <v>180053</v>
      </c>
      <c r="AB156" s="233">
        <v>180053</v>
      </c>
    </row>
    <row r="157" spans="1:28" ht="15" customHeight="1" x14ac:dyDescent="0.25">
      <c r="A157" s="230" t="s">
        <v>391</v>
      </c>
      <c r="B157" s="231" t="s">
        <v>392</v>
      </c>
      <c r="C157" s="232" t="s">
        <v>373</v>
      </c>
      <c r="D157" s="230" t="s">
        <v>264</v>
      </c>
      <c r="E157" s="230" t="s">
        <v>271</v>
      </c>
      <c r="F157" s="230" t="s">
        <v>277</v>
      </c>
      <c r="G157" s="230" t="s">
        <v>269</v>
      </c>
      <c r="H157" s="230" t="s">
        <v>278</v>
      </c>
      <c r="I157" s="230" t="s">
        <v>281</v>
      </c>
      <c r="J157" s="230"/>
      <c r="K157" s="230"/>
      <c r="L157" s="230"/>
      <c r="M157" s="230" t="s">
        <v>266</v>
      </c>
      <c r="N157" s="230" t="s">
        <v>280</v>
      </c>
      <c r="O157" s="230" t="s">
        <v>267</v>
      </c>
      <c r="P157" s="231" t="s">
        <v>374</v>
      </c>
      <c r="Q157" s="231"/>
      <c r="R157" s="233">
        <v>0</v>
      </c>
      <c r="S157" s="233">
        <v>6531000</v>
      </c>
      <c r="T157" s="233">
        <v>0</v>
      </c>
      <c r="U157" s="233">
        <v>6531000</v>
      </c>
      <c r="V157" s="233">
        <v>0</v>
      </c>
      <c r="W157" s="233">
        <v>3480522</v>
      </c>
      <c r="X157" s="233">
        <v>3050478</v>
      </c>
      <c r="Y157" s="233">
        <v>3480522</v>
      </c>
      <c r="Z157" s="233">
        <v>3480522</v>
      </c>
      <c r="AA157" s="233">
        <v>3480522</v>
      </c>
      <c r="AB157" s="233">
        <v>3480522</v>
      </c>
    </row>
    <row r="158" spans="1:28" ht="15" customHeight="1" x14ac:dyDescent="0.25">
      <c r="A158" s="230" t="s">
        <v>391</v>
      </c>
      <c r="B158" s="231" t="s">
        <v>392</v>
      </c>
      <c r="C158" s="232" t="s">
        <v>375</v>
      </c>
      <c r="D158" s="230" t="s">
        <v>264</v>
      </c>
      <c r="E158" s="230" t="s">
        <v>285</v>
      </c>
      <c r="F158" s="230" t="s">
        <v>265</v>
      </c>
      <c r="G158" s="230" t="s">
        <v>269</v>
      </c>
      <c r="H158" s="230" t="s">
        <v>281</v>
      </c>
      <c r="I158" s="230"/>
      <c r="J158" s="230"/>
      <c r="K158" s="230"/>
      <c r="L158" s="230"/>
      <c r="M158" s="230" t="s">
        <v>266</v>
      </c>
      <c r="N158" s="230" t="s">
        <v>280</v>
      </c>
      <c r="O158" s="230" t="s">
        <v>267</v>
      </c>
      <c r="P158" s="231" t="s">
        <v>376</v>
      </c>
      <c r="Q158" s="231"/>
      <c r="R158" s="233">
        <v>0</v>
      </c>
      <c r="S158" s="233">
        <v>8793814</v>
      </c>
      <c r="T158" s="233">
        <v>0</v>
      </c>
      <c r="U158" s="233">
        <v>8793814</v>
      </c>
      <c r="V158" s="233">
        <v>0</v>
      </c>
      <c r="W158" s="233">
        <v>8793814</v>
      </c>
      <c r="X158" s="233">
        <v>0</v>
      </c>
      <c r="Y158" s="233">
        <v>8793814</v>
      </c>
      <c r="Z158" s="233">
        <v>8793814</v>
      </c>
      <c r="AA158" s="233">
        <v>8793814</v>
      </c>
      <c r="AB158" s="233">
        <v>8793814</v>
      </c>
    </row>
    <row r="159" spans="1:28" ht="15" customHeight="1" x14ac:dyDescent="0.25">
      <c r="A159" s="230" t="s">
        <v>391</v>
      </c>
      <c r="B159" s="231" t="s">
        <v>392</v>
      </c>
      <c r="C159" s="232" t="s">
        <v>377</v>
      </c>
      <c r="D159" s="230" t="s">
        <v>264</v>
      </c>
      <c r="E159" s="230" t="s">
        <v>285</v>
      </c>
      <c r="F159" s="230" t="s">
        <v>265</v>
      </c>
      <c r="G159" s="230" t="s">
        <v>269</v>
      </c>
      <c r="H159" s="230" t="s">
        <v>316</v>
      </c>
      <c r="I159" s="230"/>
      <c r="J159" s="230"/>
      <c r="K159" s="230"/>
      <c r="L159" s="230"/>
      <c r="M159" s="230" t="s">
        <v>273</v>
      </c>
      <c r="N159" s="230" t="s">
        <v>34</v>
      </c>
      <c r="O159" s="230" t="s">
        <v>267</v>
      </c>
      <c r="P159" s="231" t="s">
        <v>378</v>
      </c>
      <c r="Q159" s="231"/>
      <c r="R159" s="233">
        <v>0</v>
      </c>
      <c r="S159" s="233">
        <v>132000</v>
      </c>
      <c r="T159" s="233">
        <v>0</v>
      </c>
      <c r="U159" s="233">
        <v>132000</v>
      </c>
      <c r="V159" s="233">
        <v>0</v>
      </c>
      <c r="W159" s="233">
        <v>132000</v>
      </c>
      <c r="X159" s="233">
        <v>0</v>
      </c>
      <c r="Y159" s="233">
        <v>132000</v>
      </c>
      <c r="Z159" s="233">
        <v>132000</v>
      </c>
      <c r="AA159" s="233">
        <v>132000</v>
      </c>
      <c r="AB159" s="233">
        <v>132000</v>
      </c>
    </row>
    <row r="160" spans="1:28" ht="15" customHeight="1" x14ac:dyDescent="0.25">
      <c r="A160" s="230" t="s">
        <v>393</v>
      </c>
      <c r="B160" s="231" t="s">
        <v>394</v>
      </c>
      <c r="C160" s="232" t="s">
        <v>313</v>
      </c>
      <c r="D160" s="230" t="s">
        <v>264</v>
      </c>
      <c r="E160" s="230" t="s">
        <v>265</v>
      </c>
      <c r="F160" s="230" t="s">
        <v>265</v>
      </c>
      <c r="G160" s="230" t="s">
        <v>265</v>
      </c>
      <c r="H160" s="230" t="s">
        <v>281</v>
      </c>
      <c r="I160" s="230" t="s">
        <v>281</v>
      </c>
      <c r="J160" s="230"/>
      <c r="K160" s="230"/>
      <c r="L160" s="230"/>
      <c r="M160" s="230" t="s">
        <v>266</v>
      </c>
      <c r="N160" s="230" t="s">
        <v>280</v>
      </c>
      <c r="O160" s="230" t="s">
        <v>267</v>
      </c>
      <c r="P160" s="231" t="s">
        <v>314</v>
      </c>
      <c r="Q160" s="231"/>
      <c r="R160" s="233">
        <v>506000000</v>
      </c>
      <c r="S160" s="233">
        <v>0</v>
      </c>
      <c r="T160" s="233">
        <v>0</v>
      </c>
      <c r="U160" s="233">
        <v>506000000</v>
      </c>
      <c r="V160" s="233">
        <v>0</v>
      </c>
      <c r="W160" s="233">
        <v>383651910</v>
      </c>
      <c r="X160" s="233">
        <v>122348090</v>
      </c>
      <c r="Y160" s="233">
        <v>383651910</v>
      </c>
      <c r="Z160" s="233">
        <v>383651910</v>
      </c>
      <c r="AA160" s="233">
        <v>383651910</v>
      </c>
      <c r="AB160" s="233">
        <v>383651910</v>
      </c>
    </row>
    <row r="161" spans="1:28" ht="15" customHeight="1" x14ac:dyDescent="0.25">
      <c r="A161" s="230" t="s">
        <v>393</v>
      </c>
      <c r="B161" s="231" t="s">
        <v>394</v>
      </c>
      <c r="C161" s="232" t="s">
        <v>318</v>
      </c>
      <c r="D161" s="230" t="s">
        <v>264</v>
      </c>
      <c r="E161" s="230" t="s">
        <v>265</v>
      </c>
      <c r="F161" s="230" t="s">
        <v>265</v>
      </c>
      <c r="G161" s="230" t="s">
        <v>265</v>
      </c>
      <c r="H161" s="230" t="s">
        <v>281</v>
      </c>
      <c r="I161" s="230" t="s">
        <v>319</v>
      </c>
      <c r="J161" s="230"/>
      <c r="K161" s="230"/>
      <c r="L161" s="230"/>
      <c r="M161" s="230" t="s">
        <v>266</v>
      </c>
      <c r="N161" s="230" t="s">
        <v>280</v>
      </c>
      <c r="O161" s="230" t="s">
        <v>267</v>
      </c>
      <c r="P161" s="231" t="s">
        <v>320</v>
      </c>
      <c r="Q161" s="231"/>
      <c r="R161" s="233">
        <v>11640000</v>
      </c>
      <c r="S161" s="233">
        <v>0</v>
      </c>
      <c r="T161" s="233">
        <v>0</v>
      </c>
      <c r="U161" s="233">
        <v>11640000</v>
      </c>
      <c r="V161" s="233">
        <v>0</v>
      </c>
      <c r="W161" s="233">
        <v>8233763</v>
      </c>
      <c r="X161" s="233">
        <v>3406237</v>
      </c>
      <c r="Y161" s="233">
        <v>8233763</v>
      </c>
      <c r="Z161" s="233">
        <v>8233763</v>
      </c>
      <c r="AA161" s="233">
        <v>8233763</v>
      </c>
      <c r="AB161" s="233">
        <v>8233763</v>
      </c>
    </row>
    <row r="162" spans="1:28" ht="15" customHeight="1" x14ac:dyDescent="0.25">
      <c r="A162" s="230" t="s">
        <v>393</v>
      </c>
      <c r="B162" s="231" t="s">
        <v>394</v>
      </c>
      <c r="C162" s="232" t="s">
        <v>321</v>
      </c>
      <c r="D162" s="230" t="s">
        <v>264</v>
      </c>
      <c r="E162" s="230" t="s">
        <v>265</v>
      </c>
      <c r="F162" s="230" t="s">
        <v>265</v>
      </c>
      <c r="G162" s="230" t="s">
        <v>265</v>
      </c>
      <c r="H162" s="230" t="s">
        <v>281</v>
      </c>
      <c r="I162" s="230" t="s">
        <v>322</v>
      </c>
      <c r="J162" s="230"/>
      <c r="K162" s="230"/>
      <c r="L162" s="230"/>
      <c r="M162" s="230" t="s">
        <v>266</v>
      </c>
      <c r="N162" s="230" t="s">
        <v>280</v>
      </c>
      <c r="O162" s="230" t="s">
        <v>267</v>
      </c>
      <c r="P162" s="231" t="s">
        <v>323</v>
      </c>
      <c r="Q162" s="231"/>
      <c r="R162" s="233">
        <v>7852000</v>
      </c>
      <c r="S162" s="233">
        <v>2600000</v>
      </c>
      <c r="T162" s="233">
        <v>7852000</v>
      </c>
      <c r="U162" s="233">
        <v>2600000</v>
      </c>
      <c r="V162" s="233">
        <v>0</v>
      </c>
      <c r="W162" s="233">
        <v>1958754</v>
      </c>
      <c r="X162" s="233">
        <v>641246</v>
      </c>
      <c r="Y162" s="233">
        <v>1958754</v>
      </c>
      <c r="Z162" s="233">
        <v>1958754</v>
      </c>
      <c r="AA162" s="233">
        <v>1958754</v>
      </c>
      <c r="AB162" s="233">
        <v>1958754</v>
      </c>
    </row>
    <row r="163" spans="1:28" ht="15" customHeight="1" x14ac:dyDescent="0.25">
      <c r="A163" s="230" t="s">
        <v>393</v>
      </c>
      <c r="B163" s="231" t="s">
        <v>394</v>
      </c>
      <c r="C163" s="232" t="s">
        <v>324</v>
      </c>
      <c r="D163" s="230" t="s">
        <v>264</v>
      </c>
      <c r="E163" s="230" t="s">
        <v>265</v>
      </c>
      <c r="F163" s="230" t="s">
        <v>265</v>
      </c>
      <c r="G163" s="230" t="s">
        <v>265</v>
      </c>
      <c r="H163" s="230" t="s">
        <v>281</v>
      </c>
      <c r="I163" s="230" t="s">
        <v>325</v>
      </c>
      <c r="J163" s="230"/>
      <c r="K163" s="230"/>
      <c r="L163" s="230"/>
      <c r="M163" s="230" t="s">
        <v>266</v>
      </c>
      <c r="N163" s="230" t="s">
        <v>280</v>
      </c>
      <c r="O163" s="230" t="s">
        <v>267</v>
      </c>
      <c r="P163" s="231" t="s">
        <v>326</v>
      </c>
      <c r="Q163" s="231"/>
      <c r="R163" s="233">
        <v>57000000</v>
      </c>
      <c r="S163" s="233">
        <v>942500</v>
      </c>
      <c r="T163" s="233">
        <v>17737340</v>
      </c>
      <c r="U163" s="233">
        <v>40205160</v>
      </c>
      <c r="V163" s="233">
        <v>0</v>
      </c>
      <c r="W163" s="233">
        <v>40199839</v>
      </c>
      <c r="X163" s="233">
        <v>5321</v>
      </c>
      <c r="Y163" s="233">
        <v>40199839</v>
      </c>
      <c r="Z163" s="233">
        <v>40199839</v>
      </c>
      <c r="AA163" s="233">
        <v>40199839</v>
      </c>
      <c r="AB163" s="233">
        <v>40199839</v>
      </c>
    </row>
    <row r="164" spans="1:28" ht="15" customHeight="1" x14ac:dyDescent="0.25">
      <c r="A164" s="230" t="s">
        <v>393</v>
      </c>
      <c r="B164" s="231" t="s">
        <v>394</v>
      </c>
      <c r="C164" s="232" t="s">
        <v>327</v>
      </c>
      <c r="D164" s="230" t="s">
        <v>264</v>
      </c>
      <c r="E164" s="230" t="s">
        <v>265</v>
      </c>
      <c r="F164" s="230" t="s">
        <v>265</v>
      </c>
      <c r="G164" s="230" t="s">
        <v>265</v>
      </c>
      <c r="H164" s="230" t="s">
        <v>281</v>
      </c>
      <c r="I164" s="230" t="s">
        <v>328</v>
      </c>
      <c r="J164" s="230"/>
      <c r="K164" s="230"/>
      <c r="L164" s="230"/>
      <c r="M164" s="230" t="s">
        <v>266</v>
      </c>
      <c r="N164" s="230" t="s">
        <v>280</v>
      </c>
      <c r="O164" s="230" t="s">
        <v>267</v>
      </c>
      <c r="P164" s="231" t="s">
        <v>329</v>
      </c>
      <c r="Q164" s="231"/>
      <c r="R164" s="233">
        <v>21000000</v>
      </c>
      <c r="S164" s="233">
        <v>0</v>
      </c>
      <c r="T164" s="233">
        <v>0</v>
      </c>
      <c r="U164" s="233">
        <v>21000000</v>
      </c>
      <c r="V164" s="233">
        <v>0</v>
      </c>
      <c r="W164" s="233">
        <v>11840143</v>
      </c>
      <c r="X164" s="233">
        <v>9159857</v>
      </c>
      <c r="Y164" s="233">
        <v>11840143</v>
      </c>
      <c r="Z164" s="233">
        <v>11840143</v>
      </c>
      <c r="AA164" s="233">
        <v>11840143</v>
      </c>
      <c r="AB164" s="233">
        <v>11840143</v>
      </c>
    </row>
    <row r="165" spans="1:28" ht="15" customHeight="1" x14ac:dyDescent="0.25">
      <c r="A165" s="230" t="s">
        <v>393</v>
      </c>
      <c r="B165" s="231" t="s">
        <v>394</v>
      </c>
      <c r="C165" s="232" t="s">
        <v>330</v>
      </c>
      <c r="D165" s="230" t="s">
        <v>264</v>
      </c>
      <c r="E165" s="230" t="s">
        <v>265</v>
      </c>
      <c r="F165" s="230" t="s">
        <v>265</v>
      </c>
      <c r="G165" s="230" t="s">
        <v>265</v>
      </c>
      <c r="H165" s="230" t="s">
        <v>281</v>
      </c>
      <c r="I165" s="230" t="s">
        <v>331</v>
      </c>
      <c r="J165" s="230"/>
      <c r="K165" s="230"/>
      <c r="L165" s="230"/>
      <c r="M165" s="230" t="s">
        <v>266</v>
      </c>
      <c r="N165" s="230" t="s">
        <v>280</v>
      </c>
      <c r="O165" s="230" t="s">
        <v>267</v>
      </c>
      <c r="P165" s="231" t="s">
        <v>332</v>
      </c>
      <c r="Q165" s="231"/>
      <c r="R165" s="233">
        <v>59000000</v>
      </c>
      <c r="S165" s="233">
        <v>0</v>
      </c>
      <c r="T165" s="233">
        <v>0</v>
      </c>
      <c r="U165" s="233">
        <v>59000000</v>
      </c>
      <c r="V165" s="233">
        <v>0</v>
      </c>
      <c r="W165" s="233">
        <v>49962412</v>
      </c>
      <c r="X165" s="233">
        <v>9037588</v>
      </c>
      <c r="Y165" s="233">
        <v>49962412</v>
      </c>
      <c r="Z165" s="233">
        <v>49962412</v>
      </c>
      <c r="AA165" s="233">
        <v>49962412</v>
      </c>
      <c r="AB165" s="233">
        <v>49962412</v>
      </c>
    </row>
    <row r="166" spans="1:28" ht="15" customHeight="1" x14ac:dyDescent="0.25">
      <c r="A166" s="230" t="s">
        <v>393</v>
      </c>
      <c r="B166" s="231" t="s">
        <v>394</v>
      </c>
      <c r="C166" s="232" t="s">
        <v>333</v>
      </c>
      <c r="D166" s="230" t="s">
        <v>264</v>
      </c>
      <c r="E166" s="230" t="s">
        <v>265</v>
      </c>
      <c r="F166" s="230" t="s">
        <v>265</v>
      </c>
      <c r="G166" s="230" t="s">
        <v>265</v>
      </c>
      <c r="H166" s="230" t="s">
        <v>281</v>
      </c>
      <c r="I166" s="230" t="s">
        <v>334</v>
      </c>
      <c r="J166" s="230"/>
      <c r="K166" s="230"/>
      <c r="L166" s="230"/>
      <c r="M166" s="230" t="s">
        <v>266</v>
      </c>
      <c r="N166" s="230" t="s">
        <v>280</v>
      </c>
      <c r="O166" s="230" t="s">
        <v>267</v>
      </c>
      <c r="P166" s="231" t="s">
        <v>335</v>
      </c>
      <c r="Q166" s="231"/>
      <c r="R166" s="233">
        <v>38000000</v>
      </c>
      <c r="S166" s="233">
        <v>1000000</v>
      </c>
      <c r="T166" s="233">
        <v>0</v>
      </c>
      <c r="U166" s="233">
        <v>39000000</v>
      </c>
      <c r="V166" s="233">
        <v>0</v>
      </c>
      <c r="W166" s="233">
        <v>32297272</v>
      </c>
      <c r="X166" s="233">
        <v>6702728</v>
      </c>
      <c r="Y166" s="233">
        <v>32297272</v>
      </c>
      <c r="Z166" s="233">
        <v>32297272</v>
      </c>
      <c r="AA166" s="233">
        <v>32297272</v>
      </c>
      <c r="AB166" s="233">
        <v>32297272</v>
      </c>
    </row>
    <row r="167" spans="1:28" ht="15" customHeight="1" x14ac:dyDescent="0.25">
      <c r="A167" s="230" t="s">
        <v>393</v>
      </c>
      <c r="B167" s="231" t="s">
        <v>394</v>
      </c>
      <c r="C167" s="232" t="s">
        <v>336</v>
      </c>
      <c r="D167" s="230" t="s">
        <v>264</v>
      </c>
      <c r="E167" s="230" t="s">
        <v>265</v>
      </c>
      <c r="F167" s="230" t="s">
        <v>265</v>
      </c>
      <c r="G167" s="230" t="s">
        <v>265</v>
      </c>
      <c r="H167" s="230" t="s">
        <v>281</v>
      </c>
      <c r="I167" s="230" t="s">
        <v>278</v>
      </c>
      <c r="J167" s="230"/>
      <c r="K167" s="230"/>
      <c r="L167" s="230"/>
      <c r="M167" s="230" t="s">
        <v>266</v>
      </c>
      <c r="N167" s="230" t="s">
        <v>280</v>
      </c>
      <c r="O167" s="230" t="s">
        <v>267</v>
      </c>
      <c r="P167" s="231" t="s">
        <v>337</v>
      </c>
      <c r="Q167" s="231"/>
      <c r="R167" s="233">
        <v>8000000</v>
      </c>
      <c r="S167" s="233">
        <v>1120000</v>
      </c>
      <c r="T167" s="233">
        <v>46569</v>
      </c>
      <c r="U167" s="233">
        <v>9073431</v>
      </c>
      <c r="V167" s="233">
        <v>0</v>
      </c>
      <c r="W167" s="233">
        <v>9073431</v>
      </c>
      <c r="X167" s="233">
        <v>0</v>
      </c>
      <c r="Y167" s="233">
        <v>9073431</v>
      </c>
      <c r="Z167" s="233">
        <v>9073431</v>
      </c>
      <c r="AA167" s="233">
        <v>9073431</v>
      </c>
      <c r="AB167" s="233">
        <v>9073431</v>
      </c>
    </row>
    <row r="168" spans="1:28" ht="15" customHeight="1" x14ac:dyDescent="0.25">
      <c r="A168" s="230" t="s">
        <v>393</v>
      </c>
      <c r="B168" s="231" t="s">
        <v>394</v>
      </c>
      <c r="C168" s="232" t="s">
        <v>338</v>
      </c>
      <c r="D168" s="230" t="s">
        <v>264</v>
      </c>
      <c r="E168" s="230" t="s">
        <v>265</v>
      </c>
      <c r="F168" s="230" t="s">
        <v>265</v>
      </c>
      <c r="G168" s="230" t="s">
        <v>269</v>
      </c>
      <c r="H168" s="230" t="s">
        <v>281</v>
      </c>
      <c r="I168" s="230"/>
      <c r="J168" s="230"/>
      <c r="K168" s="230"/>
      <c r="L168" s="230"/>
      <c r="M168" s="230" t="s">
        <v>266</v>
      </c>
      <c r="N168" s="230" t="s">
        <v>280</v>
      </c>
      <c r="O168" s="230" t="s">
        <v>267</v>
      </c>
      <c r="P168" s="231" t="s">
        <v>339</v>
      </c>
      <c r="Q168" s="231"/>
      <c r="R168" s="233">
        <v>60000000</v>
      </c>
      <c r="S168" s="233">
        <v>0</v>
      </c>
      <c r="T168" s="233">
        <v>0</v>
      </c>
      <c r="U168" s="233">
        <v>60000000</v>
      </c>
      <c r="V168" s="233">
        <v>0</v>
      </c>
      <c r="W168" s="233">
        <v>50378600</v>
      </c>
      <c r="X168" s="233">
        <v>9621400</v>
      </c>
      <c r="Y168" s="233">
        <v>50378600</v>
      </c>
      <c r="Z168" s="233">
        <v>50378600</v>
      </c>
      <c r="AA168" s="233">
        <v>50378600</v>
      </c>
      <c r="AB168" s="233">
        <v>50378600</v>
      </c>
    </row>
    <row r="169" spans="1:28" ht="15" customHeight="1" x14ac:dyDescent="0.25">
      <c r="A169" s="230" t="s">
        <v>393</v>
      </c>
      <c r="B169" s="231" t="s">
        <v>394</v>
      </c>
      <c r="C169" s="232" t="s">
        <v>340</v>
      </c>
      <c r="D169" s="230" t="s">
        <v>264</v>
      </c>
      <c r="E169" s="230" t="s">
        <v>265</v>
      </c>
      <c r="F169" s="230" t="s">
        <v>265</v>
      </c>
      <c r="G169" s="230" t="s">
        <v>269</v>
      </c>
      <c r="H169" s="230" t="s">
        <v>283</v>
      </c>
      <c r="I169" s="230"/>
      <c r="J169" s="230"/>
      <c r="K169" s="230"/>
      <c r="L169" s="230"/>
      <c r="M169" s="230" t="s">
        <v>266</v>
      </c>
      <c r="N169" s="230" t="s">
        <v>280</v>
      </c>
      <c r="O169" s="230" t="s">
        <v>267</v>
      </c>
      <c r="P169" s="231" t="s">
        <v>341</v>
      </c>
      <c r="Q169" s="231"/>
      <c r="R169" s="233">
        <v>48000000</v>
      </c>
      <c r="S169" s="233">
        <v>0</v>
      </c>
      <c r="T169" s="233">
        <v>0</v>
      </c>
      <c r="U169" s="233">
        <v>48000000</v>
      </c>
      <c r="V169" s="233">
        <v>0</v>
      </c>
      <c r="W169" s="233">
        <v>35685100</v>
      </c>
      <c r="X169" s="233">
        <v>12314900</v>
      </c>
      <c r="Y169" s="233">
        <v>35685100</v>
      </c>
      <c r="Z169" s="233">
        <v>35685100</v>
      </c>
      <c r="AA169" s="233">
        <v>35685100</v>
      </c>
      <c r="AB169" s="233">
        <v>35685100</v>
      </c>
    </row>
    <row r="170" spans="1:28" ht="15" customHeight="1" x14ac:dyDescent="0.25">
      <c r="A170" s="230" t="s">
        <v>393</v>
      </c>
      <c r="B170" s="231" t="s">
        <v>394</v>
      </c>
      <c r="C170" s="232" t="s">
        <v>342</v>
      </c>
      <c r="D170" s="230" t="s">
        <v>264</v>
      </c>
      <c r="E170" s="230" t="s">
        <v>265</v>
      </c>
      <c r="F170" s="230" t="s">
        <v>265</v>
      </c>
      <c r="G170" s="230" t="s">
        <v>269</v>
      </c>
      <c r="H170" s="230" t="s">
        <v>319</v>
      </c>
      <c r="I170" s="230"/>
      <c r="J170" s="230"/>
      <c r="K170" s="230"/>
      <c r="L170" s="230"/>
      <c r="M170" s="230" t="s">
        <v>266</v>
      </c>
      <c r="N170" s="230" t="s">
        <v>280</v>
      </c>
      <c r="O170" s="230" t="s">
        <v>267</v>
      </c>
      <c r="P170" s="231" t="s">
        <v>343</v>
      </c>
      <c r="Q170" s="231"/>
      <c r="R170" s="233">
        <v>28000000</v>
      </c>
      <c r="S170" s="233">
        <v>0</v>
      </c>
      <c r="T170" s="233">
        <v>0</v>
      </c>
      <c r="U170" s="233">
        <v>28000000</v>
      </c>
      <c r="V170" s="233">
        <v>0</v>
      </c>
      <c r="W170" s="233">
        <v>19771900</v>
      </c>
      <c r="X170" s="233">
        <v>8228100</v>
      </c>
      <c r="Y170" s="233">
        <v>19771900</v>
      </c>
      <c r="Z170" s="233">
        <v>19771900</v>
      </c>
      <c r="AA170" s="233">
        <v>19771900</v>
      </c>
      <c r="AB170" s="233">
        <v>19771900</v>
      </c>
    </row>
    <row r="171" spans="1:28" ht="15" customHeight="1" x14ac:dyDescent="0.25">
      <c r="A171" s="230" t="s">
        <v>393</v>
      </c>
      <c r="B171" s="231" t="s">
        <v>394</v>
      </c>
      <c r="C171" s="232" t="s">
        <v>344</v>
      </c>
      <c r="D171" s="230" t="s">
        <v>264</v>
      </c>
      <c r="E171" s="230" t="s">
        <v>265</v>
      </c>
      <c r="F171" s="230" t="s">
        <v>265</v>
      </c>
      <c r="G171" s="230" t="s">
        <v>269</v>
      </c>
      <c r="H171" s="230" t="s">
        <v>322</v>
      </c>
      <c r="I171" s="230"/>
      <c r="J171" s="230"/>
      <c r="K171" s="230"/>
      <c r="L171" s="230"/>
      <c r="M171" s="230" t="s">
        <v>266</v>
      </c>
      <c r="N171" s="230" t="s">
        <v>280</v>
      </c>
      <c r="O171" s="230" t="s">
        <v>267</v>
      </c>
      <c r="P171" s="231" t="s">
        <v>345</v>
      </c>
      <c r="Q171" s="231"/>
      <c r="R171" s="233">
        <v>8000000</v>
      </c>
      <c r="S171" s="233">
        <v>0</v>
      </c>
      <c r="T171" s="233">
        <v>0</v>
      </c>
      <c r="U171" s="233">
        <v>8000000</v>
      </c>
      <c r="V171" s="233">
        <v>0</v>
      </c>
      <c r="W171" s="233">
        <v>6183500</v>
      </c>
      <c r="X171" s="233">
        <v>1816500</v>
      </c>
      <c r="Y171" s="233">
        <v>6183500</v>
      </c>
      <c r="Z171" s="233">
        <v>6183500</v>
      </c>
      <c r="AA171" s="233">
        <v>6183500</v>
      </c>
      <c r="AB171" s="233">
        <v>6183500</v>
      </c>
    </row>
    <row r="172" spans="1:28" ht="15" customHeight="1" x14ac:dyDescent="0.25">
      <c r="A172" s="230" t="s">
        <v>393</v>
      </c>
      <c r="B172" s="231" t="s">
        <v>394</v>
      </c>
      <c r="C172" s="232" t="s">
        <v>346</v>
      </c>
      <c r="D172" s="230" t="s">
        <v>264</v>
      </c>
      <c r="E172" s="230" t="s">
        <v>265</v>
      </c>
      <c r="F172" s="230" t="s">
        <v>265</v>
      </c>
      <c r="G172" s="230" t="s">
        <v>269</v>
      </c>
      <c r="H172" s="230" t="s">
        <v>325</v>
      </c>
      <c r="I172" s="230"/>
      <c r="J172" s="230"/>
      <c r="K172" s="230"/>
      <c r="L172" s="230"/>
      <c r="M172" s="230" t="s">
        <v>266</v>
      </c>
      <c r="N172" s="230" t="s">
        <v>280</v>
      </c>
      <c r="O172" s="230" t="s">
        <v>267</v>
      </c>
      <c r="P172" s="231" t="s">
        <v>347</v>
      </c>
      <c r="Q172" s="231"/>
      <c r="R172" s="233">
        <v>21000000</v>
      </c>
      <c r="S172" s="233">
        <v>0</v>
      </c>
      <c r="T172" s="233">
        <v>0</v>
      </c>
      <c r="U172" s="233">
        <v>21000000</v>
      </c>
      <c r="V172" s="233">
        <v>0</v>
      </c>
      <c r="W172" s="233">
        <v>15087200</v>
      </c>
      <c r="X172" s="233">
        <v>5912800</v>
      </c>
      <c r="Y172" s="233">
        <v>15087200</v>
      </c>
      <c r="Z172" s="233">
        <v>15087200</v>
      </c>
      <c r="AA172" s="233">
        <v>15087200</v>
      </c>
      <c r="AB172" s="233">
        <v>15087200</v>
      </c>
    </row>
    <row r="173" spans="1:28" ht="15" customHeight="1" x14ac:dyDescent="0.25">
      <c r="A173" s="230" t="s">
        <v>393</v>
      </c>
      <c r="B173" s="231" t="s">
        <v>394</v>
      </c>
      <c r="C173" s="232" t="s">
        <v>348</v>
      </c>
      <c r="D173" s="230" t="s">
        <v>264</v>
      </c>
      <c r="E173" s="230" t="s">
        <v>265</v>
      </c>
      <c r="F173" s="230" t="s">
        <v>265</v>
      </c>
      <c r="G173" s="230" t="s">
        <v>269</v>
      </c>
      <c r="H173" s="230" t="s">
        <v>328</v>
      </c>
      <c r="I173" s="230"/>
      <c r="J173" s="230"/>
      <c r="K173" s="230"/>
      <c r="L173" s="230"/>
      <c r="M173" s="230" t="s">
        <v>266</v>
      </c>
      <c r="N173" s="230" t="s">
        <v>280</v>
      </c>
      <c r="O173" s="230" t="s">
        <v>267</v>
      </c>
      <c r="P173" s="231" t="s">
        <v>349</v>
      </c>
      <c r="Q173" s="231"/>
      <c r="R173" s="233">
        <v>3000000</v>
      </c>
      <c r="S173" s="233">
        <v>9000000</v>
      </c>
      <c r="T173" s="233">
        <v>0</v>
      </c>
      <c r="U173" s="233">
        <v>12000000</v>
      </c>
      <c r="V173" s="233">
        <v>0</v>
      </c>
      <c r="W173" s="233">
        <v>10061600</v>
      </c>
      <c r="X173" s="233">
        <v>1938400</v>
      </c>
      <c r="Y173" s="233">
        <v>10061600</v>
      </c>
      <c r="Z173" s="233">
        <v>10061600</v>
      </c>
      <c r="AA173" s="233">
        <v>10061600</v>
      </c>
      <c r="AB173" s="233">
        <v>10061600</v>
      </c>
    </row>
    <row r="174" spans="1:28" ht="15" customHeight="1" x14ac:dyDescent="0.25">
      <c r="A174" s="230" t="s">
        <v>393</v>
      </c>
      <c r="B174" s="231" t="s">
        <v>394</v>
      </c>
      <c r="C174" s="232" t="s">
        <v>350</v>
      </c>
      <c r="D174" s="230" t="s">
        <v>264</v>
      </c>
      <c r="E174" s="230" t="s">
        <v>265</v>
      </c>
      <c r="F174" s="230" t="s">
        <v>265</v>
      </c>
      <c r="G174" s="230" t="s">
        <v>269</v>
      </c>
      <c r="H174" s="230" t="s">
        <v>351</v>
      </c>
      <c r="I174" s="230"/>
      <c r="J174" s="230"/>
      <c r="K174" s="230"/>
      <c r="L174" s="230"/>
      <c r="M174" s="230" t="s">
        <v>266</v>
      </c>
      <c r="N174" s="230" t="s">
        <v>280</v>
      </c>
      <c r="O174" s="230" t="s">
        <v>267</v>
      </c>
      <c r="P174" s="231" t="s">
        <v>352</v>
      </c>
      <c r="Q174" s="231"/>
      <c r="R174" s="233">
        <v>3000000</v>
      </c>
      <c r="S174" s="233">
        <v>0</v>
      </c>
      <c r="T174" s="233">
        <v>3000000</v>
      </c>
      <c r="U174" s="233">
        <v>0</v>
      </c>
      <c r="V174" s="233">
        <v>0</v>
      </c>
      <c r="W174" s="233">
        <v>0</v>
      </c>
      <c r="X174" s="233">
        <v>0</v>
      </c>
      <c r="Y174" s="233">
        <v>0</v>
      </c>
      <c r="Z174" s="233">
        <v>0</v>
      </c>
      <c r="AA174" s="233">
        <v>0</v>
      </c>
      <c r="AB174" s="233">
        <v>0</v>
      </c>
    </row>
    <row r="175" spans="1:28" ht="15" customHeight="1" x14ac:dyDescent="0.25">
      <c r="A175" s="230" t="s">
        <v>393</v>
      </c>
      <c r="B175" s="231" t="s">
        <v>394</v>
      </c>
      <c r="C175" s="232" t="s">
        <v>353</v>
      </c>
      <c r="D175" s="230" t="s">
        <v>264</v>
      </c>
      <c r="E175" s="230" t="s">
        <v>265</v>
      </c>
      <c r="F175" s="230" t="s">
        <v>265</v>
      </c>
      <c r="G175" s="230" t="s">
        <v>269</v>
      </c>
      <c r="H175" s="230" t="s">
        <v>331</v>
      </c>
      <c r="I175" s="230"/>
      <c r="J175" s="230"/>
      <c r="K175" s="230"/>
      <c r="L175" s="230"/>
      <c r="M175" s="230" t="s">
        <v>266</v>
      </c>
      <c r="N175" s="230" t="s">
        <v>280</v>
      </c>
      <c r="O175" s="230" t="s">
        <v>267</v>
      </c>
      <c r="P175" s="231" t="s">
        <v>354</v>
      </c>
      <c r="Q175" s="231"/>
      <c r="R175" s="233">
        <v>6000000</v>
      </c>
      <c r="S175" s="233">
        <v>0</v>
      </c>
      <c r="T175" s="233">
        <v>6000000</v>
      </c>
      <c r="U175" s="233">
        <v>0</v>
      </c>
      <c r="V175" s="233">
        <v>0</v>
      </c>
      <c r="W175" s="233">
        <v>0</v>
      </c>
      <c r="X175" s="233">
        <v>0</v>
      </c>
      <c r="Y175" s="233">
        <v>0</v>
      </c>
      <c r="Z175" s="233">
        <v>0</v>
      </c>
      <c r="AA175" s="233">
        <v>0</v>
      </c>
      <c r="AB175" s="233">
        <v>0</v>
      </c>
    </row>
    <row r="176" spans="1:28" ht="15" customHeight="1" x14ac:dyDescent="0.25">
      <c r="A176" s="230" t="s">
        <v>393</v>
      </c>
      <c r="B176" s="231" t="s">
        <v>394</v>
      </c>
      <c r="C176" s="232" t="s">
        <v>355</v>
      </c>
      <c r="D176" s="230" t="s">
        <v>264</v>
      </c>
      <c r="E176" s="230" t="s">
        <v>265</v>
      </c>
      <c r="F176" s="230" t="s">
        <v>265</v>
      </c>
      <c r="G176" s="230" t="s">
        <v>271</v>
      </c>
      <c r="H176" s="230" t="s">
        <v>281</v>
      </c>
      <c r="I176" s="230" t="s">
        <v>281</v>
      </c>
      <c r="J176" s="230"/>
      <c r="K176" s="230"/>
      <c r="L176" s="230"/>
      <c r="M176" s="230" t="s">
        <v>266</v>
      </c>
      <c r="N176" s="230" t="s">
        <v>280</v>
      </c>
      <c r="O176" s="230" t="s">
        <v>267</v>
      </c>
      <c r="P176" s="231" t="s">
        <v>356</v>
      </c>
      <c r="Q176" s="231"/>
      <c r="R176" s="233">
        <v>35000000</v>
      </c>
      <c r="S176" s="233">
        <v>0</v>
      </c>
      <c r="T176" s="233">
        <v>0</v>
      </c>
      <c r="U176" s="233">
        <v>35000000</v>
      </c>
      <c r="V176" s="233">
        <v>0</v>
      </c>
      <c r="W176" s="233">
        <v>21299614</v>
      </c>
      <c r="X176" s="233">
        <v>13700386</v>
      </c>
      <c r="Y176" s="233">
        <v>21299614</v>
      </c>
      <c r="Z176" s="233">
        <v>21299614</v>
      </c>
      <c r="AA176" s="233">
        <v>21299614</v>
      </c>
      <c r="AB176" s="233">
        <v>21299614</v>
      </c>
    </row>
    <row r="177" spans="1:28" ht="15" customHeight="1" x14ac:dyDescent="0.25">
      <c r="A177" s="230" t="s">
        <v>393</v>
      </c>
      <c r="B177" s="231" t="s">
        <v>394</v>
      </c>
      <c r="C177" s="232" t="s">
        <v>357</v>
      </c>
      <c r="D177" s="230" t="s">
        <v>264</v>
      </c>
      <c r="E177" s="230" t="s">
        <v>265</v>
      </c>
      <c r="F177" s="230" t="s">
        <v>265</v>
      </c>
      <c r="G177" s="230" t="s">
        <v>271</v>
      </c>
      <c r="H177" s="230" t="s">
        <v>281</v>
      </c>
      <c r="I177" s="230" t="s">
        <v>283</v>
      </c>
      <c r="J177" s="230"/>
      <c r="K177" s="230"/>
      <c r="L177" s="230"/>
      <c r="M177" s="230" t="s">
        <v>266</v>
      </c>
      <c r="N177" s="230" t="s">
        <v>280</v>
      </c>
      <c r="O177" s="230" t="s">
        <v>267</v>
      </c>
      <c r="P177" s="231" t="s">
        <v>358</v>
      </c>
      <c r="Q177" s="231"/>
      <c r="R177" s="233">
        <v>0</v>
      </c>
      <c r="S177" s="233">
        <v>13173258</v>
      </c>
      <c r="T177" s="233">
        <v>0</v>
      </c>
      <c r="U177" s="233">
        <v>13173258</v>
      </c>
      <c r="V177" s="233">
        <v>0</v>
      </c>
      <c r="W177" s="233">
        <v>12600042</v>
      </c>
      <c r="X177" s="233">
        <v>573216</v>
      </c>
      <c r="Y177" s="233">
        <v>12600042</v>
      </c>
      <c r="Z177" s="233">
        <v>12600042</v>
      </c>
      <c r="AA177" s="233">
        <v>12600042</v>
      </c>
      <c r="AB177" s="233">
        <v>12600042</v>
      </c>
    </row>
    <row r="178" spans="1:28" ht="15" customHeight="1" x14ac:dyDescent="0.25">
      <c r="A178" s="230" t="s">
        <v>393</v>
      </c>
      <c r="B178" s="231" t="s">
        <v>394</v>
      </c>
      <c r="C178" s="232" t="s">
        <v>359</v>
      </c>
      <c r="D178" s="230" t="s">
        <v>264</v>
      </c>
      <c r="E178" s="230" t="s">
        <v>265</v>
      </c>
      <c r="F178" s="230" t="s">
        <v>265</v>
      </c>
      <c r="G178" s="230" t="s">
        <v>271</v>
      </c>
      <c r="H178" s="230" t="s">
        <v>281</v>
      </c>
      <c r="I178" s="230" t="s">
        <v>316</v>
      </c>
      <c r="J178" s="230"/>
      <c r="K178" s="230"/>
      <c r="L178" s="230"/>
      <c r="M178" s="230" t="s">
        <v>266</v>
      </c>
      <c r="N178" s="230" t="s">
        <v>280</v>
      </c>
      <c r="O178" s="230" t="s">
        <v>267</v>
      </c>
      <c r="P178" s="231" t="s">
        <v>360</v>
      </c>
      <c r="Q178" s="231"/>
      <c r="R178" s="233">
        <v>3000000</v>
      </c>
      <c r="S178" s="233">
        <v>0</v>
      </c>
      <c r="T178" s="233">
        <v>0</v>
      </c>
      <c r="U178" s="233">
        <v>3000000</v>
      </c>
      <c r="V178" s="233">
        <v>0</v>
      </c>
      <c r="W178" s="233">
        <v>2696971</v>
      </c>
      <c r="X178" s="233">
        <v>303029</v>
      </c>
      <c r="Y178" s="233">
        <v>2696971</v>
      </c>
      <c r="Z178" s="233">
        <v>2696971</v>
      </c>
      <c r="AA178" s="233">
        <v>2696971</v>
      </c>
      <c r="AB178" s="233">
        <v>2696971</v>
      </c>
    </row>
    <row r="179" spans="1:28" ht="15" customHeight="1" x14ac:dyDescent="0.25">
      <c r="A179" s="230" t="s">
        <v>393</v>
      </c>
      <c r="B179" s="231" t="s">
        <v>394</v>
      </c>
      <c r="C179" s="232" t="s">
        <v>361</v>
      </c>
      <c r="D179" s="230" t="s">
        <v>264</v>
      </c>
      <c r="E179" s="230" t="s">
        <v>265</v>
      </c>
      <c r="F179" s="230" t="s">
        <v>265</v>
      </c>
      <c r="G179" s="230" t="s">
        <v>271</v>
      </c>
      <c r="H179" s="230" t="s">
        <v>283</v>
      </c>
      <c r="I179" s="230"/>
      <c r="J179" s="230"/>
      <c r="K179" s="230"/>
      <c r="L179" s="230"/>
      <c r="M179" s="230" t="s">
        <v>266</v>
      </c>
      <c r="N179" s="230" t="s">
        <v>280</v>
      </c>
      <c r="O179" s="230" t="s">
        <v>267</v>
      </c>
      <c r="P179" s="231" t="s">
        <v>362</v>
      </c>
      <c r="Q179" s="231"/>
      <c r="R179" s="233">
        <v>25000000</v>
      </c>
      <c r="S179" s="233">
        <v>0</v>
      </c>
      <c r="T179" s="233">
        <v>0</v>
      </c>
      <c r="U179" s="233">
        <v>25000000</v>
      </c>
      <c r="V179" s="233">
        <v>0</v>
      </c>
      <c r="W179" s="233">
        <v>0</v>
      </c>
      <c r="X179" s="233">
        <v>25000000</v>
      </c>
      <c r="Y179" s="233">
        <v>0</v>
      </c>
      <c r="Z179" s="233">
        <v>0</v>
      </c>
      <c r="AA179" s="233">
        <v>0</v>
      </c>
      <c r="AB179" s="233">
        <v>0</v>
      </c>
    </row>
    <row r="180" spans="1:28" ht="15" customHeight="1" x14ac:dyDescent="0.25">
      <c r="A180" s="230" t="s">
        <v>393</v>
      </c>
      <c r="B180" s="231" t="s">
        <v>394</v>
      </c>
      <c r="C180" s="232" t="s">
        <v>395</v>
      </c>
      <c r="D180" s="230" t="s">
        <v>264</v>
      </c>
      <c r="E180" s="230" t="s">
        <v>269</v>
      </c>
      <c r="F180" s="230" t="s">
        <v>269</v>
      </c>
      <c r="G180" s="230" t="s">
        <v>265</v>
      </c>
      <c r="H180" s="230" t="s">
        <v>316</v>
      </c>
      <c r="I180" s="230" t="s">
        <v>316</v>
      </c>
      <c r="J180" s="230"/>
      <c r="K180" s="230"/>
      <c r="L180" s="230"/>
      <c r="M180" s="230" t="s">
        <v>266</v>
      </c>
      <c r="N180" s="230" t="s">
        <v>280</v>
      </c>
      <c r="O180" s="230" t="s">
        <v>267</v>
      </c>
      <c r="P180" s="231" t="s">
        <v>396</v>
      </c>
      <c r="Q180" s="231"/>
      <c r="R180" s="233">
        <v>0</v>
      </c>
      <c r="S180" s="233">
        <v>1157000</v>
      </c>
      <c r="T180" s="233">
        <v>257000</v>
      </c>
      <c r="U180" s="233">
        <v>900000</v>
      </c>
      <c r="V180" s="233">
        <v>0</v>
      </c>
      <c r="W180" s="233">
        <v>900000</v>
      </c>
      <c r="X180" s="233">
        <v>0</v>
      </c>
      <c r="Y180" s="233">
        <v>0</v>
      </c>
      <c r="Z180" s="233">
        <v>0</v>
      </c>
      <c r="AA180" s="233">
        <v>0</v>
      </c>
      <c r="AB180" s="233">
        <v>0</v>
      </c>
    </row>
    <row r="181" spans="1:28" ht="15" customHeight="1" x14ac:dyDescent="0.25">
      <c r="A181" s="230" t="s">
        <v>393</v>
      </c>
      <c r="B181" s="231" t="s">
        <v>394</v>
      </c>
      <c r="C181" s="232" t="s">
        <v>363</v>
      </c>
      <c r="D181" s="230" t="s">
        <v>264</v>
      </c>
      <c r="E181" s="230" t="s">
        <v>269</v>
      </c>
      <c r="F181" s="230" t="s">
        <v>269</v>
      </c>
      <c r="G181" s="230" t="s">
        <v>269</v>
      </c>
      <c r="H181" s="230" t="s">
        <v>325</v>
      </c>
      <c r="I181" s="230" t="s">
        <v>319</v>
      </c>
      <c r="J181" s="230"/>
      <c r="K181" s="230"/>
      <c r="L181" s="230"/>
      <c r="M181" s="230" t="s">
        <v>273</v>
      </c>
      <c r="N181" s="230" t="s">
        <v>34</v>
      </c>
      <c r="O181" s="230" t="s">
        <v>267</v>
      </c>
      <c r="P181" s="231" t="s">
        <v>364</v>
      </c>
      <c r="Q181" s="231"/>
      <c r="R181" s="233">
        <v>0</v>
      </c>
      <c r="S181" s="233">
        <v>630000</v>
      </c>
      <c r="T181" s="233">
        <v>120200</v>
      </c>
      <c r="U181" s="233">
        <v>509800</v>
      </c>
      <c r="V181" s="233">
        <v>0</v>
      </c>
      <c r="W181" s="233">
        <v>509800</v>
      </c>
      <c r="X181" s="233">
        <v>0</v>
      </c>
      <c r="Y181" s="233">
        <v>509800</v>
      </c>
      <c r="Z181" s="233">
        <v>509800</v>
      </c>
      <c r="AA181" s="233">
        <v>509800</v>
      </c>
      <c r="AB181" s="233">
        <v>509800</v>
      </c>
    </row>
    <row r="182" spans="1:28" ht="15" customHeight="1" x14ac:dyDescent="0.25">
      <c r="A182" s="230" t="s">
        <v>393</v>
      </c>
      <c r="B182" s="231" t="s">
        <v>394</v>
      </c>
      <c r="C182" s="232" t="s">
        <v>365</v>
      </c>
      <c r="D182" s="230" t="s">
        <v>264</v>
      </c>
      <c r="E182" s="230" t="s">
        <v>269</v>
      </c>
      <c r="F182" s="230" t="s">
        <v>269</v>
      </c>
      <c r="G182" s="230" t="s">
        <v>269</v>
      </c>
      <c r="H182" s="230" t="s">
        <v>325</v>
      </c>
      <c r="I182" s="230" t="s">
        <v>331</v>
      </c>
      <c r="J182" s="230"/>
      <c r="K182" s="230"/>
      <c r="L182" s="230"/>
      <c r="M182" s="230" t="s">
        <v>266</v>
      </c>
      <c r="N182" s="230" t="s">
        <v>280</v>
      </c>
      <c r="O182" s="230" t="s">
        <v>267</v>
      </c>
      <c r="P182" s="231" t="s">
        <v>366</v>
      </c>
      <c r="Q182" s="231"/>
      <c r="R182" s="233">
        <v>18360000</v>
      </c>
      <c r="S182" s="233">
        <v>7500000</v>
      </c>
      <c r="T182" s="233">
        <v>0</v>
      </c>
      <c r="U182" s="233">
        <v>25860000</v>
      </c>
      <c r="V182" s="233">
        <v>0</v>
      </c>
      <c r="W182" s="233">
        <v>25860000</v>
      </c>
      <c r="X182" s="233">
        <v>0</v>
      </c>
      <c r="Y182" s="233">
        <v>25859999.059999999</v>
      </c>
      <c r="Z182" s="233">
        <v>23378598</v>
      </c>
      <c r="AA182" s="233">
        <v>23378598</v>
      </c>
      <c r="AB182" s="233">
        <v>23378598</v>
      </c>
    </row>
    <row r="183" spans="1:28" ht="15" customHeight="1" x14ac:dyDescent="0.25">
      <c r="A183" s="230" t="s">
        <v>393</v>
      </c>
      <c r="B183" s="231" t="s">
        <v>394</v>
      </c>
      <c r="C183" s="232" t="s">
        <v>383</v>
      </c>
      <c r="D183" s="230" t="s">
        <v>264</v>
      </c>
      <c r="E183" s="230" t="s">
        <v>269</v>
      </c>
      <c r="F183" s="230" t="s">
        <v>269</v>
      </c>
      <c r="G183" s="230" t="s">
        <v>269</v>
      </c>
      <c r="H183" s="230" t="s">
        <v>328</v>
      </c>
      <c r="I183" s="230" t="s">
        <v>283</v>
      </c>
      <c r="J183" s="230"/>
      <c r="K183" s="230"/>
      <c r="L183" s="230"/>
      <c r="M183" s="230" t="s">
        <v>266</v>
      </c>
      <c r="N183" s="230" t="s">
        <v>280</v>
      </c>
      <c r="O183" s="230" t="s">
        <v>267</v>
      </c>
      <c r="P183" s="231" t="s">
        <v>384</v>
      </c>
      <c r="Q183" s="231"/>
      <c r="R183" s="233">
        <v>0</v>
      </c>
      <c r="S183" s="233">
        <v>33600000</v>
      </c>
      <c r="T183" s="233">
        <v>0</v>
      </c>
      <c r="U183" s="233">
        <v>33600000</v>
      </c>
      <c r="V183" s="233">
        <v>0</v>
      </c>
      <c r="W183" s="233">
        <v>33600000</v>
      </c>
      <c r="X183" s="233">
        <v>0</v>
      </c>
      <c r="Y183" s="233">
        <v>30800000</v>
      </c>
      <c r="Z183" s="233">
        <v>28000000</v>
      </c>
      <c r="AA183" s="233">
        <v>28000000</v>
      </c>
      <c r="AB183" s="233">
        <v>28000000</v>
      </c>
    </row>
    <row r="184" spans="1:28" ht="15" customHeight="1" x14ac:dyDescent="0.25">
      <c r="A184" s="230" t="s">
        <v>393</v>
      </c>
      <c r="B184" s="231" t="s">
        <v>394</v>
      </c>
      <c r="C184" s="232" t="s">
        <v>367</v>
      </c>
      <c r="D184" s="230" t="s">
        <v>264</v>
      </c>
      <c r="E184" s="230" t="s">
        <v>269</v>
      </c>
      <c r="F184" s="230" t="s">
        <v>269</v>
      </c>
      <c r="G184" s="230" t="s">
        <v>269</v>
      </c>
      <c r="H184" s="230" t="s">
        <v>351</v>
      </c>
      <c r="I184" s="230" t="s">
        <v>319</v>
      </c>
      <c r="J184" s="230"/>
      <c r="K184" s="230"/>
      <c r="L184" s="230"/>
      <c r="M184" s="230" t="s">
        <v>266</v>
      </c>
      <c r="N184" s="230" t="s">
        <v>280</v>
      </c>
      <c r="O184" s="230" t="s">
        <v>267</v>
      </c>
      <c r="P184" s="231" t="s">
        <v>368</v>
      </c>
      <c r="Q184" s="231"/>
      <c r="R184" s="233">
        <v>800000</v>
      </c>
      <c r="S184" s="233">
        <v>0</v>
      </c>
      <c r="T184" s="233">
        <v>0</v>
      </c>
      <c r="U184" s="233">
        <v>800000</v>
      </c>
      <c r="V184" s="233">
        <v>0</v>
      </c>
      <c r="W184" s="233">
        <v>800000</v>
      </c>
      <c r="X184" s="233">
        <v>0</v>
      </c>
      <c r="Y184" s="233">
        <v>800000</v>
      </c>
      <c r="Z184" s="233">
        <v>676820</v>
      </c>
      <c r="AA184" s="233">
        <v>676820</v>
      </c>
      <c r="AB184" s="233">
        <v>676820</v>
      </c>
    </row>
    <row r="185" spans="1:28" ht="15" customHeight="1" x14ac:dyDescent="0.25">
      <c r="A185" s="230" t="s">
        <v>393</v>
      </c>
      <c r="B185" s="231" t="s">
        <v>394</v>
      </c>
      <c r="C185" s="232" t="s">
        <v>369</v>
      </c>
      <c r="D185" s="230" t="s">
        <v>264</v>
      </c>
      <c r="E185" s="230" t="s">
        <v>269</v>
      </c>
      <c r="F185" s="230" t="s">
        <v>269</v>
      </c>
      <c r="G185" s="230" t="s">
        <v>269</v>
      </c>
      <c r="H185" s="230" t="s">
        <v>331</v>
      </c>
      <c r="I185" s="230" t="s">
        <v>319</v>
      </c>
      <c r="J185" s="230"/>
      <c r="K185" s="230"/>
      <c r="L185" s="230"/>
      <c r="M185" s="230" t="s">
        <v>266</v>
      </c>
      <c r="N185" s="230" t="s">
        <v>280</v>
      </c>
      <c r="O185" s="230" t="s">
        <v>267</v>
      </c>
      <c r="P185" s="231" t="s">
        <v>370</v>
      </c>
      <c r="Q185" s="231"/>
      <c r="R185" s="233">
        <v>900000</v>
      </c>
      <c r="S185" s="233">
        <v>1552000</v>
      </c>
      <c r="T185" s="233">
        <v>0</v>
      </c>
      <c r="U185" s="233">
        <v>2452000</v>
      </c>
      <c r="V185" s="233">
        <v>0</v>
      </c>
      <c r="W185" s="233">
        <v>2452000</v>
      </c>
      <c r="X185" s="233">
        <v>0</v>
      </c>
      <c r="Y185" s="233">
        <v>2452000</v>
      </c>
      <c r="Z185" s="233">
        <v>2062812</v>
      </c>
      <c r="AA185" s="233">
        <v>2062812</v>
      </c>
      <c r="AB185" s="233">
        <v>2062812</v>
      </c>
    </row>
    <row r="186" spans="1:28" ht="15" customHeight="1" x14ac:dyDescent="0.25">
      <c r="A186" s="230" t="s">
        <v>393</v>
      </c>
      <c r="B186" s="231" t="s">
        <v>394</v>
      </c>
      <c r="C186" s="232" t="s">
        <v>371</v>
      </c>
      <c r="D186" s="230" t="s">
        <v>264</v>
      </c>
      <c r="E186" s="230" t="s">
        <v>269</v>
      </c>
      <c r="F186" s="230" t="s">
        <v>269</v>
      </c>
      <c r="G186" s="230" t="s">
        <v>269</v>
      </c>
      <c r="H186" s="230" t="s">
        <v>334</v>
      </c>
      <c r="I186" s="230"/>
      <c r="J186" s="230"/>
      <c r="K186" s="230"/>
      <c r="L186" s="230"/>
      <c r="M186" s="230" t="s">
        <v>266</v>
      </c>
      <c r="N186" s="230" t="s">
        <v>280</v>
      </c>
      <c r="O186" s="230" t="s">
        <v>267</v>
      </c>
      <c r="P186" s="231" t="s">
        <v>372</v>
      </c>
      <c r="Q186" s="231"/>
      <c r="R186" s="233">
        <v>0</v>
      </c>
      <c r="S186" s="233">
        <v>1670214</v>
      </c>
      <c r="T186" s="233">
        <v>0</v>
      </c>
      <c r="U186" s="233">
        <v>1670214</v>
      </c>
      <c r="V186" s="233">
        <v>0</v>
      </c>
      <c r="W186" s="233">
        <v>1670214</v>
      </c>
      <c r="X186" s="233">
        <v>0</v>
      </c>
      <c r="Y186" s="233">
        <v>1670214</v>
      </c>
      <c r="Z186" s="233">
        <v>1670214</v>
      </c>
      <c r="AA186" s="233">
        <v>1670214</v>
      </c>
      <c r="AB186" s="233">
        <v>1670214</v>
      </c>
    </row>
    <row r="187" spans="1:28" ht="15" customHeight="1" x14ac:dyDescent="0.25">
      <c r="A187" s="230" t="s">
        <v>393</v>
      </c>
      <c r="B187" s="231" t="s">
        <v>394</v>
      </c>
      <c r="C187" s="232" t="s">
        <v>373</v>
      </c>
      <c r="D187" s="230" t="s">
        <v>264</v>
      </c>
      <c r="E187" s="230" t="s">
        <v>271</v>
      </c>
      <c r="F187" s="230" t="s">
        <v>277</v>
      </c>
      <c r="G187" s="230" t="s">
        <v>269</v>
      </c>
      <c r="H187" s="230" t="s">
        <v>278</v>
      </c>
      <c r="I187" s="230" t="s">
        <v>281</v>
      </c>
      <c r="J187" s="230"/>
      <c r="K187" s="230"/>
      <c r="L187" s="230"/>
      <c r="M187" s="230" t="s">
        <v>266</v>
      </c>
      <c r="N187" s="230" t="s">
        <v>280</v>
      </c>
      <c r="O187" s="230" t="s">
        <v>267</v>
      </c>
      <c r="P187" s="231" t="s">
        <v>374</v>
      </c>
      <c r="Q187" s="231"/>
      <c r="R187" s="233">
        <v>0</v>
      </c>
      <c r="S187" s="233">
        <v>6377804</v>
      </c>
      <c r="T187" s="233">
        <v>0</v>
      </c>
      <c r="U187" s="233">
        <v>6377804</v>
      </c>
      <c r="V187" s="233">
        <v>0</v>
      </c>
      <c r="W187" s="233">
        <v>6344048</v>
      </c>
      <c r="X187" s="233">
        <v>33756</v>
      </c>
      <c r="Y187" s="233">
        <v>5935865</v>
      </c>
      <c r="Z187" s="233">
        <v>3645835</v>
      </c>
      <c r="AA187" s="233">
        <v>3645835</v>
      </c>
      <c r="AB187" s="233">
        <v>3645835</v>
      </c>
    </row>
    <row r="188" spans="1:28" ht="15" customHeight="1" x14ac:dyDescent="0.25">
      <c r="A188" s="230" t="s">
        <v>393</v>
      </c>
      <c r="B188" s="231" t="s">
        <v>394</v>
      </c>
      <c r="C188" s="232" t="s">
        <v>375</v>
      </c>
      <c r="D188" s="230" t="s">
        <v>264</v>
      </c>
      <c r="E188" s="230" t="s">
        <v>285</v>
      </c>
      <c r="F188" s="230" t="s">
        <v>265</v>
      </c>
      <c r="G188" s="230" t="s">
        <v>269</v>
      </c>
      <c r="H188" s="230" t="s">
        <v>281</v>
      </c>
      <c r="I188" s="230"/>
      <c r="J188" s="230"/>
      <c r="K188" s="230"/>
      <c r="L188" s="230"/>
      <c r="M188" s="230" t="s">
        <v>266</v>
      </c>
      <c r="N188" s="230" t="s">
        <v>280</v>
      </c>
      <c r="O188" s="230" t="s">
        <v>267</v>
      </c>
      <c r="P188" s="231" t="s">
        <v>376</v>
      </c>
      <c r="Q188" s="231"/>
      <c r="R188" s="233">
        <v>0</v>
      </c>
      <c r="S188" s="233">
        <v>6787000</v>
      </c>
      <c r="T188" s="233">
        <v>0</v>
      </c>
      <c r="U188" s="233">
        <v>6787000</v>
      </c>
      <c r="V188" s="233">
        <v>0</v>
      </c>
      <c r="W188" s="233">
        <v>6787000</v>
      </c>
      <c r="X188" s="233">
        <v>0</v>
      </c>
      <c r="Y188" s="233">
        <v>6787000</v>
      </c>
      <c r="Z188" s="233">
        <v>6787000</v>
      </c>
      <c r="AA188" s="233">
        <v>6787000</v>
      </c>
      <c r="AB188" s="233">
        <v>6787000</v>
      </c>
    </row>
    <row r="189" spans="1:28" ht="15" customHeight="1" x14ac:dyDescent="0.25">
      <c r="A189" s="230" t="s">
        <v>397</v>
      </c>
      <c r="B189" s="231" t="s">
        <v>398</v>
      </c>
      <c r="C189" s="232" t="s">
        <v>313</v>
      </c>
      <c r="D189" s="230" t="s">
        <v>264</v>
      </c>
      <c r="E189" s="230" t="s">
        <v>265</v>
      </c>
      <c r="F189" s="230" t="s">
        <v>265</v>
      </c>
      <c r="G189" s="230" t="s">
        <v>265</v>
      </c>
      <c r="H189" s="230" t="s">
        <v>281</v>
      </c>
      <c r="I189" s="230" t="s">
        <v>281</v>
      </c>
      <c r="J189" s="230"/>
      <c r="K189" s="230"/>
      <c r="L189" s="230"/>
      <c r="M189" s="230" t="s">
        <v>266</v>
      </c>
      <c r="N189" s="230" t="s">
        <v>280</v>
      </c>
      <c r="O189" s="230" t="s">
        <v>267</v>
      </c>
      <c r="P189" s="231" t="s">
        <v>314</v>
      </c>
      <c r="Q189" s="231"/>
      <c r="R189" s="233">
        <v>530000000</v>
      </c>
      <c r="S189" s="233">
        <v>30000000</v>
      </c>
      <c r="T189" s="233">
        <v>0</v>
      </c>
      <c r="U189" s="233">
        <v>560000000</v>
      </c>
      <c r="V189" s="233">
        <v>0</v>
      </c>
      <c r="W189" s="233">
        <v>526058575</v>
      </c>
      <c r="X189" s="233">
        <v>33941425</v>
      </c>
      <c r="Y189" s="233">
        <v>526058575</v>
      </c>
      <c r="Z189" s="233">
        <v>526058575</v>
      </c>
      <c r="AA189" s="233">
        <v>526058575</v>
      </c>
      <c r="AB189" s="233">
        <v>526058575</v>
      </c>
    </row>
    <row r="190" spans="1:28" ht="15" customHeight="1" x14ac:dyDescent="0.25">
      <c r="A190" s="230" t="s">
        <v>397</v>
      </c>
      <c r="B190" s="231" t="s">
        <v>398</v>
      </c>
      <c r="C190" s="232" t="s">
        <v>315</v>
      </c>
      <c r="D190" s="230" t="s">
        <v>264</v>
      </c>
      <c r="E190" s="230" t="s">
        <v>265</v>
      </c>
      <c r="F190" s="230" t="s">
        <v>265</v>
      </c>
      <c r="G190" s="230" t="s">
        <v>265</v>
      </c>
      <c r="H190" s="230" t="s">
        <v>281</v>
      </c>
      <c r="I190" s="230" t="s">
        <v>316</v>
      </c>
      <c r="J190" s="230"/>
      <c r="K190" s="230"/>
      <c r="L190" s="230"/>
      <c r="M190" s="230" t="s">
        <v>266</v>
      </c>
      <c r="N190" s="230" t="s">
        <v>280</v>
      </c>
      <c r="O190" s="230" t="s">
        <v>267</v>
      </c>
      <c r="P190" s="231" t="s">
        <v>317</v>
      </c>
      <c r="Q190" s="231"/>
      <c r="R190" s="233">
        <v>0</v>
      </c>
      <c r="S190" s="233">
        <v>9071924</v>
      </c>
      <c r="T190" s="233">
        <v>0</v>
      </c>
      <c r="U190" s="233">
        <v>9071924</v>
      </c>
      <c r="V190" s="233">
        <v>0</v>
      </c>
      <c r="W190" s="233">
        <v>8366809</v>
      </c>
      <c r="X190" s="233">
        <v>705115</v>
      </c>
      <c r="Y190" s="233">
        <v>8366809</v>
      </c>
      <c r="Z190" s="233">
        <v>8366809</v>
      </c>
      <c r="AA190" s="233">
        <v>8366809</v>
      </c>
      <c r="AB190" s="233">
        <v>8366809</v>
      </c>
    </row>
    <row r="191" spans="1:28" ht="15" customHeight="1" x14ac:dyDescent="0.25">
      <c r="A191" s="230" t="s">
        <v>397</v>
      </c>
      <c r="B191" s="231" t="s">
        <v>398</v>
      </c>
      <c r="C191" s="232" t="s">
        <v>318</v>
      </c>
      <c r="D191" s="230" t="s">
        <v>264</v>
      </c>
      <c r="E191" s="230" t="s">
        <v>265</v>
      </c>
      <c r="F191" s="230" t="s">
        <v>265</v>
      </c>
      <c r="G191" s="230" t="s">
        <v>265</v>
      </c>
      <c r="H191" s="230" t="s">
        <v>281</v>
      </c>
      <c r="I191" s="230" t="s">
        <v>319</v>
      </c>
      <c r="J191" s="230"/>
      <c r="K191" s="230"/>
      <c r="L191" s="230"/>
      <c r="M191" s="230" t="s">
        <v>266</v>
      </c>
      <c r="N191" s="230" t="s">
        <v>280</v>
      </c>
      <c r="O191" s="230" t="s">
        <v>267</v>
      </c>
      <c r="P191" s="231" t="s">
        <v>320</v>
      </c>
      <c r="Q191" s="231"/>
      <c r="R191" s="233">
        <v>13000000</v>
      </c>
      <c r="S191" s="233">
        <v>0</v>
      </c>
      <c r="T191" s="233">
        <v>0</v>
      </c>
      <c r="U191" s="233">
        <v>13000000</v>
      </c>
      <c r="V191" s="233">
        <v>0</v>
      </c>
      <c r="W191" s="233">
        <v>10438116</v>
      </c>
      <c r="X191" s="233">
        <v>2561884</v>
      </c>
      <c r="Y191" s="233">
        <v>10438116</v>
      </c>
      <c r="Z191" s="233">
        <v>10438116</v>
      </c>
      <c r="AA191" s="233">
        <v>10438116</v>
      </c>
      <c r="AB191" s="233">
        <v>10438116</v>
      </c>
    </row>
    <row r="192" spans="1:28" ht="15" customHeight="1" x14ac:dyDescent="0.25">
      <c r="A192" s="230" t="s">
        <v>397</v>
      </c>
      <c r="B192" s="231" t="s">
        <v>398</v>
      </c>
      <c r="C192" s="232" t="s">
        <v>321</v>
      </c>
      <c r="D192" s="230" t="s">
        <v>264</v>
      </c>
      <c r="E192" s="230" t="s">
        <v>265</v>
      </c>
      <c r="F192" s="230" t="s">
        <v>265</v>
      </c>
      <c r="G192" s="230" t="s">
        <v>265</v>
      </c>
      <c r="H192" s="230" t="s">
        <v>281</v>
      </c>
      <c r="I192" s="230" t="s">
        <v>322</v>
      </c>
      <c r="J192" s="230"/>
      <c r="K192" s="230"/>
      <c r="L192" s="230"/>
      <c r="M192" s="230" t="s">
        <v>266</v>
      </c>
      <c r="N192" s="230" t="s">
        <v>280</v>
      </c>
      <c r="O192" s="230" t="s">
        <v>267</v>
      </c>
      <c r="P192" s="231" t="s">
        <v>323</v>
      </c>
      <c r="Q192" s="231"/>
      <c r="R192" s="233">
        <v>7605000</v>
      </c>
      <c r="S192" s="233">
        <v>3200000</v>
      </c>
      <c r="T192" s="233">
        <v>7605000</v>
      </c>
      <c r="U192" s="233">
        <v>3200000</v>
      </c>
      <c r="V192" s="233">
        <v>0</v>
      </c>
      <c r="W192" s="233">
        <v>2512315</v>
      </c>
      <c r="X192" s="233">
        <v>687685</v>
      </c>
      <c r="Y192" s="233">
        <v>2512315</v>
      </c>
      <c r="Z192" s="233">
        <v>2512315</v>
      </c>
      <c r="AA192" s="233">
        <v>2512315</v>
      </c>
      <c r="AB192" s="233">
        <v>2512315</v>
      </c>
    </row>
    <row r="193" spans="1:28" ht="15" customHeight="1" x14ac:dyDescent="0.25">
      <c r="A193" s="230" t="s">
        <v>397</v>
      </c>
      <c r="B193" s="231" t="s">
        <v>398</v>
      </c>
      <c r="C193" s="232" t="s">
        <v>324</v>
      </c>
      <c r="D193" s="230" t="s">
        <v>264</v>
      </c>
      <c r="E193" s="230" t="s">
        <v>265</v>
      </c>
      <c r="F193" s="230" t="s">
        <v>265</v>
      </c>
      <c r="G193" s="230" t="s">
        <v>265</v>
      </c>
      <c r="H193" s="230" t="s">
        <v>281</v>
      </c>
      <c r="I193" s="230" t="s">
        <v>325</v>
      </c>
      <c r="J193" s="230"/>
      <c r="K193" s="230"/>
      <c r="L193" s="230"/>
      <c r="M193" s="230" t="s">
        <v>266</v>
      </c>
      <c r="N193" s="230" t="s">
        <v>280</v>
      </c>
      <c r="O193" s="230" t="s">
        <v>267</v>
      </c>
      <c r="P193" s="231" t="s">
        <v>326</v>
      </c>
      <c r="Q193" s="231"/>
      <c r="R193" s="233">
        <v>52000000</v>
      </c>
      <c r="S193" s="233">
        <v>5819442</v>
      </c>
      <c r="T193" s="233">
        <v>0</v>
      </c>
      <c r="U193" s="233">
        <v>57819442</v>
      </c>
      <c r="V193" s="233">
        <v>0</v>
      </c>
      <c r="W193" s="233">
        <v>57819442</v>
      </c>
      <c r="X193" s="233">
        <v>0</v>
      </c>
      <c r="Y193" s="233">
        <v>57819442</v>
      </c>
      <c r="Z193" s="233">
        <v>57819442</v>
      </c>
      <c r="AA193" s="233">
        <v>57819442</v>
      </c>
      <c r="AB193" s="233">
        <v>57819442</v>
      </c>
    </row>
    <row r="194" spans="1:28" ht="15" customHeight="1" x14ac:dyDescent="0.25">
      <c r="A194" s="230" t="s">
        <v>397</v>
      </c>
      <c r="B194" s="231" t="s">
        <v>398</v>
      </c>
      <c r="C194" s="232" t="s">
        <v>327</v>
      </c>
      <c r="D194" s="230" t="s">
        <v>264</v>
      </c>
      <c r="E194" s="230" t="s">
        <v>265</v>
      </c>
      <c r="F194" s="230" t="s">
        <v>265</v>
      </c>
      <c r="G194" s="230" t="s">
        <v>265</v>
      </c>
      <c r="H194" s="230" t="s">
        <v>281</v>
      </c>
      <c r="I194" s="230" t="s">
        <v>328</v>
      </c>
      <c r="J194" s="230"/>
      <c r="K194" s="230"/>
      <c r="L194" s="230"/>
      <c r="M194" s="230" t="s">
        <v>266</v>
      </c>
      <c r="N194" s="230" t="s">
        <v>280</v>
      </c>
      <c r="O194" s="230" t="s">
        <v>267</v>
      </c>
      <c r="P194" s="231" t="s">
        <v>329</v>
      </c>
      <c r="Q194" s="231"/>
      <c r="R194" s="233">
        <v>21000000</v>
      </c>
      <c r="S194" s="233">
        <v>5000000</v>
      </c>
      <c r="T194" s="233">
        <v>0</v>
      </c>
      <c r="U194" s="233">
        <v>26000000</v>
      </c>
      <c r="V194" s="233">
        <v>0</v>
      </c>
      <c r="W194" s="233">
        <v>23248081</v>
      </c>
      <c r="X194" s="233">
        <v>2751919</v>
      </c>
      <c r="Y194" s="233">
        <v>23248081</v>
      </c>
      <c r="Z194" s="233">
        <v>23248081</v>
      </c>
      <c r="AA194" s="233">
        <v>23248081</v>
      </c>
      <c r="AB194" s="233">
        <v>23248081</v>
      </c>
    </row>
    <row r="195" spans="1:28" ht="15" customHeight="1" x14ac:dyDescent="0.25">
      <c r="A195" s="230" t="s">
        <v>397</v>
      </c>
      <c r="B195" s="231" t="s">
        <v>398</v>
      </c>
      <c r="C195" s="232" t="s">
        <v>330</v>
      </c>
      <c r="D195" s="230" t="s">
        <v>264</v>
      </c>
      <c r="E195" s="230" t="s">
        <v>265</v>
      </c>
      <c r="F195" s="230" t="s">
        <v>265</v>
      </c>
      <c r="G195" s="230" t="s">
        <v>265</v>
      </c>
      <c r="H195" s="230" t="s">
        <v>281</v>
      </c>
      <c r="I195" s="230" t="s">
        <v>331</v>
      </c>
      <c r="J195" s="230"/>
      <c r="K195" s="230"/>
      <c r="L195" s="230"/>
      <c r="M195" s="230" t="s">
        <v>266</v>
      </c>
      <c r="N195" s="230" t="s">
        <v>280</v>
      </c>
      <c r="O195" s="230" t="s">
        <v>267</v>
      </c>
      <c r="P195" s="231" t="s">
        <v>332</v>
      </c>
      <c r="Q195" s="231"/>
      <c r="R195" s="233">
        <v>68000000</v>
      </c>
      <c r="S195" s="233">
        <v>6077809</v>
      </c>
      <c r="T195" s="233">
        <v>0</v>
      </c>
      <c r="U195" s="233">
        <v>74077809</v>
      </c>
      <c r="V195" s="233">
        <v>0</v>
      </c>
      <c r="W195" s="233">
        <v>74077809</v>
      </c>
      <c r="X195" s="233">
        <v>0</v>
      </c>
      <c r="Y195" s="233">
        <v>74077809</v>
      </c>
      <c r="Z195" s="233">
        <v>74077809</v>
      </c>
      <c r="AA195" s="233">
        <v>74077809</v>
      </c>
      <c r="AB195" s="233">
        <v>74077809</v>
      </c>
    </row>
    <row r="196" spans="1:28" ht="15" customHeight="1" x14ac:dyDescent="0.25">
      <c r="A196" s="230" t="s">
        <v>397</v>
      </c>
      <c r="B196" s="231" t="s">
        <v>398</v>
      </c>
      <c r="C196" s="232" t="s">
        <v>333</v>
      </c>
      <c r="D196" s="230" t="s">
        <v>264</v>
      </c>
      <c r="E196" s="230" t="s">
        <v>265</v>
      </c>
      <c r="F196" s="230" t="s">
        <v>265</v>
      </c>
      <c r="G196" s="230" t="s">
        <v>265</v>
      </c>
      <c r="H196" s="230" t="s">
        <v>281</v>
      </c>
      <c r="I196" s="230" t="s">
        <v>334</v>
      </c>
      <c r="J196" s="230"/>
      <c r="K196" s="230"/>
      <c r="L196" s="230"/>
      <c r="M196" s="230" t="s">
        <v>266</v>
      </c>
      <c r="N196" s="230" t="s">
        <v>280</v>
      </c>
      <c r="O196" s="230" t="s">
        <v>267</v>
      </c>
      <c r="P196" s="231" t="s">
        <v>335</v>
      </c>
      <c r="Q196" s="231"/>
      <c r="R196" s="233">
        <v>31000000</v>
      </c>
      <c r="S196" s="233">
        <v>2500000</v>
      </c>
      <c r="T196" s="233">
        <v>0</v>
      </c>
      <c r="U196" s="233">
        <v>33500000</v>
      </c>
      <c r="V196" s="233">
        <v>0</v>
      </c>
      <c r="W196" s="233">
        <v>25923274</v>
      </c>
      <c r="X196" s="233">
        <v>7576726</v>
      </c>
      <c r="Y196" s="233">
        <v>25923274</v>
      </c>
      <c r="Z196" s="233">
        <v>25923274</v>
      </c>
      <c r="AA196" s="233">
        <v>25923274</v>
      </c>
      <c r="AB196" s="233">
        <v>25923274</v>
      </c>
    </row>
    <row r="197" spans="1:28" ht="15" customHeight="1" x14ac:dyDescent="0.25">
      <c r="A197" s="230" t="s">
        <v>397</v>
      </c>
      <c r="B197" s="231" t="s">
        <v>398</v>
      </c>
      <c r="C197" s="232" t="s">
        <v>336</v>
      </c>
      <c r="D197" s="230" t="s">
        <v>264</v>
      </c>
      <c r="E197" s="230" t="s">
        <v>265</v>
      </c>
      <c r="F197" s="230" t="s">
        <v>265</v>
      </c>
      <c r="G197" s="230" t="s">
        <v>265</v>
      </c>
      <c r="H197" s="230" t="s">
        <v>281</v>
      </c>
      <c r="I197" s="230" t="s">
        <v>278</v>
      </c>
      <c r="J197" s="230"/>
      <c r="K197" s="230"/>
      <c r="L197" s="230"/>
      <c r="M197" s="230" t="s">
        <v>266</v>
      </c>
      <c r="N197" s="230" t="s">
        <v>280</v>
      </c>
      <c r="O197" s="230" t="s">
        <v>267</v>
      </c>
      <c r="P197" s="231" t="s">
        <v>337</v>
      </c>
      <c r="Q197" s="231"/>
      <c r="R197" s="233">
        <v>8000000</v>
      </c>
      <c r="S197" s="233">
        <v>3850000</v>
      </c>
      <c r="T197" s="233">
        <v>154256</v>
      </c>
      <c r="U197" s="233">
        <v>11695744</v>
      </c>
      <c r="V197" s="233">
        <v>0</v>
      </c>
      <c r="W197" s="233">
        <v>11695744</v>
      </c>
      <c r="X197" s="233">
        <v>0</v>
      </c>
      <c r="Y197" s="233">
        <v>11695744</v>
      </c>
      <c r="Z197" s="233">
        <v>11695744</v>
      </c>
      <c r="AA197" s="233">
        <v>11695744</v>
      </c>
      <c r="AB197" s="233">
        <v>11695744</v>
      </c>
    </row>
    <row r="198" spans="1:28" ht="15" customHeight="1" x14ac:dyDescent="0.25">
      <c r="A198" s="230" t="s">
        <v>397</v>
      </c>
      <c r="B198" s="231" t="s">
        <v>398</v>
      </c>
      <c r="C198" s="232" t="s">
        <v>338</v>
      </c>
      <c r="D198" s="230" t="s">
        <v>264</v>
      </c>
      <c r="E198" s="230" t="s">
        <v>265</v>
      </c>
      <c r="F198" s="230" t="s">
        <v>265</v>
      </c>
      <c r="G198" s="230" t="s">
        <v>269</v>
      </c>
      <c r="H198" s="230" t="s">
        <v>281</v>
      </c>
      <c r="I198" s="230"/>
      <c r="J198" s="230"/>
      <c r="K198" s="230"/>
      <c r="L198" s="230"/>
      <c r="M198" s="230" t="s">
        <v>266</v>
      </c>
      <c r="N198" s="230" t="s">
        <v>280</v>
      </c>
      <c r="O198" s="230" t="s">
        <v>267</v>
      </c>
      <c r="P198" s="231" t="s">
        <v>339</v>
      </c>
      <c r="Q198" s="231"/>
      <c r="R198" s="233">
        <v>73000000</v>
      </c>
      <c r="S198" s="233">
        <v>1200000</v>
      </c>
      <c r="T198" s="233">
        <v>0</v>
      </c>
      <c r="U198" s="233">
        <v>74200000</v>
      </c>
      <c r="V198" s="233">
        <v>0</v>
      </c>
      <c r="W198" s="233">
        <v>70315049</v>
      </c>
      <c r="X198" s="233">
        <v>3884951</v>
      </c>
      <c r="Y198" s="233">
        <v>70315049</v>
      </c>
      <c r="Z198" s="233">
        <v>70315049</v>
      </c>
      <c r="AA198" s="233">
        <v>70315049</v>
      </c>
      <c r="AB198" s="233">
        <v>70315049</v>
      </c>
    </row>
    <row r="199" spans="1:28" ht="15" customHeight="1" x14ac:dyDescent="0.25">
      <c r="A199" s="230" t="s">
        <v>397</v>
      </c>
      <c r="B199" s="231" t="s">
        <v>398</v>
      </c>
      <c r="C199" s="232" t="s">
        <v>340</v>
      </c>
      <c r="D199" s="230" t="s">
        <v>264</v>
      </c>
      <c r="E199" s="230" t="s">
        <v>265</v>
      </c>
      <c r="F199" s="230" t="s">
        <v>265</v>
      </c>
      <c r="G199" s="230" t="s">
        <v>269</v>
      </c>
      <c r="H199" s="230" t="s">
        <v>283</v>
      </c>
      <c r="I199" s="230"/>
      <c r="J199" s="230"/>
      <c r="K199" s="230"/>
      <c r="L199" s="230"/>
      <c r="M199" s="230" t="s">
        <v>266</v>
      </c>
      <c r="N199" s="230" t="s">
        <v>280</v>
      </c>
      <c r="O199" s="230" t="s">
        <v>267</v>
      </c>
      <c r="P199" s="231" t="s">
        <v>341</v>
      </c>
      <c r="Q199" s="231"/>
      <c r="R199" s="233">
        <v>52000000</v>
      </c>
      <c r="S199" s="233">
        <v>2000000</v>
      </c>
      <c r="T199" s="233">
        <v>0</v>
      </c>
      <c r="U199" s="233">
        <v>54000000</v>
      </c>
      <c r="V199" s="233">
        <v>0</v>
      </c>
      <c r="W199" s="233">
        <v>49943608</v>
      </c>
      <c r="X199" s="233">
        <v>4056392</v>
      </c>
      <c r="Y199" s="233">
        <v>49923608</v>
      </c>
      <c r="Z199" s="233">
        <v>49923608</v>
      </c>
      <c r="AA199" s="233">
        <v>49923608</v>
      </c>
      <c r="AB199" s="233">
        <v>49923608</v>
      </c>
    </row>
    <row r="200" spans="1:28" ht="15" customHeight="1" x14ac:dyDescent="0.25">
      <c r="A200" s="230" t="s">
        <v>397</v>
      </c>
      <c r="B200" s="231" t="s">
        <v>398</v>
      </c>
      <c r="C200" s="232" t="s">
        <v>342</v>
      </c>
      <c r="D200" s="230" t="s">
        <v>264</v>
      </c>
      <c r="E200" s="230" t="s">
        <v>265</v>
      </c>
      <c r="F200" s="230" t="s">
        <v>265</v>
      </c>
      <c r="G200" s="230" t="s">
        <v>269</v>
      </c>
      <c r="H200" s="230" t="s">
        <v>319</v>
      </c>
      <c r="I200" s="230"/>
      <c r="J200" s="230"/>
      <c r="K200" s="230"/>
      <c r="L200" s="230"/>
      <c r="M200" s="230" t="s">
        <v>266</v>
      </c>
      <c r="N200" s="230" t="s">
        <v>280</v>
      </c>
      <c r="O200" s="230" t="s">
        <v>267</v>
      </c>
      <c r="P200" s="231" t="s">
        <v>343</v>
      </c>
      <c r="Q200" s="231"/>
      <c r="R200" s="233">
        <v>28000000</v>
      </c>
      <c r="S200" s="233">
        <v>3000000</v>
      </c>
      <c r="T200" s="233">
        <v>0</v>
      </c>
      <c r="U200" s="233">
        <v>31000000</v>
      </c>
      <c r="V200" s="233">
        <v>0</v>
      </c>
      <c r="W200" s="233">
        <v>28392900</v>
      </c>
      <c r="X200" s="233">
        <v>2607100</v>
      </c>
      <c r="Y200" s="233">
        <v>28392900</v>
      </c>
      <c r="Z200" s="233">
        <v>28392900</v>
      </c>
      <c r="AA200" s="233">
        <v>28392900</v>
      </c>
      <c r="AB200" s="233">
        <v>28392900</v>
      </c>
    </row>
    <row r="201" spans="1:28" ht="15" customHeight="1" x14ac:dyDescent="0.25">
      <c r="A201" s="230" t="s">
        <v>397</v>
      </c>
      <c r="B201" s="231" t="s">
        <v>398</v>
      </c>
      <c r="C201" s="232" t="s">
        <v>344</v>
      </c>
      <c r="D201" s="230" t="s">
        <v>264</v>
      </c>
      <c r="E201" s="230" t="s">
        <v>265</v>
      </c>
      <c r="F201" s="230" t="s">
        <v>265</v>
      </c>
      <c r="G201" s="230" t="s">
        <v>269</v>
      </c>
      <c r="H201" s="230" t="s">
        <v>322</v>
      </c>
      <c r="I201" s="230"/>
      <c r="J201" s="230"/>
      <c r="K201" s="230"/>
      <c r="L201" s="230"/>
      <c r="M201" s="230" t="s">
        <v>266</v>
      </c>
      <c r="N201" s="230" t="s">
        <v>280</v>
      </c>
      <c r="O201" s="230" t="s">
        <v>267</v>
      </c>
      <c r="P201" s="231" t="s">
        <v>345</v>
      </c>
      <c r="Q201" s="231"/>
      <c r="R201" s="233">
        <v>8000000</v>
      </c>
      <c r="S201" s="233">
        <v>2000000</v>
      </c>
      <c r="T201" s="233">
        <v>0</v>
      </c>
      <c r="U201" s="233">
        <v>10000000</v>
      </c>
      <c r="V201" s="233">
        <v>0</v>
      </c>
      <c r="W201" s="233">
        <v>9723300</v>
      </c>
      <c r="X201" s="233">
        <v>276700</v>
      </c>
      <c r="Y201" s="233">
        <v>9723300</v>
      </c>
      <c r="Z201" s="233">
        <v>9723300</v>
      </c>
      <c r="AA201" s="233">
        <v>9723300</v>
      </c>
      <c r="AB201" s="233">
        <v>9723300</v>
      </c>
    </row>
    <row r="202" spans="1:28" ht="15" customHeight="1" x14ac:dyDescent="0.25">
      <c r="A202" s="230" t="s">
        <v>397</v>
      </c>
      <c r="B202" s="231" t="s">
        <v>398</v>
      </c>
      <c r="C202" s="232" t="s">
        <v>346</v>
      </c>
      <c r="D202" s="230" t="s">
        <v>264</v>
      </c>
      <c r="E202" s="230" t="s">
        <v>265</v>
      </c>
      <c r="F202" s="230" t="s">
        <v>265</v>
      </c>
      <c r="G202" s="230" t="s">
        <v>269</v>
      </c>
      <c r="H202" s="230" t="s">
        <v>325</v>
      </c>
      <c r="I202" s="230"/>
      <c r="J202" s="230"/>
      <c r="K202" s="230"/>
      <c r="L202" s="230"/>
      <c r="M202" s="230" t="s">
        <v>266</v>
      </c>
      <c r="N202" s="230" t="s">
        <v>280</v>
      </c>
      <c r="O202" s="230" t="s">
        <v>267</v>
      </c>
      <c r="P202" s="231" t="s">
        <v>347</v>
      </c>
      <c r="Q202" s="231"/>
      <c r="R202" s="233">
        <v>21000000</v>
      </c>
      <c r="S202" s="233">
        <v>2000000</v>
      </c>
      <c r="T202" s="233">
        <v>0</v>
      </c>
      <c r="U202" s="233">
        <v>23000000</v>
      </c>
      <c r="V202" s="233">
        <v>0</v>
      </c>
      <c r="W202" s="233">
        <v>21298400</v>
      </c>
      <c r="X202" s="233">
        <v>1701600</v>
      </c>
      <c r="Y202" s="233">
        <v>21298400</v>
      </c>
      <c r="Z202" s="233">
        <v>21298400</v>
      </c>
      <c r="AA202" s="233">
        <v>21298400</v>
      </c>
      <c r="AB202" s="233">
        <v>21298400</v>
      </c>
    </row>
    <row r="203" spans="1:28" ht="15" customHeight="1" x14ac:dyDescent="0.25">
      <c r="A203" s="230" t="s">
        <v>397</v>
      </c>
      <c r="B203" s="231" t="s">
        <v>398</v>
      </c>
      <c r="C203" s="232" t="s">
        <v>348</v>
      </c>
      <c r="D203" s="230" t="s">
        <v>264</v>
      </c>
      <c r="E203" s="230" t="s">
        <v>265</v>
      </c>
      <c r="F203" s="230" t="s">
        <v>265</v>
      </c>
      <c r="G203" s="230" t="s">
        <v>269</v>
      </c>
      <c r="H203" s="230" t="s">
        <v>328</v>
      </c>
      <c r="I203" s="230"/>
      <c r="J203" s="230"/>
      <c r="K203" s="230"/>
      <c r="L203" s="230"/>
      <c r="M203" s="230" t="s">
        <v>266</v>
      </c>
      <c r="N203" s="230" t="s">
        <v>280</v>
      </c>
      <c r="O203" s="230" t="s">
        <v>267</v>
      </c>
      <c r="P203" s="231" t="s">
        <v>349</v>
      </c>
      <c r="Q203" s="231"/>
      <c r="R203" s="233">
        <v>3000000</v>
      </c>
      <c r="S203" s="233">
        <v>11500000</v>
      </c>
      <c r="T203" s="233">
        <v>0</v>
      </c>
      <c r="U203" s="233">
        <v>14500000</v>
      </c>
      <c r="V203" s="233">
        <v>0</v>
      </c>
      <c r="W203" s="233">
        <v>13996150</v>
      </c>
      <c r="X203" s="233">
        <v>503850</v>
      </c>
      <c r="Y203" s="233">
        <v>13996150</v>
      </c>
      <c r="Z203" s="233">
        <v>13996150</v>
      </c>
      <c r="AA203" s="233">
        <v>13996150</v>
      </c>
      <c r="AB203" s="233">
        <v>13996150</v>
      </c>
    </row>
    <row r="204" spans="1:28" ht="15" customHeight="1" x14ac:dyDescent="0.25">
      <c r="A204" s="230" t="s">
        <v>397</v>
      </c>
      <c r="B204" s="231" t="s">
        <v>398</v>
      </c>
      <c r="C204" s="232" t="s">
        <v>350</v>
      </c>
      <c r="D204" s="230" t="s">
        <v>264</v>
      </c>
      <c r="E204" s="230" t="s">
        <v>265</v>
      </c>
      <c r="F204" s="230" t="s">
        <v>265</v>
      </c>
      <c r="G204" s="230" t="s">
        <v>269</v>
      </c>
      <c r="H204" s="230" t="s">
        <v>351</v>
      </c>
      <c r="I204" s="230"/>
      <c r="J204" s="230"/>
      <c r="K204" s="230"/>
      <c r="L204" s="230"/>
      <c r="M204" s="230" t="s">
        <v>266</v>
      </c>
      <c r="N204" s="230" t="s">
        <v>280</v>
      </c>
      <c r="O204" s="230" t="s">
        <v>267</v>
      </c>
      <c r="P204" s="231" t="s">
        <v>352</v>
      </c>
      <c r="Q204" s="231"/>
      <c r="R204" s="233">
        <v>3000000</v>
      </c>
      <c r="S204" s="233">
        <v>0</v>
      </c>
      <c r="T204" s="233">
        <v>3000000</v>
      </c>
      <c r="U204" s="233">
        <v>0</v>
      </c>
      <c r="V204" s="233">
        <v>0</v>
      </c>
      <c r="W204" s="233">
        <v>0</v>
      </c>
      <c r="X204" s="233">
        <v>0</v>
      </c>
      <c r="Y204" s="233">
        <v>0</v>
      </c>
      <c r="Z204" s="233">
        <v>0</v>
      </c>
      <c r="AA204" s="233">
        <v>0</v>
      </c>
      <c r="AB204" s="233">
        <v>0</v>
      </c>
    </row>
    <row r="205" spans="1:28" ht="15" customHeight="1" x14ac:dyDescent="0.25">
      <c r="A205" s="230" t="s">
        <v>397</v>
      </c>
      <c r="B205" s="231" t="s">
        <v>398</v>
      </c>
      <c r="C205" s="232" t="s">
        <v>353</v>
      </c>
      <c r="D205" s="230" t="s">
        <v>264</v>
      </c>
      <c r="E205" s="230" t="s">
        <v>265</v>
      </c>
      <c r="F205" s="230" t="s">
        <v>265</v>
      </c>
      <c r="G205" s="230" t="s">
        <v>269</v>
      </c>
      <c r="H205" s="230" t="s">
        <v>331</v>
      </c>
      <c r="I205" s="230"/>
      <c r="J205" s="230"/>
      <c r="K205" s="230"/>
      <c r="L205" s="230"/>
      <c r="M205" s="230" t="s">
        <v>266</v>
      </c>
      <c r="N205" s="230" t="s">
        <v>280</v>
      </c>
      <c r="O205" s="230" t="s">
        <v>267</v>
      </c>
      <c r="P205" s="231" t="s">
        <v>354</v>
      </c>
      <c r="Q205" s="231"/>
      <c r="R205" s="233">
        <v>6000000</v>
      </c>
      <c r="S205" s="233">
        <v>0</v>
      </c>
      <c r="T205" s="233">
        <v>6000000</v>
      </c>
      <c r="U205" s="233">
        <v>0</v>
      </c>
      <c r="V205" s="233">
        <v>0</v>
      </c>
      <c r="W205" s="233">
        <v>0</v>
      </c>
      <c r="X205" s="233">
        <v>0</v>
      </c>
      <c r="Y205" s="233">
        <v>0</v>
      </c>
      <c r="Z205" s="233">
        <v>0</v>
      </c>
      <c r="AA205" s="233">
        <v>0</v>
      </c>
      <c r="AB205" s="233">
        <v>0</v>
      </c>
    </row>
    <row r="206" spans="1:28" ht="15" customHeight="1" x14ac:dyDescent="0.25">
      <c r="A206" s="230" t="s">
        <v>397</v>
      </c>
      <c r="B206" s="231" t="s">
        <v>398</v>
      </c>
      <c r="C206" s="232" t="s">
        <v>355</v>
      </c>
      <c r="D206" s="230" t="s">
        <v>264</v>
      </c>
      <c r="E206" s="230" t="s">
        <v>265</v>
      </c>
      <c r="F206" s="230" t="s">
        <v>265</v>
      </c>
      <c r="G206" s="230" t="s">
        <v>271</v>
      </c>
      <c r="H206" s="230" t="s">
        <v>281</v>
      </c>
      <c r="I206" s="230" t="s">
        <v>281</v>
      </c>
      <c r="J206" s="230"/>
      <c r="K206" s="230"/>
      <c r="L206" s="230"/>
      <c r="M206" s="230" t="s">
        <v>266</v>
      </c>
      <c r="N206" s="230" t="s">
        <v>280</v>
      </c>
      <c r="O206" s="230" t="s">
        <v>267</v>
      </c>
      <c r="P206" s="231" t="s">
        <v>356</v>
      </c>
      <c r="Q206" s="231"/>
      <c r="R206" s="233">
        <v>34000000</v>
      </c>
      <c r="S206" s="233">
        <v>0</v>
      </c>
      <c r="T206" s="233">
        <v>0</v>
      </c>
      <c r="U206" s="233">
        <v>34000000</v>
      </c>
      <c r="V206" s="233">
        <v>0</v>
      </c>
      <c r="W206" s="233">
        <v>14632101</v>
      </c>
      <c r="X206" s="233">
        <v>19367899</v>
      </c>
      <c r="Y206" s="233">
        <v>14632101</v>
      </c>
      <c r="Z206" s="233">
        <v>14632101</v>
      </c>
      <c r="AA206" s="233">
        <v>14632101</v>
      </c>
      <c r="AB206" s="233">
        <v>14632101</v>
      </c>
    </row>
    <row r="207" spans="1:28" ht="15" customHeight="1" x14ac:dyDescent="0.25">
      <c r="A207" s="230" t="s">
        <v>397</v>
      </c>
      <c r="B207" s="231" t="s">
        <v>398</v>
      </c>
      <c r="C207" s="232" t="s">
        <v>357</v>
      </c>
      <c r="D207" s="230" t="s">
        <v>264</v>
      </c>
      <c r="E207" s="230" t="s">
        <v>265</v>
      </c>
      <c r="F207" s="230" t="s">
        <v>265</v>
      </c>
      <c r="G207" s="230" t="s">
        <v>271</v>
      </c>
      <c r="H207" s="230" t="s">
        <v>281</v>
      </c>
      <c r="I207" s="230" t="s">
        <v>283</v>
      </c>
      <c r="J207" s="230"/>
      <c r="K207" s="230"/>
      <c r="L207" s="230"/>
      <c r="M207" s="230" t="s">
        <v>266</v>
      </c>
      <c r="N207" s="230" t="s">
        <v>280</v>
      </c>
      <c r="O207" s="230" t="s">
        <v>267</v>
      </c>
      <c r="P207" s="231" t="s">
        <v>358</v>
      </c>
      <c r="Q207" s="231"/>
      <c r="R207" s="233">
        <v>200000</v>
      </c>
      <c r="S207" s="233">
        <v>14097991</v>
      </c>
      <c r="T207" s="233">
        <v>0</v>
      </c>
      <c r="U207" s="233">
        <v>14297991</v>
      </c>
      <c r="V207" s="233">
        <v>0</v>
      </c>
      <c r="W207" s="233">
        <v>14180861</v>
      </c>
      <c r="X207" s="233">
        <v>117130</v>
      </c>
      <c r="Y207" s="233">
        <v>14180861</v>
      </c>
      <c r="Z207" s="233">
        <v>14180861</v>
      </c>
      <c r="AA207" s="233">
        <v>14180861</v>
      </c>
      <c r="AB207" s="233">
        <v>14180861</v>
      </c>
    </row>
    <row r="208" spans="1:28" ht="15" customHeight="1" x14ac:dyDescent="0.25">
      <c r="A208" s="230" t="s">
        <v>397</v>
      </c>
      <c r="B208" s="231" t="s">
        <v>398</v>
      </c>
      <c r="C208" s="232" t="s">
        <v>359</v>
      </c>
      <c r="D208" s="230" t="s">
        <v>264</v>
      </c>
      <c r="E208" s="230" t="s">
        <v>265</v>
      </c>
      <c r="F208" s="230" t="s">
        <v>265</v>
      </c>
      <c r="G208" s="230" t="s">
        <v>271</v>
      </c>
      <c r="H208" s="230" t="s">
        <v>281</v>
      </c>
      <c r="I208" s="230" t="s">
        <v>316</v>
      </c>
      <c r="J208" s="230"/>
      <c r="K208" s="230"/>
      <c r="L208" s="230"/>
      <c r="M208" s="230" t="s">
        <v>266</v>
      </c>
      <c r="N208" s="230" t="s">
        <v>280</v>
      </c>
      <c r="O208" s="230" t="s">
        <v>267</v>
      </c>
      <c r="P208" s="231" t="s">
        <v>360</v>
      </c>
      <c r="Q208" s="231"/>
      <c r="R208" s="233">
        <v>3000000</v>
      </c>
      <c r="S208" s="233">
        <v>0</v>
      </c>
      <c r="T208" s="233">
        <v>0</v>
      </c>
      <c r="U208" s="233">
        <v>3000000</v>
      </c>
      <c r="V208" s="233">
        <v>0</v>
      </c>
      <c r="W208" s="233">
        <v>2209475</v>
      </c>
      <c r="X208" s="233">
        <v>790525</v>
      </c>
      <c r="Y208" s="233">
        <v>2209475</v>
      </c>
      <c r="Z208" s="233">
        <v>2209475</v>
      </c>
      <c r="AA208" s="233">
        <v>2209475</v>
      </c>
      <c r="AB208" s="233">
        <v>2209475</v>
      </c>
    </row>
    <row r="209" spans="1:28" ht="15" customHeight="1" x14ac:dyDescent="0.25">
      <c r="A209" s="230" t="s">
        <v>397</v>
      </c>
      <c r="B209" s="231" t="s">
        <v>398</v>
      </c>
      <c r="C209" s="232" t="s">
        <v>361</v>
      </c>
      <c r="D209" s="230" t="s">
        <v>264</v>
      </c>
      <c r="E209" s="230" t="s">
        <v>265</v>
      </c>
      <c r="F209" s="230" t="s">
        <v>265</v>
      </c>
      <c r="G209" s="230" t="s">
        <v>271</v>
      </c>
      <c r="H209" s="230" t="s">
        <v>283</v>
      </c>
      <c r="I209" s="230"/>
      <c r="J209" s="230"/>
      <c r="K209" s="230"/>
      <c r="L209" s="230"/>
      <c r="M209" s="230" t="s">
        <v>266</v>
      </c>
      <c r="N209" s="230" t="s">
        <v>280</v>
      </c>
      <c r="O209" s="230" t="s">
        <v>267</v>
      </c>
      <c r="P209" s="231" t="s">
        <v>362</v>
      </c>
      <c r="Q209" s="231"/>
      <c r="R209" s="233">
        <v>15000000</v>
      </c>
      <c r="S209" s="233">
        <v>10000000</v>
      </c>
      <c r="T209" s="233">
        <v>0</v>
      </c>
      <c r="U209" s="233">
        <v>25000000</v>
      </c>
      <c r="V209" s="233">
        <v>0</v>
      </c>
      <c r="W209" s="233">
        <v>20678991</v>
      </c>
      <c r="X209" s="233">
        <v>4321009</v>
      </c>
      <c r="Y209" s="233">
        <v>20678991</v>
      </c>
      <c r="Z209" s="233">
        <v>20678991</v>
      </c>
      <c r="AA209" s="233">
        <v>20678991</v>
      </c>
      <c r="AB209" s="233">
        <v>20678991</v>
      </c>
    </row>
    <row r="210" spans="1:28" ht="15" customHeight="1" x14ac:dyDescent="0.25">
      <c r="A210" s="230" t="s">
        <v>397</v>
      </c>
      <c r="B210" s="231" t="s">
        <v>398</v>
      </c>
      <c r="C210" s="232" t="s">
        <v>395</v>
      </c>
      <c r="D210" s="230" t="s">
        <v>264</v>
      </c>
      <c r="E210" s="230" t="s">
        <v>269</v>
      </c>
      <c r="F210" s="230" t="s">
        <v>269</v>
      </c>
      <c r="G210" s="230" t="s">
        <v>265</v>
      </c>
      <c r="H210" s="230" t="s">
        <v>316</v>
      </c>
      <c r="I210" s="230" t="s">
        <v>316</v>
      </c>
      <c r="J210" s="230"/>
      <c r="K210" s="230"/>
      <c r="L210" s="230"/>
      <c r="M210" s="230" t="s">
        <v>266</v>
      </c>
      <c r="N210" s="230" t="s">
        <v>280</v>
      </c>
      <c r="O210" s="230" t="s">
        <v>267</v>
      </c>
      <c r="P210" s="231" t="s">
        <v>396</v>
      </c>
      <c r="Q210" s="231"/>
      <c r="R210" s="233">
        <v>1000000</v>
      </c>
      <c r="S210" s="233">
        <v>0</v>
      </c>
      <c r="T210" s="233">
        <v>1000000</v>
      </c>
      <c r="U210" s="233">
        <v>0</v>
      </c>
      <c r="V210" s="233">
        <v>0</v>
      </c>
      <c r="W210" s="233">
        <v>0</v>
      </c>
      <c r="X210" s="233">
        <v>0</v>
      </c>
      <c r="Y210" s="233">
        <v>0</v>
      </c>
      <c r="Z210" s="233">
        <v>0</v>
      </c>
      <c r="AA210" s="233">
        <v>0</v>
      </c>
      <c r="AB210" s="233">
        <v>0</v>
      </c>
    </row>
    <row r="211" spans="1:28" ht="15" customHeight="1" x14ac:dyDescent="0.25">
      <c r="A211" s="230" t="s">
        <v>397</v>
      </c>
      <c r="B211" s="231" t="s">
        <v>398</v>
      </c>
      <c r="C211" s="232" t="s">
        <v>363</v>
      </c>
      <c r="D211" s="230" t="s">
        <v>264</v>
      </c>
      <c r="E211" s="230" t="s">
        <v>269</v>
      </c>
      <c r="F211" s="230" t="s">
        <v>269</v>
      </c>
      <c r="G211" s="230" t="s">
        <v>269</v>
      </c>
      <c r="H211" s="230" t="s">
        <v>325</v>
      </c>
      <c r="I211" s="230" t="s">
        <v>319</v>
      </c>
      <c r="J211" s="230"/>
      <c r="K211" s="230"/>
      <c r="L211" s="230"/>
      <c r="M211" s="230" t="s">
        <v>273</v>
      </c>
      <c r="N211" s="230" t="s">
        <v>34</v>
      </c>
      <c r="O211" s="230" t="s">
        <v>267</v>
      </c>
      <c r="P211" s="231" t="s">
        <v>364</v>
      </c>
      <c r="Q211" s="231"/>
      <c r="R211" s="233">
        <v>70000</v>
      </c>
      <c r="S211" s="233">
        <v>518000</v>
      </c>
      <c r="T211" s="233">
        <v>458000</v>
      </c>
      <c r="U211" s="233">
        <v>130000</v>
      </c>
      <c r="V211" s="233">
        <v>0</v>
      </c>
      <c r="W211" s="233">
        <v>130000</v>
      </c>
      <c r="X211" s="233">
        <v>0</v>
      </c>
      <c r="Y211" s="233">
        <v>130000</v>
      </c>
      <c r="Z211" s="233">
        <v>130000</v>
      </c>
      <c r="AA211" s="233">
        <v>130000</v>
      </c>
      <c r="AB211" s="233">
        <v>130000</v>
      </c>
    </row>
    <row r="212" spans="1:28" ht="15" customHeight="1" x14ac:dyDescent="0.25">
      <c r="A212" s="230" t="s">
        <v>397</v>
      </c>
      <c r="B212" s="231" t="s">
        <v>398</v>
      </c>
      <c r="C212" s="232" t="s">
        <v>365</v>
      </c>
      <c r="D212" s="230" t="s">
        <v>264</v>
      </c>
      <c r="E212" s="230" t="s">
        <v>269</v>
      </c>
      <c r="F212" s="230" t="s">
        <v>269</v>
      </c>
      <c r="G212" s="230" t="s">
        <v>269</v>
      </c>
      <c r="H212" s="230" t="s">
        <v>325</v>
      </c>
      <c r="I212" s="230" t="s">
        <v>331</v>
      </c>
      <c r="J212" s="230"/>
      <c r="K212" s="230"/>
      <c r="L212" s="230"/>
      <c r="M212" s="230" t="s">
        <v>266</v>
      </c>
      <c r="N212" s="230" t="s">
        <v>280</v>
      </c>
      <c r="O212" s="230" t="s">
        <v>267</v>
      </c>
      <c r="P212" s="231" t="s">
        <v>366</v>
      </c>
      <c r="Q212" s="231"/>
      <c r="R212" s="233">
        <v>32900000</v>
      </c>
      <c r="S212" s="233">
        <v>15000000</v>
      </c>
      <c r="T212" s="233">
        <v>0</v>
      </c>
      <c r="U212" s="233">
        <v>47900000</v>
      </c>
      <c r="V212" s="233">
        <v>0</v>
      </c>
      <c r="W212" s="233">
        <v>47900000</v>
      </c>
      <c r="X212" s="233">
        <v>0</v>
      </c>
      <c r="Y212" s="233">
        <v>46889060</v>
      </c>
      <c r="Z212" s="233">
        <v>45510595</v>
      </c>
      <c r="AA212" s="233">
        <v>45510595</v>
      </c>
      <c r="AB212" s="233">
        <v>45510595</v>
      </c>
    </row>
    <row r="213" spans="1:28" ht="15" customHeight="1" x14ac:dyDescent="0.25">
      <c r="A213" s="230" t="s">
        <v>397</v>
      </c>
      <c r="B213" s="231" t="s">
        <v>398</v>
      </c>
      <c r="C213" s="232" t="s">
        <v>383</v>
      </c>
      <c r="D213" s="230" t="s">
        <v>264</v>
      </c>
      <c r="E213" s="230" t="s">
        <v>269</v>
      </c>
      <c r="F213" s="230" t="s">
        <v>269</v>
      </c>
      <c r="G213" s="230" t="s">
        <v>269</v>
      </c>
      <c r="H213" s="230" t="s">
        <v>328</v>
      </c>
      <c r="I213" s="230" t="s">
        <v>283</v>
      </c>
      <c r="J213" s="230"/>
      <c r="K213" s="230"/>
      <c r="L213" s="230"/>
      <c r="M213" s="230" t="s">
        <v>266</v>
      </c>
      <c r="N213" s="230" t="s">
        <v>280</v>
      </c>
      <c r="O213" s="230" t="s">
        <v>267</v>
      </c>
      <c r="P213" s="231" t="s">
        <v>384</v>
      </c>
      <c r="Q213" s="231"/>
      <c r="R213" s="233">
        <v>8500000</v>
      </c>
      <c r="S213" s="233">
        <v>0</v>
      </c>
      <c r="T213" s="233">
        <v>0</v>
      </c>
      <c r="U213" s="233">
        <v>8500000</v>
      </c>
      <c r="V213" s="233">
        <v>0</v>
      </c>
      <c r="W213" s="233">
        <v>8500000</v>
      </c>
      <c r="X213" s="233">
        <v>0</v>
      </c>
      <c r="Y213" s="233">
        <v>8500000</v>
      </c>
      <c r="Z213" s="233">
        <v>8468200</v>
      </c>
      <c r="AA213" s="233">
        <v>8468200</v>
      </c>
      <c r="AB213" s="233">
        <v>8468200</v>
      </c>
    </row>
    <row r="214" spans="1:28" ht="15" customHeight="1" x14ac:dyDescent="0.25">
      <c r="A214" s="230" t="s">
        <v>397</v>
      </c>
      <c r="B214" s="231" t="s">
        <v>398</v>
      </c>
      <c r="C214" s="232" t="s">
        <v>383</v>
      </c>
      <c r="D214" s="230" t="s">
        <v>264</v>
      </c>
      <c r="E214" s="230" t="s">
        <v>269</v>
      </c>
      <c r="F214" s="230" t="s">
        <v>269</v>
      </c>
      <c r="G214" s="230" t="s">
        <v>269</v>
      </c>
      <c r="H214" s="230" t="s">
        <v>328</v>
      </c>
      <c r="I214" s="230" t="s">
        <v>283</v>
      </c>
      <c r="J214" s="230"/>
      <c r="K214" s="230"/>
      <c r="L214" s="230"/>
      <c r="M214" s="230" t="s">
        <v>273</v>
      </c>
      <c r="N214" s="230" t="s">
        <v>34</v>
      </c>
      <c r="O214" s="230" t="s">
        <v>267</v>
      </c>
      <c r="P214" s="231" t="s">
        <v>384</v>
      </c>
      <c r="Q214" s="231"/>
      <c r="R214" s="233">
        <v>2600000</v>
      </c>
      <c r="S214" s="233">
        <v>26180000</v>
      </c>
      <c r="T214" s="233">
        <v>0</v>
      </c>
      <c r="U214" s="233">
        <v>28780000</v>
      </c>
      <c r="V214" s="233">
        <v>0</v>
      </c>
      <c r="W214" s="233">
        <v>28780000</v>
      </c>
      <c r="X214" s="233">
        <v>0</v>
      </c>
      <c r="Y214" s="233">
        <v>28780000</v>
      </c>
      <c r="Z214" s="233">
        <v>19115600.059999999</v>
      </c>
      <c r="AA214" s="233">
        <v>19115600.059999999</v>
      </c>
      <c r="AB214" s="233">
        <v>19115600.059999999</v>
      </c>
    </row>
    <row r="215" spans="1:28" ht="15" customHeight="1" x14ac:dyDescent="0.25">
      <c r="A215" s="230" t="s">
        <v>397</v>
      </c>
      <c r="B215" s="231" t="s">
        <v>398</v>
      </c>
      <c r="C215" s="232" t="s">
        <v>399</v>
      </c>
      <c r="D215" s="230" t="s">
        <v>264</v>
      </c>
      <c r="E215" s="230" t="s">
        <v>269</v>
      </c>
      <c r="F215" s="230" t="s">
        <v>269</v>
      </c>
      <c r="G215" s="230" t="s">
        <v>269</v>
      </c>
      <c r="H215" s="230" t="s">
        <v>351</v>
      </c>
      <c r="I215" s="230" t="s">
        <v>283</v>
      </c>
      <c r="J215" s="230"/>
      <c r="K215" s="230"/>
      <c r="L215" s="230"/>
      <c r="M215" s="230" t="s">
        <v>273</v>
      </c>
      <c r="N215" s="230" t="s">
        <v>34</v>
      </c>
      <c r="O215" s="230" t="s">
        <v>267</v>
      </c>
      <c r="P215" s="231" t="s">
        <v>400</v>
      </c>
      <c r="Q215" s="231"/>
      <c r="R215" s="233">
        <v>0</v>
      </c>
      <c r="S215" s="233">
        <v>15623660</v>
      </c>
      <c r="T215" s="233">
        <v>0</v>
      </c>
      <c r="U215" s="233">
        <v>15623660</v>
      </c>
      <c r="V215" s="233">
        <v>0</v>
      </c>
      <c r="W215" s="233">
        <v>15623660</v>
      </c>
      <c r="X215" s="233">
        <v>0</v>
      </c>
      <c r="Y215" s="233">
        <v>15623660</v>
      </c>
      <c r="Z215" s="233">
        <v>15623660</v>
      </c>
      <c r="AA215" s="233">
        <v>15623660</v>
      </c>
      <c r="AB215" s="233">
        <v>15623660</v>
      </c>
    </row>
    <row r="216" spans="1:28" ht="15" customHeight="1" x14ac:dyDescent="0.25">
      <c r="A216" s="230" t="s">
        <v>397</v>
      </c>
      <c r="B216" s="231" t="s">
        <v>398</v>
      </c>
      <c r="C216" s="232" t="s">
        <v>367</v>
      </c>
      <c r="D216" s="230" t="s">
        <v>264</v>
      </c>
      <c r="E216" s="230" t="s">
        <v>269</v>
      </c>
      <c r="F216" s="230" t="s">
        <v>269</v>
      </c>
      <c r="G216" s="230" t="s">
        <v>269</v>
      </c>
      <c r="H216" s="230" t="s">
        <v>351</v>
      </c>
      <c r="I216" s="230" t="s">
        <v>319</v>
      </c>
      <c r="J216" s="230"/>
      <c r="K216" s="230"/>
      <c r="L216" s="230"/>
      <c r="M216" s="230" t="s">
        <v>266</v>
      </c>
      <c r="N216" s="230" t="s">
        <v>280</v>
      </c>
      <c r="O216" s="230" t="s">
        <v>267</v>
      </c>
      <c r="P216" s="231" t="s">
        <v>368</v>
      </c>
      <c r="Q216" s="231"/>
      <c r="R216" s="233">
        <v>700000</v>
      </c>
      <c r="S216" s="233">
        <v>0</v>
      </c>
      <c r="T216" s="233">
        <v>0</v>
      </c>
      <c r="U216" s="233">
        <v>700000</v>
      </c>
      <c r="V216" s="233">
        <v>0</v>
      </c>
      <c r="W216" s="233">
        <v>700000</v>
      </c>
      <c r="X216" s="233">
        <v>0</v>
      </c>
      <c r="Y216" s="233">
        <v>700000</v>
      </c>
      <c r="Z216" s="233">
        <v>39269</v>
      </c>
      <c r="AA216" s="233">
        <v>39269</v>
      </c>
      <c r="AB216" s="233">
        <v>39269</v>
      </c>
    </row>
    <row r="217" spans="1:28" ht="15" customHeight="1" x14ac:dyDescent="0.25">
      <c r="A217" s="230" t="s">
        <v>397</v>
      </c>
      <c r="B217" s="231" t="s">
        <v>398</v>
      </c>
      <c r="C217" s="232" t="s">
        <v>369</v>
      </c>
      <c r="D217" s="230" t="s">
        <v>264</v>
      </c>
      <c r="E217" s="230" t="s">
        <v>269</v>
      </c>
      <c r="F217" s="230" t="s">
        <v>269</v>
      </c>
      <c r="G217" s="230" t="s">
        <v>269</v>
      </c>
      <c r="H217" s="230" t="s">
        <v>331</v>
      </c>
      <c r="I217" s="230" t="s">
        <v>319</v>
      </c>
      <c r="J217" s="230"/>
      <c r="K217" s="230"/>
      <c r="L217" s="230"/>
      <c r="M217" s="230" t="s">
        <v>266</v>
      </c>
      <c r="N217" s="230" t="s">
        <v>280</v>
      </c>
      <c r="O217" s="230" t="s">
        <v>267</v>
      </c>
      <c r="P217" s="231" t="s">
        <v>370</v>
      </c>
      <c r="Q217" s="231"/>
      <c r="R217" s="233">
        <v>100000</v>
      </c>
      <c r="S217" s="233">
        <v>0</v>
      </c>
      <c r="T217" s="233">
        <v>0</v>
      </c>
      <c r="U217" s="233">
        <v>100000</v>
      </c>
      <c r="V217" s="233">
        <v>0</v>
      </c>
      <c r="W217" s="233">
        <v>100000</v>
      </c>
      <c r="X217" s="233">
        <v>0</v>
      </c>
      <c r="Y217" s="233">
        <v>100000</v>
      </c>
      <c r="Z217" s="233">
        <v>71948</v>
      </c>
      <c r="AA217" s="233">
        <v>71948</v>
      </c>
      <c r="AB217" s="233">
        <v>71948</v>
      </c>
    </row>
    <row r="218" spans="1:28" ht="15" customHeight="1" x14ac:dyDescent="0.25">
      <c r="A218" s="230" t="s">
        <v>397</v>
      </c>
      <c r="B218" s="231" t="s">
        <v>398</v>
      </c>
      <c r="C218" s="232" t="s">
        <v>371</v>
      </c>
      <c r="D218" s="230" t="s">
        <v>264</v>
      </c>
      <c r="E218" s="230" t="s">
        <v>269</v>
      </c>
      <c r="F218" s="230" t="s">
        <v>269</v>
      </c>
      <c r="G218" s="230" t="s">
        <v>269</v>
      </c>
      <c r="H218" s="230" t="s">
        <v>334</v>
      </c>
      <c r="I218" s="230"/>
      <c r="J218" s="230"/>
      <c r="K218" s="230"/>
      <c r="L218" s="230"/>
      <c r="M218" s="230" t="s">
        <v>266</v>
      </c>
      <c r="N218" s="230" t="s">
        <v>280</v>
      </c>
      <c r="O218" s="230" t="s">
        <v>267</v>
      </c>
      <c r="P218" s="231" t="s">
        <v>372</v>
      </c>
      <c r="Q218" s="231"/>
      <c r="R218" s="233">
        <v>0</v>
      </c>
      <c r="S218" s="233">
        <v>3591002</v>
      </c>
      <c r="T218" s="233">
        <v>0</v>
      </c>
      <c r="U218" s="233">
        <v>3591002</v>
      </c>
      <c r="V218" s="233">
        <v>0</v>
      </c>
      <c r="W218" s="233">
        <v>3591002</v>
      </c>
      <c r="X218" s="233">
        <v>0</v>
      </c>
      <c r="Y218" s="233">
        <v>3591002</v>
      </c>
      <c r="Z218" s="233">
        <v>3591002</v>
      </c>
      <c r="AA218" s="233">
        <v>3591002</v>
      </c>
      <c r="AB218" s="233">
        <v>3591002</v>
      </c>
    </row>
    <row r="219" spans="1:28" ht="15" customHeight="1" x14ac:dyDescent="0.25">
      <c r="A219" s="230" t="s">
        <v>397</v>
      </c>
      <c r="B219" s="231" t="s">
        <v>398</v>
      </c>
      <c r="C219" s="232" t="s">
        <v>371</v>
      </c>
      <c r="D219" s="230" t="s">
        <v>264</v>
      </c>
      <c r="E219" s="230" t="s">
        <v>269</v>
      </c>
      <c r="F219" s="230" t="s">
        <v>269</v>
      </c>
      <c r="G219" s="230" t="s">
        <v>269</v>
      </c>
      <c r="H219" s="230" t="s">
        <v>334</v>
      </c>
      <c r="I219" s="230"/>
      <c r="J219" s="230"/>
      <c r="K219" s="230"/>
      <c r="L219" s="230"/>
      <c r="M219" s="230" t="s">
        <v>273</v>
      </c>
      <c r="N219" s="230" t="s">
        <v>34</v>
      </c>
      <c r="O219" s="230" t="s">
        <v>267</v>
      </c>
      <c r="P219" s="231" t="s">
        <v>372</v>
      </c>
      <c r="Q219" s="231"/>
      <c r="R219" s="233">
        <v>74197</v>
      </c>
      <c r="S219" s="233">
        <v>0</v>
      </c>
      <c r="T219" s="233">
        <v>0</v>
      </c>
      <c r="U219" s="233">
        <v>74197</v>
      </c>
      <c r="V219" s="233">
        <v>0</v>
      </c>
      <c r="W219" s="233">
        <v>74197</v>
      </c>
      <c r="X219" s="233">
        <v>0</v>
      </c>
      <c r="Y219" s="233">
        <v>74197</v>
      </c>
      <c r="Z219" s="233">
        <v>74197</v>
      </c>
      <c r="AA219" s="233">
        <v>74197</v>
      </c>
      <c r="AB219" s="233">
        <v>74197</v>
      </c>
    </row>
    <row r="220" spans="1:28" ht="15" customHeight="1" x14ac:dyDescent="0.25">
      <c r="A220" s="230" t="s">
        <v>397</v>
      </c>
      <c r="B220" s="231" t="s">
        <v>398</v>
      </c>
      <c r="C220" s="232" t="s">
        <v>373</v>
      </c>
      <c r="D220" s="230" t="s">
        <v>264</v>
      </c>
      <c r="E220" s="230" t="s">
        <v>271</v>
      </c>
      <c r="F220" s="230" t="s">
        <v>277</v>
      </c>
      <c r="G220" s="230" t="s">
        <v>269</v>
      </c>
      <c r="H220" s="230" t="s">
        <v>278</v>
      </c>
      <c r="I220" s="230" t="s">
        <v>281</v>
      </c>
      <c r="J220" s="230"/>
      <c r="K220" s="230"/>
      <c r="L220" s="230"/>
      <c r="M220" s="230" t="s">
        <v>266</v>
      </c>
      <c r="N220" s="230" t="s">
        <v>280</v>
      </c>
      <c r="O220" s="230" t="s">
        <v>267</v>
      </c>
      <c r="P220" s="231" t="s">
        <v>374</v>
      </c>
      <c r="Q220" s="231"/>
      <c r="R220" s="233">
        <v>0</v>
      </c>
      <c r="S220" s="233">
        <v>600000</v>
      </c>
      <c r="T220" s="233">
        <v>0</v>
      </c>
      <c r="U220" s="233">
        <v>600000</v>
      </c>
      <c r="V220" s="233">
        <v>0</v>
      </c>
      <c r="W220" s="233">
        <v>556871</v>
      </c>
      <c r="X220" s="233">
        <v>43129</v>
      </c>
      <c r="Y220" s="233">
        <v>556871</v>
      </c>
      <c r="Z220" s="233">
        <v>556871</v>
      </c>
      <c r="AA220" s="233">
        <v>556871</v>
      </c>
      <c r="AB220" s="233">
        <v>556871</v>
      </c>
    </row>
    <row r="221" spans="1:28" ht="15" customHeight="1" x14ac:dyDescent="0.25">
      <c r="A221" s="230" t="s">
        <v>397</v>
      </c>
      <c r="B221" s="231" t="s">
        <v>398</v>
      </c>
      <c r="C221" s="232" t="s">
        <v>375</v>
      </c>
      <c r="D221" s="230" t="s">
        <v>264</v>
      </c>
      <c r="E221" s="230" t="s">
        <v>285</v>
      </c>
      <c r="F221" s="230" t="s">
        <v>265</v>
      </c>
      <c r="G221" s="230" t="s">
        <v>269</v>
      </c>
      <c r="H221" s="230" t="s">
        <v>281</v>
      </c>
      <c r="I221" s="230"/>
      <c r="J221" s="230"/>
      <c r="K221" s="230"/>
      <c r="L221" s="230"/>
      <c r="M221" s="230" t="s">
        <v>266</v>
      </c>
      <c r="N221" s="230" t="s">
        <v>280</v>
      </c>
      <c r="O221" s="230" t="s">
        <v>267</v>
      </c>
      <c r="P221" s="231" t="s">
        <v>376</v>
      </c>
      <c r="Q221" s="231"/>
      <c r="R221" s="233">
        <v>4756050</v>
      </c>
      <c r="S221" s="233">
        <v>0</v>
      </c>
      <c r="T221" s="233">
        <v>0</v>
      </c>
      <c r="U221" s="233">
        <v>4756050</v>
      </c>
      <c r="V221" s="233">
        <v>0</v>
      </c>
      <c r="W221" s="233">
        <v>4756050</v>
      </c>
      <c r="X221" s="233">
        <v>0</v>
      </c>
      <c r="Y221" s="233">
        <v>4756050</v>
      </c>
      <c r="Z221" s="233">
        <v>4756050</v>
      </c>
      <c r="AA221" s="233">
        <v>4756050</v>
      </c>
      <c r="AB221" s="233">
        <v>4756050</v>
      </c>
    </row>
    <row r="222" spans="1:28" ht="15" customHeight="1" x14ac:dyDescent="0.25">
      <c r="A222" s="230" t="s">
        <v>401</v>
      </c>
      <c r="B222" s="231" t="s">
        <v>402</v>
      </c>
      <c r="C222" s="232" t="s">
        <v>313</v>
      </c>
      <c r="D222" s="230" t="s">
        <v>264</v>
      </c>
      <c r="E222" s="230" t="s">
        <v>265</v>
      </c>
      <c r="F222" s="230" t="s">
        <v>265</v>
      </c>
      <c r="G222" s="230" t="s">
        <v>265</v>
      </c>
      <c r="H222" s="230" t="s">
        <v>281</v>
      </c>
      <c r="I222" s="230" t="s">
        <v>281</v>
      </c>
      <c r="J222" s="230"/>
      <c r="K222" s="230"/>
      <c r="L222" s="230"/>
      <c r="M222" s="230" t="s">
        <v>266</v>
      </c>
      <c r="N222" s="230" t="s">
        <v>280</v>
      </c>
      <c r="O222" s="230" t="s">
        <v>267</v>
      </c>
      <c r="P222" s="231" t="s">
        <v>314</v>
      </c>
      <c r="Q222" s="231"/>
      <c r="R222" s="233">
        <v>571000000</v>
      </c>
      <c r="S222" s="233">
        <v>0</v>
      </c>
      <c r="T222" s="233">
        <v>0</v>
      </c>
      <c r="U222" s="233">
        <v>571000000</v>
      </c>
      <c r="V222" s="233">
        <v>0</v>
      </c>
      <c r="W222" s="233">
        <v>520140479</v>
      </c>
      <c r="X222" s="233">
        <v>50859521</v>
      </c>
      <c r="Y222" s="233">
        <v>520132489</v>
      </c>
      <c r="Z222" s="233">
        <v>520132489</v>
      </c>
      <c r="AA222" s="233">
        <v>520132489</v>
      </c>
      <c r="AB222" s="233">
        <v>520132489</v>
      </c>
    </row>
    <row r="223" spans="1:28" ht="15" customHeight="1" x14ac:dyDescent="0.25">
      <c r="A223" s="230" t="s">
        <v>401</v>
      </c>
      <c r="B223" s="231" t="s">
        <v>402</v>
      </c>
      <c r="C223" s="232" t="s">
        <v>318</v>
      </c>
      <c r="D223" s="230" t="s">
        <v>264</v>
      </c>
      <c r="E223" s="230" t="s">
        <v>265</v>
      </c>
      <c r="F223" s="230" t="s">
        <v>265</v>
      </c>
      <c r="G223" s="230" t="s">
        <v>265</v>
      </c>
      <c r="H223" s="230" t="s">
        <v>281</v>
      </c>
      <c r="I223" s="230" t="s">
        <v>319</v>
      </c>
      <c r="J223" s="230"/>
      <c r="K223" s="230"/>
      <c r="L223" s="230"/>
      <c r="M223" s="230" t="s">
        <v>266</v>
      </c>
      <c r="N223" s="230" t="s">
        <v>280</v>
      </c>
      <c r="O223" s="230" t="s">
        <v>267</v>
      </c>
      <c r="P223" s="231" t="s">
        <v>320</v>
      </c>
      <c r="Q223" s="231"/>
      <c r="R223" s="233">
        <v>16000000</v>
      </c>
      <c r="S223" s="233">
        <v>0</v>
      </c>
      <c r="T223" s="233">
        <v>0</v>
      </c>
      <c r="U223" s="233">
        <v>16000000</v>
      </c>
      <c r="V223" s="233">
        <v>0</v>
      </c>
      <c r="W223" s="233">
        <v>12298819</v>
      </c>
      <c r="X223" s="233">
        <v>3701181</v>
      </c>
      <c r="Y223" s="233">
        <v>12298531</v>
      </c>
      <c r="Z223" s="233">
        <v>12298531</v>
      </c>
      <c r="AA223" s="233">
        <v>12298531</v>
      </c>
      <c r="AB223" s="233">
        <v>12298531</v>
      </c>
    </row>
    <row r="224" spans="1:28" ht="15" customHeight="1" x14ac:dyDescent="0.25">
      <c r="A224" s="230" t="s">
        <v>401</v>
      </c>
      <c r="B224" s="231" t="s">
        <v>402</v>
      </c>
      <c r="C224" s="232" t="s">
        <v>321</v>
      </c>
      <c r="D224" s="230" t="s">
        <v>264</v>
      </c>
      <c r="E224" s="230" t="s">
        <v>265</v>
      </c>
      <c r="F224" s="230" t="s">
        <v>265</v>
      </c>
      <c r="G224" s="230" t="s">
        <v>265</v>
      </c>
      <c r="H224" s="230" t="s">
        <v>281</v>
      </c>
      <c r="I224" s="230" t="s">
        <v>322</v>
      </c>
      <c r="J224" s="230"/>
      <c r="K224" s="230"/>
      <c r="L224" s="230"/>
      <c r="M224" s="230" t="s">
        <v>266</v>
      </c>
      <c r="N224" s="230" t="s">
        <v>280</v>
      </c>
      <c r="O224" s="230" t="s">
        <v>267</v>
      </c>
      <c r="P224" s="231" t="s">
        <v>323</v>
      </c>
      <c r="Q224" s="231"/>
      <c r="R224" s="233">
        <v>10100000</v>
      </c>
      <c r="S224" s="233">
        <v>3000000</v>
      </c>
      <c r="T224" s="233">
        <v>10100000</v>
      </c>
      <c r="U224" s="233">
        <v>3000000</v>
      </c>
      <c r="V224" s="233">
        <v>0</v>
      </c>
      <c r="W224" s="233">
        <v>2817484</v>
      </c>
      <c r="X224" s="233">
        <v>182516</v>
      </c>
      <c r="Y224" s="233">
        <v>2817484</v>
      </c>
      <c r="Z224" s="233">
        <v>2817484</v>
      </c>
      <c r="AA224" s="233">
        <v>2817484</v>
      </c>
      <c r="AB224" s="233">
        <v>2817484</v>
      </c>
    </row>
    <row r="225" spans="1:28" ht="15" customHeight="1" x14ac:dyDescent="0.25">
      <c r="A225" s="230" t="s">
        <v>401</v>
      </c>
      <c r="B225" s="231" t="s">
        <v>402</v>
      </c>
      <c r="C225" s="232" t="s">
        <v>324</v>
      </c>
      <c r="D225" s="230" t="s">
        <v>264</v>
      </c>
      <c r="E225" s="230" t="s">
        <v>265</v>
      </c>
      <c r="F225" s="230" t="s">
        <v>265</v>
      </c>
      <c r="G225" s="230" t="s">
        <v>265</v>
      </c>
      <c r="H225" s="230" t="s">
        <v>281</v>
      </c>
      <c r="I225" s="230" t="s">
        <v>325</v>
      </c>
      <c r="J225" s="230"/>
      <c r="K225" s="230"/>
      <c r="L225" s="230"/>
      <c r="M225" s="230" t="s">
        <v>266</v>
      </c>
      <c r="N225" s="230" t="s">
        <v>280</v>
      </c>
      <c r="O225" s="230" t="s">
        <v>267</v>
      </c>
      <c r="P225" s="231" t="s">
        <v>326</v>
      </c>
      <c r="Q225" s="231"/>
      <c r="R225" s="233">
        <v>61000000</v>
      </c>
      <c r="S225" s="233">
        <v>1385116</v>
      </c>
      <c r="T225" s="233">
        <v>4003179</v>
      </c>
      <c r="U225" s="233">
        <v>58381937</v>
      </c>
      <c r="V225" s="233">
        <v>0</v>
      </c>
      <c r="W225" s="233">
        <v>58377937</v>
      </c>
      <c r="X225" s="233">
        <v>4000</v>
      </c>
      <c r="Y225" s="233">
        <v>58377937</v>
      </c>
      <c r="Z225" s="233">
        <v>58377937</v>
      </c>
      <c r="AA225" s="233">
        <v>58377937</v>
      </c>
      <c r="AB225" s="233">
        <v>58377937</v>
      </c>
    </row>
    <row r="226" spans="1:28" ht="15" customHeight="1" x14ac:dyDescent="0.25">
      <c r="A226" s="230" t="s">
        <v>401</v>
      </c>
      <c r="B226" s="231" t="s">
        <v>402</v>
      </c>
      <c r="C226" s="232" t="s">
        <v>327</v>
      </c>
      <c r="D226" s="230" t="s">
        <v>264</v>
      </c>
      <c r="E226" s="230" t="s">
        <v>265</v>
      </c>
      <c r="F226" s="230" t="s">
        <v>265</v>
      </c>
      <c r="G226" s="230" t="s">
        <v>265</v>
      </c>
      <c r="H226" s="230" t="s">
        <v>281</v>
      </c>
      <c r="I226" s="230" t="s">
        <v>328</v>
      </c>
      <c r="J226" s="230"/>
      <c r="K226" s="230"/>
      <c r="L226" s="230"/>
      <c r="M226" s="230" t="s">
        <v>266</v>
      </c>
      <c r="N226" s="230" t="s">
        <v>280</v>
      </c>
      <c r="O226" s="230" t="s">
        <v>267</v>
      </c>
      <c r="P226" s="231" t="s">
        <v>329</v>
      </c>
      <c r="Q226" s="231"/>
      <c r="R226" s="233">
        <v>24000000</v>
      </c>
      <c r="S226" s="233">
        <v>2200000</v>
      </c>
      <c r="T226" s="233">
        <v>0</v>
      </c>
      <c r="U226" s="233">
        <v>26200000</v>
      </c>
      <c r="V226" s="233">
        <v>0</v>
      </c>
      <c r="W226" s="233">
        <v>24022177</v>
      </c>
      <c r="X226" s="233">
        <v>2177823</v>
      </c>
      <c r="Y226" s="233">
        <v>24022177</v>
      </c>
      <c r="Z226" s="233">
        <v>24022177</v>
      </c>
      <c r="AA226" s="233">
        <v>24022177</v>
      </c>
      <c r="AB226" s="233">
        <v>24022177</v>
      </c>
    </row>
    <row r="227" spans="1:28" ht="15" customHeight="1" x14ac:dyDescent="0.25">
      <c r="A227" s="230" t="s">
        <v>401</v>
      </c>
      <c r="B227" s="231" t="s">
        <v>402</v>
      </c>
      <c r="C227" s="232" t="s">
        <v>330</v>
      </c>
      <c r="D227" s="230" t="s">
        <v>264</v>
      </c>
      <c r="E227" s="230" t="s">
        <v>265</v>
      </c>
      <c r="F227" s="230" t="s">
        <v>265</v>
      </c>
      <c r="G227" s="230" t="s">
        <v>265</v>
      </c>
      <c r="H227" s="230" t="s">
        <v>281</v>
      </c>
      <c r="I227" s="230" t="s">
        <v>331</v>
      </c>
      <c r="J227" s="230"/>
      <c r="K227" s="230"/>
      <c r="L227" s="230"/>
      <c r="M227" s="230" t="s">
        <v>266</v>
      </c>
      <c r="N227" s="230" t="s">
        <v>280</v>
      </c>
      <c r="O227" s="230" t="s">
        <v>267</v>
      </c>
      <c r="P227" s="231" t="s">
        <v>332</v>
      </c>
      <c r="Q227" s="231"/>
      <c r="R227" s="233">
        <v>71000000</v>
      </c>
      <c r="S227" s="233">
        <v>0</v>
      </c>
      <c r="T227" s="233">
        <v>0</v>
      </c>
      <c r="U227" s="233">
        <v>71000000</v>
      </c>
      <c r="V227" s="233">
        <v>0</v>
      </c>
      <c r="W227" s="233">
        <v>65427472</v>
      </c>
      <c r="X227" s="233">
        <v>5572528</v>
      </c>
      <c r="Y227" s="233">
        <v>65427472</v>
      </c>
      <c r="Z227" s="233">
        <v>65427472</v>
      </c>
      <c r="AA227" s="233">
        <v>65427472</v>
      </c>
      <c r="AB227" s="233">
        <v>65427472</v>
      </c>
    </row>
    <row r="228" spans="1:28" ht="15" customHeight="1" x14ac:dyDescent="0.25">
      <c r="A228" s="230" t="s">
        <v>401</v>
      </c>
      <c r="B228" s="231" t="s">
        <v>402</v>
      </c>
      <c r="C228" s="232" t="s">
        <v>333</v>
      </c>
      <c r="D228" s="230" t="s">
        <v>264</v>
      </c>
      <c r="E228" s="230" t="s">
        <v>265</v>
      </c>
      <c r="F228" s="230" t="s">
        <v>265</v>
      </c>
      <c r="G228" s="230" t="s">
        <v>265</v>
      </c>
      <c r="H228" s="230" t="s">
        <v>281</v>
      </c>
      <c r="I228" s="230" t="s">
        <v>334</v>
      </c>
      <c r="J228" s="230"/>
      <c r="K228" s="230"/>
      <c r="L228" s="230"/>
      <c r="M228" s="230" t="s">
        <v>266</v>
      </c>
      <c r="N228" s="230" t="s">
        <v>280</v>
      </c>
      <c r="O228" s="230" t="s">
        <v>267</v>
      </c>
      <c r="P228" s="231" t="s">
        <v>335</v>
      </c>
      <c r="Q228" s="231"/>
      <c r="R228" s="233">
        <v>45000000</v>
      </c>
      <c r="S228" s="233">
        <v>3000000</v>
      </c>
      <c r="T228" s="233">
        <v>0</v>
      </c>
      <c r="U228" s="233">
        <v>48000000</v>
      </c>
      <c r="V228" s="233">
        <v>0</v>
      </c>
      <c r="W228" s="233">
        <v>44103550</v>
      </c>
      <c r="X228" s="233">
        <v>3896450</v>
      </c>
      <c r="Y228" s="233">
        <v>44103550</v>
      </c>
      <c r="Z228" s="233">
        <v>44103550</v>
      </c>
      <c r="AA228" s="233">
        <v>44103550</v>
      </c>
      <c r="AB228" s="233">
        <v>44103550</v>
      </c>
    </row>
    <row r="229" spans="1:28" ht="15" customHeight="1" x14ac:dyDescent="0.25">
      <c r="A229" s="230" t="s">
        <v>401</v>
      </c>
      <c r="B229" s="231" t="s">
        <v>402</v>
      </c>
      <c r="C229" s="232" t="s">
        <v>336</v>
      </c>
      <c r="D229" s="230" t="s">
        <v>264</v>
      </c>
      <c r="E229" s="230" t="s">
        <v>265</v>
      </c>
      <c r="F229" s="230" t="s">
        <v>265</v>
      </c>
      <c r="G229" s="230" t="s">
        <v>265</v>
      </c>
      <c r="H229" s="230" t="s">
        <v>281</v>
      </c>
      <c r="I229" s="230" t="s">
        <v>278</v>
      </c>
      <c r="J229" s="230"/>
      <c r="K229" s="230"/>
      <c r="L229" s="230"/>
      <c r="M229" s="230" t="s">
        <v>266</v>
      </c>
      <c r="N229" s="230" t="s">
        <v>280</v>
      </c>
      <c r="O229" s="230" t="s">
        <v>267</v>
      </c>
      <c r="P229" s="231" t="s">
        <v>337</v>
      </c>
      <c r="Q229" s="231"/>
      <c r="R229" s="233">
        <v>10000000</v>
      </c>
      <c r="S229" s="233">
        <v>5000000</v>
      </c>
      <c r="T229" s="233">
        <v>692582</v>
      </c>
      <c r="U229" s="233">
        <v>14307418</v>
      </c>
      <c r="V229" s="233">
        <v>0</v>
      </c>
      <c r="W229" s="233">
        <v>14307418</v>
      </c>
      <c r="X229" s="233">
        <v>0</v>
      </c>
      <c r="Y229" s="233">
        <v>14307418</v>
      </c>
      <c r="Z229" s="233">
        <v>14307418</v>
      </c>
      <c r="AA229" s="233">
        <v>14307418</v>
      </c>
      <c r="AB229" s="233">
        <v>14307418</v>
      </c>
    </row>
    <row r="230" spans="1:28" ht="15" customHeight="1" x14ac:dyDescent="0.25">
      <c r="A230" s="230" t="s">
        <v>401</v>
      </c>
      <c r="B230" s="231" t="s">
        <v>402</v>
      </c>
      <c r="C230" s="232" t="s">
        <v>338</v>
      </c>
      <c r="D230" s="230" t="s">
        <v>264</v>
      </c>
      <c r="E230" s="230" t="s">
        <v>265</v>
      </c>
      <c r="F230" s="230" t="s">
        <v>265</v>
      </c>
      <c r="G230" s="230" t="s">
        <v>269</v>
      </c>
      <c r="H230" s="230" t="s">
        <v>281</v>
      </c>
      <c r="I230" s="230"/>
      <c r="J230" s="230"/>
      <c r="K230" s="230"/>
      <c r="L230" s="230"/>
      <c r="M230" s="230" t="s">
        <v>266</v>
      </c>
      <c r="N230" s="230" t="s">
        <v>280</v>
      </c>
      <c r="O230" s="230" t="s">
        <v>267</v>
      </c>
      <c r="P230" s="231" t="s">
        <v>339</v>
      </c>
      <c r="Q230" s="231"/>
      <c r="R230" s="233">
        <v>70000000</v>
      </c>
      <c r="S230" s="233">
        <v>3500000</v>
      </c>
      <c r="T230" s="233">
        <v>0</v>
      </c>
      <c r="U230" s="233">
        <v>73500000</v>
      </c>
      <c r="V230" s="233">
        <v>0</v>
      </c>
      <c r="W230" s="233">
        <v>69040500</v>
      </c>
      <c r="X230" s="233">
        <v>4459500</v>
      </c>
      <c r="Y230" s="233">
        <v>69040500</v>
      </c>
      <c r="Z230" s="233">
        <v>69040500</v>
      </c>
      <c r="AA230" s="233">
        <v>69040500</v>
      </c>
      <c r="AB230" s="233">
        <v>69040500</v>
      </c>
    </row>
    <row r="231" spans="1:28" ht="15" customHeight="1" x14ac:dyDescent="0.25">
      <c r="A231" s="230" t="s">
        <v>401</v>
      </c>
      <c r="B231" s="231" t="s">
        <v>402</v>
      </c>
      <c r="C231" s="232" t="s">
        <v>340</v>
      </c>
      <c r="D231" s="230" t="s">
        <v>264</v>
      </c>
      <c r="E231" s="230" t="s">
        <v>265</v>
      </c>
      <c r="F231" s="230" t="s">
        <v>265</v>
      </c>
      <c r="G231" s="230" t="s">
        <v>269</v>
      </c>
      <c r="H231" s="230" t="s">
        <v>283</v>
      </c>
      <c r="I231" s="230"/>
      <c r="J231" s="230"/>
      <c r="K231" s="230"/>
      <c r="L231" s="230"/>
      <c r="M231" s="230" t="s">
        <v>266</v>
      </c>
      <c r="N231" s="230" t="s">
        <v>280</v>
      </c>
      <c r="O231" s="230" t="s">
        <v>267</v>
      </c>
      <c r="P231" s="231" t="s">
        <v>341</v>
      </c>
      <c r="Q231" s="231"/>
      <c r="R231" s="233">
        <v>55000000</v>
      </c>
      <c r="S231" s="233">
        <v>1000000</v>
      </c>
      <c r="T231" s="233">
        <v>0</v>
      </c>
      <c r="U231" s="233">
        <v>56000000</v>
      </c>
      <c r="V231" s="233">
        <v>0</v>
      </c>
      <c r="W231" s="233">
        <v>48933500</v>
      </c>
      <c r="X231" s="233">
        <v>7066500</v>
      </c>
      <c r="Y231" s="233">
        <v>48933500</v>
      </c>
      <c r="Z231" s="233">
        <v>48933500</v>
      </c>
      <c r="AA231" s="233">
        <v>48933500</v>
      </c>
      <c r="AB231" s="233">
        <v>48933500</v>
      </c>
    </row>
    <row r="232" spans="1:28" ht="15" customHeight="1" x14ac:dyDescent="0.25">
      <c r="A232" s="230" t="s">
        <v>401</v>
      </c>
      <c r="B232" s="231" t="s">
        <v>402</v>
      </c>
      <c r="C232" s="232" t="s">
        <v>342</v>
      </c>
      <c r="D232" s="230" t="s">
        <v>264</v>
      </c>
      <c r="E232" s="230" t="s">
        <v>265</v>
      </c>
      <c r="F232" s="230" t="s">
        <v>265</v>
      </c>
      <c r="G232" s="230" t="s">
        <v>269</v>
      </c>
      <c r="H232" s="230" t="s">
        <v>319</v>
      </c>
      <c r="I232" s="230"/>
      <c r="J232" s="230"/>
      <c r="K232" s="230"/>
      <c r="L232" s="230"/>
      <c r="M232" s="230" t="s">
        <v>266</v>
      </c>
      <c r="N232" s="230" t="s">
        <v>280</v>
      </c>
      <c r="O232" s="230" t="s">
        <v>267</v>
      </c>
      <c r="P232" s="231" t="s">
        <v>343</v>
      </c>
      <c r="Q232" s="231"/>
      <c r="R232" s="233">
        <v>31000000</v>
      </c>
      <c r="S232" s="233">
        <v>1000000</v>
      </c>
      <c r="T232" s="233">
        <v>0</v>
      </c>
      <c r="U232" s="233">
        <v>32000000</v>
      </c>
      <c r="V232" s="233">
        <v>0</v>
      </c>
      <c r="W232" s="233">
        <v>28519500</v>
      </c>
      <c r="X232" s="233">
        <v>3480500</v>
      </c>
      <c r="Y232" s="233">
        <v>28519500</v>
      </c>
      <c r="Z232" s="233">
        <v>28519500</v>
      </c>
      <c r="AA232" s="233">
        <v>28519500</v>
      </c>
      <c r="AB232" s="233">
        <v>28519500</v>
      </c>
    </row>
    <row r="233" spans="1:28" ht="15" customHeight="1" x14ac:dyDescent="0.25">
      <c r="A233" s="230" t="s">
        <v>401</v>
      </c>
      <c r="B233" s="231" t="s">
        <v>402</v>
      </c>
      <c r="C233" s="232" t="s">
        <v>344</v>
      </c>
      <c r="D233" s="230" t="s">
        <v>264</v>
      </c>
      <c r="E233" s="230" t="s">
        <v>265</v>
      </c>
      <c r="F233" s="230" t="s">
        <v>265</v>
      </c>
      <c r="G233" s="230" t="s">
        <v>269</v>
      </c>
      <c r="H233" s="230" t="s">
        <v>322</v>
      </c>
      <c r="I233" s="230"/>
      <c r="J233" s="230"/>
      <c r="K233" s="230"/>
      <c r="L233" s="230"/>
      <c r="M233" s="230" t="s">
        <v>266</v>
      </c>
      <c r="N233" s="230" t="s">
        <v>280</v>
      </c>
      <c r="O233" s="230" t="s">
        <v>267</v>
      </c>
      <c r="P233" s="231" t="s">
        <v>345</v>
      </c>
      <c r="Q233" s="231"/>
      <c r="R233" s="233">
        <v>7000000</v>
      </c>
      <c r="S233" s="233">
        <v>0</v>
      </c>
      <c r="T233" s="233">
        <v>0</v>
      </c>
      <c r="U233" s="233">
        <v>7000000</v>
      </c>
      <c r="V233" s="233">
        <v>0</v>
      </c>
      <c r="W233" s="233">
        <v>6163800</v>
      </c>
      <c r="X233" s="233">
        <v>836200</v>
      </c>
      <c r="Y233" s="233">
        <v>6163800</v>
      </c>
      <c r="Z233" s="233">
        <v>6163800</v>
      </c>
      <c r="AA233" s="233">
        <v>6163800</v>
      </c>
      <c r="AB233" s="233">
        <v>6163800</v>
      </c>
    </row>
    <row r="234" spans="1:28" ht="15" customHeight="1" x14ac:dyDescent="0.25">
      <c r="A234" s="230" t="s">
        <v>401</v>
      </c>
      <c r="B234" s="231" t="s">
        <v>402</v>
      </c>
      <c r="C234" s="232" t="s">
        <v>346</v>
      </c>
      <c r="D234" s="230" t="s">
        <v>264</v>
      </c>
      <c r="E234" s="230" t="s">
        <v>265</v>
      </c>
      <c r="F234" s="230" t="s">
        <v>265</v>
      </c>
      <c r="G234" s="230" t="s">
        <v>269</v>
      </c>
      <c r="H234" s="230" t="s">
        <v>325</v>
      </c>
      <c r="I234" s="230"/>
      <c r="J234" s="230"/>
      <c r="K234" s="230"/>
      <c r="L234" s="230"/>
      <c r="M234" s="230" t="s">
        <v>266</v>
      </c>
      <c r="N234" s="230" t="s">
        <v>280</v>
      </c>
      <c r="O234" s="230" t="s">
        <v>267</v>
      </c>
      <c r="P234" s="231" t="s">
        <v>347</v>
      </c>
      <c r="Q234" s="231"/>
      <c r="R234" s="233">
        <v>23000000</v>
      </c>
      <c r="S234" s="233">
        <v>0</v>
      </c>
      <c r="T234" s="233">
        <v>0</v>
      </c>
      <c r="U234" s="233">
        <v>23000000</v>
      </c>
      <c r="V234" s="233">
        <v>0</v>
      </c>
      <c r="W234" s="233">
        <v>21389800</v>
      </c>
      <c r="X234" s="233">
        <v>1610200</v>
      </c>
      <c r="Y234" s="233">
        <v>21389800</v>
      </c>
      <c r="Z234" s="233">
        <v>21389800</v>
      </c>
      <c r="AA234" s="233">
        <v>21389800</v>
      </c>
      <c r="AB234" s="233">
        <v>21389800</v>
      </c>
    </row>
    <row r="235" spans="1:28" ht="15" customHeight="1" x14ac:dyDescent="0.25">
      <c r="A235" s="230" t="s">
        <v>401</v>
      </c>
      <c r="B235" s="231" t="s">
        <v>402</v>
      </c>
      <c r="C235" s="232" t="s">
        <v>348</v>
      </c>
      <c r="D235" s="230" t="s">
        <v>264</v>
      </c>
      <c r="E235" s="230" t="s">
        <v>265</v>
      </c>
      <c r="F235" s="230" t="s">
        <v>265</v>
      </c>
      <c r="G235" s="230" t="s">
        <v>269</v>
      </c>
      <c r="H235" s="230" t="s">
        <v>328</v>
      </c>
      <c r="I235" s="230"/>
      <c r="J235" s="230"/>
      <c r="K235" s="230"/>
      <c r="L235" s="230"/>
      <c r="M235" s="230" t="s">
        <v>266</v>
      </c>
      <c r="N235" s="230" t="s">
        <v>280</v>
      </c>
      <c r="O235" s="230" t="s">
        <v>267</v>
      </c>
      <c r="P235" s="231" t="s">
        <v>349</v>
      </c>
      <c r="Q235" s="231"/>
      <c r="R235" s="233">
        <v>4000000</v>
      </c>
      <c r="S235" s="233">
        <v>12000000</v>
      </c>
      <c r="T235" s="233">
        <v>0</v>
      </c>
      <c r="U235" s="233">
        <v>16000000</v>
      </c>
      <c r="V235" s="233">
        <v>0</v>
      </c>
      <c r="W235" s="233">
        <v>14267200</v>
      </c>
      <c r="X235" s="233">
        <v>1732800</v>
      </c>
      <c r="Y235" s="233">
        <v>14267200</v>
      </c>
      <c r="Z235" s="233">
        <v>14267200</v>
      </c>
      <c r="AA235" s="233">
        <v>14267200</v>
      </c>
      <c r="AB235" s="233">
        <v>14267200</v>
      </c>
    </row>
    <row r="236" spans="1:28" ht="15" customHeight="1" x14ac:dyDescent="0.25">
      <c r="A236" s="230" t="s">
        <v>401</v>
      </c>
      <c r="B236" s="231" t="s">
        <v>402</v>
      </c>
      <c r="C236" s="232" t="s">
        <v>350</v>
      </c>
      <c r="D236" s="230" t="s">
        <v>264</v>
      </c>
      <c r="E236" s="230" t="s">
        <v>265</v>
      </c>
      <c r="F236" s="230" t="s">
        <v>265</v>
      </c>
      <c r="G236" s="230" t="s">
        <v>269</v>
      </c>
      <c r="H236" s="230" t="s">
        <v>351</v>
      </c>
      <c r="I236" s="230"/>
      <c r="J236" s="230"/>
      <c r="K236" s="230"/>
      <c r="L236" s="230"/>
      <c r="M236" s="230" t="s">
        <v>266</v>
      </c>
      <c r="N236" s="230" t="s">
        <v>280</v>
      </c>
      <c r="O236" s="230" t="s">
        <v>267</v>
      </c>
      <c r="P236" s="231" t="s">
        <v>352</v>
      </c>
      <c r="Q236" s="231"/>
      <c r="R236" s="233">
        <v>4000000</v>
      </c>
      <c r="S236" s="233">
        <v>0</v>
      </c>
      <c r="T236" s="233">
        <v>4000000</v>
      </c>
      <c r="U236" s="233">
        <v>0</v>
      </c>
      <c r="V236" s="233">
        <v>0</v>
      </c>
      <c r="W236" s="233">
        <v>0</v>
      </c>
      <c r="X236" s="233">
        <v>0</v>
      </c>
      <c r="Y236" s="233">
        <v>0</v>
      </c>
      <c r="Z236" s="233">
        <v>0</v>
      </c>
      <c r="AA236" s="233">
        <v>0</v>
      </c>
      <c r="AB236" s="233">
        <v>0</v>
      </c>
    </row>
    <row r="237" spans="1:28" ht="15" customHeight="1" x14ac:dyDescent="0.25">
      <c r="A237" s="230" t="s">
        <v>401</v>
      </c>
      <c r="B237" s="231" t="s">
        <v>402</v>
      </c>
      <c r="C237" s="232" t="s">
        <v>353</v>
      </c>
      <c r="D237" s="230" t="s">
        <v>264</v>
      </c>
      <c r="E237" s="230" t="s">
        <v>265</v>
      </c>
      <c r="F237" s="230" t="s">
        <v>265</v>
      </c>
      <c r="G237" s="230" t="s">
        <v>269</v>
      </c>
      <c r="H237" s="230" t="s">
        <v>331</v>
      </c>
      <c r="I237" s="230"/>
      <c r="J237" s="230"/>
      <c r="K237" s="230"/>
      <c r="L237" s="230"/>
      <c r="M237" s="230" t="s">
        <v>266</v>
      </c>
      <c r="N237" s="230" t="s">
        <v>280</v>
      </c>
      <c r="O237" s="230" t="s">
        <v>267</v>
      </c>
      <c r="P237" s="231" t="s">
        <v>354</v>
      </c>
      <c r="Q237" s="231"/>
      <c r="R237" s="233">
        <v>8000000</v>
      </c>
      <c r="S237" s="233">
        <v>0</v>
      </c>
      <c r="T237" s="233">
        <v>8000000</v>
      </c>
      <c r="U237" s="233">
        <v>0</v>
      </c>
      <c r="V237" s="233">
        <v>0</v>
      </c>
      <c r="W237" s="233">
        <v>0</v>
      </c>
      <c r="X237" s="233">
        <v>0</v>
      </c>
      <c r="Y237" s="233">
        <v>0</v>
      </c>
      <c r="Z237" s="233">
        <v>0</v>
      </c>
      <c r="AA237" s="233">
        <v>0</v>
      </c>
      <c r="AB237" s="233">
        <v>0</v>
      </c>
    </row>
    <row r="238" spans="1:28" ht="15" customHeight="1" x14ac:dyDescent="0.25">
      <c r="A238" s="230" t="s">
        <v>401</v>
      </c>
      <c r="B238" s="231" t="s">
        <v>402</v>
      </c>
      <c r="C238" s="232" t="s">
        <v>355</v>
      </c>
      <c r="D238" s="230" t="s">
        <v>264</v>
      </c>
      <c r="E238" s="230" t="s">
        <v>265</v>
      </c>
      <c r="F238" s="230" t="s">
        <v>265</v>
      </c>
      <c r="G238" s="230" t="s">
        <v>271</v>
      </c>
      <c r="H238" s="230" t="s">
        <v>281</v>
      </c>
      <c r="I238" s="230" t="s">
        <v>281</v>
      </c>
      <c r="J238" s="230"/>
      <c r="K238" s="230"/>
      <c r="L238" s="230"/>
      <c r="M238" s="230" t="s">
        <v>266</v>
      </c>
      <c r="N238" s="230" t="s">
        <v>280</v>
      </c>
      <c r="O238" s="230" t="s">
        <v>267</v>
      </c>
      <c r="P238" s="231" t="s">
        <v>356</v>
      </c>
      <c r="Q238" s="231"/>
      <c r="R238" s="233">
        <v>40000000</v>
      </c>
      <c r="S238" s="233">
        <v>0</v>
      </c>
      <c r="T238" s="233">
        <v>0</v>
      </c>
      <c r="U238" s="233">
        <v>40000000</v>
      </c>
      <c r="V238" s="233">
        <v>0</v>
      </c>
      <c r="W238" s="233">
        <v>26153085</v>
      </c>
      <c r="X238" s="233">
        <v>13846915</v>
      </c>
      <c r="Y238" s="233">
        <v>26153085</v>
      </c>
      <c r="Z238" s="233">
        <v>26153085</v>
      </c>
      <c r="AA238" s="233">
        <v>26153085</v>
      </c>
      <c r="AB238" s="233">
        <v>26153085</v>
      </c>
    </row>
    <row r="239" spans="1:28" ht="15" customHeight="1" x14ac:dyDescent="0.25">
      <c r="A239" s="230" t="s">
        <v>401</v>
      </c>
      <c r="B239" s="231" t="s">
        <v>402</v>
      </c>
      <c r="C239" s="232" t="s">
        <v>357</v>
      </c>
      <c r="D239" s="230" t="s">
        <v>264</v>
      </c>
      <c r="E239" s="230" t="s">
        <v>265</v>
      </c>
      <c r="F239" s="230" t="s">
        <v>265</v>
      </c>
      <c r="G239" s="230" t="s">
        <v>271</v>
      </c>
      <c r="H239" s="230" t="s">
        <v>281</v>
      </c>
      <c r="I239" s="230" t="s">
        <v>283</v>
      </c>
      <c r="J239" s="230"/>
      <c r="K239" s="230"/>
      <c r="L239" s="230"/>
      <c r="M239" s="230" t="s">
        <v>266</v>
      </c>
      <c r="N239" s="230" t="s">
        <v>280</v>
      </c>
      <c r="O239" s="230" t="s">
        <v>267</v>
      </c>
      <c r="P239" s="231" t="s">
        <v>358</v>
      </c>
      <c r="Q239" s="231"/>
      <c r="R239" s="233">
        <v>0</v>
      </c>
      <c r="S239" s="233">
        <v>18548614</v>
      </c>
      <c r="T239" s="233">
        <v>0</v>
      </c>
      <c r="U239" s="233">
        <v>18548614</v>
      </c>
      <c r="V239" s="233">
        <v>0</v>
      </c>
      <c r="W239" s="233">
        <v>18308610</v>
      </c>
      <c r="X239" s="233">
        <v>240004</v>
      </c>
      <c r="Y239" s="233">
        <v>18308610</v>
      </c>
      <c r="Z239" s="233">
        <v>18308610</v>
      </c>
      <c r="AA239" s="233">
        <v>18308610</v>
      </c>
      <c r="AB239" s="233">
        <v>18308610</v>
      </c>
    </row>
    <row r="240" spans="1:28" ht="15" customHeight="1" x14ac:dyDescent="0.25">
      <c r="A240" s="230" t="s">
        <v>401</v>
      </c>
      <c r="B240" s="231" t="s">
        <v>402</v>
      </c>
      <c r="C240" s="232" t="s">
        <v>359</v>
      </c>
      <c r="D240" s="230" t="s">
        <v>264</v>
      </c>
      <c r="E240" s="230" t="s">
        <v>265</v>
      </c>
      <c r="F240" s="230" t="s">
        <v>265</v>
      </c>
      <c r="G240" s="230" t="s">
        <v>271</v>
      </c>
      <c r="H240" s="230" t="s">
        <v>281</v>
      </c>
      <c r="I240" s="230" t="s">
        <v>316</v>
      </c>
      <c r="J240" s="230"/>
      <c r="K240" s="230"/>
      <c r="L240" s="230"/>
      <c r="M240" s="230" t="s">
        <v>266</v>
      </c>
      <c r="N240" s="230" t="s">
        <v>280</v>
      </c>
      <c r="O240" s="230" t="s">
        <v>267</v>
      </c>
      <c r="P240" s="231" t="s">
        <v>360</v>
      </c>
      <c r="Q240" s="231"/>
      <c r="R240" s="233">
        <v>4000000</v>
      </c>
      <c r="S240" s="233">
        <v>0</v>
      </c>
      <c r="T240" s="233">
        <v>0</v>
      </c>
      <c r="U240" s="233">
        <v>4000000</v>
      </c>
      <c r="V240" s="233">
        <v>0</v>
      </c>
      <c r="W240" s="233">
        <v>3571752</v>
      </c>
      <c r="X240" s="233">
        <v>428248</v>
      </c>
      <c r="Y240" s="233">
        <v>3571752</v>
      </c>
      <c r="Z240" s="233">
        <v>3571752</v>
      </c>
      <c r="AA240" s="233">
        <v>3571752</v>
      </c>
      <c r="AB240" s="233">
        <v>3571752</v>
      </c>
    </row>
    <row r="241" spans="1:28" ht="15" customHeight="1" x14ac:dyDescent="0.25">
      <c r="A241" s="230" t="s">
        <v>401</v>
      </c>
      <c r="B241" s="231" t="s">
        <v>402</v>
      </c>
      <c r="C241" s="232" t="s">
        <v>361</v>
      </c>
      <c r="D241" s="230" t="s">
        <v>264</v>
      </c>
      <c r="E241" s="230" t="s">
        <v>265</v>
      </c>
      <c r="F241" s="230" t="s">
        <v>265</v>
      </c>
      <c r="G241" s="230" t="s">
        <v>271</v>
      </c>
      <c r="H241" s="230" t="s">
        <v>283</v>
      </c>
      <c r="I241" s="230"/>
      <c r="J241" s="230"/>
      <c r="K241" s="230"/>
      <c r="L241" s="230"/>
      <c r="M241" s="230" t="s">
        <v>266</v>
      </c>
      <c r="N241" s="230" t="s">
        <v>280</v>
      </c>
      <c r="O241" s="230" t="s">
        <v>267</v>
      </c>
      <c r="P241" s="231" t="s">
        <v>362</v>
      </c>
      <c r="Q241" s="231"/>
      <c r="R241" s="233">
        <v>29000000</v>
      </c>
      <c r="S241" s="233">
        <v>0</v>
      </c>
      <c r="T241" s="233">
        <v>0</v>
      </c>
      <c r="U241" s="233">
        <v>29000000</v>
      </c>
      <c r="V241" s="233">
        <v>0</v>
      </c>
      <c r="W241" s="233">
        <v>27150440</v>
      </c>
      <c r="X241" s="233">
        <v>1849560</v>
      </c>
      <c r="Y241" s="233">
        <v>27150440</v>
      </c>
      <c r="Z241" s="233">
        <v>27150440</v>
      </c>
      <c r="AA241" s="233">
        <v>27150440</v>
      </c>
      <c r="AB241" s="233">
        <v>27150440</v>
      </c>
    </row>
    <row r="242" spans="1:28" ht="15" customHeight="1" x14ac:dyDescent="0.25">
      <c r="A242" s="230" t="s">
        <v>401</v>
      </c>
      <c r="B242" s="231" t="s">
        <v>402</v>
      </c>
      <c r="C242" s="232" t="s">
        <v>403</v>
      </c>
      <c r="D242" s="230" t="s">
        <v>264</v>
      </c>
      <c r="E242" s="230" t="s">
        <v>269</v>
      </c>
      <c r="F242" s="230" t="s">
        <v>269</v>
      </c>
      <c r="G242" s="230" t="s">
        <v>265</v>
      </c>
      <c r="H242" s="230" t="s">
        <v>319</v>
      </c>
      <c r="I242" s="230" t="s">
        <v>316</v>
      </c>
      <c r="J242" s="230"/>
      <c r="K242" s="230"/>
      <c r="L242" s="230"/>
      <c r="M242" s="230" t="s">
        <v>273</v>
      </c>
      <c r="N242" s="230" t="s">
        <v>34</v>
      </c>
      <c r="O242" s="230" t="s">
        <v>267</v>
      </c>
      <c r="P242" s="231" t="s">
        <v>404</v>
      </c>
      <c r="Q242" s="231"/>
      <c r="R242" s="233">
        <v>680000</v>
      </c>
      <c r="S242" s="233">
        <v>0</v>
      </c>
      <c r="T242" s="233">
        <v>680000</v>
      </c>
      <c r="U242" s="233">
        <v>0</v>
      </c>
      <c r="V242" s="233">
        <v>0</v>
      </c>
      <c r="W242" s="233">
        <v>0</v>
      </c>
      <c r="X242" s="233">
        <v>0</v>
      </c>
      <c r="Y242" s="233">
        <v>0</v>
      </c>
      <c r="Z242" s="233">
        <v>0</v>
      </c>
      <c r="AA242" s="233">
        <v>0</v>
      </c>
      <c r="AB242" s="233">
        <v>0</v>
      </c>
    </row>
    <row r="243" spans="1:28" ht="15" customHeight="1" x14ac:dyDescent="0.25">
      <c r="A243" s="230" t="s">
        <v>401</v>
      </c>
      <c r="B243" s="231" t="s">
        <v>402</v>
      </c>
      <c r="C243" s="232" t="s">
        <v>363</v>
      </c>
      <c r="D243" s="230" t="s">
        <v>264</v>
      </c>
      <c r="E243" s="230" t="s">
        <v>269</v>
      </c>
      <c r="F243" s="230" t="s">
        <v>269</v>
      </c>
      <c r="G243" s="230" t="s">
        <v>269</v>
      </c>
      <c r="H243" s="230" t="s">
        <v>325</v>
      </c>
      <c r="I243" s="230" t="s">
        <v>319</v>
      </c>
      <c r="J243" s="230"/>
      <c r="K243" s="230"/>
      <c r="L243" s="230"/>
      <c r="M243" s="230" t="s">
        <v>266</v>
      </c>
      <c r="N243" s="230" t="s">
        <v>280</v>
      </c>
      <c r="O243" s="230" t="s">
        <v>267</v>
      </c>
      <c r="P243" s="231" t="s">
        <v>364</v>
      </c>
      <c r="Q243" s="231"/>
      <c r="R243" s="233">
        <v>0</v>
      </c>
      <c r="S243" s="233">
        <v>180000</v>
      </c>
      <c r="T243" s="233">
        <v>0</v>
      </c>
      <c r="U243" s="233">
        <v>180000</v>
      </c>
      <c r="V243" s="233">
        <v>0</v>
      </c>
      <c r="W243" s="233">
        <v>180000</v>
      </c>
      <c r="X243" s="233">
        <v>0</v>
      </c>
      <c r="Y243" s="233">
        <v>120000</v>
      </c>
      <c r="Z243" s="233">
        <v>120000</v>
      </c>
      <c r="AA243" s="233">
        <v>120000</v>
      </c>
      <c r="AB243" s="233">
        <v>120000</v>
      </c>
    </row>
    <row r="244" spans="1:28" ht="15" customHeight="1" x14ac:dyDescent="0.25">
      <c r="A244" s="230" t="s">
        <v>401</v>
      </c>
      <c r="B244" s="231" t="s">
        <v>402</v>
      </c>
      <c r="C244" s="232" t="s">
        <v>363</v>
      </c>
      <c r="D244" s="230" t="s">
        <v>264</v>
      </c>
      <c r="E244" s="230" t="s">
        <v>269</v>
      </c>
      <c r="F244" s="230" t="s">
        <v>269</v>
      </c>
      <c r="G244" s="230" t="s">
        <v>269</v>
      </c>
      <c r="H244" s="230" t="s">
        <v>325</v>
      </c>
      <c r="I244" s="230" t="s">
        <v>319</v>
      </c>
      <c r="J244" s="230"/>
      <c r="K244" s="230"/>
      <c r="L244" s="230"/>
      <c r="M244" s="230" t="s">
        <v>273</v>
      </c>
      <c r="N244" s="230" t="s">
        <v>34</v>
      </c>
      <c r="O244" s="230" t="s">
        <v>267</v>
      </c>
      <c r="P244" s="231" t="s">
        <v>364</v>
      </c>
      <c r="Q244" s="231"/>
      <c r="R244" s="233">
        <v>0</v>
      </c>
      <c r="S244" s="233">
        <v>240000</v>
      </c>
      <c r="T244" s="233">
        <v>0</v>
      </c>
      <c r="U244" s="233">
        <v>240000</v>
      </c>
      <c r="V244" s="233">
        <v>0</v>
      </c>
      <c r="W244" s="233">
        <v>240000</v>
      </c>
      <c r="X244" s="233">
        <v>0</v>
      </c>
      <c r="Y244" s="233">
        <v>240000</v>
      </c>
      <c r="Z244" s="233">
        <v>240000</v>
      </c>
      <c r="AA244" s="233">
        <v>240000</v>
      </c>
      <c r="AB244" s="233">
        <v>240000</v>
      </c>
    </row>
    <row r="245" spans="1:28" ht="15" customHeight="1" x14ac:dyDescent="0.25">
      <c r="A245" s="230" t="s">
        <v>401</v>
      </c>
      <c r="B245" s="231" t="s">
        <v>402</v>
      </c>
      <c r="C245" s="232" t="s">
        <v>365</v>
      </c>
      <c r="D245" s="230" t="s">
        <v>264</v>
      </c>
      <c r="E245" s="230" t="s">
        <v>269</v>
      </c>
      <c r="F245" s="230" t="s">
        <v>269</v>
      </c>
      <c r="G245" s="230" t="s">
        <v>269</v>
      </c>
      <c r="H245" s="230" t="s">
        <v>325</v>
      </c>
      <c r="I245" s="230" t="s">
        <v>331</v>
      </c>
      <c r="J245" s="230"/>
      <c r="K245" s="230"/>
      <c r="L245" s="230"/>
      <c r="M245" s="230" t="s">
        <v>266</v>
      </c>
      <c r="N245" s="230" t="s">
        <v>280</v>
      </c>
      <c r="O245" s="230" t="s">
        <v>267</v>
      </c>
      <c r="P245" s="231" t="s">
        <v>366</v>
      </c>
      <c r="Q245" s="231"/>
      <c r="R245" s="233">
        <v>40000000</v>
      </c>
      <c r="S245" s="233">
        <v>23300000</v>
      </c>
      <c r="T245" s="233">
        <v>0</v>
      </c>
      <c r="U245" s="233">
        <v>63300000</v>
      </c>
      <c r="V245" s="233">
        <v>0</v>
      </c>
      <c r="W245" s="233">
        <v>63300000</v>
      </c>
      <c r="X245" s="233">
        <v>0</v>
      </c>
      <c r="Y245" s="233">
        <v>57356477</v>
      </c>
      <c r="Z245" s="233">
        <v>57227563</v>
      </c>
      <c r="AA245" s="233">
        <v>57227563</v>
      </c>
      <c r="AB245" s="233">
        <v>57227563</v>
      </c>
    </row>
    <row r="246" spans="1:28" ht="15" customHeight="1" x14ac:dyDescent="0.25">
      <c r="A246" s="230" t="s">
        <v>401</v>
      </c>
      <c r="B246" s="231" t="s">
        <v>402</v>
      </c>
      <c r="C246" s="232" t="s">
        <v>367</v>
      </c>
      <c r="D246" s="230" t="s">
        <v>264</v>
      </c>
      <c r="E246" s="230" t="s">
        <v>269</v>
      </c>
      <c r="F246" s="230" t="s">
        <v>269</v>
      </c>
      <c r="G246" s="230" t="s">
        <v>269</v>
      </c>
      <c r="H246" s="230" t="s">
        <v>351</v>
      </c>
      <c r="I246" s="230" t="s">
        <v>319</v>
      </c>
      <c r="J246" s="230"/>
      <c r="K246" s="230"/>
      <c r="L246" s="230"/>
      <c r="M246" s="230" t="s">
        <v>266</v>
      </c>
      <c r="N246" s="230" t="s">
        <v>280</v>
      </c>
      <c r="O246" s="230" t="s">
        <v>267</v>
      </c>
      <c r="P246" s="231" t="s">
        <v>368</v>
      </c>
      <c r="Q246" s="231"/>
      <c r="R246" s="233">
        <v>600000</v>
      </c>
      <c r="S246" s="233">
        <v>440000</v>
      </c>
      <c r="T246" s="233">
        <v>0</v>
      </c>
      <c r="U246" s="233">
        <v>1040000</v>
      </c>
      <c r="V246" s="233">
        <v>0</v>
      </c>
      <c r="W246" s="233">
        <v>1040000</v>
      </c>
      <c r="X246" s="233">
        <v>0</v>
      </c>
      <c r="Y246" s="233">
        <v>860840</v>
      </c>
      <c r="Z246" s="233">
        <v>860840</v>
      </c>
      <c r="AA246" s="233">
        <v>860840</v>
      </c>
      <c r="AB246" s="233">
        <v>860840</v>
      </c>
    </row>
    <row r="247" spans="1:28" ht="15" customHeight="1" x14ac:dyDescent="0.25">
      <c r="A247" s="230" t="s">
        <v>401</v>
      </c>
      <c r="B247" s="231" t="s">
        <v>402</v>
      </c>
      <c r="C247" s="232" t="s">
        <v>369</v>
      </c>
      <c r="D247" s="230" t="s">
        <v>264</v>
      </c>
      <c r="E247" s="230" t="s">
        <v>269</v>
      </c>
      <c r="F247" s="230" t="s">
        <v>269</v>
      </c>
      <c r="G247" s="230" t="s">
        <v>269</v>
      </c>
      <c r="H247" s="230" t="s">
        <v>331</v>
      </c>
      <c r="I247" s="230" t="s">
        <v>319</v>
      </c>
      <c r="J247" s="230"/>
      <c r="K247" s="230"/>
      <c r="L247" s="230"/>
      <c r="M247" s="230" t="s">
        <v>266</v>
      </c>
      <c r="N247" s="230" t="s">
        <v>280</v>
      </c>
      <c r="O247" s="230" t="s">
        <v>267</v>
      </c>
      <c r="P247" s="231" t="s">
        <v>370</v>
      </c>
      <c r="Q247" s="231"/>
      <c r="R247" s="233">
        <v>1500000</v>
      </c>
      <c r="S247" s="233">
        <v>0</v>
      </c>
      <c r="T247" s="233">
        <v>0</v>
      </c>
      <c r="U247" s="233">
        <v>1500000</v>
      </c>
      <c r="V247" s="233">
        <v>0</v>
      </c>
      <c r="W247" s="233">
        <v>1500000</v>
      </c>
      <c r="X247" s="233">
        <v>0</v>
      </c>
      <c r="Y247" s="233">
        <v>1070706</v>
      </c>
      <c r="Z247" s="233">
        <v>947790.21</v>
      </c>
      <c r="AA247" s="233">
        <v>947790.21</v>
      </c>
      <c r="AB247" s="233">
        <v>947790.21</v>
      </c>
    </row>
    <row r="248" spans="1:28" ht="15" customHeight="1" x14ac:dyDescent="0.25">
      <c r="A248" s="230" t="s">
        <v>401</v>
      </c>
      <c r="B248" s="231" t="s">
        <v>402</v>
      </c>
      <c r="C248" s="232" t="s">
        <v>371</v>
      </c>
      <c r="D248" s="230" t="s">
        <v>264</v>
      </c>
      <c r="E248" s="230" t="s">
        <v>269</v>
      </c>
      <c r="F248" s="230" t="s">
        <v>269</v>
      </c>
      <c r="G248" s="230" t="s">
        <v>269</v>
      </c>
      <c r="H248" s="230" t="s">
        <v>334</v>
      </c>
      <c r="I248" s="230"/>
      <c r="J248" s="230"/>
      <c r="K248" s="230"/>
      <c r="L248" s="230"/>
      <c r="M248" s="230" t="s">
        <v>266</v>
      </c>
      <c r="N248" s="230" t="s">
        <v>280</v>
      </c>
      <c r="O248" s="230" t="s">
        <v>267</v>
      </c>
      <c r="P248" s="231" t="s">
        <v>372</v>
      </c>
      <c r="Q248" s="231"/>
      <c r="R248" s="233">
        <v>0</v>
      </c>
      <c r="S248" s="233">
        <v>6014115</v>
      </c>
      <c r="T248" s="233">
        <v>0</v>
      </c>
      <c r="U248" s="233">
        <v>6014115</v>
      </c>
      <c r="V248" s="233">
        <v>0</v>
      </c>
      <c r="W248" s="233">
        <v>6014115</v>
      </c>
      <c r="X248" s="233">
        <v>0</v>
      </c>
      <c r="Y248" s="233">
        <v>5046705</v>
      </c>
      <c r="Z248" s="233">
        <v>5046705</v>
      </c>
      <c r="AA248" s="233">
        <v>5046705</v>
      </c>
      <c r="AB248" s="233">
        <v>5046705</v>
      </c>
    </row>
    <row r="249" spans="1:28" ht="15" customHeight="1" x14ac:dyDescent="0.25">
      <c r="A249" s="230" t="s">
        <v>401</v>
      </c>
      <c r="B249" s="231" t="s">
        <v>402</v>
      </c>
      <c r="C249" s="232" t="s">
        <v>373</v>
      </c>
      <c r="D249" s="230" t="s">
        <v>264</v>
      </c>
      <c r="E249" s="230" t="s">
        <v>271</v>
      </c>
      <c r="F249" s="230" t="s">
        <v>277</v>
      </c>
      <c r="G249" s="230" t="s">
        <v>269</v>
      </c>
      <c r="H249" s="230" t="s">
        <v>278</v>
      </c>
      <c r="I249" s="230" t="s">
        <v>281</v>
      </c>
      <c r="J249" s="230"/>
      <c r="K249" s="230"/>
      <c r="L249" s="230"/>
      <c r="M249" s="230" t="s">
        <v>266</v>
      </c>
      <c r="N249" s="230" t="s">
        <v>280</v>
      </c>
      <c r="O249" s="230" t="s">
        <v>267</v>
      </c>
      <c r="P249" s="231" t="s">
        <v>374</v>
      </c>
      <c r="Q249" s="231"/>
      <c r="R249" s="233">
        <v>0</v>
      </c>
      <c r="S249" s="233">
        <v>8281087</v>
      </c>
      <c r="T249" s="233">
        <v>0</v>
      </c>
      <c r="U249" s="233">
        <v>8281087</v>
      </c>
      <c r="V249" s="233">
        <v>0</v>
      </c>
      <c r="W249" s="233">
        <v>6452426</v>
      </c>
      <c r="X249" s="233">
        <v>1828661</v>
      </c>
      <c r="Y249" s="233">
        <v>6452426</v>
      </c>
      <c r="Z249" s="233">
        <v>6452426</v>
      </c>
      <c r="AA249" s="233">
        <v>6452426</v>
      </c>
      <c r="AB249" s="233">
        <v>6452426</v>
      </c>
    </row>
    <row r="250" spans="1:28" ht="15" customHeight="1" x14ac:dyDescent="0.25">
      <c r="A250" s="230" t="s">
        <v>401</v>
      </c>
      <c r="B250" s="231" t="s">
        <v>402</v>
      </c>
      <c r="C250" s="232" t="s">
        <v>375</v>
      </c>
      <c r="D250" s="230" t="s">
        <v>264</v>
      </c>
      <c r="E250" s="230" t="s">
        <v>285</v>
      </c>
      <c r="F250" s="230" t="s">
        <v>265</v>
      </c>
      <c r="G250" s="230" t="s">
        <v>269</v>
      </c>
      <c r="H250" s="230" t="s">
        <v>281</v>
      </c>
      <c r="I250" s="230"/>
      <c r="J250" s="230"/>
      <c r="K250" s="230"/>
      <c r="L250" s="230"/>
      <c r="M250" s="230" t="s">
        <v>266</v>
      </c>
      <c r="N250" s="230" t="s">
        <v>280</v>
      </c>
      <c r="O250" s="230" t="s">
        <v>267</v>
      </c>
      <c r="P250" s="231" t="s">
        <v>376</v>
      </c>
      <c r="Q250" s="231"/>
      <c r="R250" s="233">
        <v>0</v>
      </c>
      <c r="S250" s="233">
        <v>19099207</v>
      </c>
      <c r="T250" s="233">
        <v>0</v>
      </c>
      <c r="U250" s="233">
        <v>19099207</v>
      </c>
      <c r="V250" s="233">
        <v>0</v>
      </c>
      <c r="W250" s="233">
        <v>19099207</v>
      </c>
      <c r="X250" s="233">
        <v>0</v>
      </c>
      <c r="Y250" s="233">
        <v>19099207</v>
      </c>
      <c r="Z250" s="233">
        <v>19099207</v>
      </c>
      <c r="AA250" s="233">
        <v>19099207</v>
      </c>
      <c r="AB250" s="233">
        <v>19099207</v>
      </c>
    </row>
    <row r="251" spans="1:28" ht="15" customHeight="1" x14ac:dyDescent="0.25">
      <c r="A251" s="230" t="s">
        <v>401</v>
      </c>
      <c r="B251" s="231" t="s">
        <v>402</v>
      </c>
      <c r="C251" s="232" t="s">
        <v>377</v>
      </c>
      <c r="D251" s="230" t="s">
        <v>264</v>
      </c>
      <c r="E251" s="230" t="s">
        <v>285</v>
      </c>
      <c r="F251" s="230" t="s">
        <v>265</v>
      </c>
      <c r="G251" s="230" t="s">
        <v>269</v>
      </c>
      <c r="H251" s="230" t="s">
        <v>316</v>
      </c>
      <c r="I251" s="230"/>
      <c r="J251" s="230"/>
      <c r="K251" s="230"/>
      <c r="L251" s="230"/>
      <c r="M251" s="230" t="s">
        <v>273</v>
      </c>
      <c r="N251" s="230" t="s">
        <v>34</v>
      </c>
      <c r="O251" s="230" t="s">
        <v>267</v>
      </c>
      <c r="P251" s="231" t="s">
        <v>378</v>
      </c>
      <c r="Q251" s="231"/>
      <c r="R251" s="233">
        <v>0</v>
      </c>
      <c r="S251" s="233">
        <v>1649000</v>
      </c>
      <c r="T251" s="233">
        <v>0</v>
      </c>
      <c r="U251" s="233">
        <v>1649000</v>
      </c>
      <c r="V251" s="233">
        <v>0</v>
      </c>
      <c r="W251" s="233">
        <v>1649000</v>
      </c>
      <c r="X251" s="233">
        <v>0</v>
      </c>
      <c r="Y251" s="233">
        <v>1649000</v>
      </c>
      <c r="Z251" s="233">
        <v>1649000</v>
      </c>
      <c r="AA251" s="233">
        <v>1649000</v>
      </c>
      <c r="AB251" s="233">
        <v>1649000</v>
      </c>
    </row>
    <row r="252" spans="1:28" ht="15" customHeight="1" x14ac:dyDescent="0.25">
      <c r="A252" s="230" t="s">
        <v>405</v>
      </c>
      <c r="B252" s="231" t="s">
        <v>406</v>
      </c>
      <c r="C252" s="232" t="s">
        <v>313</v>
      </c>
      <c r="D252" s="230" t="s">
        <v>264</v>
      </c>
      <c r="E252" s="230" t="s">
        <v>265</v>
      </c>
      <c r="F252" s="230" t="s">
        <v>265</v>
      </c>
      <c r="G252" s="230" t="s">
        <v>265</v>
      </c>
      <c r="H252" s="230" t="s">
        <v>281</v>
      </c>
      <c r="I252" s="230" t="s">
        <v>281</v>
      </c>
      <c r="J252" s="230"/>
      <c r="K252" s="230"/>
      <c r="L252" s="230"/>
      <c r="M252" s="230" t="s">
        <v>266</v>
      </c>
      <c r="N252" s="230" t="s">
        <v>280</v>
      </c>
      <c r="O252" s="230" t="s">
        <v>267</v>
      </c>
      <c r="P252" s="231" t="s">
        <v>314</v>
      </c>
      <c r="Q252" s="231"/>
      <c r="R252" s="233">
        <v>944000000</v>
      </c>
      <c r="S252" s="233">
        <v>0</v>
      </c>
      <c r="T252" s="233">
        <v>0</v>
      </c>
      <c r="U252" s="233">
        <v>944000000</v>
      </c>
      <c r="V252" s="233">
        <v>0</v>
      </c>
      <c r="W252" s="233">
        <v>791454948</v>
      </c>
      <c r="X252" s="233">
        <v>152545052</v>
      </c>
      <c r="Y252" s="233">
        <v>791454948</v>
      </c>
      <c r="Z252" s="233">
        <v>791454948</v>
      </c>
      <c r="AA252" s="233">
        <v>791454948</v>
      </c>
      <c r="AB252" s="233">
        <v>791454948</v>
      </c>
    </row>
    <row r="253" spans="1:28" ht="15" customHeight="1" x14ac:dyDescent="0.25">
      <c r="A253" s="230" t="s">
        <v>405</v>
      </c>
      <c r="B253" s="231" t="s">
        <v>406</v>
      </c>
      <c r="C253" s="232" t="s">
        <v>315</v>
      </c>
      <c r="D253" s="230" t="s">
        <v>264</v>
      </c>
      <c r="E253" s="230" t="s">
        <v>265</v>
      </c>
      <c r="F253" s="230" t="s">
        <v>265</v>
      </c>
      <c r="G253" s="230" t="s">
        <v>265</v>
      </c>
      <c r="H253" s="230" t="s">
        <v>281</v>
      </c>
      <c r="I253" s="230" t="s">
        <v>316</v>
      </c>
      <c r="J253" s="230"/>
      <c r="K253" s="230"/>
      <c r="L253" s="230"/>
      <c r="M253" s="230" t="s">
        <v>266</v>
      </c>
      <c r="N253" s="230" t="s">
        <v>280</v>
      </c>
      <c r="O253" s="230" t="s">
        <v>267</v>
      </c>
      <c r="P253" s="231" t="s">
        <v>317</v>
      </c>
      <c r="Q253" s="231"/>
      <c r="R253" s="233">
        <v>0</v>
      </c>
      <c r="S253" s="233">
        <v>8000000</v>
      </c>
      <c r="T253" s="233">
        <v>0</v>
      </c>
      <c r="U253" s="233">
        <v>8000000</v>
      </c>
      <c r="V253" s="233">
        <v>0</v>
      </c>
      <c r="W253" s="233">
        <v>5122536</v>
      </c>
      <c r="X253" s="233">
        <v>2877464</v>
      </c>
      <c r="Y253" s="233">
        <v>5122536</v>
      </c>
      <c r="Z253" s="233">
        <v>5122536</v>
      </c>
      <c r="AA253" s="233">
        <v>5122536</v>
      </c>
      <c r="AB253" s="233">
        <v>5122536</v>
      </c>
    </row>
    <row r="254" spans="1:28" ht="15" customHeight="1" x14ac:dyDescent="0.25">
      <c r="A254" s="230" t="s">
        <v>405</v>
      </c>
      <c r="B254" s="231" t="s">
        <v>406</v>
      </c>
      <c r="C254" s="232" t="s">
        <v>318</v>
      </c>
      <c r="D254" s="230" t="s">
        <v>264</v>
      </c>
      <c r="E254" s="230" t="s">
        <v>265</v>
      </c>
      <c r="F254" s="230" t="s">
        <v>265</v>
      </c>
      <c r="G254" s="230" t="s">
        <v>265</v>
      </c>
      <c r="H254" s="230" t="s">
        <v>281</v>
      </c>
      <c r="I254" s="230" t="s">
        <v>319</v>
      </c>
      <c r="J254" s="230"/>
      <c r="K254" s="230"/>
      <c r="L254" s="230"/>
      <c r="M254" s="230" t="s">
        <v>266</v>
      </c>
      <c r="N254" s="230" t="s">
        <v>280</v>
      </c>
      <c r="O254" s="230" t="s">
        <v>267</v>
      </c>
      <c r="P254" s="231" t="s">
        <v>320</v>
      </c>
      <c r="Q254" s="231"/>
      <c r="R254" s="233">
        <v>24000000</v>
      </c>
      <c r="S254" s="233">
        <v>6000000</v>
      </c>
      <c r="T254" s="233">
        <v>0</v>
      </c>
      <c r="U254" s="233">
        <v>30000000</v>
      </c>
      <c r="V254" s="233">
        <v>0</v>
      </c>
      <c r="W254" s="233">
        <v>17018063</v>
      </c>
      <c r="X254" s="233">
        <v>12981937</v>
      </c>
      <c r="Y254" s="233">
        <v>17018063</v>
      </c>
      <c r="Z254" s="233">
        <v>17018063</v>
      </c>
      <c r="AA254" s="233">
        <v>17018063</v>
      </c>
      <c r="AB254" s="233">
        <v>17018063</v>
      </c>
    </row>
    <row r="255" spans="1:28" ht="15" customHeight="1" x14ac:dyDescent="0.25">
      <c r="A255" s="230" t="s">
        <v>405</v>
      </c>
      <c r="B255" s="231" t="s">
        <v>406</v>
      </c>
      <c r="C255" s="232" t="s">
        <v>321</v>
      </c>
      <c r="D255" s="230" t="s">
        <v>264</v>
      </c>
      <c r="E255" s="230" t="s">
        <v>265</v>
      </c>
      <c r="F255" s="230" t="s">
        <v>265</v>
      </c>
      <c r="G255" s="230" t="s">
        <v>265</v>
      </c>
      <c r="H255" s="230" t="s">
        <v>281</v>
      </c>
      <c r="I255" s="230" t="s">
        <v>322</v>
      </c>
      <c r="J255" s="230"/>
      <c r="K255" s="230"/>
      <c r="L255" s="230"/>
      <c r="M255" s="230" t="s">
        <v>266</v>
      </c>
      <c r="N255" s="230" t="s">
        <v>280</v>
      </c>
      <c r="O255" s="230" t="s">
        <v>267</v>
      </c>
      <c r="P255" s="231" t="s">
        <v>323</v>
      </c>
      <c r="Q255" s="231"/>
      <c r="R255" s="233">
        <v>16992000</v>
      </c>
      <c r="S255" s="233">
        <v>9000000</v>
      </c>
      <c r="T255" s="233">
        <v>16992000</v>
      </c>
      <c r="U255" s="233">
        <v>9000000</v>
      </c>
      <c r="V255" s="233">
        <v>0</v>
      </c>
      <c r="W255" s="233">
        <v>3257494</v>
      </c>
      <c r="X255" s="233">
        <v>5742506</v>
      </c>
      <c r="Y255" s="233">
        <v>3257494</v>
      </c>
      <c r="Z255" s="233">
        <v>3257494</v>
      </c>
      <c r="AA255" s="233">
        <v>3257494</v>
      </c>
      <c r="AB255" s="233">
        <v>3257494</v>
      </c>
    </row>
    <row r="256" spans="1:28" ht="15" customHeight="1" x14ac:dyDescent="0.25">
      <c r="A256" s="230" t="s">
        <v>405</v>
      </c>
      <c r="B256" s="231" t="s">
        <v>406</v>
      </c>
      <c r="C256" s="232" t="s">
        <v>324</v>
      </c>
      <c r="D256" s="230" t="s">
        <v>264</v>
      </c>
      <c r="E256" s="230" t="s">
        <v>265</v>
      </c>
      <c r="F256" s="230" t="s">
        <v>265</v>
      </c>
      <c r="G256" s="230" t="s">
        <v>265</v>
      </c>
      <c r="H256" s="230" t="s">
        <v>281</v>
      </c>
      <c r="I256" s="230" t="s">
        <v>325</v>
      </c>
      <c r="J256" s="230"/>
      <c r="K256" s="230"/>
      <c r="L256" s="230"/>
      <c r="M256" s="230" t="s">
        <v>266</v>
      </c>
      <c r="N256" s="230" t="s">
        <v>280</v>
      </c>
      <c r="O256" s="230" t="s">
        <v>267</v>
      </c>
      <c r="P256" s="231" t="s">
        <v>326</v>
      </c>
      <c r="Q256" s="231"/>
      <c r="R256" s="233">
        <v>95000000</v>
      </c>
      <c r="S256" s="233">
        <v>2300000</v>
      </c>
      <c r="T256" s="233">
        <v>861192</v>
      </c>
      <c r="U256" s="233">
        <v>96438808</v>
      </c>
      <c r="V256" s="233">
        <v>0</v>
      </c>
      <c r="W256" s="233">
        <v>96323173</v>
      </c>
      <c r="X256" s="233">
        <v>115635</v>
      </c>
      <c r="Y256" s="233">
        <v>96323173</v>
      </c>
      <c r="Z256" s="233">
        <v>96323173</v>
      </c>
      <c r="AA256" s="233">
        <v>96323173</v>
      </c>
      <c r="AB256" s="233">
        <v>96323173</v>
      </c>
    </row>
    <row r="257" spans="1:28" ht="15" customHeight="1" x14ac:dyDescent="0.25">
      <c r="A257" s="230" t="s">
        <v>405</v>
      </c>
      <c r="B257" s="231" t="s">
        <v>406</v>
      </c>
      <c r="C257" s="232" t="s">
        <v>327</v>
      </c>
      <c r="D257" s="230" t="s">
        <v>264</v>
      </c>
      <c r="E257" s="230" t="s">
        <v>265</v>
      </c>
      <c r="F257" s="230" t="s">
        <v>265</v>
      </c>
      <c r="G257" s="230" t="s">
        <v>265</v>
      </c>
      <c r="H257" s="230" t="s">
        <v>281</v>
      </c>
      <c r="I257" s="230" t="s">
        <v>328</v>
      </c>
      <c r="J257" s="230"/>
      <c r="K257" s="230"/>
      <c r="L257" s="230"/>
      <c r="M257" s="230" t="s">
        <v>266</v>
      </c>
      <c r="N257" s="230" t="s">
        <v>280</v>
      </c>
      <c r="O257" s="230" t="s">
        <v>267</v>
      </c>
      <c r="P257" s="231" t="s">
        <v>329</v>
      </c>
      <c r="Q257" s="231"/>
      <c r="R257" s="233">
        <v>35000000</v>
      </c>
      <c r="S257" s="233">
        <v>3000000</v>
      </c>
      <c r="T257" s="233">
        <v>0</v>
      </c>
      <c r="U257" s="233">
        <v>38000000</v>
      </c>
      <c r="V257" s="233">
        <v>0</v>
      </c>
      <c r="W257" s="233">
        <v>33751214</v>
      </c>
      <c r="X257" s="233">
        <v>4248786</v>
      </c>
      <c r="Y257" s="233">
        <v>33751214</v>
      </c>
      <c r="Z257" s="233">
        <v>33751214</v>
      </c>
      <c r="AA257" s="233">
        <v>33751214</v>
      </c>
      <c r="AB257" s="233">
        <v>33751214</v>
      </c>
    </row>
    <row r="258" spans="1:28" ht="15" customHeight="1" x14ac:dyDescent="0.25">
      <c r="A258" s="230" t="s">
        <v>405</v>
      </c>
      <c r="B258" s="231" t="s">
        <v>406</v>
      </c>
      <c r="C258" s="232" t="s">
        <v>407</v>
      </c>
      <c r="D258" s="230" t="s">
        <v>264</v>
      </c>
      <c r="E258" s="230" t="s">
        <v>265</v>
      </c>
      <c r="F258" s="230" t="s">
        <v>265</v>
      </c>
      <c r="G258" s="230" t="s">
        <v>265</v>
      </c>
      <c r="H258" s="230" t="s">
        <v>281</v>
      </c>
      <c r="I258" s="230" t="s">
        <v>351</v>
      </c>
      <c r="J258" s="230"/>
      <c r="K258" s="230"/>
      <c r="L258" s="230"/>
      <c r="M258" s="230" t="s">
        <v>266</v>
      </c>
      <c r="N258" s="230" t="s">
        <v>280</v>
      </c>
      <c r="O258" s="230" t="s">
        <v>267</v>
      </c>
      <c r="P258" s="231" t="s">
        <v>408</v>
      </c>
      <c r="Q258" s="231"/>
      <c r="R258" s="233">
        <v>0</v>
      </c>
      <c r="S258" s="233">
        <v>1113000</v>
      </c>
      <c r="T258" s="233">
        <v>0</v>
      </c>
      <c r="U258" s="233">
        <v>1113000</v>
      </c>
      <c r="V258" s="233">
        <v>0</v>
      </c>
      <c r="W258" s="233">
        <v>474644</v>
      </c>
      <c r="X258" s="233">
        <v>638356</v>
      </c>
      <c r="Y258" s="233">
        <v>474644</v>
      </c>
      <c r="Z258" s="233">
        <v>474644</v>
      </c>
      <c r="AA258" s="233">
        <v>474644</v>
      </c>
      <c r="AB258" s="233">
        <v>474644</v>
      </c>
    </row>
    <row r="259" spans="1:28" ht="15" customHeight="1" x14ac:dyDescent="0.25">
      <c r="A259" s="230" t="s">
        <v>405</v>
      </c>
      <c r="B259" s="231" t="s">
        <v>406</v>
      </c>
      <c r="C259" s="232" t="s">
        <v>330</v>
      </c>
      <c r="D259" s="230" t="s">
        <v>264</v>
      </c>
      <c r="E259" s="230" t="s">
        <v>265</v>
      </c>
      <c r="F259" s="230" t="s">
        <v>265</v>
      </c>
      <c r="G259" s="230" t="s">
        <v>265</v>
      </c>
      <c r="H259" s="230" t="s">
        <v>281</v>
      </c>
      <c r="I259" s="230" t="s">
        <v>331</v>
      </c>
      <c r="J259" s="230"/>
      <c r="K259" s="230"/>
      <c r="L259" s="230"/>
      <c r="M259" s="230" t="s">
        <v>266</v>
      </c>
      <c r="N259" s="230" t="s">
        <v>280</v>
      </c>
      <c r="O259" s="230" t="s">
        <v>267</v>
      </c>
      <c r="P259" s="231" t="s">
        <v>332</v>
      </c>
      <c r="Q259" s="231"/>
      <c r="R259" s="233">
        <v>114000000</v>
      </c>
      <c r="S259" s="233">
        <v>0</v>
      </c>
      <c r="T259" s="233">
        <v>0</v>
      </c>
      <c r="U259" s="233">
        <v>114000000</v>
      </c>
      <c r="V259" s="233">
        <v>0</v>
      </c>
      <c r="W259" s="233">
        <v>96246563</v>
      </c>
      <c r="X259" s="233">
        <v>17753437</v>
      </c>
      <c r="Y259" s="233">
        <v>96246563</v>
      </c>
      <c r="Z259" s="233">
        <v>96246563</v>
      </c>
      <c r="AA259" s="233">
        <v>96246563</v>
      </c>
      <c r="AB259" s="233">
        <v>96246563</v>
      </c>
    </row>
    <row r="260" spans="1:28" ht="15" customHeight="1" x14ac:dyDescent="0.25">
      <c r="A260" s="230" t="s">
        <v>405</v>
      </c>
      <c r="B260" s="231" t="s">
        <v>406</v>
      </c>
      <c r="C260" s="232" t="s">
        <v>333</v>
      </c>
      <c r="D260" s="230" t="s">
        <v>264</v>
      </c>
      <c r="E260" s="230" t="s">
        <v>265</v>
      </c>
      <c r="F260" s="230" t="s">
        <v>265</v>
      </c>
      <c r="G260" s="230" t="s">
        <v>265</v>
      </c>
      <c r="H260" s="230" t="s">
        <v>281</v>
      </c>
      <c r="I260" s="230" t="s">
        <v>334</v>
      </c>
      <c r="J260" s="230"/>
      <c r="K260" s="230"/>
      <c r="L260" s="230"/>
      <c r="M260" s="230" t="s">
        <v>266</v>
      </c>
      <c r="N260" s="230" t="s">
        <v>280</v>
      </c>
      <c r="O260" s="230" t="s">
        <v>267</v>
      </c>
      <c r="P260" s="231" t="s">
        <v>335</v>
      </c>
      <c r="Q260" s="231"/>
      <c r="R260" s="233">
        <v>43000000</v>
      </c>
      <c r="S260" s="233">
        <v>37500000</v>
      </c>
      <c r="T260" s="233">
        <v>0</v>
      </c>
      <c r="U260" s="233">
        <v>80500000</v>
      </c>
      <c r="V260" s="233">
        <v>0</v>
      </c>
      <c r="W260" s="233">
        <v>70896778</v>
      </c>
      <c r="X260" s="233">
        <v>9603222</v>
      </c>
      <c r="Y260" s="233">
        <v>70896778</v>
      </c>
      <c r="Z260" s="233">
        <v>70896778</v>
      </c>
      <c r="AA260" s="233">
        <v>70896778</v>
      </c>
      <c r="AB260" s="233">
        <v>70896778</v>
      </c>
    </row>
    <row r="261" spans="1:28" ht="15" customHeight="1" x14ac:dyDescent="0.25">
      <c r="A261" s="230" t="s">
        <v>405</v>
      </c>
      <c r="B261" s="231" t="s">
        <v>406</v>
      </c>
      <c r="C261" s="232" t="s">
        <v>336</v>
      </c>
      <c r="D261" s="230" t="s">
        <v>264</v>
      </c>
      <c r="E261" s="230" t="s">
        <v>265</v>
      </c>
      <c r="F261" s="230" t="s">
        <v>265</v>
      </c>
      <c r="G261" s="230" t="s">
        <v>265</v>
      </c>
      <c r="H261" s="230" t="s">
        <v>281</v>
      </c>
      <c r="I261" s="230" t="s">
        <v>278</v>
      </c>
      <c r="J261" s="230"/>
      <c r="K261" s="230"/>
      <c r="L261" s="230"/>
      <c r="M261" s="230" t="s">
        <v>266</v>
      </c>
      <c r="N261" s="230" t="s">
        <v>280</v>
      </c>
      <c r="O261" s="230" t="s">
        <v>267</v>
      </c>
      <c r="P261" s="231" t="s">
        <v>337</v>
      </c>
      <c r="Q261" s="231"/>
      <c r="R261" s="233">
        <v>16000000</v>
      </c>
      <c r="S261" s="233">
        <v>13100000</v>
      </c>
      <c r="T261" s="233">
        <v>7550162</v>
      </c>
      <c r="U261" s="233">
        <v>21549838</v>
      </c>
      <c r="V261" s="233">
        <v>0</v>
      </c>
      <c r="W261" s="233">
        <v>21549838</v>
      </c>
      <c r="X261" s="233">
        <v>0</v>
      </c>
      <c r="Y261" s="233">
        <v>21549838</v>
      </c>
      <c r="Z261" s="233">
        <v>21549838</v>
      </c>
      <c r="AA261" s="233">
        <v>21549838</v>
      </c>
      <c r="AB261" s="233">
        <v>21549838</v>
      </c>
    </row>
    <row r="262" spans="1:28" ht="15" customHeight="1" x14ac:dyDescent="0.25">
      <c r="A262" s="230" t="s">
        <v>405</v>
      </c>
      <c r="B262" s="231" t="s">
        <v>406</v>
      </c>
      <c r="C262" s="232" t="s">
        <v>338</v>
      </c>
      <c r="D262" s="230" t="s">
        <v>264</v>
      </c>
      <c r="E262" s="230" t="s">
        <v>265</v>
      </c>
      <c r="F262" s="230" t="s">
        <v>265</v>
      </c>
      <c r="G262" s="230" t="s">
        <v>269</v>
      </c>
      <c r="H262" s="230" t="s">
        <v>281</v>
      </c>
      <c r="I262" s="230"/>
      <c r="J262" s="230"/>
      <c r="K262" s="230"/>
      <c r="L262" s="230"/>
      <c r="M262" s="230" t="s">
        <v>266</v>
      </c>
      <c r="N262" s="230" t="s">
        <v>280</v>
      </c>
      <c r="O262" s="230" t="s">
        <v>267</v>
      </c>
      <c r="P262" s="231" t="s">
        <v>339</v>
      </c>
      <c r="Q262" s="231"/>
      <c r="R262" s="233">
        <v>120000000</v>
      </c>
      <c r="S262" s="233">
        <v>3000000</v>
      </c>
      <c r="T262" s="233">
        <v>0</v>
      </c>
      <c r="U262" s="233">
        <v>123000000</v>
      </c>
      <c r="V262" s="233">
        <v>0</v>
      </c>
      <c r="W262" s="233">
        <v>108057425</v>
      </c>
      <c r="X262" s="233">
        <v>14942575</v>
      </c>
      <c r="Y262" s="233">
        <v>108057425</v>
      </c>
      <c r="Z262" s="233">
        <v>108057425</v>
      </c>
      <c r="AA262" s="233">
        <v>108057425</v>
      </c>
      <c r="AB262" s="233">
        <v>108057425</v>
      </c>
    </row>
    <row r="263" spans="1:28" ht="15" customHeight="1" x14ac:dyDescent="0.25">
      <c r="A263" s="230" t="s">
        <v>405</v>
      </c>
      <c r="B263" s="231" t="s">
        <v>406</v>
      </c>
      <c r="C263" s="232" t="s">
        <v>340</v>
      </c>
      <c r="D263" s="230" t="s">
        <v>264</v>
      </c>
      <c r="E263" s="230" t="s">
        <v>265</v>
      </c>
      <c r="F263" s="230" t="s">
        <v>265</v>
      </c>
      <c r="G263" s="230" t="s">
        <v>269</v>
      </c>
      <c r="H263" s="230" t="s">
        <v>283</v>
      </c>
      <c r="I263" s="230"/>
      <c r="J263" s="230"/>
      <c r="K263" s="230"/>
      <c r="L263" s="230"/>
      <c r="M263" s="230" t="s">
        <v>266</v>
      </c>
      <c r="N263" s="230" t="s">
        <v>280</v>
      </c>
      <c r="O263" s="230" t="s">
        <v>267</v>
      </c>
      <c r="P263" s="231" t="s">
        <v>341</v>
      </c>
      <c r="Q263" s="231"/>
      <c r="R263" s="233">
        <v>88000000</v>
      </c>
      <c r="S263" s="233">
        <v>0</v>
      </c>
      <c r="T263" s="233">
        <v>0</v>
      </c>
      <c r="U263" s="233">
        <v>88000000</v>
      </c>
      <c r="V263" s="233">
        <v>0</v>
      </c>
      <c r="W263" s="233">
        <v>76419976</v>
      </c>
      <c r="X263" s="233">
        <v>11580024</v>
      </c>
      <c r="Y263" s="233">
        <v>76419976</v>
      </c>
      <c r="Z263" s="233">
        <v>76419976</v>
      </c>
      <c r="AA263" s="233">
        <v>76419976</v>
      </c>
      <c r="AB263" s="233">
        <v>76419976</v>
      </c>
    </row>
    <row r="264" spans="1:28" ht="15" customHeight="1" x14ac:dyDescent="0.25">
      <c r="A264" s="230" t="s">
        <v>405</v>
      </c>
      <c r="B264" s="231" t="s">
        <v>406</v>
      </c>
      <c r="C264" s="232" t="s">
        <v>342</v>
      </c>
      <c r="D264" s="230" t="s">
        <v>264</v>
      </c>
      <c r="E264" s="230" t="s">
        <v>265</v>
      </c>
      <c r="F264" s="230" t="s">
        <v>265</v>
      </c>
      <c r="G264" s="230" t="s">
        <v>269</v>
      </c>
      <c r="H264" s="230" t="s">
        <v>319</v>
      </c>
      <c r="I264" s="230"/>
      <c r="J264" s="230"/>
      <c r="K264" s="230"/>
      <c r="L264" s="230"/>
      <c r="M264" s="230" t="s">
        <v>266</v>
      </c>
      <c r="N264" s="230" t="s">
        <v>280</v>
      </c>
      <c r="O264" s="230" t="s">
        <v>267</v>
      </c>
      <c r="P264" s="231" t="s">
        <v>343</v>
      </c>
      <c r="Q264" s="231"/>
      <c r="R264" s="233">
        <v>48000000</v>
      </c>
      <c r="S264" s="233">
        <v>12000000</v>
      </c>
      <c r="T264" s="233">
        <v>0</v>
      </c>
      <c r="U264" s="233">
        <v>60000000</v>
      </c>
      <c r="V264" s="233">
        <v>0</v>
      </c>
      <c r="W264" s="233">
        <v>50857999</v>
      </c>
      <c r="X264" s="233">
        <v>9142001</v>
      </c>
      <c r="Y264" s="233">
        <v>50857999</v>
      </c>
      <c r="Z264" s="233">
        <v>50857999</v>
      </c>
      <c r="AA264" s="233">
        <v>50857999</v>
      </c>
      <c r="AB264" s="233">
        <v>50857999</v>
      </c>
    </row>
    <row r="265" spans="1:28" ht="15" customHeight="1" x14ac:dyDescent="0.25">
      <c r="A265" s="230" t="s">
        <v>405</v>
      </c>
      <c r="B265" s="231" t="s">
        <v>406</v>
      </c>
      <c r="C265" s="232" t="s">
        <v>344</v>
      </c>
      <c r="D265" s="230" t="s">
        <v>264</v>
      </c>
      <c r="E265" s="230" t="s">
        <v>265</v>
      </c>
      <c r="F265" s="230" t="s">
        <v>265</v>
      </c>
      <c r="G265" s="230" t="s">
        <v>269</v>
      </c>
      <c r="H265" s="230" t="s">
        <v>322</v>
      </c>
      <c r="I265" s="230"/>
      <c r="J265" s="230"/>
      <c r="K265" s="230"/>
      <c r="L265" s="230"/>
      <c r="M265" s="230" t="s">
        <v>266</v>
      </c>
      <c r="N265" s="230" t="s">
        <v>280</v>
      </c>
      <c r="O265" s="230" t="s">
        <v>267</v>
      </c>
      <c r="P265" s="231" t="s">
        <v>345</v>
      </c>
      <c r="Q265" s="231"/>
      <c r="R265" s="233">
        <v>16000000</v>
      </c>
      <c r="S265" s="233">
        <v>0</v>
      </c>
      <c r="T265" s="233">
        <v>0</v>
      </c>
      <c r="U265" s="233">
        <v>16000000</v>
      </c>
      <c r="V265" s="233">
        <v>0</v>
      </c>
      <c r="W265" s="233">
        <v>11708500</v>
      </c>
      <c r="X265" s="233">
        <v>4291500</v>
      </c>
      <c r="Y265" s="233">
        <v>11708500</v>
      </c>
      <c r="Z265" s="233">
        <v>11708500</v>
      </c>
      <c r="AA265" s="233">
        <v>11708500</v>
      </c>
      <c r="AB265" s="233">
        <v>11708500</v>
      </c>
    </row>
    <row r="266" spans="1:28" ht="15" customHeight="1" x14ac:dyDescent="0.25">
      <c r="A266" s="230" t="s">
        <v>405</v>
      </c>
      <c r="B266" s="231" t="s">
        <v>406</v>
      </c>
      <c r="C266" s="232" t="s">
        <v>346</v>
      </c>
      <c r="D266" s="230" t="s">
        <v>264</v>
      </c>
      <c r="E266" s="230" t="s">
        <v>265</v>
      </c>
      <c r="F266" s="230" t="s">
        <v>265</v>
      </c>
      <c r="G266" s="230" t="s">
        <v>269</v>
      </c>
      <c r="H266" s="230" t="s">
        <v>325</v>
      </c>
      <c r="I266" s="230"/>
      <c r="J266" s="230"/>
      <c r="K266" s="230"/>
      <c r="L266" s="230"/>
      <c r="M266" s="230" t="s">
        <v>266</v>
      </c>
      <c r="N266" s="230" t="s">
        <v>280</v>
      </c>
      <c r="O266" s="230" t="s">
        <v>267</v>
      </c>
      <c r="P266" s="231" t="s">
        <v>347</v>
      </c>
      <c r="Q266" s="231"/>
      <c r="R266" s="233">
        <v>36000000</v>
      </c>
      <c r="S266" s="233">
        <v>6100000</v>
      </c>
      <c r="T266" s="233">
        <v>0</v>
      </c>
      <c r="U266" s="233">
        <v>42100000</v>
      </c>
      <c r="V266" s="233">
        <v>0</v>
      </c>
      <c r="W266" s="233">
        <v>38175000</v>
      </c>
      <c r="X266" s="233">
        <v>3925000</v>
      </c>
      <c r="Y266" s="233">
        <v>38175000</v>
      </c>
      <c r="Z266" s="233">
        <v>38175000</v>
      </c>
      <c r="AA266" s="233">
        <v>38175000</v>
      </c>
      <c r="AB266" s="233">
        <v>38175000</v>
      </c>
    </row>
    <row r="267" spans="1:28" ht="15" customHeight="1" x14ac:dyDescent="0.25">
      <c r="A267" s="230" t="s">
        <v>405</v>
      </c>
      <c r="B267" s="231" t="s">
        <v>406</v>
      </c>
      <c r="C267" s="232" t="s">
        <v>348</v>
      </c>
      <c r="D267" s="230" t="s">
        <v>264</v>
      </c>
      <c r="E267" s="230" t="s">
        <v>265</v>
      </c>
      <c r="F267" s="230" t="s">
        <v>265</v>
      </c>
      <c r="G267" s="230" t="s">
        <v>269</v>
      </c>
      <c r="H267" s="230" t="s">
        <v>328</v>
      </c>
      <c r="I267" s="230"/>
      <c r="J267" s="230"/>
      <c r="K267" s="230"/>
      <c r="L267" s="230"/>
      <c r="M267" s="230" t="s">
        <v>266</v>
      </c>
      <c r="N267" s="230" t="s">
        <v>280</v>
      </c>
      <c r="O267" s="230" t="s">
        <v>267</v>
      </c>
      <c r="P267" s="231" t="s">
        <v>349</v>
      </c>
      <c r="Q267" s="231"/>
      <c r="R267" s="233">
        <v>5000000</v>
      </c>
      <c r="S267" s="233">
        <v>24400000</v>
      </c>
      <c r="T267" s="233">
        <v>0</v>
      </c>
      <c r="U267" s="233">
        <v>29400000</v>
      </c>
      <c r="V267" s="233">
        <v>0</v>
      </c>
      <c r="W267" s="233">
        <v>25462500</v>
      </c>
      <c r="X267" s="233">
        <v>3937500</v>
      </c>
      <c r="Y267" s="233">
        <v>25462500</v>
      </c>
      <c r="Z267" s="233">
        <v>25462500</v>
      </c>
      <c r="AA267" s="233">
        <v>25462500</v>
      </c>
      <c r="AB267" s="233">
        <v>25462500</v>
      </c>
    </row>
    <row r="268" spans="1:28" ht="15" customHeight="1" x14ac:dyDescent="0.25">
      <c r="A268" s="230" t="s">
        <v>405</v>
      </c>
      <c r="B268" s="231" t="s">
        <v>406</v>
      </c>
      <c r="C268" s="232" t="s">
        <v>350</v>
      </c>
      <c r="D268" s="230" t="s">
        <v>264</v>
      </c>
      <c r="E268" s="230" t="s">
        <v>265</v>
      </c>
      <c r="F268" s="230" t="s">
        <v>265</v>
      </c>
      <c r="G268" s="230" t="s">
        <v>269</v>
      </c>
      <c r="H268" s="230" t="s">
        <v>351</v>
      </c>
      <c r="I268" s="230"/>
      <c r="J268" s="230"/>
      <c r="K268" s="230"/>
      <c r="L268" s="230"/>
      <c r="M268" s="230" t="s">
        <v>266</v>
      </c>
      <c r="N268" s="230" t="s">
        <v>280</v>
      </c>
      <c r="O268" s="230" t="s">
        <v>267</v>
      </c>
      <c r="P268" s="231" t="s">
        <v>352</v>
      </c>
      <c r="Q268" s="231"/>
      <c r="R268" s="233">
        <v>5000000</v>
      </c>
      <c r="S268" s="233">
        <v>0</v>
      </c>
      <c r="T268" s="233">
        <v>5000000</v>
      </c>
      <c r="U268" s="233">
        <v>0</v>
      </c>
      <c r="V268" s="233">
        <v>0</v>
      </c>
      <c r="W268" s="233">
        <v>0</v>
      </c>
      <c r="X268" s="233">
        <v>0</v>
      </c>
      <c r="Y268" s="233">
        <v>0</v>
      </c>
      <c r="Z268" s="233">
        <v>0</v>
      </c>
      <c r="AA268" s="233">
        <v>0</v>
      </c>
      <c r="AB268" s="233">
        <v>0</v>
      </c>
    </row>
    <row r="269" spans="1:28" ht="15" customHeight="1" x14ac:dyDescent="0.25">
      <c r="A269" s="230" t="s">
        <v>405</v>
      </c>
      <c r="B269" s="231" t="s">
        <v>406</v>
      </c>
      <c r="C269" s="232" t="s">
        <v>353</v>
      </c>
      <c r="D269" s="230" t="s">
        <v>264</v>
      </c>
      <c r="E269" s="230" t="s">
        <v>265</v>
      </c>
      <c r="F269" s="230" t="s">
        <v>265</v>
      </c>
      <c r="G269" s="230" t="s">
        <v>269</v>
      </c>
      <c r="H269" s="230" t="s">
        <v>331</v>
      </c>
      <c r="I269" s="230"/>
      <c r="J269" s="230"/>
      <c r="K269" s="230"/>
      <c r="L269" s="230"/>
      <c r="M269" s="230" t="s">
        <v>266</v>
      </c>
      <c r="N269" s="230" t="s">
        <v>280</v>
      </c>
      <c r="O269" s="230" t="s">
        <v>267</v>
      </c>
      <c r="P269" s="231" t="s">
        <v>354</v>
      </c>
      <c r="Q269" s="231"/>
      <c r="R269" s="233">
        <v>10000000</v>
      </c>
      <c r="S269" s="233">
        <v>0</v>
      </c>
      <c r="T269" s="233">
        <v>10000000</v>
      </c>
      <c r="U269" s="233">
        <v>0</v>
      </c>
      <c r="V269" s="233">
        <v>0</v>
      </c>
      <c r="W269" s="233">
        <v>0</v>
      </c>
      <c r="X269" s="233">
        <v>0</v>
      </c>
      <c r="Y269" s="233">
        <v>0</v>
      </c>
      <c r="Z269" s="233">
        <v>0</v>
      </c>
      <c r="AA269" s="233">
        <v>0</v>
      </c>
      <c r="AB269" s="233">
        <v>0</v>
      </c>
    </row>
    <row r="270" spans="1:28" ht="15" customHeight="1" x14ac:dyDescent="0.25">
      <c r="A270" s="230" t="s">
        <v>405</v>
      </c>
      <c r="B270" s="231" t="s">
        <v>406</v>
      </c>
      <c r="C270" s="232" t="s">
        <v>355</v>
      </c>
      <c r="D270" s="230" t="s">
        <v>264</v>
      </c>
      <c r="E270" s="230" t="s">
        <v>265</v>
      </c>
      <c r="F270" s="230" t="s">
        <v>265</v>
      </c>
      <c r="G270" s="230" t="s">
        <v>271</v>
      </c>
      <c r="H270" s="230" t="s">
        <v>281</v>
      </c>
      <c r="I270" s="230" t="s">
        <v>281</v>
      </c>
      <c r="J270" s="230"/>
      <c r="K270" s="230"/>
      <c r="L270" s="230"/>
      <c r="M270" s="230" t="s">
        <v>266</v>
      </c>
      <c r="N270" s="230" t="s">
        <v>280</v>
      </c>
      <c r="O270" s="230" t="s">
        <v>267</v>
      </c>
      <c r="P270" s="231" t="s">
        <v>356</v>
      </c>
      <c r="Q270" s="231"/>
      <c r="R270" s="233">
        <v>44000000</v>
      </c>
      <c r="S270" s="233">
        <v>7350000</v>
      </c>
      <c r="T270" s="233">
        <v>0</v>
      </c>
      <c r="U270" s="233">
        <v>51350000</v>
      </c>
      <c r="V270" s="233">
        <v>0</v>
      </c>
      <c r="W270" s="233">
        <v>42505704</v>
      </c>
      <c r="X270" s="233">
        <v>8844296</v>
      </c>
      <c r="Y270" s="233">
        <v>42505704</v>
      </c>
      <c r="Z270" s="233">
        <v>42505704</v>
      </c>
      <c r="AA270" s="233">
        <v>42505704</v>
      </c>
      <c r="AB270" s="233">
        <v>42505704</v>
      </c>
    </row>
    <row r="271" spans="1:28" ht="15" customHeight="1" x14ac:dyDescent="0.25">
      <c r="A271" s="230" t="s">
        <v>405</v>
      </c>
      <c r="B271" s="231" t="s">
        <v>406</v>
      </c>
      <c r="C271" s="232" t="s">
        <v>357</v>
      </c>
      <c r="D271" s="230" t="s">
        <v>264</v>
      </c>
      <c r="E271" s="230" t="s">
        <v>265</v>
      </c>
      <c r="F271" s="230" t="s">
        <v>265</v>
      </c>
      <c r="G271" s="230" t="s">
        <v>271</v>
      </c>
      <c r="H271" s="230" t="s">
        <v>281</v>
      </c>
      <c r="I271" s="230" t="s">
        <v>283</v>
      </c>
      <c r="J271" s="230"/>
      <c r="K271" s="230"/>
      <c r="L271" s="230"/>
      <c r="M271" s="230" t="s">
        <v>266</v>
      </c>
      <c r="N271" s="230" t="s">
        <v>280</v>
      </c>
      <c r="O271" s="230" t="s">
        <v>267</v>
      </c>
      <c r="P271" s="231" t="s">
        <v>358</v>
      </c>
      <c r="Q271" s="231"/>
      <c r="R271" s="233">
        <v>0</v>
      </c>
      <c r="S271" s="233">
        <v>61400000</v>
      </c>
      <c r="T271" s="233">
        <v>14400000</v>
      </c>
      <c r="U271" s="233">
        <v>47000000</v>
      </c>
      <c r="V271" s="233">
        <v>0</v>
      </c>
      <c r="W271" s="233">
        <v>44853335</v>
      </c>
      <c r="X271" s="233">
        <v>2146665</v>
      </c>
      <c r="Y271" s="233">
        <v>44853335</v>
      </c>
      <c r="Z271" s="233">
        <v>44853335</v>
      </c>
      <c r="AA271" s="233">
        <v>44853335</v>
      </c>
      <c r="AB271" s="233">
        <v>44853335</v>
      </c>
    </row>
    <row r="272" spans="1:28" ht="15" customHeight="1" x14ac:dyDescent="0.25">
      <c r="A272" s="230" t="s">
        <v>405</v>
      </c>
      <c r="B272" s="231" t="s">
        <v>406</v>
      </c>
      <c r="C272" s="232" t="s">
        <v>359</v>
      </c>
      <c r="D272" s="230" t="s">
        <v>264</v>
      </c>
      <c r="E272" s="230" t="s">
        <v>265</v>
      </c>
      <c r="F272" s="230" t="s">
        <v>265</v>
      </c>
      <c r="G272" s="230" t="s">
        <v>271</v>
      </c>
      <c r="H272" s="230" t="s">
        <v>281</v>
      </c>
      <c r="I272" s="230" t="s">
        <v>316</v>
      </c>
      <c r="J272" s="230"/>
      <c r="K272" s="230"/>
      <c r="L272" s="230"/>
      <c r="M272" s="230" t="s">
        <v>266</v>
      </c>
      <c r="N272" s="230" t="s">
        <v>280</v>
      </c>
      <c r="O272" s="230" t="s">
        <v>267</v>
      </c>
      <c r="P272" s="231" t="s">
        <v>360</v>
      </c>
      <c r="Q272" s="231"/>
      <c r="R272" s="233">
        <v>4000000</v>
      </c>
      <c r="S272" s="233">
        <v>9000000</v>
      </c>
      <c r="T272" s="233">
        <v>0</v>
      </c>
      <c r="U272" s="233">
        <v>13000000</v>
      </c>
      <c r="V272" s="233">
        <v>0</v>
      </c>
      <c r="W272" s="233">
        <v>6390569</v>
      </c>
      <c r="X272" s="233">
        <v>6609431</v>
      </c>
      <c r="Y272" s="233">
        <v>6390569</v>
      </c>
      <c r="Z272" s="233">
        <v>6390569</v>
      </c>
      <c r="AA272" s="233">
        <v>6390569</v>
      </c>
      <c r="AB272" s="233">
        <v>6390569</v>
      </c>
    </row>
    <row r="273" spans="1:28" ht="15" customHeight="1" x14ac:dyDescent="0.25">
      <c r="A273" s="230" t="s">
        <v>405</v>
      </c>
      <c r="B273" s="231" t="s">
        <v>406</v>
      </c>
      <c r="C273" s="232" t="s">
        <v>361</v>
      </c>
      <c r="D273" s="230" t="s">
        <v>264</v>
      </c>
      <c r="E273" s="230" t="s">
        <v>265</v>
      </c>
      <c r="F273" s="230" t="s">
        <v>265</v>
      </c>
      <c r="G273" s="230" t="s">
        <v>271</v>
      </c>
      <c r="H273" s="230" t="s">
        <v>283</v>
      </c>
      <c r="I273" s="230"/>
      <c r="J273" s="230"/>
      <c r="K273" s="230"/>
      <c r="L273" s="230"/>
      <c r="M273" s="230" t="s">
        <v>266</v>
      </c>
      <c r="N273" s="230" t="s">
        <v>280</v>
      </c>
      <c r="O273" s="230" t="s">
        <v>267</v>
      </c>
      <c r="P273" s="231" t="s">
        <v>362</v>
      </c>
      <c r="Q273" s="231"/>
      <c r="R273" s="233">
        <v>0</v>
      </c>
      <c r="S273" s="233">
        <v>23235674</v>
      </c>
      <c r="T273" s="233">
        <v>0</v>
      </c>
      <c r="U273" s="233">
        <v>23235674</v>
      </c>
      <c r="V273" s="233">
        <v>0</v>
      </c>
      <c r="W273" s="233">
        <v>14456417</v>
      </c>
      <c r="X273" s="233">
        <v>8779257</v>
      </c>
      <c r="Y273" s="233">
        <v>14456417</v>
      </c>
      <c r="Z273" s="233">
        <v>14456417</v>
      </c>
      <c r="AA273" s="233">
        <v>14456417</v>
      </c>
      <c r="AB273" s="233">
        <v>14456417</v>
      </c>
    </row>
    <row r="274" spans="1:28" ht="15" customHeight="1" x14ac:dyDescent="0.25">
      <c r="A274" s="230" t="s">
        <v>405</v>
      </c>
      <c r="B274" s="231" t="s">
        <v>406</v>
      </c>
      <c r="C274" s="232" t="s">
        <v>363</v>
      </c>
      <c r="D274" s="230" t="s">
        <v>264</v>
      </c>
      <c r="E274" s="230" t="s">
        <v>269</v>
      </c>
      <c r="F274" s="230" t="s">
        <v>269</v>
      </c>
      <c r="G274" s="230" t="s">
        <v>269</v>
      </c>
      <c r="H274" s="230" t="s">
        <v>325</v>
      </c>
      <c r="I274" s="230" t="s">
        <v>319</v>
      </c>
      <c r="J274" s="230"/>
      <c r="K274" s="230"/>
      <c r="L274" s="230"/>
      <c r="M274" s="230" t="s">
        <v>273</v>
      </c>
      <c r="N274" s="230" t="s">
        <v>34</v>
      </c>
      <c r="O274" s="230" t="s">
        <v>267</v>
      </c>
      <c r="P274" s="231" t="s">
        <v>364</v>
      </c>
      <c r="Q274" s="231"/>
      <c r="R274" s="233">
        <v>0</v>
      </c>
      <c r="S274" s="233">
        <v>36400</v>
      </c>
      <c r="T274" s="233">
        <v>0</v>
      </c>
      <c r="U274" s="233">
        <v>36400</v>
      </c>
      <c r="V274" s="233">
        <v>0</v>
      </c>
      <c r="W274" s="233">
        <v>36400</v>
      </c>
      <c r="X274" s="233">
        <v>0</v>
      </c>
      <c r="Y274" s="233">
        <v>36400</v>
      </c>
      <c r="Z274" s="233">
        <v>36400</v>
      </c>
      <c r="AA274" s="233">
        <v>36400</v>
      </c>
      <c r="AB274" s="233">
        <v>36400</v>
      </c>
    </row>
    <row r="275" spans="1:28" ht="15" customHeight="1" x14ac:dyDescent="0.25">
      <c r="A275" s="230" t="s">
        <v>405</v>
      </c>
      <c r="B275" s="231" t="s">
        <v>406</v>
      </c>
      <c r="C275" s="232" t="s">
        <v>365</v>
      </c>
      <c r="D275" s="230" t="s">
        <v>264</v>
      </c>
      <c r="E275" s="230" t="s">
        <v>269</v>
      </c>
      <c r="F275" s="230" t="s">
        <v>269</v>
      </c>
      <c r="G275" s="230" t="s">
        <v>269</v>
      </c>
      <c r="H275" s="230" t="s">
        <v>325</v>
      </c>
      <c r="I275" s="230" t="s">
        <v>331</v>
      </c>
      <c r="J275" s="230"/>
      <c r="K275" s="230"/>
      <c r="L275" s="230"/>
      <c r="M275" s="230" t="s">
        <v>266</v>
      </c>
      <c r="N275" s="230" t="s">
        <v>280</v>
      </c>
      <c r="O275" s="230" t="s">
        <v>267</v>
      </c>
      <c r="P275" s="231" t="s">
        <v>366</v>
      </c>
      <c r="Q275" s="231"/>
      <c r="R275" s="233">
        <v>1100000</v>
      </c>
      <c r="S275" s="233">
        <v>900000</v>
      </c>
      <c r="T275" s="233">
        <v>0</v>
      </c>
      <c r="U275" s="233">
        <v>2000000</v>
      </c>
      <c r="V275" s="233">
        <v>0</v>
      </c>
      <c r="W275" s="233">
        <v>1989563</v>
      </c>
      <c r="X275" s="233">
        <v>10437</v>
      </c>
      <c r="Y275" s="233">
        <v>1989563</v>
      </c>
      <c r="Z275" s="233">
        <v>1989563</v>
      </c>
      <c r="AA275" s="233">
        <v>1989563</v>
      </c>
      <c r="AB275" s="233">
        <v>1989563</v>
      </c>
    </row>
    <row r="276" spans="1:28" ht="15" customHeight="1" x14ac:dyDescent="0.25">
      <c r="A276" s="230" t="s">
        <v>405</v>
      </c>
      <c r="B276" s="231" t="s">
        <v>406</v>
      </c>
      <c r="C276" s="232" t="s">
        <v>409</v>
      </c>
      <c r="D276" s="230" t="s">
        <v>264</v>
      </c>
      <c r="E276" s="230" t="s">
        <v>269</v>
      </c>
      <c r="F276" s="230" t="s">
        <v>269</v>
      </c>
      <c r="G276" s="230" t="s">
        <v>269</v>
      </c>
      <c r="H276" s="230" t="s">
        <v>328</v>
      </c>
      <c r="I276" s="230" t="s">
        <v>281</v>
      </c>
      <c r="J276" s="230"/>
      <c r="K276" s="230"/>
      <c r="L276" s="230"/>
      <c r="M276" s="230" t="s">
        <v>266</v>
      </c>
      <c r="N276" s="230" t="s">
        <v>280</v>
      </c>
      <c r="O276" s="230" t="s">
        <v>267</v>
      </c>
      <c r="P276" s="231" t="s">
        <v>410</v>
      </c>
      <c r="Q276" s="231"/>
      <c r="R276" s="233">
        <v>0</v>
      </c>
      <c r="S276" s="233">
        <v>280000</v>
      </c>
      <c r="T276" s="233">
        <v>0</v>
      </c>
      <c r="U276" s="233">
        <v>280000</v>
      </c>
      <c r="V276" s="233">
        <v>0</v>
      </c>
      <c r="W276" s="233">
        <v>280000</v>
      </c>
      <c r="X276" s="233">
        <v>0</v>
      </c>
      <c r="Y276" s="233">
        <v>0</v>
      </c>
      <c r="Z276" s="233">
        <v>0</v>
      </c>
      <c r="AA276" s="233">
        <v>0</v>
      </c>
      <c r="AB276" s="233">
        <v>0</v>
      </c>
    </row>
    <row r="277" spans="1:28" ht="15" customHeight="1" x14ac:dyDescent="0.25">
      <c r="A277" s="230" t="s">
        <v>405</v>
      </c>
      <c r="B277" s="231" t="s">
        <v>406</v>
      </c>
      <c r="C277" s="232" t="s">
        <v>367</v>
      </c>
      <c r="D277" s="230" t="s">
        <v>264</v>
      </c>
      <c r="E277" s="230" t="s">
        <v>269</v>
      </c>
      <c r="F277" s="230" t="s">
        <v>269</v>
      </c>
      <c r="G277" s="230" t="s">
        <v>269</v>
      </c>
      <c r="H277" s="230" t="s">
        <v>351</v>
      </c>
      <c r="I277" s="230" t="s">
        <v>319</v>
      </c>
      <c r="J277" s="230"/>
      <c r="K277" s="230"/>
      <c r="L277" s="230"/>
      <c r="M277" s="230" t="s">
        <v>266</v>
      </c>
      <c r="N277" s="230" t="s">
        <v>280</v>
      </c>
      <c r="O277" s="230" t="s">
        <v>267</v>
      </c>
      <c r="P277" s="231" t="s">
        <v>368</v>
      </c>
      <c r="Q277" s="231"/>
      <c r="R277" s="233">
        <v>300000</v>
      </c>
      <c r="S277" s="233">
        <v>1366606</v>
      </c>
      <c r="T277" s="233">
        <v>0</v>
      </c>
      <c r="U277" s="233">
        <v>1666606</v>
      </c>
      <c r="V277" s="233">
        <v>0</v>
      </c>
      <c r="W277" s="233">
        <v>1611121</v>
      </c>
      <c r="X277" s="233">
        <v>55485</v>
      </c>
      <c r="Y277" s="233">
        <v>1611121</v>
      </c>
      <c r="Z277" s="233">
        <v>1611121</v>
      </c>
      <c r="AA277" s="233">
        <v>1611121</v>
      </c>
      <c r="AB277" s="233">
        <v>1611121</v>
      </c>
    </row>
    <row r="278" spans="1:28" ht="15" customHeight="1" x14ac:dyDescent="0.25">
      <c r="A278" s="230" t="s">
        <v>405</v>
      </c>
      <c r="B278" s="231" t="s">
        <v>406</v>
      </c>
      <c r="C278" s="232" t="s">
        <v>369</v>
      </c>
      <c r="D278" s="230" t="s">
        <v>264</v>
      </c>
      <c r="E278" s="230" t="s">
        <v>269</v>
      </c>
      <c r="F278" s="230" t="s">
        <v>269</v>
      </c>
      <c r="G278" s="230" t="s">
        <v>269</v>
      </c>
      <c r="H278" s="230" t="s">
        <v>331</v>
      </c>
      <c r="I278" s="230" t="s">
        <v>319</v>
      </c>
      <c r="J278" s="230"/>
      <c r="K278" s="230"/>
      <c r="L278" s="230"/>
      <c r="M278" s="230" t="s">
        <v>266</v>
      </c>
      <c r="N278" s="230" t="s">
        <v>280</v>
      </c>
      <c r="O278" s="230" t="s">
        <v>267</v>
      </c>
      <c r="P278" s="231" t="s">
        <v>370</v>
      </c>
      <c r="Q278" s="231"/>
      <c r="R278" s="233">
        <v>150000</v>
      </c>
      <c r="S278" s="233">
        <v>200000</v>
      </c>
      <c r="T278" s="233">
        <v>182606</v>
      </c>
      <c r="U278" s="233">
        <v>167394</v>
      </c>
      <c r="V278" s="233">
        <v>0</v>
      </c>
      <c r="W278" s="233">
        <v>167394</v>
      </c>
      <c r="X278" s="233">
        <v>0</v>
      </c>
      <c r="Y278" s="233">
        <v>167394</v>
      </c>
      <c r="Z278" s="233">
        <v>167394</v>
      </c>
      <c r="AA278" s="233">
        <v>167394</v>
      </c>
      <c r="AB278" s="233">
        <v>167394</v>
      </c>
    </row>
    <row r="279" spans="1:28" ht="15" customHeight="1" x14ac:dyDescent="0.25">
      <c r="A279" s="230" t="s">
        <v>405</v>
      </c>
      <c r="B279" s="231" t="s">
        <v>406</v>
      </c>
      <c r="C279" s="232" t="s">
        <v>373</v>
      </c>
      <c r="D279" s="230" t="s">
        <v>264</v>
      </c>
      <c r="E279" s="230" t="s">
        <v>271</v>
      </c>
      <c r="F279" s="230" t="s">
        <v>277</v>
      </c>
      <c r="G279" s="230" t="s">
        <v>269</v>
      </c>
      <c r="H279" s="230" t="s">
        <v>278</v>
      </c>
      <c r="I279" s="230" t="s">
        <v>281</v>
      </c>
      <c r="J279" s="230"/>
      <c r="K279" s="230"/>
      <c r="L279" s="230"/>
      <c r="M279" s="230" t="s">
        <v>266</v>
      </c>
      <c r="N279" s="230" t="s">
        <v>280</v>
      </c>
      <c r="O279" s="230" t="s">
        <v>267</v>
      </c>
      <c r="P279" s="231" t="s">
        <v>374</v>
      </c>
      <c r="Q279" s="231"/>
      <c r="R279" s="233">
        <v>0</v>
      </c>
      <c r="S279" s="233">
        <v>9850000</v>
      </c>
      <c r="T279" s="233">
        <v>0</v>
      </c>
      <c r="U279" s="233">
        <v>9850000</v>
      </c>
      <c r="V279" s="233">
        <v>0</v>
      </c>
      <c r="W279" s="233">
        <v>8268803</v>
      </c>
      <c r="X279" s="233">
        <v>1581197</v>
      </c>
      <c r="Y279" s="233">
        <v>8268803</v>
      </c>
      <c r="Z279" s="233">
        <v>8268803</v>
      </c>
      <c r="AA279" s="233">
        <v>8268803</v>
      </c>
      <c r="AB279" s="233">
        <v>8268803</v>
      </c>
    </row>
    <row r="280" spans="1:28" ht="15" customHeight="1" x14ac:dyDescent="0.25">
      <c r="A280" s="230" t="s">
        <v>411</v>
      </c>
      <c r="B280" s="231" t="s">
        <v>412</v>
      </c>
      <c r="C280" s="232" t="s">
        <v>313</v>
      </c>
      <c r="D280" s="230" t="s">
        <v>264</v>
      </c>
      <c r="E280" s="230" t="s">
        <v>265</v>
      </c>
      <c r="F280" s="230" t="s">
        <v>265</v>
      </c>
      <c r="G280" s="230" t="s">
        <v>265</v>
      </c>
      <c r="H280" s="230" t="s">
        <v>281</v>
      </c>
      <c r="I280" s="230" t="s">
        <v>281</v>
      </c>
      <c r="J280" s="230"/>
      <c r="K280" s="230"/>
      <c r="L280" s="230"/>
      <c r="M280" s="230" t="s">
        <v>266</v>
      </c>
      <c r="N280" s="230" t="s">
        <v>280</v>
      </c>
      <c r="O280" s="230" t="s">
        <v>267</v>
      </c>
      <c r="P280" s="231" t="s">
        <v>314</v>
      </c>
      <c r="Q280" s="231"/>
      <c r="R280" s="233">
        <v>364000000</v>
      </c>
      <c r="S280" s="233">
        <v>0</v>
      </c>
      <c r="T280" s="233">
        <v>0</v>
      </c>
      <c r="U280" s="233">
        <v>364000000</v>
      </c>
      <c r="V280" s="233">
        <v>0</v>
      </c>
      <c r="W280" s="233">
        <v>315670990</v>
      </c>
      <c r="X280" s="233">
        <v>48329010</v>
      </c>
      <c r="Y280" s="233">
        <v>315670990</v>
      </c>
      <c r="Z280" s="233">
        <v>315670990</v>
      </c>
      <c r="AA280" s="233">
        <v>315670990</v>
      </c>
      <c r="AB280" s="233">
        <v>315670990</v>
      </c>
    </row>
    <row r="281" spans="1:28" ht="15" customHeight="1" x14ac:dyDescent="0.25">
      <c r="A281" s="230" t="s">
        <v>411</v>
      </c>
      <c r="B281" s="231" t="s">
        <v>412</v>
      </c>
      <c r="C281" s="232" t="s">
        <v>315</v>
      </c>
      <c r="D281" s="230" t="s">
        <v>264</v>
      </c>
      <c r="E281" s="230" t="s">
        <v>265</v>
      </c>
      <c r="F281" s="230" t="s">
        <v>265</v>
      </c>
      <c r="G281" s="230" t="s">
        <v>265</v>
      </c>
      <c r="H281" s="230" t="s">
        <v>281</v>
      </c>
      <c r="I281" s="230" t="s">
        <v>316</v>
      </c>
      <c r="J281" s="230"/>
      <c r="K281" s="230"/>
      <c r="L281" s="230"/>
      <c r="M281" s="230" t="s">
        <v>266</v>
      </c>
      <c r="N281" s="230" t="s">
        <v>280</v>
      </c>
      <c r="O281" s="230" t="s">
        <v>267</v>
      </c>
      <c r="P281" s="231" t="s">
        <v>317</v>
      </c>
      <c r="Q281" s="231"/>
      <c r="R281" s="233">
        <v>0</v>
      </c>
      <c r="S281" s="233">
        <v>10928076</v>
      </c>
      <c r="T281" s="233">
        <v>0</v>
      </c>
      <c r="U281" s="233">
        <v>10928076</v>
      </c>
      <c r="V281" s="233">
        <v>0</v>
      </c>
      <c r="W281" s="233">
        <v>8366809</v>
      </c>
      <c r="X281" s="233">
        <v>2561267</v>
      </c>
      <c r="Y281" s="233">
        <v>8366809</v>
      </c>
      <c r="Z281" s="233">
        <v>8366809</v>
      </c>
      <c r="AA281" s="233">
        <v>8366809</v>
      </c>
      <c r="AB281" s="233">
        <v>8366809</v>
      </c>
    </row>
    <row r="282" spans="1:28" ht="15" customHeight="1" x14ac:dyDescent="0.25">
      <c r="A282" s="230" t="s">
        <v>411</v>
      </c>
      <c r="B282" s="231" t="s">
        <v>412</v>
      </c>
      <c r="C282" s="232" t="s">
        <v>318</v>
      </c>
      <c r="D282" s="230" t="s">
        <v>264</v>
      </c>
      <c r="E282" s="230" t="s">
        <v>265</v>
      </c>
      <c r="F282" s="230" t="s">
        <v>265</v>
      </c>
      <c r="G282" s="230" t="s">
        <v>265</v>
      </c>
      <c r="H282" s="230" t="s">
        <v>281</v>
      </c>
      <c r="I282" s="230" t="s">
        <v>319</v>
      </c>
      <c r="J282" s="230"/>
      <c r="K282" s="230"/>
      <c r="L282" s="230"/>
      <c r="M282" s="230" t="s">
        <v>266</v>
      </c>
      <c r="N282" s="230" t="s">
        <v>280</v>
      </c>
      <c r="O282" s="230" t="s">
        <v>267</v>
      </c>
      <c r="P282" s="231" t="s">
        <v>320</v>
      </c>
      <c r="Q282" s="231"/>
      <c r="R282" s="233">
        <v>6450000</v>
      </c>
      <c r="S282" s="233">
        <v>0</v>
      </c>
      <c r="T282" s="233">
        <v>0</v>
      </c>
      <c r="U282" s="233">
        <v>6450000</v>
      </c>
      <c r="V282" s="233">
        <v>0</v>
      </c>
      <c r="W282" s="233">
        <v>4419866</v>
      </c>
      <c r="X282" s="233">
        <v>2030134</v>
      </c>
      <c r="Y282" s="233">
        <v>4419866</v>
      </c>
      <c r="Z282" s="233">
        <v>4419866</v>
      </c>
      <c r="AA282" s="233">
        <v>4419866</v>
      </c>
      <c r="AB282" s="233">
        <v>4419866</v>
      </c>
    </row>
    <row r="283" spans="1:28" ht="15" customHeight="1" x14ac:dyDescent="0.25">
      <c r="A283" s="230" t="s">
        <v>411</v>
      </c>
      <c r="B283" s="231" t="s">
        <v>412</v>
      </c>
      <c r="C283" s="232" t="s">
        <v>321</v>
      </c>
      <c r="D283" s="230" t="s">
        <v>264</v>
      </c>
      <c r="E283" s="230" t="s">
        <v>265</v>
      </c>
      <c r="F283" s="230" t="s">
        <v>265</v>
      </c>
      <c r="G283" s="230" t="s">
        <v>265</v>
      </c>
      <c r="H283" s="230" t="s">
        <v>281</v>
      </c>
      <c r="I283" s="230" t="s">
        <v>322</v>
      </c>
      <c r="J283" s="230"/>
      <c r="K283" s="230"/>
      <c r="L283" s="230"/>
      <c r="M283" s="230" t="s">
        <v>266</v>
      </c>
      <c r="N283" s="230" t="s">
        <v>280</v>
      </c>
      <c r="O283" s="230" t="s">
        <v>267</v>
      </c>
      <c r="P283" s="231" t="s">
        <v>323</v>
      </c>
      <c r="Q283" s="231"/>
      <c r="R283" s="233">
        <v>3767000</v>
      </c>
      <c r="S283" s="233">
        <v>2600000</v>
      </c>
      <c r="T283" s="233">
        <v>3767000</v>
      </c>
      <c r="U283" s="233">
        <v>2600000</v>
      </c>
      <c r="V283" s="233">
        <v>0</v>
      </c>
      <c r="W283" s="233">
        <v>872922</v>
      </c>
      <c r="X283" s="233">
        <v>1727078</v>
      </c>
      <c r="Y283" s="233">
        <v>872922</v>
      </c>
      <c r="Z283" s="233">
        <v>872922</v>
      </c>
      <c r="AA283" s="233">
        <v>872922</v>
      </c>
      <c r="AB283" s="233">
        <v>872922</v>
      </c>
    </row>
    <row r="284" spans="1:28" ht="15" customHeight="1" x14ac:dyDescent="0.25">
      <c r="A284" s="230" t="s">
        <v>411</v>
      </c>
      <c r="B284" s="231" t="s">
        <v>412</v>
      </c>
      <c r="C284" s="232" t="s">
        <v>324</v>
      </c>
      <c r="D284" s="230" t="s">
        <v>264</v>
      </c>
      <c r="E284" s="230" t="s">
        <v>265</v>
      </c>
      <c r="F284" s="230" t="s">
        <v>265</v>
      </c>
      <c r="G284" s="230" t="s">
        <v>265</v>
      </c>
      <c r="H284" s="230" t="s">
        <v>281</v>
      </c>
      <c r="I284" s="230" t="s">
        <v>325</v>
      </c>
      <c r="J284" s="230"/>
      <c r="K284" s="230"/>
      <c r="L284" s="230"/>
      <c r="M284" s="230" t="s">
        <v>266</v>
      </c>
      <c r="N284" s="230" t="s">
        <v>280</v>
      </c>
      <c r="O284" s="230" t="s">
        <v>267</v>
      </c>
      <c r="P284" s="231" t="s">
        <v>326</v>
      </c>
      <c r="Q284" s="231"/>
      <c r="R284" s="233">
        <v>36000000</v>
      </c>
      <c r="S284" s="233">
        <v>798269</v>
      </c>
      <c r="T284" s="233">
        <v>3429612</v>
      </c>
      <c r="U284" s="233">
        <v>33368657</v>
      </c>
      <c r="V284" s="233">
        <v>0</v>
      </c>
      <c r="W284" s="233">
        <v>33368657</v>
      </c>
      <c r="X284" s="233">
        <v>0</v>
      </c>
      <c r="Y284" s="233">
        <v>33368657</v>
      </c>
      <c r="Z284" s="233">
        <v>33368657</v>
      </c>
      <c r="AA284" s="233">
        <v>33368657</v>
      </c>
      <c r="AB284" s="233">
        <v>33368657</v>
      </c>
    </row>
    <row r="285" spans="1:28" ht="15" customHeight="1" x14ac:dyDescent="0.25">
      <c r="A285" s="230" t="s">
        <v>411</v>
      </c>
      <c r="B285" s="231" t="s">
        <v>412</v>
      </c>
      <c r="C285" s="232" t="s">
        <v>327</v>
      </c>
      <c r="D285" s="230" t="s">
        <v>264</v>
      </c>
      <c r="E285" s="230" t="s">
        <v>265</v>
      </c>
      <c r="F285" s="230" t="s">
        <v>265</v>
      </c>
      <c r="G285" s="230" t="s">
        <v>265</v>
      </c>
      <c r="H285" s="230" t="s">
        <v>281</v>
      </c>
      <c r="I285" s="230" t="s">
        <v>328</v>
      </c>
      <c r="J285" s="230"/>
      <c r="K285" s="230"/>
      <c r="L285" s="230"/>
      <c r="M285" s="230" t="s">
        <v>266</v>
      </c>
      <c r="N285" s="230" t="s">
        <v>280</v>
      </c>
      <c r="O285" s="230" t="s">
        <v>267</v>
      </c>
      <c r="P285" s="231" t="s">
        <v>329</v>
      </c>
      <c r="Q285" s="231"/>
      <c r="R285" s="233">
        <v>14000000</v>
      </c>
      <c r="S285" s="233">
        <v>1200000</v>
      </c>
      <c r="T285" s="233">
        <v>0</v>
      </c>
      <c r="U285" s="233">
        <v>15200000</v>
      </c>
      <c r="V285" s="233">
        <v>0</v>
      </c>
      <c r="W285" s="233">
        <v>11179575</v>
      </c>
      <c r="X285" s="233">
        <v>4020425</v>
      </c>
      <c r="Y285" s="233">
        <v>11179575</v>
      </c>
      <c r="Z285" s="233">
        <v>11179575</v>
      </c>
      <c r="AA285" s="233">
        <v>11179575</v>
      </c>
      <c r="AB285" s="233">
        <v>11179575</v>
      </c>
    </row>
    <row r="286" spans="1:28" ht="15" customHeight="1" x14ac:dyDescent="0.25">
      <c r="A286" s="230" t="s">
        <v>411</v>
      </c>
      <c r="B286" s="231" t="s">
        <v>412</v>
      </c>
      <c r="C286" s="232" t="s">
        <v>330</v>
      </c>
      <c r="D286" s="230" t="s">
        <v>264</v>
      </c>
      <c r="E286" s="230" t="s">
        <v>265</v>
      </c>
      <c r="F286" s="230" t="s">
        <v>265</v>
      </c>
      <c r="G286" s="230" t="s">
        <v>265</v>
      </c>
      <c r="H286" s="230" t="s">
        <v>281</v>
      </c>
      <c r="I286" s="230" t="s">
        <v>331</v>
      </c>
      <c r="J286" s="230"/>
      <c r="K286" s="230"/>
      <c r="L286" s="230"/>
      <c r="M286" s="230" t="s">
        <v>266</v>
      </c>
      <c r="N286" s="230" t="s">
        <v>280</v>
      </c>
      <c r="O286" s="230" t="s">
        <v>267</v>
      </c>
      <c r="P286" s="231" t="s">
        <v>332</v>
      </c>
      <c r="Q286" s="231"/>
      <c r="R286" s="233">
        <v>46000000</v>
      </c>
      <c r="S286" s="233">
        <v>0</v>
      </c>
      <c r="T286" s="233">
        <v>0</v>
      </c>
      <c r="U286" s="233">
        <v>46000000</v>
      </c>
      <c r="V286" s="233">
        <v>0</v>
      </c>
      <c r="W286" s="233">
        <v>43464420</v>
      </c>
      <c r="X286" s="233">
        <v>2535580</v>
      </c>
      <c r="Y286" s="233">
        <v>43464420</v>
      </c>
      <c r="Z286" s="233">
        <v>43464420</v>
      </c>
      <c r="AA286" s="233">
        <v>43464420</v>
      </c>
      <c r="AB286" s="233">
        <v>43464420</v>
      </c>
    </row>
    <row r="287" spans="1:28" ht="15" customHeight="1" x14ac:dyDescent="0.25">
      <c r="A287" s="230" t="s">
        <v>411</v>
      </c>
      <c r="B287" s="231" t="s">
        <v>412</v>
      </c>
      <c r="C287" s="232" t="s">
        <v>333</v>
      </c>
      <c r="D287" s="230" t="s">
        <v>264</v>
      </c>
      <c r="E287" s="230" t="s">
        <v>265</v>
      </c>
      <c r="F287" s="230" t="s">
        <v>265</v>
      </c>
      <c r="G287" s="230" t="s">
        <v>265</v>
      </c>
      <c r="H287" s="230" t="s">
        <v>281</v>
      </c>
      <c r="I287" s="230" t="s">
        <v>334</v>
      </c>
      <c r="J287" s="230"/>
      <c r="K287" s="230"/>
      <c r="L287" s="230"/>
      <c r="M287" s="230" t="s">
        <v>266</v>
      </c>
      <c r="N287" s="230" t="s">
        <v>280</v>
      </c>
      <c r="O287" s="230" t="s">
        <v>267</v>
      </c>
      <c r="P287" s="231" t="s">
        <v>335</v>
      </c>
      <c r="Q287" s="231"/>
      <c r="R287" s="233">
        <v>20000000</v>
      </c>
      <c r="S287" s="233">
        <v>2000000</v>
      </c>
      <c r="T287" s="233">
        <v>0</v>
      </c>
      <c r="U287" s="233">
        <v>22000000</v>
      </c>
      <c r="V287" s="233">
        <v>0</v>
      </c>
      <c r="W287" s="233">
        <v>13518561</v>
      </c>
      <c r="X287" s="233">
        <v>8481439</v>
      </c>
      <c r="Y287" s="233">
        <v>13518561</v>
      </c>
      <c r="Z287" s="233">
        <v>13518561</v>
      </c>
      <c r="AA287" s="233">
        <v>13518561</v>
      </c>
      <c r="AB287" s="233">
        <v>13518561</v>
      </c>
    </row>
    <row r="288" spans="1:28" ht="15" customHeight="1" x14ac:dyDescent="0.25">
      <c r="A288" s="230" t="s">
        <v>411</v>
      </c>
      <c r="B288" s="231" t="s">
        <v>412</v>
      </c>
      <c r="C288" s="232" t="s">
        <v>336</v>
      </c>
      <c r="D288" s="230" t="s">
        <v>264</v>
      </c>
      <c r="E288" s="230" t="s">
        <v>265</v>
      </c>
      <c r="F288" s="230" t="s">
        <v>265</v>
      </c>
      <c r="G288" s="230" t="s">
        <v>265</v>
      </c>
      <c r="H288" s="230" t="s">
        <v>281</v>
      </c>
      <c r="I288" s="230" t="s">
        <v>278</v>
      </c>
      <c r="J288" s="230"/>
      <c r="K288" s="230"/>
      <c r="L288" s="230"/>
      <c r="M288" s="230" t="s">
        <v>266</v>
      </c>
      <c r="N288" s="230" t="s">
        <v>280</v>
      </c>
      <c r="O288" s="230" t="s">
        <v>267</v>
      </c>
      <c r="P288" s="231" t="s">
        <v>337</v>
      </c>
      <c r="Q288" s="231"/>
      <c r="R288" s="233">
        <v>5000000</v>
      </c>
      <c r="S288" s="233">
        <v>0</v>
      </c>
      <c r="T288" s="233">
        <v>106663</v>
      </c>
      <c r="U288" s="233">
        <v>4893337</v>
      </c>
      <c r="V288" s="233">
        <v>0</v>
      </c>
      <c r="W288" s="233">
        <v>4893337</v>
      </c>
      <c r="X288" s="233">
        <v>0</v>
      </c>
      <c r="Y288" s="233">
        <v>4893337</v>
      </c>
      <c r="Z288" s="233">
        <v>4893337</v>
      </c>
      <c r="AA288" s="233">
        <v>4893337</v>
      </c>
      <c r="AB288" s="233">
        <v>4893337</v>
      </c>
    </row>
    <row r="289" spans="1:28" ht="15" customHeight="1" x14ac:dyDescent="0.25">
      <c r="A289" s="230" t="s">
        <v>411</v>
      </c>
      <c r="B289" s="231" t="s">
        <v>412</v>
      </c>
      <c r="C289" s="232" t="s">
        <v>338</v>
      </c>
      <c r="D289" s="230" t="s">
        <v>264</v>
      </c>
      <c r="E289" s="230" t="s">
        <v>265</v>
      </c>
      <c r="F289" s="230" t="s">
        <v>265</v>
      </c>
      <c r="G289" s="230" t="s">
        <v>269</v>
      </c>
      <c r="H289" s="230" t="s">
        <v>281</v>
      </c>
      <c r="I289" s="230"/>
      <c r="J289" s="230"/>
      <c r="K289" s="230"/>
      <c r="L289" s="230"/>
      <c r="M289" s="230" t="s">
        <v>266</v>
      </c>
      <c r="N289" s="230" t="s">
        <v>280</v>
      </c>
      <c r="O289" s="230" t="s">
        <v>267</v>
      </c>
      <c r="P289" s="231" t="s">
        <v>339</v>
      </c>
      <c r="Q289" s="231"/>
      <c r="R289" s="233">
        <v>48000000</v>
      </c>
      <c r="S289" s="233">
        <v>0</v>
      </c>
      <c r="T289" s="233">
        <v>0</v>
      </c>
      <c r="U289" s="233">
        <v>48000000</v>
      </c>
      <c r="V289" s="233">
        <v>0</v>
      </c>
      <c r="W289" s="233">
        <v>41658300</v>
      </c>
      <c r="X289" s="233">
        <v>6341700</v>
      </c>
      <c r="Y289" s="233">
        <v>41658300</v>
      </c>
      <c r="Z289" s="233">
        <v>41658300</v>
      </c>
      <c r="AA289" s="233">
        <v>41658300</v>
      </c>
      <c r="AB289" s="233">
        <v>41658300</v>
      </c>
    </row>
    <row r="290" spans="1:28" ht="15" customHeight="1" x14ac:dyDescent="0.25">
      <c r="A290" s="230" t="s">
        <v>411</v>
      </c>
      <c r="B290" s="231" t="s">
        <v>412</v>
      </c>
      <c r="C290" s="232" t="s">
        <v>340</v>
      </c>
      <c r="D290" s="230" t="s">
        <v>264</v>
      </c>
      <c r="E290" s="230" t="s">
        <v>265</v>
      </c>
      <c r="F290" s="230" t="s">
        <v>265</v>
      </c>
      <c r="G290" s="230" t="s">
        <v>269</v>
      </c>
      <c r="H290" s="230" t="s">
        <v>283</v>
      </c>
      <c r="I290" s="230"/>
      <c r="J290" s="230"/>
      <c r="K290" s="230"/>
      <c r="L290" s="230"/>
      <c r="M290" s="230" t="s">
        <v>266</v>
      </c>
      <c r="N290" s="230" t="s">
        <v>280</v>
      </c>
      <c r="O290" s="230" t="s">
        <v>267</v>
      </c>
      <c r="P290" s="231" t="s">
        <v>341</v>
      </c>
      <c r="Q290" s="231"/>
      <c r="R290" s="233">
        <v>33000000</v>
      </c>
      <c r="S290" s="233">
        <v>1380000</v>
      </c>
      <c r="T290" s="233">
        <v>0</v>
      </c>
      <c r="U290" s="233">
        <v>34380000</v>
      </c>
      <c r="V290" s="233">
        <v>0</v>
      </c>
      <c r="W290" s="233">
        <v>29526500</v>
      </c>
      <c r="X290" s="233">
        <v>4853500</v>
      </c>
      <c r="Y290" s="233">
        <v>29526500</v>
      </c>
      <c r="Z290" s="233">
        <v>29526500</v>
      </c>
      <c r="AA290" s="233">
        <v>29526500</v>
      </c>
      <c r="AB290" s="233">
        <v>29526500</v>
      </c>
    </row>
    <row r="291" spans="1:28" ht="15" customHeight="1" x14ac:dyDescent="0.25">
      <c r="A291" s="230" t="s">
        <v>411</v>
      </c>
      <c r="B291" s="231" t="s">
        <v>412</v>
      </c>
      <c r="C291" s="232" t="s">
        <v>342</v>
      </c>
      <c r="D291" s="230" t="s">
        <v>264</v>
      </c>
      <c r="E291" s="230" t="s">
        <v>265</v>
      </c>
      <c r="F291" s="230" t="s">
        <v>265</v>
      </c>
      <c r="G291" s="230" t="s">
        <v>269</v>
      </c>
      <c r="H291" s="230" t="s">
        <v>319</v>
      </c>
      <c r="I291" s="230"/>
      <c r="J291" s="230"/>
      <c r="K291" s="230"/>
      <c r="L291" s="230"/>
      <c r="M291" s="230" t="s">
        <v>266</v>
      </c>
      <c r="N291" s="230" t="s">
        <v>280</v>
      </c>
      <c r="O291" s="230" t="s">
        <v>267</v>
      </c>
      <c r="P291" s="231" t="s">
        <v>343</v>
      </c>
      <c r="Q291" s="231"/>
      <c r="R291" s="233">
        <v>18000000</v>
      </c>
      <c r="S291" s="233">
        <v>1000000</v>
      </c>
      <c r="T291" s="233">
        <v>0</v>
      </c>
      <c r="U291" s="233">
        <v>19000000</v>
      </c>
      <c r="V291" s="233">
        <v>0</v>
      </c>
      <c r="W291" s="233">
        <v>16214000</v>
      </c>
      <c r="X291" s="233">
        <v>2786000</v>
      </c>
      <c r="Y291" s="233">
        <v>16214000</v>
      </c>
      <c r="Z291" s="233">
        <v>16214000</v>
      </c>
      <c r="AA291" s="233">
        <v>16214000</v>
      </c>
      <c r="AB291" s="233">
        <v>16214000</v>
      </c>
    </row>
    <row r="292" spans="1:28" ht="15" customHeight="1" x14ac:dyDescent="0.25">
      <c r="A292" s="230" t="s">
        <v>411</v>
      </c>
      <c r="B292" s="231" t="s">
        <v>412</v>
      </c>
      <c r="C292" s="232" t="s">
        <v>344</v>
      </c>
      <c r="D292" s="230" t="s">
        <v>264</v>
      </c>
      <c r="E292" s="230" t="s">
        <v>265</v>
      </c>
      <c r="F292" s="230" t="s">
        <v>265</v>
      </c>
      <c r="G292" s="230" t="s">
        <v>269</v>
      </c>
      <c r="H292" s="230" t="s">
        <v>322</v>
      </c>
      <c r="I292" s="230"/>
      <c r="J292" s="230"/>
      <c r="K292" s="230"/>
      <c r="L292" s="230"/>
      <c r="M292" s="230" t="s">
        <v>266</v>
      </c>
      <c r="N292" s="230" t="s">
        <v>280</v>
      </c>
      <c r="O292" s="230" t="s">
        <v>267</v>
      </c>
      <c r="P292" s="231" t="s">
        <v>345</v>
      </c>
      <c r="Q292" s="231"/>
      <c r="R292" s="233">
        <v>5000000</v>
      </c>
      <c r="S292" s="233">
        <v>0</v>
      </c>
      <c r="T292" s="233">
        <v>0</v>
      </c>
      <c r="U292" s="233">
        <v>5000000</v>
      </c>
      <c r="V292" s="233">
        <v>0</v>
      </c>
      <c r="W292" s="233">
        <v>3821800</v>
      </c>
      <c r="X292" s="233">
        <v>1178200</v>
      </c>
      <c r="Y292" s="233">
        <v>3821800</v>
      </c>
      <c r="Z292" s="233">
        <v>3821800</v>
      </c>
      <c r="AA292" s="233">
        <v>3821800</v>
      </c>
      <c r="AB292" s="233">
        <v>3821800</v>
      </c>
    </row>
    <row r="293" spans="1:28" ht="15" customHeight="1" x14ac:dyDescent="0.25">
      <c r="A293" s="230" t="s">
        <v>411</v>
      </c>
      <c r="B293" s="231" t="s">
        <v>412</v>
      </c>
      <c r="C293" s="232" t="s">
        <v>346</v>
      </c>
      <c r="D293" s="230" t="s">
        <v>264</v>
      </c>
      <c r="E293" s="230" t="s">
        <v>265</v>
      </c>
      <c r="F293" s="230" t="s">
        <v>265</v>
      </c>
      <c r="G293" s="230" t="s">
        <v>269</v>
      </c>
      <c r="H293" s="230" t="s">
        <v>325</v>
      </c>
      <c r="I293" s="230"/>
      <c r="J293" s="230"/>
      <c r="K293" s="230"/>
      <c r="L293" s="230"/>
      <c r="M293" s="230" t="s">
        <v>266</v>
      </c>
      <c r="N293" s="230" t="s">
        <v>280</v>
      </c>
      <c r="O293" s="230" t="s">
        <v>267</v>
      </c>
      <c r="P293" s="231" t="s">
        <v>347</v>
      </c>
      <c r="Q293" s="231"/>
      <c r="R293" s="233">
        <v>14000000</v>
      </c>
      <c r="S293" s="233">
        <v>2000000</v>
      </c>
      <c r="T293" s="233">
        <v>0</v>
      </c>
      <c r="U293" s="233">
        <v>16000000</v>
      </c>
      <c r="V293" s="233">
        <v>0</v>
      </c>
      <c r="W293" s="233">
        <v>12161900</v>
      </c>
      <c r="X293" s="233">
        <v>3838100</v>
      </c>
      <c r="Y293" s="233">
        <v>12161900</v>
      </c>
      <c r="Z293" s="233">
        <v>12161900</v>
      </c>
      <c r="AA293" s="233">
        <v>12161900</v>
      </c>
      <c r="AB293" s="233">
        <v>12161900</v>
      </c>
    </row>
    <row r="294" spans="1:28" ht="15" customHeight="1" x14ac:dyDescent="0.25">
      <c r="A294" s="230" t="s">
        <v>411</v>
      </c>
      <c r="B294" s="231" t="s">
        <v>412</v>
      </c>
      <c r="C294" s="232" t="s">
        <v>348</v>
      </c>
      <c r="D294" s="230" t="s">
        <v>264</v>
      </c>
      <c r="E294" s="230" t="s">
        <v>265</v>
      </c>
      <c r="F294" s="230" t="s">
        <v>265</v>
      </c>
      <c r="G294" s="230" t="s">
        <v>269</v>
      </c>
      <c r="H294" s="230" t="s">
        <v>328</v>
      </c>
      <c r="I294" s="230"/>
      <c r="J294" s="230"/>
      <c r="K294" s="230"/>
      <c r="L294" s="230"/>
      <c r="M294" s="230" t="s">
        <v>266</v>
      </c>
      <c r="N294" s="230" t="s">
        <v>280</v>
      </c>
      <c r="O294" s="230" t="s">
        <v>267</v>
      </c>
      <c r="P294" s="231" t="s">
        <v>349</v>
      </c>
      <c r="Q294" s="231"/>
      <c r="R294" s="233">
        <v>2000000</v>
      </c>
      <c r="S294" s="233">
        <v>8000000</v>
      </c>
      <c r="T294" s="233">
        <v>0</v>
      </c>
      <c r="U294" s="233">
        <v>10000000</v>
      </c>
      <c r="V294" s="233">
        <v>0</v>
      </c>
      <c r="W294" s="233">
        <v>8111500</v>
      </c>
      <c r="X294" s="233">
        <v>1888500</v>
      </c>
      <c r="Y294" s="233">
        <v>8111500</v>
      </c>
      <c r="Z294" s="233">
        <v>8111500</v>
      </c>
      <c r="AA294" s="233">
        <v>8111500</v>
      </c>
      <c r="AB294" s="233">
        <v>8111500</v>
      </c>
    </row>
    <row r="295" spans="1:28" ht="15" customHeight="1" x14ac:dyDescent="0.25">
      <c r="A295" s="230" t="s">
        <v>411</v>
      </c>
      <c r="B295" s="231" t="s">
        <v>412</v>
      </c>
      <c r="C295" s="232" t="s">
        <v>350</v>
      </c>
      <c r="D295" s="230" t="s">
        <v>264</v>
      </c>
      <c r="E295" s="230" t="s">
        <v>265</v>
      </c>
      <c r="F295" s="230" t="s">
        <v>265</v>
      </c>
      <c r="G295" s="230" t="s">
        <v>269</v>
      </c>
      <c r="H295" s="230" t="s">
        <v>351</v>
      </c>
      <c r="I295" s="230"/>
      <c r="J295" s="230"/>
      <c r="K295" s="230"/>
      <c r="L295" s="230"/>
      <c r="M295" s="230" t="s">
        <v>266</v>
      </c>
      <c r="N295" s="230" t="s">
        <v>280</v>
      </c>
      <c r="O295" s="230" t="s">
        <v>267</v>
      </c>
      <c r="P295" s="231" t="s">
        <v>352</v>
      </c>
      <c r="Q295" s="231"/>
      <c r="R295" s="233">
        <v>2000000</v>
      </c>
      <c r="S295" s="233">
        <v>0</v>
      </c>
      <c r="T295" s="233">
        <v>2000000</v>
      </c>
      <c r="U295" s="233">
        <v>0</v>
      </c>
      <c r="V295" s="233">
        <v>0</v>
      </c>
      <c r="W295" s="233">
        <v>0</v>
      </c>
      <c r="X295" s="233">
        <v>0</v>
      </c>
      <c r="Y295" s="233">
        <v>0</v>
      </c>
      <c r="Z295" s="233">
        <v>0</v>
      </c>
      <c r="AA295" s="233">
        <v>0</v>
      </c>
      <c r="AB295" s="233">
        <v>0</v>
      </c>
    </row>
    <row r="296" spans="1:28" ht="15" customHeight="1" x14ac:dyDescent="0.25">
      <c r="A296" s="230" t="s">
        <v>411</v>
      </c>
      <c r="B296" s="231" t="s">
        <v>412</v>
      </c>
      <c r="C296" s="232" t="s">
        <v>353</v>
      </c>
      <c r="D296" s="230" t="s">
        <v>264</v>
      </c>
      <c r="E296" s="230" t="s">
        <v>265</v>
      </c>
      <c r="F296" s="230" t="s">
        <v>265</v>
      </c>
      <c r="G296" s="230" t="s">
        <v>269</v>
      </c>
      <c r="H296" s="230" t="s">
        <v>331</v>
      </c>
      <c r="I296" s="230"/>
      <c r="J296" s="230"/>
      <c r="K296" s="230"/>
      <c r="L296" s="230"/>
      <c r="M296" s="230" t="s">
        <v>266</v>
      </c>
      <c r="N296" s="230" t="s">
        <v>280</v>
      </c>
      <c r="O296" s="230" t="s">
        <v>267</v>
      </c>
      <c r="P296" s="231" t="s">
        <v>354</v>
      </c>
      <c r="Q296" s="231"/>
      <c r="R296" s="233">
        <v>4000000</v>
      </c>
      <c r="S296" s="233">
        <v>0</v>
      </c>
      <c r="T296" s="233">
        <v>4000000</v>
      </c>
      <c r="U296" s="233">
        <v>0</v>
      </c>
      <c r="V296" s="233">
        <v>0</v>
      </c>
      <c r="W296" s="233">
        <v>0</v>
      </c>
      <c r="X296" s="233">
        <v>0</v>
      </c>
      <c r="Y296" s="233">
        <v>0</v>
      </c>
      <c r="Z296" s="233">
        <v>0</v>
      </c>
      <c r="AA296" s="233">
        <v>0</v>
      </c>
      <c r="AB296" s="233">
        <v>0</v>
      </c>
    </row>
    <row r="297" spans="1:28" ht="15" customHeight="1" x14ac:dyDescent="0.25">
      <c r="A297" s="230" t="s">
        <v>411</v>
      </c>
      <c r="B297" s="231" t="s">
        <v>412</v>
      </c>
      <c r="C297" s="232" t="s">
        <v>355</v>
      </c>
      <c r="D297" s="230" t="s">
        <v>264</v>
      </c>
      <c r="E297" s="230" t="s">
        <v>265</v>
      </c>
      <c r="F297" s="230" t="s">
        <v>265</v>
      </c>
      <c r="G297" s="230" t="s">
        <v>271</v>
      </c>
      <c r="H297" s="230" t="s">
        <v>281</v>
      </c>
      <c r="I297" s="230" t="s">
        <v>281</v>
      </c>
      <c r="J297" s="230"/>
      <c r="K297" s="230"/>
      <c r="L297" s="230"/>
      <c r="M297" s="230" t="s">
        <v>266</v>
      </c>
      <c r="N297" s="230" t="s">
        <v>280</v>
      </c>
      <c r="O297" s="230" t="s">
        <v>267</v>
      </c>
      <c r="P297" s="231" t="s">
        <v>356</v>
      </c>
      <c r="Q297" s="231"/>
      <c r="R297" s="233">
        <v>19000000</v>
      </c>
      <c r="S297" s="233">
        <v>0</v>
      </c>
      <c r="T297" s="233">
        <v>0</v>
      </c>
      <c r="U297" s="233">
        <v>19000000</v>
      </c>
      <c r="V297" s="233">
        <v>0</v>
      </c>
      <c r="W297" s="233">
        <v>10078090</v>
      </c>
      <c r="X297" s="233">
        <v>8921910</v>
      </c>
      <c r="Y297" s="233">
        <v>10078090</v>
      </c>
      <c r="Z297" s="233">
        <v>10078090</v>
      </c>
      <c r="AA297" s="233">
        <v>10078090</v>
      </c>
      <c r="AB297" s="233">
        <v>10078090</v>
      </c>
    </row>
    <row r="298" spans="1:28" ht="15" customHeight="1" x14ac:dyDescent="0.25">
      <c r="A298" s="230" t="s">
        <v>411</v>
      </c>
      <c r="B298" s="231" t="s">
        <v>412</v>
      </c>
      <c r="C298" s="232" t="s">
        <v>357</v>
      </c>
      <c r="D298" s="230" t="s">
        <v>264</v>
      </c>
      <c r="E298" s="230" t="s">
        <v>265</v>
      </c>
      <c r="F298" s="230" t="s">
        <v>265</v>
      </c>
      <c r="G298" s="230" t="s">
        <v>271</v>
      </c>
      <c r="H298" s="230" t="s">
        <v>281</v>
      </c>
      <c r="I298" s="230" t="s">
        <v>283</v>
      </c>
      <c r="J298" s="230"/>
      <c r="K298" s="230"/>
      <c r="L298" s="230"/>
      <c r="M298" s="230" t="s">
        <v>266</v>
      </c>
      <c r="N298" s="230" t="s">
        <v>280</v>
      </c>
      <c r="O298" s="230" t="s">
        <v>267</v>
      </c>
      <c r="P298" s="231" t="s">
        <v>358</v>
      </c>
      <c r="Q298" s="231"/>
      <c r="R298" s="233">
        <v>0</v>
      </c>
      <c r="S298" s="233">
        <v>4767277</v>
      </c>
      <c r="T298" s="233">
        <v>0</v>
      </c>
      <c r="U298" s="233">
        <v>4767277</v>
      </c>
      <c r="V298" s="233">
        <v>0</v>
      </c>
      <c r="W298" s="233">
        <v>4755950</v>
      </c>
      <c r="X298" s="233">
        <v>11327</v>
      </c>
      <c r="Y298" s="233">
        <v>4755950</v>
      </c>
      <c r="Z298" s="233">
        <v>4755950</v>
      </c>
      <c r="AA298" s="233">
        <v>4755950</v>
      </c>
      <c r="AB298" s="233">
        <v>4755950</v>
      </c>
    </row>
    <row r="299" spans="1:28" ht="15" customHeight="1" x14ac:dyDescent="0.25">
      <c r="A299" s="230" t="s">
        <v>411</v>
      </c>
      <c r="B299" s="231" t="s">
        <v>412</v>
      </c>
      <c r="C299" s="232" t="s">
        <v>359</v>
      </c>
      <c r="D299" s="230" t="s">
        <v>264</v>
      </c>
      <c r="E299" s="230" t="s">
        <v>265</v>
      </c>
      <c r="F299" s="230" t="s">
        <v>265</v>
      </c>
      <c r="G299" s="230" t="s">
        <v>271</v>
      </c>
      <c r="H299" s="230" t="s">
        <v>281</v>
      </c>
      <c r="I299" s="230" t="s">
        <v>316</v>
      </c>
      <c r="J299" s="230"/>
      <c r="K299" s="230"/>
      <c r="L299" s="230"/>
      <c r="M299" s="230" t="s">
        <v>266</v>
      </c>
      <c r="N299" s="230" t="s">
        <v>280</v>
      </c>
      <c r="O299" s="230" t="s">
        <v>267</v>
      </c>
      <c r="P299" s="231" t="s">
        <v>360</v>
      </c>
      <c r="Q299" s="231"/>
      <c r="R299" s="233">
        <v>2000000</v>
      </c>
      <c r="S299" s="233">
        <v>0</v>
      </c>
      <c r="T299" s="233">
        <v>0</v>
      </c>
      <c r="U299" s="233">
        <v>2000000</v>
      </c>
      <c r="V299" s="233">
        <v>0</v>
      </c>
      <c r="W299" s="233">
        <v>1175855</v>
      </c>
      <c r="X299" s="233">
        <v>824145</v>
      </c>
      <c r="Y299" s="233">
        <v>1175855</v>
      </c>
      <c r="Z299" s="233">
        <v>1175855</v>
      </c>
      <c r="AA299" s="233">
        <v>1175855</v>
      </c>
      <c r="AB299" s="233">
        <v>1175855</v>
      </c>
    </row>
    <row r="300" spans="1:28" ht="15" customHeight="1" x14ac:dyDescent="0.25">
      <c r="A300" s="230" t="s">
        <v>411</v>
      </c>
      <c r="B300" s="231" t="s">
        <v>412</v>
      </c>
      <c r="C300" s="232" t="s">
        <v>361</v>
      </c>
      <c r="D300" s="230" t="s">
        <v>264</v>
      </c>
      <c r="E300" s="230" t="s">
        <v>265</v>
      </c>
      <c r="F300" s="230" t="s">
        <v>265</v>
      </c>
      <c r="G300" s="230" t="s">
        <v>271</v>
      </c>
      <c r="H300" s="230" t="s">
        <v>283</v>
      </c>
      <c r="I300" s="230"/>
      <c r="J300" s="230"/>
      <c r="K300" s="230"/>
      <c r="L300" s="230"/>
      <c r="M300" s="230" t="s">
        <v>266</v>
      </c>
      <c r="N300" s="230" t="s">
        <v>280</v>
      </c>
      <c r="O300" s="230" t="s">
        <v>267</v>
      </c>
      <c r="P300" s="231" t="s">
        <v>362</v>
      </c>
      <c r="Q300" s="231"/>
      <c r="R300" s="233">
        <v>29000000</v>
      </c>
      <c r="S300" s="233">
        <v>0</v>
      </c>
      <c r="T300" s="233">
        <v>0</v>
      </c>
      <c r="U300" s="233">
        <v>29000000</v>
      </c>
      <c r="V300" s="233">
        <v>0</v>
      </c>
      <c r="W300" s="233">
        <v>18857914</v>
      </c>
      <c r="X300" s="233">
        <v>10142086</v>
      </c>
      <c r="Y300" s="233">
        <v>18857914</v>
      </c>
      <c r="Z300" s="233">
        <v>18857914</v>
      </c>
      <c r="AA300" s="233">
        <v>18857914</v>
      </c>
      <c r="AB300" s="233">
        <v>18857914</v>
      </c>
    </row>
    <row r="301" spans="1:28" ht="15" customHeight="1" x14ac:dyDescent="0.25">
      <c r="A301" s="230" t="s">
        <v>411</v>
      </c>
      <c r="B301" s="231" t="s">
        <v>412</v>
      </c>
      <c r="C301" s="232" t="s">
        <v>363</v>
      </c>
      <c r="D301" s="230" t="s">
        <v>264</v>
      </c>
      <c r="E301" s="230" t="s">
        <v>269</v>
      </c>
      <c r="F301" s="230" t="s">
        <v>269</v>
      </c>
      <c r="G301" s="230" t="s">
        <v>269</v>
      </c>
      <c r="H301" s="230" t="s">
        <v>325</v>
      </c>
      <c r="I301" s="230" t="s">
        <v>319</v>
      </c>
      <c r="J301" s="230"/>
      <c r="K301" s="230"/>
      <c r="L301" s="230"/>
      <c r="M301" s="230" t="s">
        <v>273</v>
      </c>
      <c r="N301" s="230" t="s">
        <v>34</v>
      </c>
      <c r="O301" s="230" t="s">
        <v>267</v>
      </c>
      <c r="P301" s="231" t="s">
        <v>364</v>
      </c>
      <c r="Q301" s="231"/>
      <c r="R301" s="233">
        <v>0</v>
      </c>
      <c r="S301" s="233">
        <v>170000</v>
      </c>
      <c r="T301" s="233">
        <v>70000</v>
      </c>
      <c r="U301" s="233">
        <v>100000</v>
      </c>
      <c r="V301" s="233">
        <v>0</v>
      </c>
      <c r="W301" s="233">
        <v>90000</v>
      </c>
      <c r="X301" s="233">
        <v>10000</v>
      </c>
      <c r="Y301" s="233">
        <v>90000</v>
      </c>
      <c r="Z301" s="233">
        <v>90000</v>
      </c>
      <c r="AA301" s="233">
        <v>90000</v>
      </c>
      <c r="AB301" s="233">
        <v>90000</v>
      </c>
    </row>
    <row r="302" spans="1:28" ht="15" customHeight="1" x14ac:dyDescent="0.25">
      <c r="A302" s="230" t="s">
        <v>411</v>
      </c>
      <c r="B302" s="231" t="s">
        <v>412</v>
      </c>
      <c r="C302" s="232" t="s">
        <v>365</v>
      </c>
      <c r="D302" s="230" t="s">
        <v>264</v>
      </c>
      <c r="E302" s="230" t="s">
        <v>269</v>
      </c>
      <c r="F302" s="230" t="s">
        <v>269</v>
      </c>
      <c r="G302" s="230" t="s">
        <v>269</v>
      </c>
      <c r="H302" s="230" t="s">
        <v>325</v>
      </c>
      <c r="I302" s="230" t="s">
        <v>331</v>
      </c>
      <c r="J302" s="230"/>
      <c r="K302" s="230"/>
      <c r="L302" s="230"/>
      <c r="M302" s="230" t="s">
        <v>266</v>
      </c>
      <c r="N302" s="230" t="s">
        <v>280</v>
      </c>
      <c r="O302" s="230" t="s">
        <v>267</v>
      </c>
      <c r="P302" s="231" t="s">
        <v>366</v>
      </c>
      <c r="Q302" s="231"/>
      <c r="R302" s="233">
        <v>15500000</v>
      </c>
      <c r="S302" s="233">
        <v>18500000</v>
      </c>
      <c r="T302" s="233">
        <v>0</v>
      </c>
      <c r="U302" s="233">
        <v>34000000</v>
      </c>
      <c r="V302" s="233">
        <v>0</v>
      </c>
      <c r="W302" s="233">
        <v>34000000</v>
      </c>
      <c r="X302" s="233">
        <v>0</v>
      </c>
      <c r="Y302" s="233">
        <v>32443394</v>
      </c>
      <c r="Z302" s="233">
        <v>32443394</v>
      </c>
      <c r="AA302" s="233">
        <v>32443394</v>
      </c>
      <c r="AB302" s="233">
        <v>32443394</v>
      </c>
    </row>
    <row r="303" spans="1:28" ht="15" customHeight="1" x14ac:dyDescent="0.25">
      <c r="A303" s="230" t="s">
        <v>411</v>
      </c>
      <c r="B303" s="231" t="s">
        <v>412</v>
      </c>
      <c r="C303" s="232" t="s">
        <v>367</v>
      </c>
      <c r="D303" s="230" t="s">
        <v>264</v>
      </c>
      <c r="E303" s="230" t="s">
        <v>269</v>
      </c>
      <c r="F303" s="230" t="s">
        <v>269</v>
      </c>
      <c r="G303" s="230" t="s">
        <v>269</v>
      </c>
      <c r="H303" s="230" t="s">
        <v>351</v>
      </c>
      <c r="I303" s="230" t="s">
        <v>319</v>
      </c>
      <c r="J303" s="230"/>
      <c r="K303" s="230"/>
      <c r="L303" s="230"/>
      <c r="M303" s="230" t="s">
        <v>266</v>
      </c>
      <c r="N303" s="230" t="s">
        <v>280</v>
      </c>
      <c r="O303" s="230" t="s">
        <v>267</v>
      </c>
      <c r="P303" s="231" t="s">
        <v>368</v>
      </c>
      <c r="Q303" s="231"/>
      <c r="R303" s="233">
        <v>1500000</v>
      </c>
      <c r="S303" s="233">
        <v>850000</v>
      </c>
      <c r="T303" s="233">
        <v>0</v>
      </c>
      <c r="U303" s="233">
        <v>2350000</v>
      </c>
      <c r="V303" s="233">
        <v>0</v>
      </c>
      <c r="W303" s="233">
        <v>2350000</v>
      </c>
      <c r="X303" s="233">
        <v>0</v>
      </c>
      <c r="Y303" s="233">
        <v>2134200</v>
      </c>
      <c r="Z303" s="233">
        <v>2134200</v>
      </c>
      <c r="AA303" s="233">
        <v>2134200</v>
      </c>
      <c r="AB303" s="233">
        <v>2134200</v>
      </c>
    </row>
    <row r="304" spans="1:28" ht="15" customHeight="1" x14ac:dyDescent="0.25">
      <c r="A304" s="230" t="s">
        <v>411</v>
      </c>
      <c r="B304" s="231" t="s">
        <v>412</v>
      </c>
      <c r="C304" s="232" t="s">
        <v>369</v>
      </c>
      <c r="D304" s="230" t="s">
        <v>264</v>
      </c>
      <c r="E304" s="230" t="s">
        <v>269</v>
      </c>
      <c r="F304" s="230" t="s">
        <v>269</v>
      </c>
      <c r="G304" s="230" t="s">
        <v>269</v>
      </c>
      <c r="H304" s="230" t="s">
        <v>331</v>
      </c>
      <c r="I304" s="230" t="s">
        <v>319</v>
      </c>
      <c r="J304" s="230"/>
      <c r="K304" s="230"/>
      <c r="L304" s="230"/>
      <c r="M304" s="230" t="s">
        <v>266</v>
      </c>
      <c r="N304" s="230" t="s">
        <v>280</v>
      </c>
      <c r="O304" s="230" t="s">
        <v>267</v>
      </c>
      <c r="P304" s="231" t="s">
        <v>370</v>
      </c>
      <c r="Q304" s="231"/>
      <c r="R304" s="233">
        <v>100000</v>
      </c>
      <c r="S304" s="233">
        <v>385600</v>
      </c>
      <c r="T304" s="233">
        <v>0</v>
      </c>
      <c r="U304" s="233">
        <v>485600</v>
      </c>
      <c r="V304" s="233">
        <v>0</v>
      </c>
      <c r="W304" s="233">
        <v>485600</v>
      </c>
      <c r="X304" s="233">
        <v>0</v>
      </c>
      <c r="Y304" s="233">
        <v>318895</v>
      </c>
      <c r="Z304" s="233">
        <v>318895</v>
      </c>
      <c r="AA304" s="233">
        <v>318895</v>
      </c>
      <c r="AB304" s="233">
        <v>318895</v>
      </c>
    </row>
    <row r="305" spans="1:28" ht="15" customHeight="1" x14ac:dyDescent="0.25">
      <c r="A305" s="230" t="s">
        <v>411</v>
      </c>
      <c r="B305" s="231" t="s">
        <v>412</v>
      </c>
      <c r="C305" s="232" t="s">
        <v>371</v>
      </c>
      <c r="D305" s="230" t="s">
        <v>264</v>
      </c>
      <c r="E305" s="230" t="s">
        <v>269</v>
      </c>
      <c r="F305" s="230" t="s">
        <v>269</v>
      </c>
      <c r="G305" s="230" t="s">
        <v>269</v>
      </c>
      <c r="H305" s="230" t="s">
        <v>334</v>
      </c>
      <c r="I305" s="230"/>
      <c r="J305" s="230"/>
      <c r="K305" s="230"/>
      <c r="L305" s="230"/>
      <c r="M305" s="230" t="s">
        <v>266</v>
      </c>
      <c r="N305" s="230" t="s">
        <v>280</v>
      </c>
      <c r="O305" s="230" t="s">
        <v>267</v>
      </c>
      <c r="P305" s="231" t="s">
        <v>372</v>
      </c>
      <c r="Q305" s="231"/>
      <c r="R305" s="233">
        <v>0</v>
      </c>
      <c r="S305" s="233">
        <v>1670516</v>
      </c>
      <c r="T305" s="233">
        <v>0</v>
      </c>
      <c r="U305" s="233">
        <v>1670516</v>
      </c>
      <c r="V305" s="233">
        <v>0</v>
      </c>
      <c r="W305" s="233">
        <v>1563026</v>
      </c>
      <c r="X305" s="233">
        <v>107490</v>
      </c>
      <c r="Y305" s="233">
        <v>1563026</v>
      </c>
      <c r="Z305" s="233">
        <v>1563026</v>
      </c>
      <c r="AA305" s="233">
        <v>1563026</v>
      </c>
      <c r="AB305" s="233">
        <v>1563026</v>
      </c>
    </row>
    <row r="306" spans="1:28" ht="15" customHeight="1" x14ac:dyDescent="0.25">
      <c r="A306" s="230" t="s">
        <v>411</v>
      </c>
      <c r="B306" s="231" t="s">
        <v>412</v>
      </c>
      <c r="C306" s="232" t="s">
        <v>371</v>
      </c>
      <c r="D306" s="230" t="s">
        <v>264</v>
      </c>
      <c r="E306" s="230" t="s">
        <v>269</v>
      </c>
      <c r="F306" s="230" t="s">
        <v>269</v>
      </c>
      <c r="G306" s="230" t="s">
        <v>269</v>
      </c>
      <c r="H306" s="230" t="s">
        <v>334</v>
      </c>
      <c r="I306" s="230"/>
      <c r="J306" s="230"/>
      <c r="K306" s="230"/>
      <c r="L306" s="230"/>
      <c r="M306" s="230" t="s">
        <v>273</v>
      </c>
      <c r="N306" s="230" t="s">
        <v>34</v>
      </c>
      <c r="O306" s="230" t="s">
        <v>267</v>
      </c>
      <c r="P306" s="231" t="s">
        <v>372</v>
      </c>
      <c r="Q306" s="231"/>
      <c r="R306" s="233">
        <v>0</v>
      </c>
      <c r="S306" s="233">
        <v>74197</v>
      </c>
      <c r="T306" s="233">
        <v>74197</v>
      </c>
      <c r="U306" s="233">
        <v>0</v>
      </c>
      <c r="V306" s="233">
        <v>0</v>
      </c>
      <c r="W306" s="233">
        <v>0</v>
      </c>
      <c r="X306" s="233">
        <v>0</v>
      </c>
      <c r="Y306" s="233">
        <v>0</v>
      </c>
      <c r="Z306" s="233">
        <v>0</v>
      </c>
      <c r="AA306" s="233">
        <v>0</v>
      </c>
      <c r="AB306" s="233">
        <v>0</v>
      </c>
    </row>
    <row r="307" spans="1:28" ht="15" customHeight="1" x14ac:dyDescent="0.25">
      <c r="A307" s="230" t="s">
        <v>411</v>
      </c>
      <c r="B307" s="231" t="s">
        <v>412</v>
      </c>
      <c r="C307" s="232" t="s">
        <v>375</v>
      </c>
      <c r="D307" s="230" t="s">
        <v>264</v>
      </c>
      <c r="E307" s="230" t="s">
        <v>285</v>
      </c>
      <c r="F307" s="230" t="s">
        <v>265</v>
      </c>
      <c r="G307" s="230" t="s">
        <v>269</v>
      </c>
      <c r="H307" s="230" t="s">
        <v>281</v>
      </c>
      <c r="I307" s="230"/>
      <c r="J307" s="230"/>
      <c r="K307" s="230"/>
      <c r="L307" s="230"/>
      <c r="M307" s="230" t="s">
        <v>266</v>
      </c>
      <c r="N307" s="230" t="s">
        <v>280</v>
      </c>
      <c r="O307" s="230" t="s">
        <v>267</v>
      </c>
      <c r="P307" s="231" t="s">
        <v>376</v>
      </c>
      <c r="Q307" s="231"/>
      <c r="R307" s="233">
        <v>6400000</v>
      </c>
      <c r="S307" s="233">
        <v>0</v>
      </c>
      <c r="T307" s="233">
        <v>407990</v>
      </c>
      <c r="U307" s="233">
        <v>5992010</v>
      </c>
      <c r="V307" s="233">
        <v>0</v>
      </c>
      <c r="W307" s="233">
        <v>5992010</v>
      </c>
      <c r="X307" s="233">
        <v>0</v>
      </c>
      <c r="Y307" s="233">
        <v>5992010</v>
      </c>
      <c r="Z307" s="233">
        <v>5992010</v>
      </c>
      <c r="AA307" s="233">
        <v>5992010</v>
      </c>
      <c r="AB307" s="233">
        <v>5992010</v>
      </c>
    </row>
    <row r="308" spans="1:28" ht="15" customHeight="1" x14ac:dyDescent="0.25">
      <c r="A308" s="230" t="s">
        <v>411</v>
      </c>
      <c r="B308" s="231" t="s">
        <v>412</v>
      </c>
      <c r="C308" s="232" t="s">
        <v>377</v>
      </c>
      <c r="D308" s="230" t="s">
        <v>264</v>
      </c>
      <c r="E308" s="230" t="s">
        <v>285</v>
      </c>
      <c r="F308" s="230" t="s">
        <v>265</v>
      </c>
      <c r="G308" s="230" t="s">
        <v>269</v>
      </c>
      <c r="H308" s="230" t="s">
        <v>316</v>
      </c>
      <c r="I308" s="230"/>
      <c r="J308" s="230"/>
      <c r="K308" s="230"/>
      <c r="L308" s="230"/>
      <c r="M308" s="230" t="s">
        <v>273</v>
      </c>
      <c r="N308" s="230" t="s">
        <v>34</v>
      </c>
      <c r="O308" s="230" t="s">
        <v>267</v>
      </c>
      <c r="P308" s="231" t="s">
        <v>378</v>
      </c>
      <c r="Q308" s="231"/>
      <c r="R308" s="233">
        <v>0</v>
      </c>
      <c r="S308" s="233">
        <v>1324000</v>
      </c>
      <c r="T308" s="233">
        <v>0</v>
      </c>
      <c r="U308" s="233">
        <v>1324000</v>
      </c>
      <c r="V308" s="233">
        <v>0</v>
      </c>
      <c r="W308" s="233">
        <v>1324000</v>
      </c>
      <c r="X308" s="233">
        <v>0</v>
      </c>
      <c r="Y308" s="233">
        <v>1203000</v>
      </c>
      <c r="Z308" s="233">
        <v>1203000</v>
      </c>
      <c r="AA308" s="233">
        <v>1203000</v>
      </c>
      <c r="AB308" s="233">
        <v>1203000</v>
      </c>
    </row>
    <row r="309" spans="1:28" ht="15" customHeight="1" x14ac:dyDescent="0.25">
      <c r="A309" s="230" t="s">
        <v>413</v>
      </c>
      <c r="B309" s="231" t="s">
        <v>414</v>
      </c>
      <c r="C309" s="232" t="s">
        <v>313</v>
      </c>
      <c r="D309" s="230" t="s">
        <v>264</v>
      </c>
      <c r="E309" s="230" t="s">
        <v>265</v>
      </c>
      <c r="F309" s="230" t="s">
        <v>265</v>
      </c>
      <c r="G309" s="230" t="s">
        <v>265</v>
      </c>
      <c r="H309" s="230" t="s">
        <v>281</v>
      </c>
      <c r="I309" s="230" t="s">
        <v>281</v>
      </c>
      <c r="J309" s="230"/>
      <c r="K309" s="230"/>
      <c r="L309" s="230"/>
      <c r="M309" s="230" t="s">
        <v>266</v>
      </c>
      <c r="N309" s="230" t="s">
        <v>280</v>
      </c>
      <c r="O309" s="230" t="s">
        <v>267</v>
      </c>
      <c r="P309" s="231" t="s">
        <v>314</v>
      </c>
      <c r="Q309" s="231"/>
      <c r="R309" s="233">
        <v>593000000</v>
      </c>
      <c r="S309" s="233">
        <v>0</v>
      </c>
      <c r="T309" s="233">
        <v>0</v>
      </c>
      <c r="U309" s="233">
        <v>593000000</v>
      </c>
      <c r="V309" s="233">
        <v>0</v>
      </c>
      <c r="W309" s="233">
        <v>512287705</v>
      </c>
      <c r="X309" s="233">
        <v>80712295</v>
      </c>
      <c r="Y309" s="233">
        <v>512287705</v>
      </c>
      <c r="Z309" s="233">
        <v>512287705</v>
      </c>
      <c r="AA309" s="233">
        <v>512287705</v>
      </c>
      <c r="AB309" s="233">
        <v>512287705</v>
      </c>
    </row>
    <row r="310" spans="1:28" ht="15" customHeight="1" x14ac:dyDescent="0.25">
      <c r="A310" s="230" t="s">
        <v>413</v>
      </c>
      <c r="B310" s="231" t="s">
        <v>414</v>
      </c>
      <c r="C310" s="232" t="s">
        <v>318</v>
      </c>
      <c r="D310" s="230" t="s">
        <v>264</v>
      </c>
      <c r="E310" s="230" t="s">
        <v>265</v>
      </c>
      <c r="F310" s="230" t="s">
        <v>265</v>
      </c>
      <c r="G310" s="230" t="s">
        <v>265</v>
      </c>
      <c r="H310" s="230" t="s">
        <v>281</v>
      </c>
      <c r="I310" s="230" t="s">
        <v>319</v>
      </c>
      <c r="J310" s="230"/>
      <c r="K310" s="230"/>
      <c r="L310" s="230"/>
      <c r="M310" s="230" t="s">
        <v>266</v>
      </c>
      <c r="N310" s="230" t="s">
        <v>280</v>
      </c>
      <c r="O310" s="230" t="s">
        <v>267</v>
      </c>
      <c r="P310" s="231" t="s">
        <v>320</v>
      </c>
      <c r="Q310" s="231"/>
      <c r="R310" s="233">
        <v>11323000</v>
      </c>
      <c r="S310" s="233">
        <v>0</v>
      </c>
      <c r="T310" s="233">
        <v>0</v>
      </c>
      <c r="U310" s="233">
        <v>11323000</v>
      </c>
      <c r="V310" s="233">
        <v>0</v>
      </c>
      <c r="W310" s="233">
        <v>9114219</v>
      </c>
      <c r="X310" s="233">
        <v>2208781</v>
      </c>
      <c r="Y310" s="233">
        <v>9114219</v>
      </c>
      <c r="Z310" s="233">
        <v>9114219</v>
      </c>
      <c r="AA310" s="233">
        <v>9114219</v>
      </c>
      <c r="AB310" s="233">
        <v>9114219</v>
      </c>
    </row>
    <row r="311" spans="1:28" ht="15" customHeight="1" x14ac:dyDescent="0.25">
      <c r="A311" s="230" t="s">
        <v>413</v>
      </c>
      <c r="B311" s="231" t="s">
        <v>414</v>
      </c>
      <c r="C311" s="232" t="s">
        <v>321</v>
      </c>
      <c r="D311" s="230" t="s">
        <v>264</v>
      </c>
      <c r="E311" s="230" t="s">
        <v>265</v>
      </c>
      <c r="F311" s="230" t="s">
        <v>265</v>
      </c>
      <c r="G311" s="230" t="s">
        <v>265</v>
      </c>
      <c r="H311" s="230" t="s">
        <v>281</v>
      </c>
      <c r="I311" s="230" t="s">
        <v>322</v>
      </c>
      <c r="J311" s="230"/>
      <c r="K311" s="230"/>
      <c r="L311" s="230"/>
      <c r="M311" s="230" t="s">
        <v>266</v>
      </c>
      <c r="N311" s="230" t="s">
        <v>280</v>
      </c>
      <c r="O311" s="230" t="s">
        <v>267</v>
      </c>
      <c r="P311" s="231" t="s">
        <v>323</v>
      </c>
      <c r="Q311" s="231"/>
      <c r="R311" s="233">
        <v>8047000</v>
      </c>
      <c r="S311" s="233">
        <v>2600000</v>
      </c>
      <c r="T311" s="233">
        <v>5328874</v>
      </c>
      <c r="U311" s="233">
        <v>5318126</v>
      </c>
      <c r="V311" s="233">
        <v>0</v>
      </c>
      <c r="W311" s="233">
        <v>4322033</v>
      </c>
      <c r="X311" s="233">
        <v>996093</v>
      </c>
      <c r="Y311" s="233">
        <v>4322033</v>
      </c>
      <c r="Z311" s="233">
        <v>4322033</v>
      </c>
      <c r="AA311" s="233">
        <v>4322033</v>
      </c>
      <c r="AB311" s="233">
        <v>4322033</v>
      </c>
    </row>
    <row r="312" spans="1:28" ht="15" customHeight="1" x14ac:dyDescent="0.25">
      <c r="A312" s="230" t="s">
        <v>413</v>
      </c>
      <c r="B312" s="231" t="s">
        <v>414</v>
      </c>
      <c r="C312" s="232" t="s">
        <v>324</v>
      </c>
      <c r="D312" s="230" t="s">
        <v>264</v>
      </c>
      <c r="E312" s="230" t="s">
        <v>265</v>
      </c>
      <c r="F312" s="230" t="s">
        <v>265</v>
      </c>
      <c r="G312" s="230" t="s">
        <v>265</v>
      </c>
      <c r="H312" s="230" t="s">
        <v>281</v>
      </c>
      <c r="I312" s="230" t="s">
        <v>325</v>
      </c>
      <c r="J312" s="230"/>
      <c r="K312" s="230"/>
      <c r="L312" s="230"/>
      <c r="M312" s="230" t="s">
        <v>266</v>
      </c>
      <c r="N312" s="230" t="s">
        <v>280</v>
      </c>
      <c r="O312" s="230" t="s">
        <v>267</v>
      </c>
      <c r="P312" s="231" t="s">
        <v>326</v>
      </c>
      <c r="Q312" s="231"/>
      <c r="R312" s="233">
        <v>59000000</v>
      </c>
      <c r="S312" s="233">
        <v>1779153</v>
      </c>
      <c r="T312" s="233">
        <v>0</v>
      </c>
      <c r="U312" s="233">
        <v>60779153</v>
      </c>
      <c r="V312" s="233">
        <v>0</v>
      </c>
      <c r="W312" s="233">
        <v>60779153</v>
      </c>
      <c r="X312" s="233">
        <v>0</v>
      </c>
      <c r="Y312" s="233">
        <v>60779153</v>
      </c>
      <c r="Z312" s="233">
        <v>60779153</v>
      </c>
      <c r="AA312" s="233">
        <v>60779153</v>
      </c>
      <c r="AB312" s="233">
        <v>60779153</v>
      </c>
    </row>
    <row r="313" spans="1:28" ht="15" customHeight="1" x14ac:dyDescent="0.25">
      <c r="A313" s="230" t="s">
        <v>413</v>
      </c>
      <c r="B313" s="231" t="s">
        <v>414</v>
      </c>
      <c r="C313" s="232" t="s">
        <v>327</v>
      </c>
      <c r="D313" s="230" t="s">
        <v>264</v>
      </c>
      <c r="E313" s="230" t="s">
        <v>265</v>
      </c>
      <c r="F313" s="230" t="s">
        <v>265</v>
      </c>
      <c r="G313" s="230" t="s">
        <v>265</v>
      </c>
      <c r="H313" s="230" t="s">
        <v>281</v>
      </c>
      <c r="I313" s="230" t="s">
        <v>328</v>
      </c>
      <c r="J313" s="230"/>
      <c r="K313" s="230"/>
      <c r="L313" s="230"/>
      <c r="M313" s="230" t="s">
        <v>266</v>
      </c>
      <c r="N313" s="230" t="s">
        <v>280</v>
      </c>
      <c r="O313" s="230" t="s">
        <v>267</v>
      </c>
      <c r="P313" s="231" t="s">
        <v>329</v>
      </c>
      <c r="Q313" s="231"/>
      <c r="R313" s="233">
        <v>22000000</v>
      </c>
      <c r="S313" s="233">
        <v>4000000</v>
      </c>
      <c r="T313" s="233">
        <v>0</v>
      </c>
      <c r="U313" s="233">
        <v>26000000</v>
      </c>
      <c r="V313" s="233">
        <v>0</v>
      </c>
      <c r="W313" s="233">
        <v>24164885</v>
      </c>
      <c r="X313" s="233">
        <v>1835115</v>
      </c>
      <c r="Y313" s="233">
        <v>24164885</v>
      </c>
      <c r="Z313" s="233">
        <v>24164885</v>
      </c>
      <c r="AA313" s="233">
        <v>24164885</v>
      </c>
      <c r="AB313" s="233">
        <v>24164885</v>
      </c>
    </row>
    <row r="314" spans="1:28" ht="15" customHeight="1" x14ac:dyDescent="0.25">
      <c r="A314" s="230" t="s">
        <v>413</v>
      </c>
      <c r="B314" s="231" t="s">
        <v>414</v>
      </c>
      <c r="C314" s="232" t="s">
        <v>330</v>
      </c>
      <c r="D314" s="230" t="s">
        <v>264</v>
      </c>
      <c r="E314" s="230" t="s">
        <v>265</v>
      </c>
      <c r="F314" s="230" t="s">
        <v>265</v>
      </c>
      <c r="G314" s="230" t="s">
        <v>265</v>
      </c>
      <c r="H314" s="230" t="s">
        <v>281</v>
      </c>
      <c r="I314" s="230" t="s">
        <v>331</v>
      </c>
      <c r="J314" s="230"/>
      <c r="K314" s="230"/>
      <c r="L314" s="230"/>
      <c r="M314" s="230" t="s">
        <v>266</v>
      </c>
      <c r="N314" s="230" t="s">
        <v>280</v>
      </c>
      <c r="O314" s="230" t="s">
        <v>267</v>
      </c>
      <c r="P314" s="231" t="s">
        <v>332</v>
      </c>
      <c r="Q314" s="231"/>
      <c r="R314" s="233">
        <v>72000000</v>
      </c>
      <c r="S314" s="233">
        <v>0</v>
      </c>
      <c r="T314" s="233">
        <v>0</v>
      </c>
      <c r="U314" s="233">
        <v>72000000</v>
      </c>
      <c r="V314" s="233">
        <v>0</v>
      </c>
      <c r="W314" s="233">
        <v>60482295</v>
      </c>
      <c r="X314" s="233">
        <v>11517705</v>
      </c>
      <c r="Y314" s="233">
        <v>60482295</v>
      </c>
      <c r="Z314" s="233">
        <v>60482295</v>
      </c>
      <c r="AA314" s="233">
        <v>60482295</v>
      </c>
      <c r="AB314" s="233">
        <v>60482295</v>
      </c>
    </row>
    <row r="315" spans="1:28" ht="15" customHeight="1" x14ac:dyDescent="0.25">
      <c r="A315" s="230" t="s">
        <v>413</v>
      </c>
      <c r="B315" s="231" t="s">
        <v>414</v>
      </c>
      <c r="C315" s="232" t="s">
        <v>333</v>
      </c>
      <c r="D315" s="230" t="s">
        <v>264</v>
      </c>
      <c r="E315" s="230" t="s">
        <v>265</v>
      </c>
      <c r="F315" s="230" t="s">
        <v>265</v>
      </c>
      <c r="G315" s="230" t="s">
        <v>265</v>
      </c>
      <c r="H315" s="230" t="s">
        <v>281</v>
      </c>
      <c r="I315" s="230" t="s">
        <v>334</v>
      </c>
      <c r="J315" s="230"/>
      <c r="K315" s="230"/>
      <c r="L315" s="230"/>
      <c r="M315" s="230" t="s">
        <v>266</v>
      </c>
      <c r="N315" s="230" t="s">
        <v>280</v>
      </c>
      <c r="O315" s="230" t="s">
        <v>267</v>
      </c>
      <c r="P315" s="231" t="s">
        <v>335</v>
      </c>
      <c r="Q315" s="231"/>
      <c r="R315" s="233">
        <v>46000000</v>
      </c>
      <c r="S315" s="233">
        <v>2800000</v>
      </c>
      <c r="T315" s="233">
        <v>0</v>
      </c>
      <c r="U315" s="233">
        <v>48800000</v>
      </c>
      <c r="V315" s="233">
        <v>0</v>
      </c>
      <c r="W315" s="233">
        <v>33373749</v>
      </c>
      <c r="X315" s="233">
        <v>15426251</v>
      </c>
      <c r="Y315" s="233">
        <v>33373749</v>
      </c>
      <c r="Z315" s="233">
        <v>33373749</v>
      </c>
      <c r="AA315" s="233">
        <v>33373749</v>
      </c>
      <c r="AB315" s="233">
        <v>33373749</v>
      </c>
    </row>
    <row r="316" spans="1:28" ht="15" customHeight="1" x14ac:dyDescent="0.25">
      <c r="A316" s="230" t="s">
        <v>413</v>
      </c>
      <c r="B316" s="231" t="s">
        <v>414</v>
      </c>
      <c r="C316" s="232" t="s">
        <v>336</v>
      </c>
      <c r="D316" s="230" t="s">
        <v>264</v>
      </c>
      <c r="E316" s="230" t="s">
        <v>265</v>
      </c>
      <c r="F316" s="230" t="s">
        <v>265</v>
      </c>
      <c r="G316" s="230" t="s">
        <v>265</v>
      </c>
      <c r="H316" s="230" t="s">
        <v>281</v>
      </c>
      <c r="I316" s="230" t="s">
        <v>278</v>
      </c>
      <c r="J316" s="230"/>
      <c r="K316" s="230"/>
      <c r="L316" s="230"/>
      <c r="M316" s="230" t="s">
        <v>266</v>
      </c>
      <c r="N316" s="230" t="s">
        <v>280</v>
      </c>
      <c r="O316" s="230" t="s">
        <v>267</v>
      </c>
      <c r="P316" s="231" t="s">
        <v>337</v>
      </c>
      <c r="Q316" s="231"/>
      <c r="R316" s="233">
        <v>8000000</v>
      </c>
      <c r="S316" s="233">
        <v>1500000</v>
      </c>
      <c r="T316" s="233">
        <v>987227</v>
      </c>
      <c r="U316" s="233">
        <v>8512773</v>
      </c>
      <c r="V316" s="233">
        <v>0</v>
      </c>
      <c r="W316" s="233">
        <v>8512773</v>
      </c>
      <c r="X316" s="233">
        <v>0</v>
      </c>
      <c r="Y316" s="233">
        <v>8512773</v>
      </c>
      <c r="Z316" s="233">
        <v>8512773</v>
      </c>
      <c r="AA316" s="233">
        <v>8512773</v>
      </c>
      <c r="AB316" s="233">
        <v>8512773</v>
      </c>
    </row>
    <row r="317" spans="1:28" ht="15" customHeight="1" x14ac:dyDescent="0.25">
      <c r="A317" s="230" t="s">
        <v>413</v>
      </c>
      <c r="B317" s="231" t="s">
        <v>414</v>
      </c>
      <c r="C317" s="232" t="s">
        <v>338</v>
      </c>
      <c r="D317" s="230" t="s">
        <v>264</v>
      </c>
      <c r="E317" s="230" t="s">
        <v>265</v>
      </c>
      <c r="F317" s="230" t="s">
        <v>265</v>
      </c>
      <c r="G317" s="230" t="s">
        <v>269</v>
      </c>
      <c r="H317" s="230" t="s">
        <v>281</v>
      </c>
      <c r="I317" s="230"/>
      <c r="J317" s="230"/>
      <c r="K317" s="230"/>
      <c r="L317" s="230"/>
      <c r="M317" s="230" t="s">
        <v>266</v>
      </c>
      <c r="N317" s="230" t="s">
        <v>280</v>
      </c>
      <c r="O317" s="230" t="s">
        <v>267</v>
      </c>
      <c r="P317" s="231" t="s">
        <v>339</v>
      </c>
      <c r="Q317" s="231"/>
      <c r="R317" s="233">
        <v>78000000</v>
      </c>
      <c r="S317" s="233">
        <v>2000000</v>
      </c>
      <c r="T317" s="233">
        <v>0</v>
      </c>
      <c r="U317" s="233">
        <v>80000000</v>
      </c>
      <c r="V317" s="233">
        <v>0</v>
      </c>
      <c r="W317" s="233">
        <v>69241500</v>
      </c>
      <c r="X317" s="233">
        <v>10758500</v>
      </c>
      <c r="Y317" s="233">
        <v>69241500</v>
      </c>
      <c r="Z317" s="233">
        <v>69241500</v>
      </c>
      <c r="AA317" s="233">
        <v>69241500</v>
      </c>
      <c r="AB317" s="233">
        <v>69241500</v>
      </c>
    </row>
    <row r="318" spans="1:28" ht="15" customHeight="1" x14ac:dyDescent="0.25">
      <c r="A318" s="230" t="s">
        <v>413</v>
      </c>
      <c r="B318" s="231" t="s">
        <v>414</v>
      </c>
      <c r="C318" s="232" t="s">
        <v>340</v>
      </c>
      <c r="D318" s="230" t="s">
        <v>264</v>
      </c>
      <c r="E318" s="230" t="s">
        <v>265</v>
      </c>
      <c r="F318" s="230" t="s">
        <v>265</v>
      </c>
      <c r="G318" s="230" t="s">
        <v>269</v>
      </c>
      <c r="H318" s="230" t="s">
        <v>283</v>
      </c>
      <c r="I318" s="230"/>
      <c r="J318" s="230"/>
      <c r="K318" s="230"/>
      <c r="L318" s="230"/>
      <c r="M318" s="230" t="s">
        <v>266</v>
      </c>
      <c r="N318" s="230" t="s">
        <v>280</v>
      </c>
      <c r="O318" s="230" t="s">
        <v>267</v>
      </c>
      <c r="P318" s="231" t="s">
        <v>341</v>
      </c>
      <c r="Q318" s="231"/>
      <c r="R318" s="233">
        <v>55000000</v>
      </c>
      <c r="S318" s="233">
        <v>1000000</v>
      </c>
      <c r="T318" s="233">
        <v>0</v>
      </c>
      <c r="U318" s="233">
        <v>56000000</v>
      </c>
      <c r="V318" s="233">
        <v>0</v>
      </c>
      <c r="W318" s="233">
        <v>49049600</v>
      </c>
      <c r="X318" s="233">
        <v>6950400</v>
      </c>
      <c r="Y318" s="233">
        <v>49049600</v>
      </c>
      <c r="Z318" s="233">
        <v>49049600</v>
      </c>
      <c r="AA318" s="233">
        <v>49049600</v>
      </c>
      <c r="AB318" s="233">
        <v>49049600</v>
      </c>
    </row>
    <row r="319" spans="1:28" ht="15" customHeight="1" x14ac:dyDescent="0.25">
      <c r="A319" s="230" t="s">
        <v>413</v>
      </c>
      <c r="B319" s="231" t="s">
        <v>414</v>
      </c>
      <c r="C319" s="232" t="s">
        <v>342</v>
      </c>
      <c r="D319" s="230" t="s">
        <v>264</v>
      </c>
      <c r="E319" s="230" t="s">
        <v>265</v>
      </c>
      <c r="F319" s="230" t="s">
        <v>265</v>
      </c>
      <c r="G319" s="230" t="s">
        <v>269</v>
      </c>
      <c r="H319" s="230" t="s">
        <v>319</v>
      </c>
      <c r="I319" s="230"/>
      <c r="J319" s="230"/>
      <c r="K319" s="230"/>
      <c r="L319" s="230"/>
      <c r="M319" s="230" t="s">
        <v>266</v>
      </c>
      <c r="N319" s="230" t="s">
        <v>280</v>
      </c>
      <c r="O319" s="230" t="s">
        <v>267</v>
      </c>
      <c r="P319" s="231" t="s">
        <v>343</v>
      </c>
      <c r="Q319" s="231"/>
      <c r="R319" s="233">
        <v>31000000</v>
      </c>
      <c r="S319" s="233">
        <v>1000000</v>
      </c>
      <c r="T319" s="233">
        <v>0</v>
      </c>
      <c r="U319" s="233">
        <v>32000000</v>
      </c>
      <c r="V319" s="233">
        <v>0</v>
      </c>
      <c r="W319" s="233">
        <v>27759100</v>
      </c>
      <c r="X319" s="233">
        <v>4240900</v>
      </c>
      <c r="Y319" s="233">
        <v>27759100</v>
      </c>
      <c r="Z319" s="233">
        <v>27759100</v>
      </c>
      <c r="AA319" s="233">
        <v>27759100</v>
      </c>
      <c r="AB319" s="233">
        <v>27759100</v>
      </c>
    </row>
    <row r="320" spans="1:28" ht="15" customHeight="1" x14ac:dyDescent="0.25">
      <c r="A320" s="230" t="s">
        <v>413</v>
      </c>
      <c r="B320" s="231" t="s">
        <v>414</v>
      </c>
      <c r="C320" s="232" t="s">
        <v>344</v>
      </c>
      <c r="D320" s="230" t="s">
        <v>264</v>
      </c>
      <c r="E320" s="230" t="s">
        <v>265</v>
      </c>
      <c r="F320" s="230" t="s">
        <v>265</v>
      </c>
      <c r="G320" s="230" t="s">
        <v>269</v>
      </c>
      <c r="H320" s="230" t="s">
        <v>322</v>
      </c>
      <c r="I320" s="230"/>
      <c r="J320" s="230"/>
      <c r="K320" s="230"/>
      <c r="L320" s="230"/>
      <c r="M320" s="230" t="s">
        <v>266</v>
      </c>
      <c r="N320" s="230" t="s">
        <v>280</v>
      </c>
      <c r="O320" s="230" t="s">
        <v>267</v>
      </c>
      <c r="P320" s="231" t="s">
        <v>345</v>
      </c>
      <c r="Q320" s="231"/>
      <c r="R320" s="233">
        <v>8000000</v>
      </c>
      <c r="S320" s="233">
        <v>0</v>
      </c>
      <c r="T320" s="233">
        <v>0</v>
      </c>
      <c r="U320" s="233">
        <v>8000000</v>
      </c>
      <c r="V320" s="233">
        <v>0</v>
      </c>
      <c r="W320" s="233">
        <v>7138200</v>
      </c>
      <c r="X320" s="233">
        <v>861800</v>
      </c>
      <c r="Y320" s="233">
        <v>7138200</v>
      </c>
      <c r="Z320" s="233">
        <v>7138200</v>
      </c>
      <c r="AA320" s="233">
        <v>7138200</v>
      </c>
      <c r="AB320" s="233">
        <v>7138200</v>
      </c>
    </row>
    <row r="321" spans="1:28" ht="15" customHeight="1" x14ac:dyDescent="0.25">
      <c r="A321" s="230" t="s">
        <v>413</v>
      </c>
      <c r="B321" s="231" t="s">
        <v>414</v>
      </c>
      <c r="C321" s="232" t="s">
        <v>346</v>
      </c>
      <c r="D321" s="230" t="s">
        <v>264</v>
      </c>
      <c r="E321" s="230" t="s">
        <v>265</v>
      </c>
      <c r="F321" s="230" t="s">
        <v>265</v>
      </c>
      <c r="G321" s="230" t="s">
        <v>269</v>
      </c>
      <c r="H321" s="230" t="s">
        <v>325</v>
      </c>
      <c r="I321" s="230"/>
      <c r="J321" s="230"/>
      <c r="K321" s="230"/>
      <c r="L321" s="230"/>
      <c r="M321" s="230" t="s">
        <v>266</v>
      </c>
      <c r="N321" s="230" t="s">
        <v>280</v>
      </c>
      <c r="O321" s="230" t="s">
        <v>267</v>
      </c>
      <c r="P321" s="231" t="s">
        <v>347</v>
      </c>
      <c r="Q321" s="231"/>
      <c r="R321" s="233">
        <v>23000000</v>
      </c>
      <c r="S321" s="233">
        <v>0</v>
      </c>
      <c r="T321" s="233">
        <v>0</v>
      </c>
      <c r="U321" s="233">
        <v>23000000</v>
      </c>
      <c r="V321" s="233">
        <v>0</v>
      </c>
      <c r="W321" s="233">
        <v>20822400</v>
      </c>
      <c r="X321" s="233">
        <v>2177600</v>
      </c>
      <c r="Y321" s="233">
        <v>20822400</v>
      </c>
      <c r="Z321" s="233">
        <v>20822400</v>
      </c>
      <c r="AA321" s="233">
        <v>20822400</v>
      </c>
      <c r="AB321" s="233">
        <v>20822400</v>
      </c>
    </row>
    <row r="322" spans="1:28" ht="15" customHeight="1" x14ac:dyDescent="0.25">
      <c r="A322" s="230" t="s">
        <v>413</v>
      </c>
      <c r="B322" s="231" t="s">
        <v>414</v>
      </c>
      <c r="C322" s="232" t="s">
        <v>348</v>
      </c>
      <c r="D322" s="230" t="s">
        <v>264</v>
      </c>
      <c r="E322" s="230" t="s">
        <v>265</v>
      </c>
      <c r="F322" s="230" t="s">
        <v>265</v>
      </c>
      <c r="G322" s="230" t="s">
        <v>269</v>
      </c>
      <c r="H322" s="230" t="s">
        <v>328</v>
      </c>
      <c r="I322" s="230"/>
      <c r="J322" s="230"/>
      <c r="K322" s="230"/>
      <c r="L322" s="230"/>
      <c r="M322" s="230" t="s">
        <v>266</v>
      </c>
      <c r="N322" s="230" t="s">
        <v>280</v>
      </c>
      <c r="O322" s="230" t="s">
        <v>267</v>
      </c>
      <c r="P322" s="231" t="s">
        <v>349</v>
      </c>
      <c r="Q322" s="231"/>
      <c r="R322" s="233">
        <v>3000000</v>
      </c>
      <c r="S322" s="233">
        <v>13000000</v>
      </c>
      <c r="T322" s="233">
        <v>0</v>
      </c>
      <c r="U322" s="233">
        <v>16000000</v>
      </c>
      <c r="V322" s="233">
        <v>0</v>
      </c>
      <c r="W322" s="233">
        <v>13887200</v>
      </c>
      <c r="X322" s="233">
        <v>2112800</v>
      </c>
      <c r="Y322" s="233">
        <v>13887200</v>
      </c>
      <c r="Z322" s="233">
        <v>13887200</v>
      </c>
      <c r="AA322" s="233">
        <v>13887200</v>
      </c>
      <c r="AB322" s="233">
        <v>13887200</v>
      </c>
    </row>
    <row r="323" spans="1:28" ht="15" customHeight="1" x14ac:dyDescent="0.25">
      <c r="A323" s="230" t="s">
        <v>413</v>
      </c>
      <c r="B323" s="231" t="s">
        <v>414</v>
      </c>
      <c r="C323" s="232" t="s">
        <v>350</v>
      </c>
      <c r="D323" s="230" t="s">
        <v>264</v>
      </c>
      <c r="E323" s="230" t="s">
        <v>265</v>
      </c>
      <c r="F323" s="230" t="s">
        <v>265</v>
      </c>
      <c r="G323" s="230" t="s">
        <v>269</v>
      </c>
      <c r="H323" s="230" t="s">
        <v>351</v>
      </c>
      <c r="I323" s="230"/>
      <c r="J323" s="230"/>
      <c r="K323" s="230"/>
      <c r="L323" s="230"/>
      <c r="M323" s="230" t="s">
        <v>266</v>
      </c>
      <c r="N323" s="230" t="s">
        <v>280</v>
      </c>
      <c r="O323" s="230" t="s">
        <v>267</v>
      </c>
      <c r="P323" s="231" t="s">
        <v>352</v>
      </c>
      <c r="Q323" s="231"/>
      <c r="R323" s="233">
        <v>3000000</v>
      </c>
      <c r="S323" s="233">
        <v>0</v>
      </c>
      <c r="T323" s="233">
        <v>3000000</v>
      </c>
      <c r="U323" s="233">
        <v>0</v>
      </c>
      <c r="V323" s="233">
        <v>0</v>
      </c>
      <c r="W323" s="233">
        <v>0</v>
      </c>
      <c r="X323" s="233">
        <v>0</v>
      </c>
      <c r="Y323" s="233">
        <v>0</v>
      </c>
      <c r="Z323" s="233">
        <v>0</v>
      </c>
      <c r="AA323" s="233">
        <v>0</v>
      </c>
      <c r="AB323" s="233">
        <v>0</v>
      </c>
    </row>
    <row r="324" spans="1:28" ht="15" customHeight="1" x14ac:dyDescent="0.25">
      <c r="A324" s="230" t="s">
        <v>413</v>
      </c>
      <c r="B324" s="231" t="s">
        <v>414</v>
      </c>
      <c r="C324" s="232" t="s">
        <v>353</v>
      </c>
      <c r="D324" s="230" t="s">
        <v>264</v>
      </c>
      <c r="E324" s="230" t="s">
        <v>265</v>
      </c>
      <c r="F324" s="230" t="s">
        <v>265</v>
      </c>
      <c r="G324" s="230" t="s">
        <v>269</v>
      </c>
      <c r="H324" s="230" t="s">
        <v>331</v>
      </c>
      <c r="I324" s="230"/>
      <c r="J324" s="230"/>
      <c r="K324" s="230"/>
      <c r="L324" s="230"/>
      <c r="M324" s="230" t="s">
        <v>266</v>
      </c>
      <c r="N324" s="230" t="s">
        <v>280</v>
      </c>
      <c r="O324" s="230" t="s">
        <v>267</v>
      </c>
      <c r="P324" s="231" t="s">
        <v>354</v>
      </c>
      <c r="Q324" s="231"/>
      <c r="R324" s="233">
        <v>6000000</v>
      </c>
      <c r="S324" s="233">
        <v>0</v>
      </c>
      <c r="T324" s="233">
        <v>6000000</v>
      </c>
      <c r="U324" s="233">
        <v>0</v>
      </c>
      <c r="V324" s="233">
        <v>0</v>
      </c>
      <c r="W324" s="233">
        <v>0</v>
      </c>
      <c r="X324" s="233">
        <v>0</v>
      </c>
      <c r="Y324" s="233">
        <v>0</v>
      </c>
      <c r="Z324" s="233">
        <v>0</v>
      </c>
      <c r="AA324" s="233">
        <v>0</v>
      </c>
      <c r="AB324" s="233">
        <v>0</v>
      </c>
    </row>
    <row r="325" spans="1:28" ht="15" customHeight="1" x14ac:dyDescent="0.25">
      <c r="A325" s="230" t="s">
        <v>413</v>
      </c>
      <c r="B325" s="231" t="s">
        <v>414</v>
      </c>
      <c r="C325" s="232" t="s">
        <v>355</v>
      </c>
      <c r="D325" s="230" t="s">
        <v>264</v>
      </c>
      <c r="E325" s="230" t="s">
        <v>265</v>
      </c>
      <c r="F325" s="230" t="s">
        <v>265</v>
      </c>
      <c r="G325" s="230" t="s">
        <v>271</v>
      </c>
      <c r="H325" s="230" t="s">
        <v>281</v>
      </c>
      <c r="I325" s="230" t="s">
        <v>281</v>
      </c>
      <c r="J325" s="230"/>
      <c r="K325" s="230"/>
      <c r="L325" s="230"/>
      <c r="M325" s="230" t="s">
        <v>266</v>
      </c>
      <c r="N325" s="230" t="s">
        <v>280</v>
      </c>
      <c r="O325" s="230" t="s">
        <v>267</v>
      </c>
      <c r="P325" s="231" t="s">
        <v>356</v>
      </c>
      <c r="Q325" s="231"/>
      <c r="R325" s="233">
        <v>35000000</v>
      </c>
      <c r="S325" s="233">
        <v>0</v>
      </c>
      <c r="T325" s="233">
        <v>0</v>
      </c>
      <c r="U325" s="233">
        <v>35000000</v>
      </c>
      <c r="V325" s="233">
        <v>0</v>
      </c>
      <c r="W325" s="233">
        <v>27210625</v>
      </c>
      <c r="X325" s="233">
        <v>7789375</v>
      </c>
      <c r="Y325" s="233">
        <v>27210625</v>
      </c>
      <c r="Z325" s="233">
        <v>27210625</v>
      </c>
      <c r="AA325" s="233">
        <v>27210625</v>
      </c>
      <c r="AB325" s="233">
        <v>27210625</v>
      </c>
    </row>
    <row r="326" spans="1:28" ht="15" customHeight="1" x14ac:dyDescent="0.25">
      <c r="A326" s="230" t="s">
        <v>413</v>
      </c>
      <c r="B326" s="231" t="s">
        <v>414</v>
      </c>
      <c r="C326" s="232" t="s">
        <v>357</v>
      </c>
      <c r="D326" s="230" t="s">
        <v>264</v>
      </c>
      <c r="E326" s="230" t="s">
        <v>265</v>
      </c>
      <c r="F326" s="230" t="s">
        <v>265</v>
      </c>
      <c r="G326" s="230" t="s">
        <v>271</v>
      </c>
      <c r="H326" s="230" t="s">
        <v>281</v>
      </c>
      <c r="I326" s="230" t="s">
        <v>283</v>
      </c>
      <c r="J326" s="230"/>
      <c r="K326" s="230"/>
      <c r="L326" s="230"/>
      <c r="M326" s="230" t="s">
        <v>266</v>
      </c>
      <c r="N326" s="230" t="s">
        <v>280</v>
      </c>
      <c r="O326" s="230" t="s">
        <v>267</v>
      </c>
      <c r="P326" s="231" t="s">
        <v>358</v>
      </c>
      <c r="Q326" s="231"/>
      <c r="R326" s="233">
        <v>0</v>
      </c>
      <c r="S326" s="233">
        <v>24061590</v>
      </c>
      <c r="T326" s="233">
        <v>12030795</v>
      </c>
      <c r="U326" s="233">
        <v>12030795</v>
      </c>
      <c r="V326" s="233">
        <v>0</v>
      </c>
      <c r="W326" s="233">
        <v>12030795</v>
      </c>
      <c r="X326" s="233">
        <v>0</v>
      </c>
      <c r="Y326" s="233">
        <v>12030795</v>
      </c>
      <c r="Z326" s="233">
        <v>12030795</v>
      </c>
      <c r="AA326" s="233">
        <v>12030795</v>
      </c>
      <c r="AB326" s="233">
        <v>12030795</v>
      </c>
    </row>
    <row r="327" spans="1:28" ht="15" customHeight="1" x14ac:dyDescent="0.25">
      <c r="A327" s="230" t="s">
        <v>413</v>
      </c>
      <c r="B327" s="231" t="s">
        <v>414</v>
      </c>
      <c r="C327" s="232" t="s">
        <v>359</v>
      </c>
      <c r="D327" s="230" t="s">
        <v>264</v>
      </c>
      <c r="E327" s="230" t="s">
        <v>265</v>
      </c>
      <c r="F327" s="230" t="s">
        <v>265</v>
      </c>
      <c r="G327" s="230" t="s">
        <v>271</v>
      </c>
      <c r="H327" s="230" t="s">
        <v>281</v>
      </c>
      <c r="I327" s="230" t="s">
        <v>316</v>
      </c>
      <c r="J327" s="230"/>
      <c r="K327" s="230"/>
      <c r="L327" s="230"/>
      <c r="M327" s="230" t="s">
        <v>266</v>
      </c>
      <c r="N327" s="230" t="s">
        <v>280</v>
      </c>
      <c r="O327" s="230" t="s">
        <v>267</v>
      </c>
      <c r="P327" s="231" t="s">
        <v>360</v>
      </c>
      <c r="Q327" s="231"/>
      <c r="R327" s="233">
        <v>4000000</v>
      </c>
      <c r="S327" s="233">
        <v>0</v>
      </c>
      <c r="T327" s="233">
        <v>0</v>
      </c>
      <c r="U327" s="233">
        <v>4000000</v>
      </c>
      <c r="V327" s="233">
        <v>0</v>
      </c>
      <c r="W327" s="233">
        <v>3144423</v>
      </c>
      <c r="X327" s="233">
        <v>855577</v>
      </c>
      <c r="Y327" s="233">
        <v>3144423</v>
      </c>
      <c r="Z327" s="233">
        <v>3144423</v>
      </c>
      <c r="AA327" s="233">
        <v>3144423</v>
      </c>
      <c r="AB327" s="233">
        <v>3144423</v>
      </c>
    </row>
    <row r="328" spans="1:28" ht="15" customHeight="1" x14ac:dyDescent="0.25">
      <c r="A328" s="230" t="s">
        <v>413</v>
      </c>
      <c r="B328" s="231" t="s">
        <v>414</v>
      </c>
      <c r="C328" s="232" t="s">
        <v>361</v>
      </c>
      <c r="D328" s="230" t="s">
        <v>264</v>
      </c>
      <c r="E328" s="230" t="s">
        <v>265</v>
      </c>
      <c r="F328" s="230" t="s">
        <v>265</v>
      </c>
      <c r="G328" s="230" t="s">
        <v>271</v>
      </c>
      <c r="H328" s="230" t="s">
        <v>283</v>
      </c>
      <c r="I328" s="230"/>
      <c r="J328" s="230"/>
      <c r="K328" s="230"/>
      <c r="L328" s="230"/>
      <c r="M328" s="230" t="s">
        <v>266</v>
      </c>
      <c r="N328" s="230" t="s">
        <v>280</v>
      </c>
      <c r="O328" s="230" t="s">
        <v>267</v>
      </c>
      <c r="P328" s="231" t="s">
        <v>362</v>
      </c>
      <c r="Q328" s="231"/>
      <c r="R328" s="233">
        <v>20000000</v>
      </c>
      <c r="S328" s="233">
        <v>14321000</v>
      </c>
      <c r="T328" s="233">
        <v>0</v>
      </c>
      <c r="U328" s="233">
        <v>34321000</v>
      </c>
      <c r="V328" s="233">
        <v>0</v>
      </c>
      <c r="W328" s="233">
        <v>27150440</v>
      </c>
      <c r="X328" s="233">
        <v>7170560</v>
      </c>
      <c r="Y328" s="233">
        <v>27150440</v>
      </c>
      <c r="Z328" s="233">
        <v>27150440</v>
      </c>
      <c r="AA328" s="233">
        <v>27150440</v>
      </c>
      <c r="AB328" s="233">
        <v>27150440</v>
      </c>
    </row>
    <row r="329" spans="1:28" ht="15" customHeight="1" x14ac:dyDescent="0.25">
      <c r="A329" s="230" t="s">
        <v>413</v>
      </c>
      <c r="B329" s="231" t="s">
        <v>414</v>
      </c>
      <c r="C329" s="232" t="s">
        <v>363</v>
      </c>
      <c r="D329" s="230" t="s">
        <v>264</v>
      </c>
      <c r="E329" s="230" t="s">
        <v>269</v>
      </c>
      <c r="F329" s="230" t="s">
        <v>269</v>
      </c>
      <c r="G329" s="230" t="s">
        <v>269</v>
      </c>
      <c r="H329" s="230" t="s">
        <v>325</v>
      </c>
      <c r="I329" s="230" t="s">
        <v>319</v>
      </c>
      <c r="J329" s="230"/>
      <c r="K329" s="230"/>
      <c r="L329" s="230"/>
      <c r="M329" s="230" t="s">
        <v>273</v>
      </c>
      <c r="N329" s="230" t="s">
        <v>34</v>
      </c>
      <c r="O329" s="230" t="s">
        <v>267</v>
      </c>
      <c r="P329" s="231" t="s">
        <v>364</v>
      </c>
      <c r="Q329" s="231"/>
      <c r="R329" s="233">
        <v>0</v>
      </c>
      <c r="S329" s="233">
        <v>580000</v>
      </c>
      <c r="T329" s="233">
        <v>0</v>
      </c>
      <c r="U329" s="233">
        <v>580000</v>
      </c>
      <c r="V329" s="233">
        <v>0</v>
      </c>
      <c r="W329" s="233">
        <v>580000</v>
      </c>
      <c r="X329" s="233">
        <v>0</v>
      </c>
      <c r="Y329" s="233">
        <v>580000</v>
      </c>
      <c r="Z329" s="233">
        <v>580000</v>
      </c>
      <c r="AA329" s="233">
        <v>580000</v>
      </c>
      <c r="AB329" s="233">
        <v>580000</v>
      </c>
    </row>
    <row r="330" spans="1:28" ht="15" customHeight="1" x14ac:dyDescent="0.25">
      <c r="A330" s="230" t="s">
        <v>413</v>
      </c>
      <c r="B330" s="231" t="s">
        <v>414</v>
      </c>
      <c r="C330" s="232" t="s">
        <v>365</v>
      </c>
      <c r="D330" s="230" t="s">
        <v>264</v>
      </c>
      <c r="E330" s="230" t="s">
        <v>269</v>
      </c>
      <c r="F330" s="230" t="s">
        <v>269</v>
      </c>
      <c r="G330" s="230" t="s">
        <v>269</v>
      </c>
      <c r="H330" s="230" t="s">
        <v>325</v>
      </c>
      <c r="I330" s="230" t="s">
        <v>331</v>
      </c>
      <c r="J330" s="230"/>
      <c r="K330" s="230"/>
      <c r="L330" s="230"/>
      <c r="M330" s="230" t="s">
        <v>266</v>
      </c>
      <c r="N330" s="230" t="s">
        <v>280</v>
      </c>
      <c r="O330" s="230" t="s">
        <v>267</v>
      </c>
      <c r="P330" s="231" t="s">
        <v>366</v>
      </c>
      <c r="Q330" s="231"/>
      <c r="R330" s="233">
        <v>20360000</v>
      </c>
      <c r="S330" s="233">
        <v>19800000</v>
      </c>
      <c r="T330" s="233">
        <v>0</v>
      </c>
      <c r="U330" s="233">
        <v>40160000</v>
      </c>
      <c r="V330" s="233">
        <v>0</v>
      </c>
      <c r="W330" s="233">
        <v>40160000</v>
      </c>
      <c r="X330" s="233">
        <v>0</v>
      </c>
      <c r="Y330" s="233">
        <v>38936034</v>
      </c>
      <c r="Z330" s="233">
        <v>38486034</v>
      </c>
      <c r="AA330" s="233">
        <v>38486034</v>
      </c>
      <c r="AB330" s="233">
        <v>38486034</v>
      </c>
    </row>
    <row r="331" spans="1:28" ht="15" customHeight="1" x14ac:dyDescent="0.25">
      <c r="A331" s="230" t="s">
        <v>413</v>
      </c>
      <c r="B331" s="231" t="s">
        <v>414</v>
      </c>
      <c r="C331" s="232" t="s">
        <v>367</v>
      </c>
      <c r="D331" s="230" t="s">
        <v>264</v>
      </c>
      <c r="E331" s="230" t="s">
        <v>269</v>
      </c>
      <c r="F331" s="230" t="s">
        <v>269</v>
      </c>
      <c r="G331" s="230" t="s">
        <v>269</v>
      </c>
      <c r="H331" s="230" t="s">
        <v>351</v>
      </c>
      <c r="I331" s="230" t="s">
        <v>319</v>
      </c>
      <c r="J331" s="230"/>
      <c r="K331" s="230"/>
      <c r="L331" s="230"/>
      <c r="M331" s="230" t="s">
        <v>266</v>
      </c>
      <c r="N331" s="230" t="s">
        <v>280</v>
      </c>
      <c r="O331" s="230" t="s">
        <v>267</v>
      </c>
      <c r="P331" s="231" t="s">
        <v>368</v>
      </c>
      <c r="Q331" s="231"/>
      <c r="R331" s="233">
        <v>400000</v>
      </c>
      <c r="S331" s="233">
        <v>273000</v>
      </c>
      <c r="T331" s="233">
        <v>0</v>
      </c>
      <c r="U331" s="233">
        <v>673000</v>
      </c>
      <c r="V331" s="233">
        <v>0</v>
      </c>
      <c r="W331" s="233">
        <v>673000</v>
      </c>
      <c r="X331" s="233">
        <v>0</v>
      </c>
      <c r="Y331" s="233">
        <v>512855</v>
      </c>
      <c r="Z331" s="233">
        <v>512855</v>
      </c>
      <c r="AA331" s="233">
        <v>512855</v>
      </c>
      <c r="AB331" s="233">
        <v>512855</v>
      </c>
    </row>
    <row r="332" spans="1:28" ht="15" customHeight="1" x14ac:dyDescent="0.25">
      <c r="A332" s="230" t="s">
        <v>413</v>
      </c>
      <c r="B332" s="231" t="s">
        <v>414</v>
      </c>
      <c r="C332" s="232" t="s">
        <v>369</v>
      </c>
      <c r="D332" s="230" t="s">
        <v>264</v>
      </c>
      <c r="E332" s="230" t="s">
        <v>269</v>
      </c>
      <c r="F332" s="230" t="s">
        <v>269</v>
      </c>
      <c r="G332" s="230" t="s">
        <v>269</v>
      </c>
      <c r="H332" s="230" t="s">
        <v>331</v>
      </c>
      <c r="I332" s="230" t="s">
        <v>319</v>
      </c>
      <c r="J332" s="230"/>
      <c r="K332" s="230"/>
      <c r="L332" s="230"/>
      <c r="M332" s="230" t="s">
        <v>266</v>
      </c>
      <c r="N332" s="230" t="s">
        <v>280</v>
      </c>
      <c r="O332" s="230" t="s">
        <v>267</v>
      </c>
      <c r="P332" s="231" t="s">
        <v>370</v>
      </c>
      <c r="Q332" s="231"/>
      <c r="R332" s="233">
        <v>500000</v>
      </c>
      <c r="S332" s="233">
        <v>450000</v>
      </c>
      <c r="T332" s="233">
        <v>0</v>
      </c>
      <c r="U332" s="233">
        <v>950000</v>
      </c>
      <c r="V332" s="233">
        <v>0</v>
      </c>
      <c r="W332" s="233">
        <v>950000</v>
      </c>
      <c r="X332" s="233">
        <v>0</v>
      </c>
      <c r="Y332" s="233">
        <v>931800</v>
      </c>
      <c r="Z332" s="233">
        <v>931800</v>
      </c>
      <c r="AA332" s="233">
        <v>931800</v>
      </c>
      <c r="AB332" s="233">
        <v>931800</v>
      </c>
    </row>
    <row r="333" spans="1:28" ht="15" customHeight="1" x14ac:dyDescent="0.25">
      <c r="A333" s="230" t="s">
        <v>413</v>
      </c>
      <c r="B333" s="231" t="s">
        <v>414</v>
      </c>
      <c r="C333" s="232" t="s">
        <v>371</v>
      </c>
      <c r="D333" s="230" t="s">
        <v>264</v>
      </c>
      <c r="E333" s="230" t="s">
        <v>269</v>
      </c>
      <c r="F333" s="230" t="s">
        <v>269</v>
      </c>
      <c r="G333" s="230" t="s">
        <v>269</v>
      </c>
      <c r="H333" s="230" t="s">
        <v>334</v>
      </c>
      <c r="I333" s="230"/>
      <c r="J333" s="230"/>
      <c r="K333" s="230"/>
      <c r="L333" s="230"/>
      <c r="M333" s="230" t="s">
        <v>266</v>
      </c>
      <c r="N333" s="230" t="s">
        <v>280</v>
      </c>
      <c r="O333" s="230" t="s">
        <v>267</v>
      </c>
      <c r="P333" s="231" t="s">
        <v>372</v>
      </c>
      <c r="Q333" s="231"/>
      <c r="R333" s="233">
        <v>0</v>
      </c>
      <c r="S333" s="233">
        <v>271546</v>
      </c>
      <c r="T333" s="233">
        <v>0</v>
      </c>
      <c r="U333" s="233">
        <v>271546</v>
      </c>
      <c r="V333" s="233">
        <v>0</v>
      </c>
      <c r="W333" s="233">
        <v>271546</v>
      </c>
      <c r="X333" s="233">
        <v>0</v>
      </c>
      <c r="Y333" s="233">
        <v>271546</v>
      </c>
      <c r="Z333" s="233">
        <v>271546</v>
      </c>
      <c r="AA333" s="233">
        <v>271546</v>
      </c>
      <c r="AB333" s="233">
        <v>271546</v>
      </c>
    </row>
    <row r="334" spans="1:28" ht="15" customHeight="1" x14ac:dyDescent="0.25">
      <c r="A334" s="230" t="s">
        <v>413</v>
      </c>
      <c r="B334" s="231" t="s">
        <v>414</v>
      </c>
      <c r="C334" s="232" t="s">
        <v>371</v>
      </c>
      <c r="D334" s="230" t="s">
        <v>264</v>
      </c>
      <c r="E334" s="230" t="s">
        <v>269</v>
      </c>
      <c r="F334" s="230" t="s">
        <v>269</v>
      </c>
      <c r="G334" s="230" t="s">
        <v>269</v>
      </c>
      <c r="H334" s="230" t="s">
        <v>334</v>
      </c>
      <c r="I334" s="230"/>
      <c r="J334" s="230"/>
      <c r="K334" s="230"/>
      <c r="L334" s="230"/>
      <c r="M334" s="230" t="s">
        <v>273</v>
      </c>
      <c r="N334" s="230" t="s">
        <v>34</v>
      </c>
      <c r="O334" s="230" t="s">
        <v>267</v>
      </c>
      <c r="P334" s="231" t="s">
        <v>372</v>
      </c>
      <c r="Q334" s="231"/>
      <c r="R334" s="233">
        <v>0</v>
      </c>
      <c r="S334" s="233">
        <v>1434923</v>
      </c>
      <c r="T334" s="233">
        <v>0</v>
      </c>
      <c r="U334" s="233">
        <v>1434923</v>
      </c>
      <c r="V334" s="233">
        <v>0</v>
      </c>
      <c r="W334" s="233">
        <v>1434923</v>
      </c>
      <c r="X334" s="233">
        <v>0</v>
      </c>
      <c r="Y334" s="233">
        <v>1434923</v>
      </c>
      <c r="Z334" s="233">
        <v>1434923</v>
      </c>
      <c r="AA334" s="233">
        <v>1434923</v>
      </c>
      <c r="AB334" s="233">
        <v>1434923</v>
      </c>
    </row>
    <row r="335" spans="1:28" ht="15" customHeight="1" x14ac:dyDescent="0.25">
      <c r="A335" s="230" t="s">
        <v>413</v>
      </c>
      <c r="B335" s="231" t="s">
        <v>414</v>
      </c>
      <c r="C335" s="232" t="s">
        <v>373</v>
      </c>
      <c r="D335" s="230" t="s">
        <v>264</v>
      </c>
      <c r="E335" s="230" t="s">
        <v>271</v>
      </c>
      <c r="F335" s="230" t="s">
        <v>277</v>
      </c>
      <c r="G335" s="230" t="s">
        <v>269</v>
      </c>
      <c r="H335" s="230" t="s">
        <v>278</v>
      </c>
      <c r="I335" s="230" t="s">
        <v>281</v>
      </c>
      <c r="J335" s="230"/>
      <c r="K335" s="230"/>
      <c r="L335" s="230"/>
      <c r="M335" s="230" t="s">
        <v>266</v>
      </c>
      <c r="N335" s="230" t="s">
        <v>280</v>
      </c>
      <c r="O335" s="230" t="s">
        <v>267</v>
      </c>
      <c r="P335" s="231" t="s">
        <v>374</v>
      </c>
      <c r="Q335" s="231"/>
      <c r="R335" s="233">
        <v>0</v>
      </c>
      <c r="S335" s="233">
        <v>10500000</v>
      </c>
      <c r="T335" s="233">
        <v>0</v>
      </c>
      <c r="U335" s="233">
        <v>10500000</v>
      </c>
      <c r="V335" s="233">
        <v>0</v>
      </c>
      <c r="W335" s="233">
        <v>8959290</v>
      </c>
      <c r="X335" s="233">
        <v>1540710</v>
      </c>
      <c r="Y335" s="233">
        <v>8959290</v>
      </c>
      <c r="Z335" s="233">
        <v>6051961</v>
      </c>
      <c r="AA335" s="233">
        <v>6051961</v>
      </c>
      <c r="AB335" s="233">
        <v>6051961</v>
      </c>
    </row>
    <row r="336" spans="1:28" ht="15" customHeight="1" x14ac:dyDescent="0.25">
      <c r="A336" s="230" t="s">
        <v>413</v>
      </c>
      <c r="B336" s="231" t="s">
        <v>414</v>
      </c>
      <c r="C336" s="232" t="s">
        <v>375</v>
      </c>
      <c r="D336" s="230" t="s">
        <v>264</v>
      </c>
      <c r="E336" s="230" t="s">
        <v>285</v>
      </c>
      <c r="F336" s="230" t="s">
        <v>265</v>
      </c>
      <c r="G336" s="230" t="s">
        <v>269</v>
      </c>
      <c r="H336" s="230" t="s">
        <v>281</v>
      </c>
      <c r="I336" s="230"/>
      <c r="J336" s="230"/>
      <c r="K336" s="230"/>
      <c r="L336" s="230"/>
      <c r="M336" s="230" t="s">
        <v>266</v>
      </c>
      <c r="N336" s="230" t="s">
        <v>280</v>
      </c>
      <c r="O336" s="230" t="s">
        <v>267</v>
      </c>
      <c r="P336" s="231" t="s">
        <v>376</v>
      </c>
      <c r="Q336" s="231"/>
      <c r="R336" s="233">
        <v>0</v>
      </c>
      <c r="S336" s="233">
        <v>6745500</v>
      </c>
      <c r="T336" s="233">
        <v>0</v>
      </c>
      <c r="U336" s="233">
        <v>6745500</v>
      </c>
      <c r="V336" s="233">
        <v>0</v>
      </c>
      <c r="W336" s="233">
        <v>6745500</v>
      </c>
      <c r="X336" s="233">
        <v>0</v>
      </c>
      <c r="Y336" s="233">
        <v>6745500</v>
      </c>
      <c r="Z336" s="233">
        <v>6745500</v>
      </c>
      <c r="AA336" s="233">
        <v>6745500</v>
      </c>
      <c r="AB336" s="233">
        <v>6745500</v>
      </c>
    </row>
    <row r="337" spans="1:28" ht="15" customHeight="1" x14ac:dyDescent="0.25">
      <c r="A337" s="230" t="s">
        <v>413</v>
      </c>
      <c r="B337" s="231" t="s">
        <v>414</v>
      </c>
      <c r="C337" s="232" t="s">
        <v>377</v>
      </c>
      <c r="D337" s="230" t="s">
        <v>264</v>
      </c>
      <c r="E337" s="230" t="s">
        <v>285</v>
      </c>
      <c r="F337" s="230" t="s">
        <v>265</v>
      </c>
      <c r="G337" s="230" t="s">
        <v>269</v>
      </c>
      <c r="H337" s="230" t="s">
        <v>316</v>
      </c>
      <c r="I337" s="230"/>
      <c r="J337" s="230"/>
      <c r="K337" s="230"/>
      <c r="L337" s="230"/>
      <c r="M337" s="230" t="s">
        <v>273</v>
      </c>
      <c r="N337" s="230" t="s">
        <v>34</v>
      </c>
      <c r="O337" s="230" t="s">
        <v>267</v>
      </c>
      <c r="P337" s="231" t="s">
        <v>378</v>
      </c>
      <c r="Q337" s="231"/>
      <c r="R337" s="233">
        <v>0</v>
      </c>
      <c r="S337" s="233">
        <v>4840500</v>
      </c>
      <c r="T337" s="233">
        <v>745800</v>
      </c>
      <c r="U337" s="233">
        <v>4094700</v>
      </c>
      <c r="V337" s="233">
        <v>0</v>
      </c>
      <c r="W337" s="233">
        <v>4094700</v>
      </c>
      <c r="X337" s="233">
        <v>0</v>
      </c>
      <c r="Y337" s="233">
        <v>4094700</v>
      </c>
      <c r="Z337" s="233">
        <v>4094700</v>
      </c>
      <c r="AA337" s="233">
        <v>4094700</v>
      </c>
      <c r="AB337" s="233">
        <v>4094700</v>
      </c>
    </row>
    <row r="338" spans="1:28" ht="15" customHeight="1" x14ac:dyDescent="0.25">
      <c r="A338" s="230" t="s">
        <v>415</v>
      </c>
      <c r="B338" s="231" t="s">
        <v>416</v>
      </c>
      <c r="C338" s="232" t="s">
        <v>313</v>
      </c>
      <c r="D338" s="230" t="s">
        <v>264</v>
      </c>
      <c r="E338" s="230" t="s">
        <v>265</v>
      </c>
      <c r="F338" s="230" t="s">
        <v>265</v>
      </c>
      <c r="G338" s="230" t="s">
        <v>265</v>
      </c>
      <c r="H338" s="230" t="s">
        <v>281</v>
      </c>
      <c r="I338" s="230" t="s">
        <v>281</v>
      </c>
      <c r="J338" s="230"/>
      <c r="K338" s="230"/>
      <c r="L338" s="230"/>
      <c r="M338" s="230" t="s">
        <v>266</v>
      </c>
      <c r="N338" s="230" t="s">
        <v>280</v>
      </c>
      <c r="O338" s="230" t="s">
        <v>267</v>
      </c>
      <c r="P338" s="231" t="s">
        <v>314</v>
      </c>
      <c r="Q338" s="231"/>
      <c r="R338" s="233">
        <v>560000000</v>
      </c>
      <c r="S338" s="233">
        <v>0</v>
      </c>
      <c r="T338" s="233">
        <v>0</v>
      </c>
      <c r="U338" s="233">
        <v>560000000</v>
      </c>
      <c r="V338" s="233">
        <v>0</v>
      </c>
      <c r="W338" s="233">
        <v>464938193</v>
      </c>
      <c r="X338" s="233">
        <v>95061807</v>
      </c>
      <c r="Y338" s="233">
        <v>464938193</v>
      </c>
      <c r="Z338" s="233">
        <v>464938193</v>
      </c>
      <c r="AA338" s="233">
        <v>464938193</v>
      </c>
      <c r="AB338" s="233">
        <v>464938193</v>
      </c>
    </row>
    <row r="339" spans="1:28" ht="15" customHeight="1" x14ac:dyDescent="0.25">
      <c r="A339" s="230" t="s">
        <v>415</v>
      </c>
      <c r="B339" s="231" t="s">
        <v>416</v>
      </c>
      <c r="C339" s="232" t="s">
        <v>315</v>
      </c>
      <c r="D339" s="230" t="s">
        <v>264</v>
      </c>
      <c r="E339" s="230" t="s">
        <v>265</v>
      </c>
      <c r="F339" s="230" t="s">
        <v>265</v>
      </c>
      <c r="G339" s="230" t="s">
        <v>265</v>
      </c>
      <c r="H339" s="230" t="s">
        <v>281</v>
      </c>
      <c r="I339" s="230" t="s">
        <v>316</v>
      </c>
      <c r="J339" s="230"/>
      <c r="K339" s="230"/>
      <c r="L339" s="230"/>
      <c r="M339" s="230" t="s">
        <v>266</v>
      </c>
      <c r="N339" s="230" t="s">
        <v>280</v>
      </c>
      <c r="O339" s="230" t="s">
        <v>267</v>
      </c>
      <c r="P339" s="231" t="s">
        <v>317</v>
      </c>
      <c r="Q339" s="231"/>
      <c r="R339" s="233">
        <v>0</v>
      </c>
      <c r="S339" s="233">
        <v>9000000</v>
      </c>
      <c r="T339" s="233">
        <v>0</v>
      </c>
      <c r="U339" s="233">
        <v>9000000</v>
      </c>
      <c r="V339" s="233">
        <v>0</v>
      </c>
      <c r="W339" s="233">
        <v>8366809</v>
      </c>
      <c r="X339" s="233">
        <v>633191</v>
      </c>
      <c r="Y339" s="233">
        <v>8366809</v>
      </c>
      <c r="Z339" s="233">
        <v>8366809</v>
      </c>
      <c r="AA339" s="233">
        <v>8366809</v>
      </c>
      <c r="AB339" s="233">
        <v>8366809</v>
      </c>
    </row>
    <row r="340" spans="1:28" ht="15" customHeight="1" x14ac:dyDescent="0.25">
      <c r="A340" s="230" t="s">
        <v>415</v>
      </c>
      <c r="B340" s="231" t="s">
        <v>416</v>
      </c>
      <c r="C340" s="232" t="s">
        <v>318</v>
      </c>
      <c r="D340" s="230" t="s">
        <v>264</v>
      </c>
      <c r="E340" s="230" t="s">
        <v>265</v>
      </c>
      <c r="F340" s="230" t="s">
        <v>265</v>
      </c>
      <c r="G340" s="230" t="s">
        <v>265</v>
      </c>
      <c r="H340" s="230" t="s">
        <v>281</v>
      </c>
      <c r="I340" s="230" t="s">
        <v>319</v>
      </c>
      <c r="J340" s="230"/>
      <c r="K340" s="230"/>
      <c r="L340" s="230"/>
      <c r="M340" s="230" t="s">
        <v>266</v>
      </c>
      <c r="N340" s="230" t="s">
        <v>280</v>
      </c>
      <c r="O340" s="230" t="s">
        <v>267</v>
      </c>
      <c r="P340" s="231" t="s">
        <v>320</v>
      </c>
      <c r="Q340" s="231"/>
      <c r="R340" s="233">
        <v>9751000</v>
      </c>
      <c r="S340" s="233">
        <v>0</v>
      </c>
      <c r="T340" s="233">
        <v>0</v>
      </c>
      <c r="U340" s="233">
        <v>9751000</v>
      </c>
      <c r="V340" s="233">
        <v>0</v>
      </c>
      <c r="W340" s="233">
        <v>7056737</v>
      </c>
      <c r="X340" s="233">
        <v>2694263</v>
      </c>
      <c r="Y340" s="233">
        <v>7056737</v>
      </c>
      <c r="Z340" s="233">
        <v>7056737</v>
      </c>
      <c r="AA340" s="233">
        <v>7056737</v>
      </c>
      <c r="AB340" s="233">
        <v>7056737</v>
      </c>
    </row>
    <row r="341" spans="1:28" ht="15" customHeight="1" x14ac:dyDescent="0.25">
      <c r="A341" s="230" t="s">
        <v>415</v>
      </c>
      <c r="B341" s="231" t="s">
        <v>416</v>
      </c>
      <c r="C341" s="232" t="s">
        <v>321</v>
      </c>
      <c r="D341" s="230" t="s">
        <v>264</v>
      </c>
      <c r="E341" s="230" t="s">
        <v>265</v>
      </c>
      <c r="F341" s="230" t="s">
        <v>265</v>
      </c>
      <c r="G341" s="230" t="s">
        <v>265</v>
      </c>
      <c r="H341" s="230" t="s">
        <v>281</v>
      </c>
      <c r="I341" s="230" t="s">
        <v>322</v>
      </c>
      <c r="J341" s="230"/>
      <c r="K341" s="230"/>
      <c r="L341" s="230"/>
      <c r="M341" s="230" t="s">
        <v>266</v>
      </c>
      <c r="N341" s="230" t="s">
        <v>280</v>
      </c>
      <c r="O341" s="230" t="s">
        <v>267</v>
      </c>
      <c r="P341" s="231" t="s">
        <v>323</v>
      </c>
      <c r="Q341" s="231"/>
      <c r="R341" s="233">
        <v>5940000</v>
      </c>
      <c r="S341" s="233">
        <v>2600000</v>
      </c>
      <c r="T341" s="233">
        <v>5940000</v>
      </c>
      <c r="U341" s="233">
        <v>2600000</v>
      </c>
      <c r="V341" s="233">
        <v>0</v>
      </c>
      <c r="W341" s="233">
        <v>1277448</v>
      </c>
      <c r="X341" s="233">
        <v>1322552</v>
      </c>
      <c r="Y341" s="233">
        <v>1277448</v>
      </c>
      <c r="Z341" s="233">
        <v>1277448</v>
      </c>
      <c r="AA341" s="233">
        <v>1277448</v>
      </c>
      <c r="AB341" s="233">
        <v>1277448</v>
      </c>
    </row>
    <row r="342" spans="1:28" ht="15" customHeight="1" x14ac:dyDescent="0.25">
      <c r="A342" s="230" t="s">
        <v>415</v>
      </c>
      <c r="B342" s="231" t="s">
        <v>416</v>
      </c>
      <c r="C342" s="232" t="s">
        <v>324</v>
      </c>
      <c r="D342" s="230" t="s">
        <v>264</v>
      </c>
      <c r="E342" s="230" t="s">
        <v>265</v>
      </c>
      <c r="F342" s="230" t="s">
        <v>265</v>
      </c>
      <c r="G342" s="230" t="s">
        <v>265</v>
      </c>
      <c r="H342" s="230" t="s">
        <v>281</v>
      </c>
      <c r="I342" s="230" t="s">
        <v>325</v>
      </c>
      <c r="J342" s="230"/>
      <c r="K342" s="230"/>
      <c r="L342" s="230"/>
      <c r="M342" s="230" t="s">
        <v>266</v>
      </c>
      <c r="N342" s="230" t="s">
        <v>280</v>
      </c>
      <c r="O342" s="230" t="s">
        <v>267</v>
      </c>
      <c r="P342" s="231" t="s">
        <v>326</v>
      </c>
      <c r="Q342" s="231"/>
      <c r="R342" s="233">
        <v>55000000</v>
      </c>
      <c r="S342" s="233">
        <v>1267993</v>
      </c>
      <c r="T342" s="233">
        <v>5877170</v>
      </c>
      <c r="U342" s="233">
        <v>50390823</v>
      </c>
      <c r="V342" s="233">
        <v>0</v>
      </c>
      <c r="W342" s="233">
        <v>50390823</v>
      </c>
      <c r="X342" s="233">
        <v>0</v>
      </c>
      <c r="Y342" s="233">
        <v>50390823</v>
      </c>
      <c r="Z342" s="233">
        <v>50390823</v>
      </c>
      <c r="AA342" s="233">
        <v>50390823</v>
      </c>
      <c r="AB342" s="233">
        <v>50390823</v>
      </c>
    </row>
    <row r="343" spans="1:28" ht="15" customHeight="1" x14ac:dyDescent="0.25">
      <c r="A343" s="230" t="s">
        <v>415</v>
      </c>
      <c r="B343" s="231" t="s">
        <v>416</v>
      </c>
      <c r="C343" s="232" t="s">
        <v>327</v>
      </c>
      <c r="D343" s="230" t="s">
        <v>264</v>
      </c>
      <c r="E343" s="230" t="s">
        <v>265</v>
      </c>
      <c r="F343" s="230" t="s">
        <v>265</v>
      </c>
      <c r="G343" s="230" t="s">
        <v>265</v>
      </c>
      <c r="H343" s="230" t="s">
        <v>281</v>
      </c>
      <c r="I343" s="230" t="s">
        <v>328</v>
      </c>
      <c r="J343" s="230"/>
      <c r="K343" s="230"/>
      <c r="L343" s="230"/>
      <c r="M343" s="230" t="s">
        <v>266</v>
      </c>
      <c r="N343" s="230" t="s">
        <v>280</v>
      </c>
      <c r="O343" s="230" t="s">
        <v>267</v>
      </c>
      <c r="P343" s="231" t="s">
        <v>329</v>
      </c>
      <c r="Q343" s="231"/>
      <c r="R343" s="233">
        <v>21000000</v>
      </c>
      <c r="S343" s="233">
        <v>1500000</v>
      </c>
      <c r="T343" s="233">
        <v>0</v>
      </c>
      <c r="U343" s="233">
        <v>22500000</v>
      </c>
      <c r="V343" s="233">
        <v>0</v>
      </c>
      <c r="W343" s="233">
        <v>19401459</v>
      </c>
      <c r="X343" s="233">
        <v>3098541</v>
      </c>
      <c r="Y343" s="233">
        <v>19401459</v>
      </c>
      <c r="Z343" s="233">
        <v>19401459</v>
      </c>
      <c r="AA343" s="233">
        <v>19401459</v>
      </c>
      <c r="AB343" s="233">
        <v>19401459</v>
      </c>
    </row>
    <row r="344" spans="1:28" ht="15" customHeight="1" x14ac:dyDescent="0.25">
      <c r="A344" s="230" t="s">
        <v>415</v>
      </c>
      <c r="B344" s="231" t="s">
        <v>416</v>
      </c>
      <c r="C344" s="232" t="s">
        <v>330</v>
      </c>
      <c r="D344" s="230" t="s">
        <v>264</v>
      </c>
      <c r="E344" s="230" t="s">
        <v>265</v>
      </c>
      <c r="F344" s="230" t="s">
        <v>265</v>
      </c>
      <c r="G344" s="230" t="s">
        <v>265</v>
      </c>
      <c r="H344" s="230" t="s">
        <v>281</v>
      </c>
      <c r="I344" s="230" t="s">
        <v>331</v>
      </c>
      <c r="J344" s="230"/>
      <c r="K344" s="230"/>
      <c r="L344" s="230"/>
      <c r="M344" s="230" t="s">
        <v>266</v>
      </c>
      <c r="N344" s="230" t="s">
        <v>280</v>
      </c>
      <c r="O344" s="230" t="s">
        <v>267</v>
      </c>
      <c r="P344" s="231" t="s">
        <v>332</v>
      </c>
      <c r="Q344" s="231"/>
      <c r="R344" s="233">
        <v>71000000</v>
      </c>
      <c r="S344" s="233">
        <v>0</v>
      </c>
      <c r="T344" s="233">
        <v>0</v>
      </c>
      <c r="U344" s="233">
        <v>71000000</v>
      </c>
      <c r="V344" s="233">
        <v>0</v>
      </c>
      <c r="W344" s="233">
        <v>60024991</v>
      </c>
      <c r="X344" s="233">
        <v>10975009</v>
      </c>
      <c r="Y344" s="233">
        <v>60024991</v>
      </c>
      <c r="Z344" s="233">
        <v>60024991</v>
      </c>
      <c r="AA344" s="233">
        <v>60024991</v>
      </c>
      <c r="AB344" s="233">
        <v>60024991</v>
      </c>
    </row>
    <row r="345" spans="1:28" ht="15" customHeight="1" x14ac:dyDescent="0.25">
      <c r="A345" s="230" t="s">
        <v>415</v>
      </c>
      <c r="B345" s="231" t="s">
        <v>416</v>
      </c>
      <c r="C345" s="232" t="s">
        <v>333</v>
      </c>
      <c r="D345" s="230" t="s">
        <v>264</v>
      </c>
      <c r="E345" s="230" t="s">
        <v>265</v>
      </c>
      <c r="F345" s="230" t="s">
        <v>265</v>
      </c>
      <c r="G345" s="230" t="s">
        <v>265</v>
      </c>
      <c r="H345" s="230" t="s">
        <v>281</v>
      </c>
      <c r="I345" s="230" t="s">
        <v>334</v>
      </c>
      <c r="J345" s="230"/>
      <c r="K345" s="230"/>
      <c r="L345" s="230"/>
      <c r="M345" s="230" t="s">
        <v>266</v>
      </c>
      <c r="N345" s="230" t="s">
        <v>280</v>
      </c>
      <c r="O345" s="230" t="s">
        <v>267</v>
      </c>
      <c r="P345" s="231" t="s">
        <v>335</v>
      </c>
      <c r="Q345" s="231"/>
      <c r="R345" s="233">
        <v>37000000</v>
      </c>
      <c r="S345" s="233">
        <v>2800000</v>
      </c>
      <c r="T345" s="233">
        <v>0</v>
      </c>
      <c r="U345" s="233">
        <v>39800000</v>
      </c>
      <c r="V345" s="233">
        <v>0</v>
      </c>
      <c r="W345" s="233">
        <v>34271401</v>
      </c>
      <c r="X345" s="233">
        <v>5528599</v>
      </c>
      <c r="Y345" s="233">
        <v>34271401</v>
      </c>
      <c r="Z345" s="233">
        <v>34271401</v>
      </c>
      <c r="AA345" s="233">
        <v>34271401</v>
      </c>
      <c r="AB345" s="233">
        <v>34271401</v>
      </c>
    </row>
    <row r="346" spans="1:28" ht="15" customHeight="1" x14ac:dyDescent="0.25">
      <c r="A346" s="230" t="s">
        <v>415</v>
      </c>
      <c r="B346" s="231" t="s">
        <v>416</v>
      </c>
      <c r="C346" s="232" t="s">
        <v>336</v>
      </c>
      <c r="D346" s="230" t="s">
        <v>264</v>
      </c>
      <c r="E346" s="230" t="s">
        <v>265</v>
      </c>
      <c r="F346" s="230" t="s">
        <v>265</v>
      </c>
      <c r="G346" s="230" t="s">
        <v>265</v>
      </c>
      <c r="H346" s="230" t="s">
        <v>281</v>
      </c>
      <c r="I346" s="230" t="s">
        <v>278</v>
      </c>
      <c r="J346" s="230"/>
      <c r="K346" s="230"/>
      <c r="L346" s="230"/>
      <c r="M346" s="230" t="s">
        <v>266</v>
      </c>
      <c r="N346" s="230" t="s">
        <v>280</v>
      </c>
      <c r="O346" s="230" t="s">
        <v>267</v>
      </c>
      <c r="P346" s="231" t="s">
        <v>337</v>
      </c>
      <c r="Q346" s="231"/>
      <c r="R346" s="233">
        <v>6000000</v>
      </c>
      <c r="S346" s="233">
        <v>2414871</v>
      </c>
      <c r="T346" s="233">
        <v>1250516</v>
      </c>
      <c r="U346" s="233">
        <v>7164355</v>
      </c>
      <c r="V346" s="233">
        <v>0</v>
      </c>
      <c r="W346" s="233">
        <v>7164355</v>
      </c>
      <c r="X346" s="233">
        <v>0</v>
      </c>
      <c r="Y346" s="233">
        <v>7164355</v>
      </c>
      <c r="Z346" s="233">
        <v>7164355</v>
      </c>
      <c r="AA346" s="233">
        <v>7164355</v>
      </c>
      <c r="AB346" s="233">
        <v>7164355</v>
      </c>
    </row>
    <row r="347" spans="1:28" ht="15" customHeight="1" x14ac:dyDescent="0.25">
      <c r="A347" s="230" t="s">
        <v>415</v>
      </c>
      <c r="B347" s="231" t="s">
        <v>416</v>
      </c>
      <c r="C347" s="232" t="s">
        <v>338</v>
      </c>
      <c r="D347" s="230" t="s">
        <v>264</v>
      </c>
      <c r="E347" s="230" t="s">
        <v>265</v>
      </c>
      <c r="F347" s="230" t="s">
        <v>265</v>
      </c>
      <c r="G347" s="230" t="s">
        <v>269</v>
      </c>
      <c r="H347" s="230" t="s">
        <v>281</v>
      </c>
      <c r="I347" s="230"/>
      <c r="J347" s="230"/>
      <c r="K347" s="230"/>
      <c r="L347" s="230"/>
      <c r="M347" s="230" t="s">
        <v>266</v>
      </c>
      <c r="N347" s="230" t="s">
        <v>280</v>
      </c>
      <c r="O347" s="230" t="s">
        <v>267</v>
      </c>
      <c r="P347" s="231" t="s">
        <v>339</v>
      </c>
      <c r="Q347" s="231"/>
      <c r="R347" s="233">
        <v>73000000</v>
      </c>
      <c r="S347" s="233">
        <v>0</v>
      </c>
      <c r="T347" s="233">
        <v>0</v>
      </c>
      <c r="U347" s="233">
        <v>73000000</v>
      </c>
      <c r="V347" s="233">
        <v>0</v>
      </c>
      <c r="W347" s="233">
        <v>62920675</v>
      </c>
      <c r="X347" s="233">
        <v>10079325</v>
      </c>
      <c r="Y347" s="233">
        <v>62920675</v>
      </c>
      <c r="Z347" s="233">
        <v>62920675</v>
      </c>
      <c r="AA347" s="233">
        <v>62920675</v>
      </c>
      <c r="AB347" s="233">
        <v>62920675</v>
      </c>
    </row>
    <row r="348" spans="1:28" ht="15" customHeight="1" x14ac:dyDescent="0.25">
      <c r="A348" s="230" t="s">
        <v>415</v>
      </c>
      <c r="B348" s="231" t="s">
        <v>416</v>
      </c>
      <c r="C348" s="232" t="s">
        <v>340</v>
      </c>
      <c r="D348" s="230" t="s">
        <v>264</v>
      </c>
      <c r="E348" s="230" t="s">
        <v>265</v>
      </c>
      <c r="F348" s="230" t="s">
        <v>265</v>
      </c>
      <c r="G348" s="230" t="s">
        <v>269</v>
      </c>
      <c r="H348" s="230" t="s">
        <v>283</v>
      </c>
      <c r="I348" s="230"/>
      <c r="J348" s="230"/>
      <c r="K348" s="230"/>
      <c r="L348" s="230"/>
      <c r="M348" s="230" t="s">
        <v>266</v>
      </c>
      <c r="N348" s="230" t="s">
        <v>280</v>
      </c>
      <c r="O348" s="230" t="s">
        <v>267</v>
      </c>
      <c r="P348" s="231" t="s">
        <v>341</v>
      </c>
      <c r="Q348" s="231"/>
      <c r="R348" s="233">
        <v>51000000</v>
      </c>
      <c r="S348" s="233">
        <v>0</v>
      </c>
      <c r="T348" s="233">
        <v>0</v>
      </c>
      <c r="U348" s="233">
        <v>51000000</v>
      </c>
      <c r="V348" s="233">
        <v>0</v>
      </c>
      <c r="W348" s="233">
        <v>44467925</v>
      </c>
      <c r="X348" s="233">
        <v>6532075</v>
      </c>
      <c r="Y348" s="233">
        <v>44467925</v>
      </c>
      <c r="Z348" s="233">
        <v>44467925</v>
      </c>
      <c r="AA348" s="233">
        <v>44467925</v>
      </c>
      <c r="AB348" s="233">
        <v>44467925</v>
      </c>
    </row>
    <row r="349" spans="1:28" ht="15" customHeight="1" x14ac:dyDescent="0.25">
      <c r="A349" s="230" t="s">
        <v>415</v>
      </c>
      <c r="B349" s="231" t="s">
        <v>416</v>
      </c>
      <c r="C349" s="232" t="s">
        <v>342</v>
      </c>
      <c r="D349" s="230" t="s">
        <v>264</v>
      </c>
      <c r="E349" s="230" t="s">
        <v>265</v>
      </c>
      <c r="F349" s="230" t="s">
        <v>265</v>
      </c>
      <c r="G349" s="230" t="s">
        <v>269</v>
      </c>
      <c r="H349" s="230" t="s">
        <v>319</v>
      </c>
      <c r="I349" s="230"/>
      <c r="J349" s="230"/>
      <c r="K349" s="230"/>
      <c r="L349" s="230"/>
      <c r="M349" s="230" t="s">
        <v>266</v>
      </c>
      <c r="N349" s="230" t="s">
        <v>280</v>
      </c>
      <c r="O349" s="230" t="s">
        <v>267</v>
      </c>
      <c r="P349" s="231" t="s">
        <v>343</v>
      </c>
      <c r="Q349" s="231"/>
      <c r="R349" s="233">
        <v>29000000</v>
      </c>
      <c r="S349" s="233">
        <v>1000000</v>
      </c>
      <c r="T349" s="233">
        <v>0</v>
      </c>
      <c r="U349" s="233">
        <v>30000000</v>
      </c>
      <c r="V349" s="233">
        <v>0</v>
      </c>
      <c r="W349" s="233">
        <v>25025200</v>
      </c>
      <c r="X349" s="233">
        <v>4974800</v>
      </c>
      <c r="Y349" s="233">
        <v>25025200</v>
      </c>
      <c r="Z349" s="233">
        <v>25025200</v>
      </c>
      <c r="AA349" s="233">
        <v>25025200</v>
      </c>
      <c r="AB349" s="233">
        <v>25025200</v>
      </c>
    </row>
    <row r="350" spans="1:28" ht="15" customHeight="1" x14ac:dyDescent="0.25">
      <c r="A350" s="230" t="s">
        <v>415</v>
      </c>
      <c r="B350" s="231" t="s">
        <v>416</v>
      </c>
      <c r="C350" s="232" t="s">
        <v>344</v>
      </c>
      <c r="D350" s="230" t="s">
        <v>264</v>
      </c>
      <c r="E350" s="230" t="s">
        <v>265</v>
      </c>
      <c r="F350" s="230" t="s">
        <v>265</v>
      </c>
      <c r="G350" s="230" t="s">
        <v>269</v>
      </c>
      <c r="H350" s="230" t="s">
        <v>322</v>
      </c>
      <c r="I350" s="230"/>
      <c r="J350" s="230"/>
      <c r="K350" s="230"/>
      <c r="L350" s="230"/>
      <c r="M350" s="230" t="s">
        <v>266</v>
      </c>
      <c r="N350" s="230" t="s">
        <v>280</v>
      </c>
      <c r="O350" s="230" t="s">
        <v>267</v>
      </c>
      <c r="P350" s="231" t="s">
        <v>345</v>
      </c>
      <c r="Q350" s="231"/>
      <c r="R350" s="233">
        <v>7000000</v>
      </c>
      <c r="S350" s="233">
        <v>0</v>
      </c>
      <c r="T350" s="233">
        <v>0</v>
      </c>
      <c r="U350" s="233">
        <v>7000000</v>
      </c>
      <c r="V350" s="233">
        <v>0</v>
      </c>
      <c r="W350" s="233">
        <v>5370600</v>
      </c>
      <c r="X350" s="233">
        <v>1629400</v>
      </c>
      <c r="Y350" s="233">
        <v>5370600</v>
      </c>
      <c r="Z350" s="233">
        <v>5370600</v>
      </c>
      <c r="AA350" s="233">
        <v>5370600</v>
      </c>
      <c r="AB350" s="233">
        <v>5370600</v>
      </c>
    </row>
    <row r="351" spans="1:28" ht="15" customHeight="1" x14ac:dyDescent="0.25">
      <c r="A351" s="230" t="s">
        <v>415</v>
      </c>
      <c r="B351" s="231" t="s">
        <v>416</v>
      </c>
      <c r="C351" s="232" t="s">
        <v>346</v>
      </c>
      <c r="D351" s="230" t="s">
        <v>264</v>
      </c>
      <c r="E351" s="230" t="s">
        <v>265</v>
      </c>
      <c r="F351" s="230" t="s">
        <v>265</v>
      </c>
      <c r="G351" s="230" t="s">
        <v>269</v>
      </c>
      <c r="H351" s="230" t="s">
        <v>325</v>
      </c>
      <c r="I351" s="230"/>
      <c r="J351" s="230"/>
      <c r="K351" s="230"/>
      <c r="L351" s="230"/>
      <c r="M351" s="230" t="s">
        <v>266</v>
      </c>
      <c r="N351" s="230" t="s">
        <v>280</v>
      </c>
      <c r="O351" s="230" t="s">
        <v>267</v>
      </c>
      <c r="P351" s="231" t="s">
        <v>347</v>
      </c>
      <c r="Q351" s="231"/>
      <c r="R351" s="233">
        <v>22000000</v>
      </c>
      <c r="S351" s="233">
        <v>0</v>
      </c>
      <c r="T351" s="233">
        <v>0</v>
      </c>
      <c r="U351" s="233">
        <v>22000000</v>
      </c>
      <c r="V351" s="233">
        <v>0</v>
      </c>
      <c r="W351" s="233">
        <v>18771500</v>
      </c>
      <c r="X351" s="233">
        <v>3228500</v>
      </c>
      <c r="Y351" s="233">
        <v>18771500</v>
      </c>
      <c r="Z351" s="233">
        <v>18771500</v>
      </c>
      <c r="AA351" s="233">
        <v>18771500</v>
      </c>
      <c r="AB351" s="233">
        <v>18771500</v>
      </c>
    </row>
    <row r="352" spans="1:28" ht="15" customHeight="1" x14ac:dyDescent="0.25">
      <c r="A352" s="230" t="s">
        <v>415</v>
      </c>
      <c r="B352" s="231" t="s">
        <v>416</v>
      </c>
      <c r="C352" s="232" t="s">
        <v>348</v>
      </c>
      <c r="D352" s="230" t="s">
        <v>264</v>
      </c>
      <c r="E352" s="230" t="s">
        <v>265</v>
      </c>
      <c r="F352" s="230" t="s">
        <v>265</v>
      </c>
      <c r="G352" s="230" t="s">
        <v>269</v>
      </c>
      <c r="H352" s="230" t="s">
        <v>328</v>
      </c>
      <c r="I352" s="230"/>
      <c r="J352" s="230"/>
      <c r="K352" s="230"/>
      <c r="L352" s="230"/>
      <c r="M352" s="230" t="s">
        <v>266</v>
      </c>
      <c r="N352" s="230" t="s">
        <v>280</v>
      </c>
      <c r="O352" s="230" t="s">
        <v>267</v>
      </c>
      <c r="P352" s="231" t="s">
        <v>349</v>
      </c>
      <c r="Q352" s="231"/>
      <c r="R352" s="233">
        <v>4000000</v>
      </c>
      <c r="S352" s="233">
        <v>12000000</v>
      </c>
      <c r="T352" s="233">
        <v>0</v>
      </c>
      <c r="U352" s="233">
        <v>16000000</v>
      </c>
      <c r="V352" s="233">
        <v>0</v>
      </c>
      <c r="W352" s="233">
        <v>12517600</v>
      </c>
      <c r="X352" s="233">
        <v>3482400</v>
      </c>
      <c r="Y352" s="233">
        <v>12517600</v>
      </c>
      <c r="Z352" s="233">
        <v>12517600</v>
      </c>
      <c r="AA352" s="233">
        <v>12517600</v>
      </c>
      <c r="AB352" s="233">
        <v>12517600</v>
      </c>
    </row>
    <row r="353" spans="1:28" ht="15" customHeight="1" x14ac:dyDescent="0.25">
      <c r="A353" s="230" t="s">
        <v>415</v>
      </c>
      <c r="B353" s="231" t="s">
        <v>416</v>
      </c>
      <c r="C353" s="232" t="s">
        <v>350</v>
      </c>
      <c r="D353" s="230" t="s">
        <v>264</v>
      </c>
      <c r="E353" s="230" t="s">
        <v>265</v>
      </c>
      <c r="F353" s="230" t="s">
        <v>265</v>
      </c>
      <c r="G353" s="230" t="s">
        <v>269</v>
      </c>
      <c r="H353" s="230" t="s">
        <v>351</v>
      </c>
      <c r="I353" s="230"/>
      <c r="J353" s="230"/>
      <c r="K353" s="230"/>
      <c r="L353" s="230"/>
      <c r="M353" s="230" t="s">
        <v>266</v>
      </c>
      <c r="N353" s="230" t="s">
        <v>280</v>
      </c>
      <c r="O353" s="230" t="s">
        <v>267</v>
      </c>
      <c r="P353" s="231" t="s">
        <v>352</v>
      </c>
      <c r="Q353" s="231"/>
      <c r="R353" s="233">
        <v>4000000</v>
      </c>
      <c r="S353" s="233">
        <v>0</v>
      </c>
      <c r="T353" s="233">
        <v>4000000</v>
      </c>
      <c r="U353" s="233">
        <v>0</v>
      </c>
      <c r="V353" s="233">
        <v>0</v>
      </c>
      <c r="W353" s="233">
        <v>0</v>
      </c>
      <c r="X353" s="233">
        <v>0</v>
      </c>
      <c r="Y353" s="233">
        <v>0</v>
      </c>
      <c r="Z353" s="233">
        <v>0</v>
      </c>
      <c r="AA353" s="233">
        <v>0</v>
      </c>
      <c r="AB353" s="233">
        <v>0</v>
      </c>
    </row>
    <row r="354" spans="1:28" ht="15" customHeight="1" x14ac:dyDescent="0.25">
      <c r="A354" s="230" t="s">
        <v>415</v>
      </c>
      <c r="B354" s="231" t="s">
        <v>416</v>
      </c>
      <c r="C354" s="232" t="s">
        <v>353</v>
      </c>
      <c r="D354" s="230" t="s">
        <v>264</v>
      </c>
      <c r="E354" s="230" t="s">
        <v>265</v>
      </c>
      <c r="F354" s="230" t="s">
        <v>265</v>
      </c>
      <c r="G354" s="230" t="s">
        <v>269</v>
      </c>
      <c r="H354" s="230" t="s">
        <v>331</v>
      </c>
      <c r="I354" s="230"/>
      <c r="J354" s="230"/>
      <c r="K354" s="230"/>
      <c r="L354" s="230"/>
      <c r="M354" s="230" t="s">
        <v>266</v>
      </c>
      <c r="N354" s="230" t="s">
        <v>280</v>
      </c>
      <c r="O354" s="230" t="s">
        <v>267</v>
      </c>
      <c r="P354" s="231" t="s">
        <v>354</v>
      </c>
      <c r="Q354" s="231"/>
      <c r="R354" s="233">
        <v>8000000</v>
      </c>
      <c r="S354" s="233">
        <v>0</v>
      </c>
      <c r="T354" s="233">
        <v>8000000</v>
      </c>
      <c r="U354" s="233">
        <v>0</v>
      </c>
      <c r="V354" s="233">
        <v>0</v>
      </c>
      <c r="W354" s="233">
        <v>0</v>
      </c>
      <c r="X354" s="233">
        <v>0</v>
      </c>
      <c r="Y354" s="233">
        <v>0</v>
      </c>
      <c r="Z354" s="233">
        <v>0</v>
      </c>
      <c r="AA354" s="233">
        <v>0</v>
      </c>
      <c r="AB354" s="233">
        <v>0</v>
      </c>
    </row>
    <row r="355" spans="1:28" ht="15" customHeight="1" x14ac:dyDescent="0.25">
      <c r="A355" s="230" t="s">
        <v>415</v>
      </c>
      <c r="B355" s="231" t="s">
        <v>416</v>
      </c>
      <c r="C355" s="232" t="s">
        <v>355</v>
      </c>
      <c r="D355" s="230" t="s">
        <v>264</v>
      </c>
      <c r="E355" s="230" t="s">
        <v>265</v>
      </c>
      <c r="F355" s="230" t="s">
        <v>265</v>
      </c>
      <c r="G355" s="230" t="s">
        <v>271</v>
      </c>
      <c r="H355" s="230" t="s">
        <v>281</v>
      </c>
      <c r="I355" s="230" t="s">
        <v>281</v>
      </c>
      <c r="J355" s="230"/>
      <c r="K355" s="230"/>
      <c r="L355" s="230"/>
      <c r="M355" s="230" t="s">
        <v>266</v>
      </c>
      <c r="N355" s="230" t="s">
        <v>280</v>
      </c>
      <c r="O355" s="230" t="s">
        <v>267</v>
      </c>
      <c r="P355" s="231" t="s">
        <v>356</v>
      </c>
      <c r="Q355" s="231"/>
      <c r="R355" s="233">
        <v>35000000</v>
      </c>
      <c r="S355" s="233">
        <v>2000000</v>
      </c>
      <c r="T355" s="233">
        <v>0</v>
      </c>
      <c r="U355" s="233">
        <v>37000000</v>
      </c>
      <c r="V355" s="233">
        <v>0</v>
      </c>
      <c r="W355" s="233">
        <v>29925862</v>
      </c>
      <c r="X355" s="233">
        <v>7074138</v>
      </c>
      <c r="Y355" s="233">
        <v>29925862</v>
      </c>
      <c r="Z355" s="233">
        <v>29925862</v>
      </c>
      <c r="AA355" s="233">
        <v>29925862</v>
      </c>
      <c r="AB355" s="233">
        <v>29925862</v>
      </c>
    </row>
    <row r="356" spans="1:28" ht="15" customHeight="1" x14ac:dyDescent="0.25">
      <c r="A356" s="230" t="s">
        <v>415</v>
      </c>
      <c r="B356" s="231" t="s">
        <v>416</v>
      </c>
      <c r="C356" s="232" t="s">
        <v>357</v>
      </c>
      <c r="D356" s="230" t="s">
        <v>264</v>
      </c>
      <c r="E356" s="230" t="s">
        <v>265</v>
      </c>
      <c r="F356" s="230" t="s">
        <v>265</v>
      </c>
      <c r="G356" s="230" t="s">
        <v>271</v>
      </c>
      <c r="H356" s="230" t="s">
        <v>281</v>
      </c>
      <c r="I356" s="230" t="s">
        <v>283</v>
      </c>
      <c r="J356" s="230"/>
      <c r="K356" s="230"/>
      <c r="L356" s="230"/>
      <c r="M356" s="230" t="s">
        <v>266</v>
      </c>
      <c r="N356" s="230" t="s">
        <v>280</v>
      </c>
      <c r="O356" s="230" t="s">
        <v>267</v>
      </c>
      <c r="P356" s="231" t="s">
        <v>358</v>
      </c>
      <c r="Q356" s="231"/>
      <c r="R356" s="233">
        <v>0</v>
      </c>
      <c r="S356" s="233">
        <v>8575810</v>
      </c>
      <c r="T356" s="233">
        <v>0</v>
      </c>
      <c r="U356" s="233">
        <v>8575810</v>
      </c>
      <c r="V356" s="233">
        <v>0</v>
      </c>
      <c r="W356" s="233">
        <v>7079006</v>
      </c>
      <c r="X356" s="233">
        <v>1496804</v>
      </c>
      <c r="Y356" s="233">
        <v>7079006</v>
      </c>
      <c r="Z356" s="233">
        <v>7079006</v>
      </c>
      <c r="AA356" s="233">
        <v>7079006</v>
      </c>
      <c r="AB356" s="233">
        <v>7079006</v>
      </c>
    </row>
    <row r="357" spans="1:28" ht="15" customHeight="1" x14ac:dyDescent="0.25">
      <c r="A357" s="230" t="s">
        <v>415</v>
      </c>
      <c r="B357" s="231" t="s">
        <v>416</v>
      </c>
      <c r="C357" s="232" t="s">
        <v>359</v>
      </c>
      <c r="D357" s="230" t="s">
        <v>264</v>
      </c>
      <c r="E357" s="230" t="s">
        <v>265</v>
      </c>
      <c r="F357" s="230" t="s">
        <v>265</v>
      </c>
      <c r="G357" s="230" t="s">
        <v>271</v>
      </c>
      <c r="H357" s="230" t="s">
        <v>281</v>
      </c>
      <c r="I357" s="230" t="s">
        <v>316</v>
      </c>
      <c r="J357" s="230"/>
      <c r="K357" s="230"/>
      <c r="L357" s="230"/>
      <c r="M357" s="230" t="s">
        <v>266</v>
      </c>
      <c r="N357" s="230" t="s">
        <v>280</v>
      </c>
      <c r="O357" s="230" t="s">
        <v>267</v>
      </c>
      <c r="P357" s="231" t="s">
        <v>360</v>
      </c>
      <c r="Q357" s="231"/>
      <c r="R357" s="233">
        <v>3000000</v>
      </c>
      <c r="S357" s="233">
        <v>896000</v>
      </c>
      <c r="T357" s="233">
        <v>0</v>
      </c>
      <c r="U357" s="233">
        <v>3896000</v>
      </c>
      <c r="V357" s="233">
        <v>0</v>
      </c>
      <c r="W357" s="233">
        <v>3103426</v>
      </c>
      <c r="X357" s="233">
        <v>792574</v>
      </c>
      <c r="Y357" s="233">
        <v>3103426</v>
      </c>
      <c r="Z357" s="233">
        <v>3103426</v>
      </c>
      <c r="AA357" s="233">
        <v>3103426</v>
      </c>
      <c r="AB357" s="233">
        <v>3103426</v>
      </c>
    </row>
    <row r="358" spans="1:28" ht="15" customHeight="1" x14ac:dyDescent="0.25">
      <c r="A358" s="230" t="s">
        <v>415</v>
      </c>
      <c r="B358" s="231" t="s">
        <v>416</v>
      </c>
      <c r="C358" s="232" t="s">
        <v>361</v>
      </c>
      <c r="D358" s="230" t="s">
        <v>264</v>
      </c>
      <c r="E358" s="230" t="s">
        <v>265</v>
      </c>
      <c r="F358" s="230" t="s">
        <v>265</v>
      </c>
      <c r="G358" s="230" t="s">
        <v>271</v>
      </c>
      <c r="H358" s="230" t="s">
        <v>283</v>
      </c>
      <c r="I358" s="230"/>
      <c r="J358" s="230"/>
      <c r="K358" s="230"/>
      <c r="L358" s="230"/>
      <c r="M358" s="230" t="s">
        <v>266</v>
      </c>
      <c r="N358" s="230" t="s">
        <v>280</v>
      </c>
      <c r="O358" s="230" t="s">
        <v>267</v>
      </c>
      <c r="P358" s="231" t="s">
        <v>362</v>
      </c>
      <c r="Q358" s="231"/>
      <c r="R358" s="233">
        <v>29000000</v>
      </c>
      <c r="S358" s="233">
        <v>0</v>
      </c>
      <c r="T358" s="233">
        <v>0</v>
      </c>
      <c r="U358" s="233">
        <v>29000000</v>
      </c>
      <c r="V358" s="233">
        <v>0</v>
      </c>
      <c r="W358" s="233">
        <v>20678991</v>
      </c>
      <c r="X358" s="233">
        <v>8321009</v>
      </c>
      <c r="Y358" s="233">
        <v>20678991</v>
      </c>
      <c r="Z358" s="233">
        <v>20678991</v>
      </c>
      <c r="AA358" s="233">
        <v>20678991</v>
      </c>
      <c r="AB358" s="233">
        <v>20678991</v>
      </c>
    </row>
    <row r="359" spans="1:28" ht="15" customHeight="1" x14ac:dyDescent="0.25">
      <c r="A359" s="230" t="s">
        <v>415</v>
      </c>
      <c r="B359" s="231" t="s">
        <v>416</v>
      </c>
      <c r="C359" s="232" t="s">
        <v>417</v>
      </c>
      <c r="D359" s="230" t="s">
        <v>264</v>
      </c>
      <c r="E359" s="230" t="s">
        <v>265</v>
      </c>
      <c r="F359" s="230" t="s">
        <v>265</v>
      </c>
      <c r="G359" s="230" t="s">
        <v>271</v>
      </c>
      <c r="H359" s="230" t="s">
        <v>418</v>
      </c>
      <c r="I359" s="230"/>
      <c r="J359" s="230"/>
      <c r="K359" s="230"/>
      <c r="L359" s="230"/>
      <c r="M359" s="230" t="s">
        <v>266</v>
      </c>
      <c r="N359" s="230" t="s">
        <v>280</v>
      </c>
      <c r="O359" s="230" t="s">
        <v>267</v>
      </c>
      <c r="P359" s="231" t="s">
        <v>419</v>
      </c>
      <c r="Q359" s="231"/>
      <c r="R359" s="233">
        <v>8000000</v>
      </c>
      <c r="S359" s="233">
        <v>0</v>
      </c>
      <c r="T359" s="233">
        <v>0</v>
      </c>
      <c r="U359" s="233">
        <v>8000000</v>
      </c>
      <c r="V359" s="233">
        <v>0</v>
      </c>
      <c r="W359" s="233">
        <v>5515599</v>
      </c>
      <c r="X359" s="233">
        <v>2484401</v>
      </c>
      <c r="Y359" s="233">
        <v>5515599</v>
      </c>
      <c r="Z359" s="233">
        <v>5515599</v>
      </c>
      <c r="AA359" s="233">
        <v>5515599</v>
      </c>
      <c r="AB359" s="233">
        <v>5515599</v>
      </c>
    </row>
    <row r="360" spans="1:28" ht="15" customHeight="1" x14ac:dyDescent="0.25">
      <c r="A360" s="230" t="s">
        <v>415</v>
      </c>
      <c r="B360" s="231" t="s">
        <v>416</v>
      </c>
      <c r="C360" s="232" t="s">
        <v>363</v>
      </c>
      <c r="D360" s="230" t="s">
        <v>264</v>
      </c>
      <c r="E360" s="230" t="s">
        <v>269</v>
      </c>
      <c r="F360" s="230" t="s">
        <v>269</v>
      </c>
      <c r="G360" s="230" t="s">
        <v>269</v>
      </c>
      <c r="H360" s="230" t="s">
        <v>325</v>
      </c>
      <c r="I360" s="230" t="s">
        <v>319</v>
      </c>
      <c r="J360" s="230"/>
      <c r="K360" s="230"/>
      <c r="L360" s="230"/>
      <c r="M360" s="230" t="s">
        <v>273</v>
      </c>
      <c r="N360" s="230" t="s">
        <v>34</v>
      </c>
      <c r="O360" s="230" t="s">
        <v>267</v>
      </c>
      <c r="P360" s="231" t="s">
        <v>364</v>
      </c>
      <c r="Q360" s="231"/>
      <c r="R360" s="233">
        <v>0</v>
      </c>
      <c r="S360" s="233">
        <v>230000</v>
      </c>
      <c r="T360" s="233">
        <v>0</v>
      </c>
      <c r="U360" s="233">
        <v>230000</v>
      </c>
      <c r="V360" s="233">
        <v>0</v>
      </c>
      <c r="W360" s="233">
        <v>30000</v>
      </c>
      <c r="X360" s="233">
        <v>200000</v>
      </c>
      <c r="Y360" s="233">
        <v>30000</v>
      </c>
      <c r="Z360" s="233">
        <v>30000</v>
      </c>
      <c r="AA360" s="233">
        <v>30000</v>
      </c>
      <c r="AB360" s="233">
        <v>30000</v>
      </c>
    </row>
    <row r="361" spans="1:28" ht="15" customHeight="1" x14ac:dyDescent="0.25">
      <c r="A361" s="230" t="s">
        <v>415</v>
      </c>
      <c r="B361" s="231" t="s">
        <v>416</v>
      </c>
      <c r="C361" s="232" t="s">
        <v>365</v>
      </c>
      <c r="D361" s="230" t="s">
        <v>264</v>
      </c>
      <c r="E361" s="230" t="s">
        <v>269</v>
      </c>
      <c r="F361" s="230" t="s">
        <v>269</v>
      </c>
      <c r="G361" s="230" t="s">
        <v>269</v>
      </c>
      <c r="H361" s="230" t="s">
        <v>325</v>
      </c>
      <c r="I361" s="230" t="s">
        <v>331</v>
      </c>
      <c r="J361" s="230"/>
      <c r="K361" s="230"/>
      <c r="L361" s="230"/>
      <c r="M361" s="230" t="s">
        <v>266</v>
      </c>
      <c r="N361" s="230" t="s">
        <v>280</v>
      </c>
      <c r="O361" s="230" t="s">
        <v>267</v>
      </c>
      <c r="P361" s="231" t="s">
        <v>366</v>
      </c>
      <c r="Q361" s="231"/>
      <c r="R361" s="233">
        <v>31000000</v>
      </c>
      <c r="S361" s="233">
        <v>6596000</v>
      </c>
      <c r="T361" s="233">
        <v>0</v>
      </c>
      <c r="U361" s="233">
        <v>37596000</v>
      </c>
      <c r="V361" s="233">
        <v>0</v>
      </c>
      <c r="W361" s="233">
        <v>37596000</v>
      </c>
      <c r="X361" s="233">
        <v>0</v>
      </c>
      <c r="Y361" s="233">
        <v>37596000</v>
      </c>
      <c r="Z361" s="233">
        <v>36842650</v>
      </c>
      <c r="AA361" s="233">
        <v>36842650</v>
      </c>
      <c r="AB361" s="233">
        <v>36842650</v>
      </c>
    </row>
    <row r="362" spans="1:28" ht="15" customHeight="1" x14ac:dyDescent="0.25">
      <c r="A362" s="230" t="s">
        <v>415</v>
      </c>
      <c r="B362" s="231" t="s">
        <v>416</v>
      </c>
      <c r="C362" s="232" t="s">
        <v>383</v>
      </c>
      <c r="D362" s="230" t="s">
        <v>264</v>
      </c>
      <c r="E362" s="230" t="s">
        <v>269</v>
      </c>
      <c r="F362" s="230" t="s">
        <v>269</v>
      </c>
      <c r="G362" s="230" t="s">
        <v>269</v>
      </c>
      <c r="H362" s="230" t="s">
        <v>328</v>
      </c>
      <c r="I362" s="230" t="s">
        <v>283</v>
      </c>
      <c r="J362" s="230"/>
      <c r="K362" s="230"/>
      <c r="L362" s="230"/>
      <c r="M362" s="230" t="s">
        <v>266</v>
      </c>
      <c r="N362" s="230" t="s">
        <v>280</v>
      </c>
      <c r="O362" s="230" t="s">
        <v>267</v>
      </c>
      <c r="P362" s="231" t="s">
        <v>384</v>
      </c>
      <c r="Q362" s="231"/>
      <c r="R362" s="233">
        <v>35000000</v>
      </c>
      <c r="S362" s="233">
        <v>6394000</v>
      </c>
      <c r="T362" s="233">
        <v>0</v>
      </c>
      <c r="U362" s="233">
        <v>41394000</v>
      </c>
      <c r="V362" s="233">
        <v>0</v>
      </c>
      <c r="W362" s="233">
        <v>38994000</v>
      </c>
      <c r="X362" s="233">
        <v>2400000</v>
      </c>
      <c r="Y362" s="233">
        <v>38994000</v>
      </c>
      <c r="Z362" s="233">
        <v>32481392.48</v>
      </c>
      <c r="AA362" s="233">
        <v>32481392.48</v>
      </c>
      <c r="AB362" s="233">
        <v>32481392.48</v>
      </c>
    </row>
    <row r="363" spans="1:28" ht="15" customHeight="1" x14ac:dyDescent="0.25">
      <c r="A363" s="230" t="s">
        <v>415</v>
      </c>
      <c r="B363" s="231" t="s">
        <v>416</v>
      </c>
      <c r="C363" s="232" t="s">
        <v>383</v>
      </c>
      <c r="D363" s="230" t="s">
        <v>264</v>
      </c>
      <c r="E363" s="230" t="s">
        <v>269</v>
      </c>
      <c r="F363" s="230" t="s">
        <v>269</v>
      </c>
      <c r="G363" s="230" t="s">
        <v>269</v>
      </c>
      <c r="H363" s="230" t="s">
        <v>328</v>
      </c>
      <c r="I363" s="230" t="s">
        <v>283</v>
      </c>
      <c r="J363" s="230"/>
      <c r="K363" s="230"/>
      <c r="L363" s="230"/>
      <c r="M363" s="230" t="s">
        <v>273</v>
      </c>
      <c r="N363" s="230" t="s">
        <v>34</v>
      </c>
      <c r="O363" s="230" t="s">
        <v>267</v>
      </c>
      <c r="P363" s="231" t="s">
        <v>384</v>
      </c>
      <c r="Q363" s="231"/>
      <c r="R363" s="233">
        <v>26000000</v>
      </c>
      <c r="S363" s="233">
        <v>2600000</v>
      </c>
      <c r="T363" s="233">
        <v>0</v>
      </c>
      <c r="U363" s="233">
        <v>28600000</v>
      </c>
      <c r="V363" s="233">
        <v>0</v>
      </c>
      <c r="W363" s="233">
        <v>28600000</v>
      </c>
      <c r="X363" s="233">
        <v>0</v>
      </c>
      <c r="Y363" s="233">
        <v>28600000</v>
      </c>
      <c r="Z363" s="233">
        <v>26000000</v>
      </c>
      <c r="AA363" s="233">
        <v>26000000</v>
      </c>
      <c r="AB363" s="233">
        <v>26000000</v>
      </c>
    </row>
    <row r="364" spans="1:28" ht="15" customHeight="1" x14ac:dyDescent="0.25">
      <c r="A364" s="230" t="s">
        <v>415</v>
      </c>
      <c r="B364" s="231" t="s">
        <v>416</v>
      </c>
      <c r="C364" s="232" t="s">
        <v>367</v>
      </c>
      <c r="D364" s="230" t="s">
        <v>264</v>
      </c>
      <c r="E364" s="230" t="s">
        <v>269</v>
      </c>
      <c r="F364" s="230" t="s">
        <v>269</v>
      </c>
      <c r="G364" s="230" t="s">
        <v>269</v>
      </c>
      <c r="H364" s="230" t="s">
        <v>351</v>
      </c>
      <c r="I364" s="230" t="s">
        <v>319</v>
      </c>
      <c r="J364" s="230"/>
      <c r="K364" s="230"/>
      <c r="L364" s="230"/>
      <c r="M364" s="230" t="s">
        <v>266</v>
      </c>
      <c r="N364" s="230" t="s">
        <v>280</v>
      </c>
      <c r="O364" s="230" t="s">
        <v>267</v>
      </c>
      <c r="P364" s="231" t="s">
        <v>368</v>
      </c>
      <c r="Q364" s="231"/>
      <c r="R364" s="233">
        <v>400000</v>
      </c>
      <c r="S364" s="233">
        <v>320000</v>
      </c>
      <c r="T364" s="233">
        <v>0</v>
      </c>
      <c r="U364" s="233">
        <v>720000</v>
      </c>
      <c r="V364" s="233">
        <v>0</v>
      </c>
      <c r="W364" s="233">
        <v>720000</v>
      </c>
      <c r="X364" s="233">
        <v>0</v>
      </c>
      <c r="Y364" s="233">
        <v>720000</v>
      </c>
      <c r="Z364" s="233">
        <v>593148</v>
      </c>
      <c r="AA364" s="233">
        <v>593148</v>
      </c>
      <c r="AB364" s="233">
        <v>593148</v>
      </c>
    </row>
    <row r="365" spans="1:28" ht="15" customHeight="1" x14ac:dyDescent="0.25">
      <c r="A365" s="230" t="s">
        <v>415</v>
      </c>
      <c r="B365" s="231" t="s">
        <v>416</v>
      </c>
      <c r="C365" s="232" t="s">
        <v>369</v>
      </c>
      <c r="D365" s="230" t="s">
        <v>264</v>
      </c>
      <c r="E365" s="230" t="s">
        <v>269</v>
      </c>
      <c r="F365" s="230" t="s">
        <v>269</v>
      </c>
      <c r="G365" s="230" t="s">
        <v>269</v>
      </c>
      <c r="H365" s="230" t="s">
        <v>331</v>
      </c>
      <c r="I365" s="230" t="s">
        <v>319</v>
      </c>
      <c r="J365" s="230"/>
      <c r="K365" s="230"/>
      <c r="L365" s="230"/>
      <c r="M365" s="230" t="s">
        <v>266</v>
      </c>
      <c r="N365" s="230" t="s">
        <v>280</v>
      </c>
      <c r="O365" s="230" t="s">
        <v>267</v>
      </c>
      <c r="P365" s="231" t="s">
        <v>370</v>
      </c>
      <c r="Q365" s="231"/>
      <c r="R365" s="233">
        <v>200000</v>
      </c>
      <c r="S365" s="233">
        <v>150000</v>
      </c>
      <c r="T365" s="233">
        <v>0</v>
      </c>
      <c r="U365" s="233">
        <v>350000</v>
      </c>
      <c r="V365" s="233">
        <v>0</v>
      </c>
      <c r="W365" s="233">
        <v>350000</v>
      </c>
      <c r="X365" s="233">
        <v>0</v>
      </c>
      <c r="Y365" s="233">
        <v>350000</v>
      </c>
      <c r="Z365" s="233">
        <v>350000</v>
      </c>
      <c r="AA365" s="233">
        <v>350000</v>
      </c>
      <c r="AB365" s="233">
        <v>350000</v>
      </c>
    </row>
    <row r="366" spans="1:28" ht="15" customHeight="1" x14ac:dyDescent="0.25">
      <c r="A366" s="230" t="s">
        <v>415</v>
      </c>
      <c r="B366" s="231" t="s">
        <v>416</v>
      </c>
      <c r="C366" s="232" t="s">
        <v>371</v>
      </c>
      <c r="D366" s="230" t="s">
        <v>264</v>
      </c>
      <c r="E366" s="230" t="s">
        <v>269</v>
      </c>
      <c r="F366" s="230" t="s">
        <v>269</v>
      </c>
      <c r="G366" s="230" t="s">
        <v>269</v>
      </c>
      <c r="H366" s="230" t="s">
        <v>334</v>
      </c>
      <c r="I366" s="230"/>
      <c r="J366" s="230"/>
      <c r="K366" s="230"/>
      <c r="L366" s="230"/>
      <c r="M366" s="230" t="s">
        <v>266</v>
      </c>
      <c r="N366" s="230" t="s">
        <v>280</v>
      </c>
      <c r="O366" s="230" t="s">
        <v>267</v>
      </c>
      <c r="P366" s="231" t="s">
        <v>372</v>
      </c>
      <c r="Q366" s="231"/>
      <c r="R366" s="233">
        <v>0</v>
      </c>
      <c r="S366" s="233">
        <v>1086184</v>
      </c>
      <c r="T366" s="233">
        <v>0</v>
      </c>
      <c r="U366" s="233">
        <v>1086184</v>
      </c>
      <c r="V366" s="233">
        <v>0</v>
      </c>
      <c r="W366" s="233">
        <v>1086184</v>
      </c>
      <c r="X366" s="233">
        <v>0</v>
      </c>
      <c r="Y366" s="233">
        <v>1086184</v>
      </c>
      <c r="Z366" s="233">
        <v>1086184</v>
      </c>
      <c r="AA366" s="233">
        <v>1086184</v>
      </c>
      <c r="AB366" s="233">
        <v>1086184</v>
      </c>
    </row>
    <row r="367" spans="1:28" ht="15" customHeight="1" x14ac:dyDescent="0.25">
      <c r="A367" s="230" t="s">
        <v>415</v>
      </c>
      <c r="B367" s="231" t="s">
        <v>416</v>
      </c>
      <c r="C367" s="232" t="s">
        <v>375</v>
      </c>
      <c r="D367" s="230" t="s">
        <v>264</v>
      </c>
      <c r="E367" s="230" t="s">
        <v>285</v>
      </c>
      <c r="F367" s="230" t="s">
        <v>265</v>
      </c>
      <c r="G367" s="230" t="s">
        <v>269</v>
      </c>
      <c r="H367" s="230" t="s">
        <v>281</v>
      </c>
      <c r="I367" s="230"/>
      <c r="J367" s="230"/>
      <c r="K367" s="230"/>
      <c r="L367" s="230"/>
      <c r="M367" s="230" t="s">
        <v>266</v>
      </c>
      <c r="N367" s="230" t="s">
        <v>280</v>
      </c>
      <c r="O367" s="230" t="s">
        <v>267</v>
      </c>
      <c r="P367" s="231" t="s">
        <v>376</v>
      </c>
      <c r="Q367" s="231"/>
      <c r="R367" s="233">
        <v>0</v>
      </c>
      <c r="S367" s="233">
        <v>9274626</v>
      </c>
      <c r="T367" s="233">
        <v>1531026</v>
      </c>
      <c r="U367" s="233">
        <v>7743600</v>
      </c>
      <c r="V367" s="233">
        <v>0</v>
      </c>
      <c r="W367" s="233">
        <v>7743600</v>
      </c>
      <c r="X367" s="233">
        <v>0</v>
      </c>
      <c r="Y367" s="233">
        <v>7743600</v>
      </c>
      <c r="Z367" s="233">
        <v>7743600</v>
      </c>
      <c r="AA367" s="233">
        <v>7743600</v>
      </c>
      <c r="AB367" s="233">
        <v>7743600</v>
      </c>
    </row>
    <row r="368" spans="1:28" ht="15" customHeight="1" x14ac:dyDescent="0.25">
      <c r="A368" s="230" t="s">
        <v>420</v>
      </c>
      <c r="B368" s="231" t="s">
        <v>421</v>
      </c>
      <c r="C368" s="232" t="s">
        <v>313</v>
      </c>
      <c r="D368" s="230" t="s">
        <v>264</v>
      </c>
      <c r="E368" s="230" t="s">
        <v>265</v>
      </c>
      <c r="F368" s="230" t="s">
        <v>265</v>
      </c>
      <c r="G368" s="230" t="s">
        <v>265</v>
      </c>
      <c r="H368" s="230" t="s">
        <v>281</v>
      </c>
      <c r="I368" s="230" t="s">
        <v>281</v>
      </c>
      <c r="J368" s="230"/>
      <c r="K368" s="230"/>
      <c r="L368" s="230"/>
      <c r="M368" s="230" t="s">
        <v>266</v>
      </c>
      <c r="N368" s="230" t="s">
        <v>280</v>
      </c>
      <c r="O368" s="230" t="s">
        <v>267</v>
      </c>
      <c r="P368" s="231" t="s">
        <v>314</v>
      </c>
      <c r="Q368" s="231"/>
      <c r="R368" s="233">
        <v>628000000</v>
      </c>
      <c r="S368" s="233">
        <v>0</v>
      </c>
      <c r="T368" s="233">
        <v>0</v>
      </c>
      <c r="U368" s="233">
        <v>628000000</v>
      </c>
      <c r="V368" s="233">
        <v>0</v>
      </c>
      <c r="W368" s="233">
        <v>528174253</v>
      </c>
      <c r="X368" s="233">
        <v>99825747</v>
      </c>
      <c r="Y368" s="233">
        <v>528174253</v>
      </c>
      <c r="Z368" s="233">
        <v>528174253</v>
      </c>
      <c r="AA368" s="233">
        <v>528174253</v>
      </c>
      <c r="AB368" s="233">
        <v>528174253</v>
      </c>
    </row>
    <row r="369" spans="1:28" ht="15" customHeight="1" x14ac:dyDescent="0.25">
      <c r="A369" s="230" t="s">
        <v>420</v>
      </c>
      <c r="B369" s="231" t="s">
        <v>421</v>
      </c>
      <c r="C369" s="232" t="s">
        <v>315</v>
      </c>
      <c r="D369" s="230" t="s">
        <v>264</v>
      </c>
      <c r="E369" s="230" t="s">
        <v>265</v>
      </c>
      <c r="F369" s="230" t="s">
        <v>265</v>
      </c>
      <c r="G369" s="230" t="s">
        <v>265</v>
      </c>
      <c r="H369" s="230" t="s">
        <v>281</v>
      </c>
      <c r="I369" s="230" t="s">
        <v>316</v>
      </c>
      <c r="J369" s="230"/>
      <c r="K369" s="230"/>
      <c r="L369" s="230"/>
      <c r="M369" s="230" t="s">
        <v>266</v>
      </c>
      <c r="N369" s="230" t="s">
        <v>280</v>
      </c>
      <c r="O369" s="230" t="s">
        <v>267</v>
      </c>
      <c r="P369" s="231" t="s">
        <v>317</v>
      </c>
      <c r="Q369" s="231"/>
      <c r="R369" s="233">
        <v>0</v>
      </c>
      <c r="S369" s="233">
        <v>12000000</v>
      </c>
      <c r="T369" s="233">
        <v>0</v>
      </c>
      <c r="U369" s="233">
        <v>12000000</v>
      </c>
      <c r="V369" s="233">
        <v>0</v>
      </c>
      <c r="W369" s="233">
        <v>6488546</v>
      </c>
      <c r="X369" s="233">
        <v>5511454</v>
      </c>
      <c r="Y369" s="233">
        <v>6488546</v>
      </c>
      <c r="Z369" s="233">
        <v>6488546</v>
      </c>
      <c r="AA369" s="233">
        <v>6488546</v>
      </c>
      <c r="AB369" s="233">
        <v>6488546</v>
      </c>
    </row>
    <row r="370" spans="1:28" ht="15" customHeight="1" x14ac:dyDescent="0.25">
      <c r="A370" s="230" t="s">
        <v>420</v>
      </c>
      <c r="B370" s="231" t="s">
        <v>421</v>
      </c>
      <c r="C370" s="232" t="s">
        <v>318</v>
      </c>
      <c r="D370" s="230" t="s">
        <v>264</v>
      </c>
      <c r="E370" s="230" t="s">
        <v>265</v>
      </c>
      <c r="F370" s="230" t="s">
        <v>265</v>
      </c>
      <c r="G370" s="230" t="s">
        <v>265</v>
      </c>
      <c r="H370" s="230" t="s">
        <v>281</v>
      </c>
      <c r="I370" s="230" t="s">
        <v>319</v>
      </c>
      <c r="J370" s="230"/>
      <c r="K370" s="230"/>
      <c r="L370" s="230"/>
      <c r="M370" s="230" t="s">
        <v>266</v>
      </c>
      <c r="N370" s="230" t="s">
        <v>280</v>
      </c>
      <c r="O370" s="230" t="s">
        <v>267</v>
      </c>
      <c r="P370" s="231" t="s">
        <v>320</v>
      </c>
      <c r="Q370" s="231"/>
      <c r="R370" s="233">
        <v>10539000</v>
      </c>
      <c r="S370" s="233">
        <v>0</v>
      </c>
      <c r="T370" s="233">
        <v>0</v>
      </c>
      <c r="U370" s="233">
        <v>10539000</v>
      </c>
      <c r="V370" s="233">
        <v>0</v>
      </c>
      <c r="W370" s="233">
        <v>8011783</v>
      </c>
      <c r="X370" s="233">
        <v>2527217</v>
      </c>
      <c r="Y370" s="233">
        <v>8011783</v>
      </c>
      <c r="Z370" s="233">
        <v>8011783</v>
      </c>
      <c r="AA370" s="233">
        <v>8011783</v>
      </c>
      <c r="AB370" s="233">
        <v>8011783</v>
      </c>
    </row>
    <row r="371" spans="1:28" ht="15" customHeight="1" x14ac:dyDescent="0.25">
      <c r="A371" s="230" t="s">
        <v>420</v>
      </c>
      <c r="B371" s="231" t="s">
        <v>421</v>
      </c>
      <c r="C371" s="232" t="s">
        <v>321</v>
      </c>
      <c r="D371" s="230" t="s">
        <v>264</v>
      </c>
      <c r="E371" s="230" t="s">
        <v>265</v>
      </c>
      <c r="F371" s="230" t="s">
        <v>265</v>
      </c>
      <c r="G371" s="230" t="s">
        <v>265</v>
      </c>
      <c r="H371" s="230" t="s">
        <v>281</v>
      </c>
      <c r="I371" s="230" t="s">
        <v>322</v>
      </c>
      <c r="J371" s="230"/>
      <c r="K371" s="230"/>
      <c r="L371" s="230"/>
      <c r="M371" s="230" t="s">
        <v>266</v>
      </c>
      <c r="N371" s="230" t="s">
        <v>280</v>
      </c>
      <c r="O371" s="230" t="s">
        <v>267</v>
      </c>
      <c r="P371" s="231" t="s">
        <v>323</v>
      </c>
      <c r="Q371" s="231"/>
      <c r="R371" s="233">
        <v>6816000</v>
      </c>
      <c r="S371" s="233">
        <v>2800000</v>
      </c>
      <c r="T371" s="233">
        <v>6816000</v>
      </c>
      <c r="U371" s="233">
        <v>2800000</v>
      </c>
      <c r="V371" s="233">
        <v>0</v>
      </c>
      <c r="W371" s="233">
        <v>1433581</v>
      </c>
      <c r="X371" s="233">
        <v>1366419</v>
      </c>
      <c r="Y371" s="233">
        <v>1433581</v>
      </c>
      <c r="Z371" s="233">
        <v>1433581</v>
      </c>
      <c r="AA371" s="233">
        <v>1433581</v>
      </c>
      <c r="AB371" s="233">
        <v>1433581</v>
      </c>
    </row>
    <row r="372" spans="1:28" ht="15" customHeight="1" x14ac:dyDescent="0.25">
      <c r="A372" s="230" t="s">
        <v>420</v>
      </c>
      <c r="B372" s="231" t="s">
        <v>421</v>
      </c>
      <c r="C372" s="232" t="s">
        <v>324</v>
      </c>
      <c r="D372" s="230" t="s">
        <v>264</v>
      </c>
      <c r="E372" s="230" t="s">
        <v>265</v>
      </c>
      <c r="F372" s="230" t="s">
        <v>265</v>
      </c>
      <c r="G372" s="230" t="s">
        <v>265</v>
      </c>
      <c r="H372" s="230" t="s">
        <v>281</v>
      </c>
      <c r="I372" s="230" t="s">
        <v>325</v>
      </c>
      <c r="J372" s="230"/>
      <c r="K372" s="230"/>
      <c r="L372" s="230"/>
      <c r="M372" s="230" t="s">
        <v>266</v>
      </c>
      <c r="N372" s="230" t="s">
        <v>280</v>
      </c>
      <c r="O372" s="230" t="s">
        <v>267</v>
      </c>
      <c r="P372" s="231" t="s">
        <v>326</v>
      </c>
      <c r="Q372" s="231"/>
      <c r="R372" s="233">
        <v>60000000</v>
      </c>
      <c r="S372" s="233">
        <v>2164594</v>
      </c>
      <c r="T372" s="233">
        <v>0</v>
      </c>
      <c r="U372" s="233">
        <v>62164594</v>
      </c>
      <c r="V372" s="233">
        <v>0</v>
      </c>
      <c r="W372" s="233">
        <v>62163718</v>
      </c>
      <c r="X372" s="233">
        <v>876</v>
      </c>
      <c r="Y372" s="233">
        <v>62163718</v>
      </c>
      <c r="Z372" s="233">
        <v>62163718</v>
      </c>
      <c r="AA372" s="233">
        <v>62163718</v>
      </c>
      <c r="AB372" s="233">
        <v>62163718</v>
      </c>
    </row>
    <row r="373" spans="1:28" ht="15" customHeight="1" x14ac:dyDescent="0.25">
      <c r="A373" s="230" t="s">
        <v>420</v>
      </c>
      <c r="B373" s="231" t="s">
        <v>421</v>
      </c>
      <c r="C373" s="232" t="s">
        <v>327</v>
      </c>
      <c r="D373" s="230" t="s">
        <v>264</v>
      </c>
      <c r="E373" s="230" t="s">
        <v>265</v>
      </c>
      <c r="F373" s="230" t="s">
        <v>265</v>
      </c>
      <c r="G373" s="230" t="s">
        <v>265</v>
      </c>
      <c r="H373" s="230" t="s">
        <v>281</v>
      </c>
      <c r="I373" s="230" t="s">
        <v>328</v>
      </c>
      <c r="J373" s="230"/>
      <c r="K373" s="230"/>
      <c r="L373" s="230"/>
      <c r="M373" s="230" t="s">
        <v>266</v>
      </c>
      <c r="N373" s="230" t="s">
        <v>280</v>
      </c>
      <c r="O373" s="230" t="s">
        <v>267</v>
      </c>
      <c r="P373" s="231" t="s">
        <v>329</v>
      </c>
      <c r="Q373" s="231"/>
      <c r="R373" s="233">
        <v>23000000</v>
      </c>
      <c r="S373" s="233">
        <v>5000000</v>
      </c>
      <c r="T373" s="233">
        <v>0</v>
      </c>
      <c r="U373" s="233">
        <v>28000000</v>
      </c>
      <c r="V373" s="233">
        <v>0</v>
      </c>
      <c r="W373" s="233">
        <v>22716838</v>
      </c>
      <c r="X373" s="233">
        <v>5283162</v>
      </c>
      <c r="Y373" s="233">
        <v>22716838</v>
      </c>
      <c r="Z373" s="233">
        <v>22716838</v>
      </c>
      <c r="AA373" s="233">
        <v>22716838</v>
      </c>
      <c r="AB373" s="233">
        <v>22716838</v>
      </c>
    </row>
    <row r="374" spans="1:28" ht="15" customHeight="1" x14ac:dyDescent="0.25">
      <c r="A374" s="230" t="s">
        <v>420</v>
      </c>
      <c r="B374" s="231" t="s">
        <v>421</v>
      </c>
      <c r="C374" s="232" t="s">
        <v>407</v>
      </c>
      <c r="D374" s="230" t="s">
        <v>264</v>
      </c>
      <c r="E374" s="230" t="s">
        <v>265</v>
      </c>
      <c r="F374" s="230" t="s">
        <v>265</v>
      </c>
      <c r="G374" s="230" t="s">
        <v>265</v>
      </c>
      <c r="H374" s="230" t="s">
        <v>281</v>
      </c>
      <c r="I374" s="230" t="s">
        <v>351</v>
      </c>
      <c r="J374" s="230"/>
      <c r="K374" s="230"/>
      <c r="L374" s="230"/>
      <c r="M374" s="230" t="s">
        <v>266</v>
      </c>
      <c r="N374" s="230" t="s">
        <v>280</v>
      </c>
      <c r="O374" s="230" t="s">
        <v>267</v>
      </c>
      <c r="P374" s="231" t="s">
        <v>408</v>
      </c>
      <c r="Q374" s="231"/>
      <c r="R374" s="233">
        <v>0</v>
      </c>
      <c r="S374" s="233">
        <v>345870</v>
      </c>
      <c r="T374" s="233">
        <v>0</v>
      </c>
      <c r="U374" s="233">
        <v>345870</v>
      </c>
      <c r="V374" s="233">
        <v>0</v>
      </c>
      <c r="W374" s="233">
        <v>98372</v>
      </c>
      <c r="X374" s="233">
        <v>247498</v>
      </c>
      <c r="Y374" s="233">
        <v>98372</v>
      </c>
      <c r="Z374" s="233">
        <v>98372</v>
      </c>
      <c r="AA374" s="233">
        <v>98372</v>
      </c>
      <c r="AB374" s="233">
        <v>98372</v>
      </c>
    </row>
    <row r="375" spans="1:28" ht="15" customHeight="1" x14ac:dyDescent="0.25">
      <c r="A375" s="230" t="s">
        <v>420</v>
      </c>
      <c r="B375" s="231" t="s">
        <v>421</v>
      </c>
      <c r="C375" s="232" t="s">
        <v>330</v>
      </c>
      <c r="D375" s="230" t="s">
        <v>264</v>
      </c>
      <c r="E375" s="230" t="s">
        <v>265</v>
      </c>
      <c r="F375" s="230" t="s">
        <v>265</v>
      </c>
      <c r="G375" s="230" t="s">
        <v>265</v>
      </c>
      <c r="H375" s="230" t="s">
        <v>281</v>
      </c>
      <c r="I375" s="230" t="s">
        <v>331</v>
      </c>
      <c r="J375" s="230"/>
      <c r="K375" s="230"/>
      <c r="L375" s="230"/>
      <c r="M375" s="230" t="s">
        <v>266</v>
      </c>
      <c r="N375" s="230" t="s">
        <v>280</v>
      </c>
      <c r="O375" s="230" t="s">
        <v>267</v>
      </c>
      <c r="P375" s="231" t="s">
        <v>332</v>
      </c>
      <c r="Q375" s="231"/>
      <c r="R375" s="233">
        <v>77000000</v>
      </c>
      <c r="S375" s="233">
        <v>0</v>
      </c>
      <c r="T375" s="233">
        <v>0</v>
      </c>
      <c r="U375" s="233">
        <v>77000000</v>
      </c>
      <c r="V375" s="233">
        <v>0</v>
      </c>
      <c r="W375" s="233">
        <v>63878424</v>
      </c>
      <c r="X375" s="233">
        <v>13121576</v>
      </c>
      <c r="Y375" s="233">
        <v>63878424</v>
      </c>
      <c r="Z375" s="233">
        <v>63878424</v>
      </c>
      <c r="AA375" s="233">
        <v>63878424</v>
      </c>
      <c r="AB375" s="233">
        <v>63878424</v>
      </c>
    </row>
    <row r="376" spans="1:28" ht="15" customHeight="1" x14ac:dyDescent="0.25">
      <c r="A376" s="230" t="s">
        <v>420</v>
      </c>
      <c r="B376" s="231" t="s">
        <v>421</v>
      </c>
      <c r="C376" s="232" t="s">
        <v>333</v>
      </c>
      <c r="D376" s="230" t="s">
        <v>264</v>
      </c>
      <c r="E376" s="230" t="s">
        <v>265</v>
      </c>
      <c r="F376" s="230" t="s">
        <v>265</v>
      </c>
      <c r="G376" s="230" t="s">
        <v>265</v>
      </c>
      <c r="H376" s="230" t="s">
        <v>281</v>
      </c>
      <c r="I376" s="230" t="s">
        <v>334</v>
      </c>
      <c r="J376" s="230"/>
      <c r="K376" s="230"/>
      <c r="L376" s="230"/>
      <c r="M376" s="230" t="s">
        <v>266</v>
      </c>
      <c r="N376" s="230" t="s">
        <v>280</v>
      </c>
      <c r="O376" s="230" t="s">
        <v>267</v>
      </c>
      <c r="P376" s="231" t="s">
        <v>335</v>
      </c>
      <c r="Q376" s="231"/>
      <c r="R376" s="233">
        <v>37000000</v>
      </c>
      <c r="S376" s="233">
        <v>19186849</v>
      </c>
      <c r="T376" s="233">
        <v>0</v>
      </c>
      <c r="U376" s="233">
        <v>56186849</v>
      </c>
      <c r="V376" s="233">
        <v>0</v>
      </c>
      <c r="W376" s="233">
        <v>56186357</v>
      </c>
      <c r="X376" s="233">
        <v>492</v>
      </c>
      <c r="Y376" s="233">
        <v>56186357</v>
      </c>
      <c r="Z376" s="233">
        <v>56186357</v>
      </c>
      <c r="AA376" s="233">
        <v>56186357</v>
      </c>
      <c r="AB376" s="233">
        <v>56186357</v>
      </c>
    </row>
    <row r="377" spans="1:28" ht="15" customHeight="1" x14ac:dyDescent="0.25">
      <c r="A377" s="230" t="s">
        <v>420</v>
      </c>
      <c r="B377" s="231" t="s">
        <v>421</v>
      </c>
      <c r="C377" s="232" t="s">
        <v>336</v>
      </c>
      <c r="D377" s="230" t="s">
        <v>264</v>
      </c>
      <c r="E377" s="230" t="s">
        <v>265</v>
      </c>
      <c r="F377" s="230" t="s">
        <v>265</v>
      </c>
      <c r="G377" s="230" t="s">
        <v>265</v>
      </c>
      <c r="H377" s="230" t="s">
        <v>281</v>
      </c>
      <c r="I377" s="230" t="s">
        <v>278</v>
      </c>
      <c r="J377" s="230"/>
      <c r="K377" s="230"/>
      <c r="L377" s="230"/>
      <c r="M377" s="230" t="s">
        <v>266</v>
      </c>
      <c r="N377" s="230" t="s">
        <v>280</v>
      </c>
      <c r="O377" s="230" t="s">
        <v>267</v>
      </c>
      <c r="P377" s="231" t="s">
        <v>337</v>
      </c>
      <c r="Q377" s="231"/>
      <c r="R377" s="233">
        <v>7000000</v>
      </c>
      <c r="S377" s="233">
        <v>2768929</v>
      </c>
      <c r="T377" s="233">
        <v>0</v>
      </c>
      <c r="U377" s="233">
        <v>9768929</v>
      </c>
      <c r="V377" s="233">
        <v>0</v>
      </c>
      <c r="W377" s="233">
        <v>9768929</v>
      </c>
      <c r="X377" s="233">
        <v>0</v>
      </c>
      <c r="Y377" s="233">
        <v>9768929</v>
      </c>
      <c r="Z377" s="233">
        <v>9768929</v>
      </c>
      <c r="AA377" s="233">
        <v>9768929</v>
      </c>
      <c r="AB377" s="233">
        <v>9768929</v>
      </c>
    </row>
    <row r="378" spans="1:28" ht="15" customHeight="1" x14ac:dyDescent="0.25">
      <c r="A378" s="230" t="s">
        <v>420</v>
      </c>
      <c r="B378" s="231" t="s">
        <v>421</v>
      </c>
      <c r="C378" s="232" t="s">
        <v>338</v>
      </c>
      <c r="D378" s="230" t="s">
        <v>264</v>
      </c>
      <c r="E378" s="230" t="s">
        <v>265</v>
      </c>
      <c r="F378" s="230" t="s">
        <v>265</v>
      </c>
      <c r="G378" s="230" t="s">
        <v>269</v>
      </c>
      <c r="H378" s="230" t="s">
        <v>281</v>
      </c>
      <c r="I378" s="230"/>
      <c r="J378" s="230"/>
      <c r="K378" s="230"/>
      <c r="L378" s="230"/>
      <c r="M378" s="230" t="s">
        <v>266</v>
      </c>
      <c r="N378" s="230" t="s">
        <v>280</v>
      </c>
      <c r="O378" s="230" t="s">
        <v>267</v>
      </c>
      <c r="P378" s="231" t="s">
        <v>339</v>
      </c>
      <c r="Q378" s="231"/>
      <c r="R378" s="233">
        <v>80000000</v>
      </c>
      <c r="S378" s="233">
        <v>1500000</v>
      </c>
      <c r="T378" s="233">
        <v>0</v>
      </c>
      <c r="U378" s="233">
        <v>81500000</v>
      </c>
      <c r="V378" s="233">
        <v>0</v>
      </c>
      <c r="W378" s="233">
        <v>68818200</v>
      </c>
      <c r="X378" s="233">
        <v>12681800</v>
      </c>
      <c r="Y378" s="233">
        <v>68818200</v>
      </c>
      <c r="Z378" s="233">
        <v>68818200</v>
      </c>
      <c r="AA378" s="233">
        <v>68818200</v>
      </c>
      <c r="AB378" s="233">
        <v>68818200</v>
      </c>
    </row>
    <row r="379" spans="1:28" ht="15" customHeight="1" x14ac:dyDescent="0.25">
      <c r="A379" s="230" t="s">
        <v>420</v>
      </c>
      <c r="B379" s="231" t="s">
        <v>421</v>
      </c>
      <c r="C379" s="232" t="s">
        <v>340</v>
      </c>
      <c r="D379" s="230" t="s">
        <v>264</v>
      </c>
      <c r="E379" s="230" t="s">
        <v>265</v>
      </c>
      <c r="F379" s="230" t="s">
        <v>265</v>
      </c>
      <c r="G379" s="230" t="s">
        <v>269</v>
      </c>
      <c r="H379" s="230" t="s">
        <v>283</v>
      </c>
      <c r="I379" s="230"/>
      <c r="J379" s="230"/>
      <c r="K379" s="230"/>
      <c r="L379" s="230"/>
      <c r="M379" s="230" t="s">
        <v>266</v>
      </c>
      <c r="N379" s="230" t="s">
        <v>280</v>
      </c>
      <c r="O379" s="230" t="s">
        <v>267</v>
      </c>
      <c r="P379" s="231" t="s">
        <v>341</v>
      </c>
      <c r="Q379" s="231"/>
      <c r="R379" s="233">
        <v>58000000</v>
      </c>
      <c r="S379" s="233">
        <v>0</v>
      </c>
      <c r="T379" s="233">
        <v>0</v>
      </c>
      <c r="U379" s="233">
        <v>58000000</v>
      </c>
      <c r="V379" s="233">
        <v>0</v>
      </c>
      <c r="W379" s="233">
        <v>50105000</v>
      </c>
      <c r="X379" s="233">
        <v>7895000</v>
      </c>
      <c r="Y379" s="233">
        <v>50105000</v>
      </c>
      <c r="Z379" s="233">
        <v>50105000</v>
      </c>
      <c r="AA379" s="233">
        <v>50105000</v>
      </c>
      <c r="AB379" s="233">
        <v>50105000</v>
      </c>
    </row>
    <row r="380" spans="1:28" ht="15" customHeight="1" x14ac:dyDescent="0.25">
      <c r="A380" s="230" t="s">
        <v>420</v>
      </c>
      <c r="B380" s="231" t="s">
        <v>421</v>
      </c>
      <c r="C380" s="232" t="s">
        <v>342</v>
      </c>
      <c r="D380" s="230" t="s">
        <v>264</v>
      </c>
      <c r="E380" s="230" t="s">
        <v>265</v>
      </c>
      <c r="F380" s="230" t="s">
        <v>265</v>
      </c>
      <c r="G380" s="230" t="s">
        <v>269</v>
      </c>
      <c r="H380" s="230" t="s">
        <v>319</v>
      </c>
      <c r="I380" s="230"/>
      <c r="J380" s="230"/>
      <c r="K380" s="230"/>
      <c r="L380" s="230"/>
      <c r="M380" s="230" t="s">
        <v>266</v>
      </c>
      <c r="N380" s="230" t="s">
        <v>280</v>
      </c>
      <c r="O380" s="230" t="s">
        <v>267</v>
      </c>
      <c r="P380" s="231" t="s">
        <v>343</v>
      </c>
      <c r="Q380" s="231"/>
      <c r="R380" s="233">
        <v>40000000</v>
      </c>
      <c r="S380" s="233">
        <v>1000000</v>
      </c>
      <c r="T380" s="233">
        <v>0</v>
      </c>
      <c r="U380" s="233">
        <v>41000000</v>
      </c>
      <c r="V380" s="233">
        <v>0</v>
      </c>
      <c r="W380" s="233">
        <v>34282300</v>
      </c>
      <c r="X380" s="233">
        <v>6717700</v>
      </c>
      <c r="Y380" s="233">
        <v>34282300</v>
      </c>
      <c r="Z380" s="233">
        <v>34282300</v>
      </c>
      <c r="AA380" s="233">
        <v>34282300</v>
      </c>
      <c r="AB380" s="233">
        <v>34282300</v>
      </c>
    </row>
    <row r="381" spans="1:28" ht="15" customHeight="1" x14ac:dyDescent="0.25">
      <c r="A381" s="230" t="s">
        <v>420</v>
      </c>
      <c r="B381" s="231" t="s">
        <v>421</v>
      </c>
      <c r="C381" s="232" t="s">
        <v>344</v>
      </c>
      <c r="D381" s="230" t="s">
        <v>264</v>
      </c>
      <c r="E381" s="230" t="s">
        <v>265</v>
      </c>
      <c r="F381" s="230" t="s">
        <v>265</v>
      </c>
      <c r="G381" s="230" t="s">
        <v>269</v>
      </c>
      <c r="H381" s="230" t="s">
        <v>322</v>
      </c>
      <c r="I381" s="230"/>
      <c r="J381" s="230"/>
      <c r="K381" s="230"/>
      <c r="L381" s="230"/>
      <c r="M381" s="230" t="s">
        <v>266</v>
      </c>
      <c r="N381" s="230" t="s">
        <v>280</v>
      </c>
      <c r="O381" s="230" t="s">
        <v>267</v>
      </c>
      <c r="P381" s="231" t="s">
        <v>345</v>
      </c>
      <c r="Q381" s="231"/>
      <c r="R381" s="233">
        <v>8000000</v>
      </c>
      <c r="S381" s="233">
        <v>0</v>
      </c>
      <c r="T381" s="233">
        <v>0</v>
      </c>
      <c r="U381" s="233">
        <v>8000000</v>
      </c>
      <c r="V381" s="233">
        <v>0</v>
      </c>
      <c r="W381" s="233">
        <v>7537700</v>
      </c>
      <c r="X381" s="233">
        <v>462300</v>
      </c>
      <c r="Y381" s="233">
        <v>7537700</v>
      </c>
      <c r="Z381" s="233">
        <v>7537700</v>
      </c>
      <c r="AA381" s="233">
        <v>7537700</v>
      </c>
      <c r="AB381" s="233">
        <v>7537700</v>
      </c>
    </row>
    <row r="382" spans="1:28" ht="15" customHeight="1" x14ac:dyDescent="0.25">
      <c r="A382" s="230" t="s">
        <v>420</v>
      </c>
      <c r="B382" s="231" t="s">
        <v>421</v>
      </c>
      <c r="C382" s="232" t="s">
        <v>346</v>
      </c>
      <c r="D382" s="230" t="s">
        <v>264</v>
      </c>
      <c r="E382" s="230" t="s">
        <v>265</v>
      </c>
      <c r="F382" s="230" t="s">
        <v>265</v>
      </c>
      <c r="G382" s="230" t="s">
        <v>269</v>
      </c>
      <c r="H382" s="230" t="s">
        <v>325</v>
      </c>
      <c r="I382" s="230"/>
      <c r="J382" s="230"/>
      <c r="K382" s="230"/>
      <c r="L382" s="230"/>
      <c r="M382" s="230" t="s">
        <v>266</v>
      </c>
      <c r="N382" s="230" t="s">
        <v>280</v>
      </c>
      <c r="O382" s="230" t="s">
        <v>267</v>
      </c>
      <c r="P382" s="231" t="s">
        <v>347</v>
      </c>
      <c r="Q382" s="231"/>
      <c r="R382" s="233">
        <v>30000000</v>
      </c>
      <c r="S382" s="233">
        <v>0</v>
      </c>
      <c r="T382" s="233">
        <v>0</v>
      </c>
      <c r="U382" s="233">
        <v>30000000</v>
      </c>
      <c r="V382" s="233">
        <v>0</v>
      </c>
      <c r="W382" s="233">
        <v>25714600</v>
      </c>
      <c r="X382" s="233">
        <v>4285400</v>
      </c>
      <c r="Y382" s="233">
        <v>25714600</v>
      </c>
      <c r="Z382" s="233">
        <v>25714600</v>
      </c>
      <c r="AA382" s="233">
        <v>25714600</v>
      </c>
      <c r="AB382" s="233">
        <v>25714600</v>
      </c>
    </row>
    <row r="383" spans="1:28" ht="15" customHeight="1" x14ac:dyDescent="0.25">
      <c r="A383" s="230" t="s">
        <v>420</v>
      </c>
      <c r="B383" s="231" t="s">
        <v>421</v>
      </c>
      <c r="C383" s="232" t="s">
        <v>348</v>
      </c>
      <c r="D383" s="230" t="s">
        <v>264</v>
      </c>
      <c r="E383" s="230" t="s">
        <v>265</v>
      </c>
      <c r="F383" s="230" t="s">
        <v>265</v>
      </c>
      <c r="G383" s="230" t="s">
        <v>269</v>
      </c>
      <c r="H383" s="230" t="s">
        <v>328</v>
      </c>
      <c r="I383" s="230"/>
      <c r="J383" s="230"/>
      <c r="K383" s="230"/>
      <c r="L383" s="230"/>
      <c r="M383" s="230" t="s">
        <v>266</v>
      </c>
      <c r="N383" s="230" t="s">
        <v>280</v>
      </c>
      <c r="O383" s="230" t="s">
        <v>267</v>
      </c>
      <c r="P383" s="231" t="s">
        <v>349</v>
      </c>
      <c r="Q383" s="231"/>
      <c r="R383" s="233">
        <v>5000000</v>
      </c>
      <c r="S383" s="233">
        <v>15000000</v>
      </c>
      <c r="T383" s="233">
        <v>0</v>
      </c>
      <c r="U383" s="233">
        <v>20000000</v>
      </c>
      <c r="V383" s="233">
        <v>0</v>
      </c>
      <c r="W383" s="233">
        <v>17147200</v>
      </c>
      <c r="X383" s="233">
        <v>2852800</v>
      </c>
      <c r="Y383" s="233">
        <v>17147200</v>
      </c>
      <c r="Z383" s="233">
        <v>17147200</v>
      </c>
      <c r="AA383" s="233">
        <v>17147200</v>
      </c>
      <c r="AB383" s="233">
        <v>17147200</v>
      </c>
    </row>
    <row r="384" spans="1:28" ht="15" customHeight="1" x14ac:dyDescent="0.25">
      <c r="A384" s="230" t="s">
        <v>420</v>
      </c>
      <c r="B384" s="231" t="s">
        <v>421</v>
      </c>
      <c r="C384" s="232" t="s">
        <v>350</v>
      </c>
      <c r="D384" s="230" t="s">
        <v>264</v>
      </c>
      <c r="E384" s="230" t="s">
        <v>265</v>
      </c>
      <c r="F384" s="230" t="s">
        <v>265</v>
      </c>
      <c r="G384" s="230" t="s">
        <v>269</v>
      </c>
      <c r="H384" s="230" t="s">
        <v>351</v>
      </c>
      <c r="I384" s="230"/>
      <c r="J384" s="230"/>
      <c r="K384" s="230"/>
      <c r="L384" s="230"/>
      <c r="M384" s="230" t="s">
        <v>266</v>
      </c>
      <c r="N384" s="230" t="s">
        <v>280</v>
      </c>
      <c r="O384" s="230" t="s">
        <v>267</v>
      </c>
      <c r="P384" s="231" t="s">
        <v>352</v>
      </c>
      <c r="Q384" s="231"/>
      <c r="R384" s="233">
        <v>5000000</v>
      </c>
      <c r="S384" s="233">
        <v>0</v>
      </c>
      <c r="T384" s="233">
        <v>5000000</v>
      </c>
      <c r="U384" s="233">
        <v>0</v>
      </c>
      <c r="V384" s="233">
        <v>0</v>
      </c>
      <c r="W384" s="233">
        <v>0</v>
      </c>
      <c r="X384" s="233">
        <v>0</v>
      </c>
      <c r="Y384" s="233">
        <v>0</v>
      </c>
      <c r="Z384" s="233">
        <v>0</v>
      </c>
      <c r="AA384" s="233">
        <v>0</v>
      </c>
      <c r="AB384" s="233">
        <v>0</v>
      </c>
    </row>
    <row r="385" spans="1:28" ht="15" customHeight="1" x14ac:dyDescent="0.25">
      <c r="A385" s="230" t="s">
        <v>420</v>
      </c>
      <c r="B385" s="231" t="s">
        <v>421</v>
      </c>
      <c r="C385" s="232" t="s">
        <v>353</v>
      </c>
      <c r="D385" s="230" t="s">
        <v>264</v>
      </c>
      <c r="E385" s="230" t="s">
        <v>265</v>
      </c>
      <c r="F385" s="230" t="s">
        <v>265</v>
      </c>
      <c r="G385" s="230" t="s">
        <v>269</v>
      </c>
      <c r="H385" s="230" t="s">
        <v>331</v>
      </c>
      <c r="I385" s="230"/>
      <c r="J385" s="230"/>
      <c r="K385" s="230"/>
      <c r="L385" s="230"/>
      <c r="M385" s="230" t="s">
        <v>266</v>
      </c>
      <c r="N385" s="230" t="s">
        <v>280</v>
      </c>
      <c r="O385" s="230" t="s">
        <v>267</v>
      </c>
      <c r="P385" s="231" t="s">
        <v>354</v>
      </c>
      <c r="Q385" s="231"/>
      <c r="R385" s="233">
        <v>10000000</v>
      </c>
      <c r="S385" s="233">
        <v>0</v>
      </c>
      <c r="T385" s="233">
        <v>10000000</v>
      </c>
      <c r="U385" s="233">
        <v>0</v>
      </c>
      <c r="V385" s="233">
        <v>0</v>
      </c>
      <c r="W385" s="233">
        <v>0</v>
      </c>
      <c r="X385" s="233">
        <v>0</v>
      </c>
      <c r="Y385" s="233">
        <v>0</v>
      </c>
      <c r="Z385" s="233">
        <v>0</v>
      </c>
      <c r="AA385" s="233">
        <v>0</v>
      </c>
      <c r="AB385" s="233">
        <v>0</v>
      </c>
    </row>
    <row r="386" spans="1:28" ht="15" customHeight="1" x14ac:dyDescent="0.25">
      <c r="A386" s="230" t="s">
        <v>420</v>
      </c>
      <c r="B386" s="231" t="s">
        <v>421</v>
      </c>
      <c r="C386" s="232" t="s">
        <v>355</v>
      </c>
      <c r="D386" s="230" t="s">
        <v>264</v>
      </c>
      <c r="E386" s="230" t="s">
        <v>265</v>
      </c>
      <c r="F386" s="230" t="s">
        <v>265</v>
      </c>
      <c r="G386" s="230" t="s">
        <v>271</v>
      </c>
      <c r="H386" s="230" t="s">
        <v>281</v>
      </c>
      <c r="I386" s="230" t="s">
        <v>281</v>
      </c>
      <c r="J386" s="230"/>
      <c r="K386" s="230"/>
      <c r="L386" s="230"/>
      <c r="M386" s="230" t="s">
        <v>266</v>
      </c>
      <c r="N386" s="230" t="s">
        <v>280</v>
      </c>
      <c r="O386" s="230" t="s">
        <v>267</v>
      </c>
      <c r="P386" s="231" t="s">
        <v>356</v>
      </c>
      <c r="Q386" s="231"/>
      <c r="R386" s="233">
        <v>31000000</v>
      </c>
      <c r="S386" s="233">
        <v>2000000</v>
      </c>
      <c r="T386" s="233">
        <v>0</v>
      </c>
      <c r="U386" s="233">
        <v>33000000</v>
      </c>
      <c r="V386" s="233">
        <v>0</v>
      </c>
      <c r="W386" s="233">
        <v>28740322</v>
      </c>
      <c r="X386" s="233">
        <v>4259678</v>
      </c>
      <c r="Y386" s="233">
        <v>28740322</v>
      </c>
      <c r="Z386" s="233">
        <v>28740322</v>
      </c>
      <c r="AA386" s="233">
        <v>28740322</v>
      </c>
      <c r="AB386" s="233">
        <v>28740322</v>
      </c>
    </row>
    <row r="387" spans="1:28" ht="15" customHeight="1" x14ac:dyDescent="0.25">
      <c r="A387" s="230" t="s">
        <v>420</v>
      </c>
      <c r="B387" s="231" t="s">
        <v>421</v>
      </c>
      <c r="C387" s="232" t="s">
        <v>357</v>
      </c>
      <c r="D387" s="230" t="s">
        <v>264</v>
      </c>
      <c r="E387" s="230" t="s">
        <v>265</v>
      </c>
      <c r="F387" s="230" t="s">
        <v>265</v>
      </c>
      <c r="G387" s="230" t="s">
        <v>271</v>
      </c>
      <c r="H387" s="230" t="s">
        <v>281</v>
      </c>
      <c r="I387" s="230" t="s">
        <v>283</v>
      </c>
      <c r="J387" s="230"/>
      <c r="K387" s="230"/>
      <c r="L387" s="230"/>
      <c r="M387" s="230" t="s">
        <v>266</v>
      </c>
      <c r="N387" s="230" t="s">
        <v>280</v>
      </c>
      <c r="O387" s="230" t="s">
        <v>267</v>
      </c>
      <c r="P387" s="231" t="s">
        <v>358</v>
      </c>
      <c r="Q387" s="231"/>
      <c r="R387" s="233">
        <v>0</v>
      </c>
      <c r="S387" s="233">
        <v>30176665</v>
      </c>
      <c r="T387" s="233">
        <v>0</v>
      </c>
      <c r="U387" s="233">
        <v>30176665</v>
      </c>
      <c r="V387" s="233">
        <v>0</v>
      </c>
      <c r="W387" s="233">
        <v>30146898</v>
      </c>
      <c r="X387" s="233">
        <v>29767</v>
      </c>
      <c r="Y387" s="233">
        <v>30146898</v>
      </c>
      <c r="Z387" s="233">
        <v>30146898</v>
      </c>
      <c r="AA387" s="233">
        <v>30146898</v>
      </c>
      <c r="AB387" s="233">
        <v>30146898</v>
      </c>
    </row>
    <row r="388" spans="1:28" ht="15" customHeight="1" x14ac:dyDescent="0.25">
      <c r="A388" s="230" t="s">
        <v>420</v>
      </c>
      <c r="B388" s="231" t="s">
        <v>421</v>
      </c>
      <c r="C388" s="232" t="s">
        <v>359</v>
      </c>
      <c r="D388" s="230" t="s">
        <v>264</v>
      </c>
      <c r="E388" s="230" t="s">
        <v>265</v>
      </c>
      <c r="F388" s="230" t="s">
        <v>265</v>
      </c>
      <c r="G388" s="230" t="s">
        <v>271</v>
      </c>
      <c r="H388" s="230" t="s">
        <v>281</v>
      </c>
      <c r="I388" s="230" t="s">
        <v>316</v>
      </c>
      <c r="J388" s="230"/>
      <c r="K388" s="230"/>
      <c r="L388" s="230"/>
      <c r="M388" s="230" t="s">
        <v>266</v>
      </c>
      <c r="N388" s="230" t="s">
        <v>280</v>
      </c>
      <c r="O388" s="230" t="s">
        <v>267</v>
      </c>
      <c r="P388" s="231" t="s">
        <v>360</v>
      </c>
      <c r="Q388" s="231"/>
      <c r="R388" s="233">
        <v>3000000</v>
      </c>
      <c r="S388" s="233">
        <v>1951991</v>
      </c>
      <c r="T388" s="233">
        <v>0</v>
      </c>
      <c r="U388" s="233">
        <v>4951991</v>
      </c>
      <c r="V388" s="233">
        <v>0</v>
      </c>
      <c r="W388" s="233">
        <v>4631751</v>
      </c>
      <c r="X388" s="233">
        <v>320240</v>
      </c>
      <c r="Y388" s="233">
        <v>4631751</v>
      </c>
      <c r="Z388" s="233">
        <v>4631751</v>
      </c>
      <c r="AA388" s="233">
        <v>4631751</v>
      </c>
      <c r="AB388" s="233">
        <v>4631751</v>
      </c>
    </row>
    <row r="389" spans="1:28" ht="15" customHeight="1" x14ac:dyDescent="0.25">
      <c r="A389" s="230" t="s">
        <v>420</v>
      </c>
      <c r="B389" s="231" t="s">
        <v>421</v>
      </c>
      <c r="C389" s="232" t="s">
        <v>361</v>
      </c>
      <c r="D389" s="230" t="s">
        <v>264</v>
      </c>
      <c r="E389" s="230" t="s">
        <v>265</v>
      </c>
      <c r="F389" s="230" t="s">
        <v>265</v>
      </c>
      <c r="G389" s="230" t="s">
        <v>271</v>
      </c>
      <c r="H389" s="230" t="s">
        <v>283</v>
      </c>
      <c r="I389" s="230"/>
      <c r="J389" s="230"/>
      <c r="K389" s="230"/>
      <c r="L389" s="230"/>
      <c r="M389" s="230" t="s">
        <v>266</v>
      </c>
      <c r="N389" s="230" t="s">
        <v>280</v>
      </c>
      <c r="O389" s="230" t="s">
        <v>267</v>
      </c>
      <c r="P389" s="231" t="s">
        <v>362</v>
      </c>
      <c r="Q389" s="231"/>
      <c r="R389" s="233">
        <v>29000000</v>
      </c>
      <c r="S389" s="233">
        <v>0</v>
      </c>
      <c r="T389" s="233">
        <v>0</v>
      </c>
      <c r="U389" s="233">
        <v>29000000</v>
      </c>
      <c r="V389" s="233">
        <v>0</v>
      </c>
      <c r="W389" s="233">
        <v>20678991</v>
      </c>
      <c r="X389" s="233">
        <v>8321009</v>
      </c>
      <c r="Y389" s="233">
        <v>20678991</v>
      </c>
      <c r="Z389" s="233">
        <v>20678991</v>
      </c>
      <c r="AA389" s="233">
        <v>20678991</v>
      </c>
      <c r="AB389" s="233">
        <v>20678991</v>
      </c>
    </row>
    <row r="390" spans="1:28" ht="15" customHeight="1" x14ac:dyDescent="0.25">
      <c r="A390" s="230" t="s">
        <v>420</v>
      </c>
      <c r="B390" s="231" t="s">
        <v>421</v>
      </c>
      <c r="C390" s="232" t="s">
        <v>363</v>
      </c>
      <c r="D390" s="230" t="s">
        <v>264</v>
      </c>
      <c r="E390" s="230" t="s">
        <v>269</v>
      </c>
      <c r="F390" s="230" t="s">
        <v>269</v>
      </c>
      <c r="G390" s="230" t="s">
        <v>269</v>
      </c>
      <c r="H390" s="230" t="s">
        <v>325</v>
      </c>
      <c r="I390" s="230" t="s">
        <v>319</v>
      </c>
      <c r="J390" s="230"/>
      <c r="K390" s="230"/>
      <c r="L390" s="230"/>
      <c r="M390" s="230" t="s">
        <v>273</v>
      </c>
      <c r="N390" s="230" t="s">
        <v>34</v>
      </c>
      <c r="O390" s="230" t="s">
        <v>267</v>
      </c>
      <c r="P390" s="231" t="s">
        <v>364</v>
      </c>
      <c r="Q390" s="231"/>
      <c r="R390" s="233">
        <v>400000</v>
      </c>
      <c r="S390" s="233">
        <v>376800</v>
      </c>
      <c r="T390" s="233">
        <v>3900</v>
      </c>
      <c r="U390" s="233">
        <v>772900</v>
      </c>
      <c r="V390" s="233">
        <v>0</v>
      </c>
      <c r="W390" s="233">
        <v>772900</v>
      </c>
      <c r="X390" s="233">
        <v>0</v>
      </c>
      <c r="Y390" s="233">
        <v>772900</v>
      </c>
      <c r="Z390" s="233">
        <v>772900</v>
      </c>
      <c r="AA390" s="233">
        <v>772900</v>
      </c>
      <c r="AB390" s="233">
        <v>772900</v>
      </c>
    </row>
    <row r="391" spans="1:28" ht="15" customHeight="1" x14ac:dyDescent="0.25">
      <c r="A391" s="230" t="s">
        <v>420</v>
      </c>
      <c r="B391" s="231" t="s">
        <v>421</v>
      </c>
      <c r="C391" s="232" t="s">
        <v>365</v>
      </c>
      <c r="D391" s="230" t="s">
        <v>264</v>
      </c>
      <c r="E391" s="230" t="s">
        <v>269</v>
      </c>
      <c r="F391" s="230" t="s">
        <v>269</v>
      </c>
      <c r="G391" s="230" t="s">
        <v>269</v>
      </c>
      <c r="H391" s="230" t="s">
        <v>325</v>
      </c>
      <c r="I391" s="230" t="s">
        <v>331</v>
      </c>
      <c r="J391" s="230"/>
      <c r="K391" s="230"/>
      <c r="L391" s="230"/>
      <c r="M391" s="230" t="s">
        <v>266</v>
      </c>
      <c r="N391" s="230" t="s">
        <v>280</v>
      </c>
      <c r="O391" s="230" t="s">
        <v>267</v>
      </c>
      <c r="P391" s="231" t="s">
        <v>366</v>
      </c>
      <c r="Q391" s="231"/>
      <c r="R391" s="233">
        <v>26200000</v>
      </c>
      <c r="S391" s="233">
        <v>52440002</v>
      </c>
      <c r="T391" s="233">
        <v>532000</v>
      </c>
      <c r="U391" s="233">
        <v>78108002</v>
      </c>
      <c r="V391" s="233">
        <v>0</v>
      </c>
      <c r="W391" s="233">
        <v>78108002</v>
      </c>
      <c r="X391" s="233">
        <v>0</v>
      </c>
      <c r="Y391" s="233">
        <v>77907022</v>
      </c>
      <c r="Z391" s="233">
        <v>77907022</v>
      </c>
      <c r="AA391" s="233">
        <v>77907022</v>
      </c>
      <c r="AB391" s="233">
        <v>77907022</v>
      </c>
    </row>
    <row r="392" spans="1:28" ht="15" customHeight="1" x14ac:dyDescent="0.25">
      <c r="A392" s="230" t="s">
        <v>420</v>
      </c>
      <c r="B392" s="231" t="s">
        <v>421</v>
      </c>
      <c r="C392" s="232" t="s">
        <v>383</v>
      </c>
      <c r="D392" s="230" t="s">
        <v>264</v>
      </c>
      <c r="E392" s="230" t="s">
        <v>269</v>
      </c>
      <c r="F392" s="230" t="s">
        <v>269</v>
      </c>
      <c r="G392" s="230" t="s">
        <v>269</v>
      </c>
      <c r="H392" s="230" t="s">
        <v>328</v>
      </c>
      <c r="I392" s="230" t="s">
        <v>283</v>
      </c>
      <c r="J392" s="230"/>
      <c r="K392" s="230"/>
      <c r="L392" s="230"/>
      <c r="M392" s="230" t="s">
        <v>266</v>
      </c>
      <c r="N392" s="230" t="s">
        <v>280</v>
      </c>
      <c r="O392" s="230" t="s">
        <v>267</v>
      </c>
      <c r="P392" s="231" t="s">
        <v>384</v>
      </c>
      <c r="Q392" s="231"/>
      <c r="R392" s="233">
        <v>22000000</v>
      </c>
      <c r="S392" s="233">
        <v>975584</v>
      </c>
      <c r="T392" s="233">
        <v>0</v>
      </c>
      <c r="U392" s="233">
        <v>22975584</v>
      </c>
      <c r="V392" s="233">
        <v>0</v>
      </c>
      <c r="W392" s="233">
        <v>22975584</v>
      </c>
      <c r="X392" s="233">
        <v>0</v>
      </c>
      <c r="Y392" s="233">
        <v>21060952</v>
      </c>
      <c r="Z392" s="233">
        <v>21060952</v>
      </c>
      <c r="AA392" s="233">
        <v>21060952</v>
      </c>
      <c r="AB392" s="233">
        <v>21060952</v>
      </c>
    </row>
    <row r="393" spans="1:28" ht="15" customHeight="1" x14ac:dyDescent="0.25">
      <c r="A393" s="230" t="s">
        <v>420</v>
      </c>
      <c r="B393" s="231" t="s">
        <v>421</v>
      </c>
      <c r="C393" s="232" t="s">
        <v>367</v>
      </c>
      <c r="D393" s="230" t="s">
        <v>264</v>
      </c>
      <c r="E393" s="230" t="s">
        <v>269</v>
      </c>
      <c r="F393" s="230" t="s">
        <v>269</v>
      </c>
      <c r="G393" s="230" t="s">
        <v>269</v>
      </c>
      <c r="H393" s="230" t="s">
        <v>351</v>
      </c>
      <c r="I393" s="230" t="s">
        <v>319</v>
      </c>
      <c r="J393" s="230"/>
      <c r="K393" s="230"/>
      <c r="L393" s="230"/>
      <c r="M393" s="230" t="s">
        <v>266</v>
      </c>
      <c r="N393" s="230" t="s">
        <v>280</v>
      </c>
      <c r="O393" s="230" t="s">
        <v>267</v>
      </c>
      <c r="P393" s="231" t="s">
        <v>368</v>
      </c>
      <c r="Q393" s="231"/>
      <c r="R393" s="233">
        <v>1500000</v>
      </c>
      <c r="S393" s="233">
        <v>3596000</v>
      </c>
      <c r="T393" s="233">
        <v>0</v>
      </c>
      <c r="U393" s="233">
        <v>5096000</v>
      </c>
      <c r="V393" s="233">
        <v>0</v>
      </c>
      <c r="W393" s="233">
        <v>5096000</v>
      </c>
      <c r="X393" s="233">
        <v>0</v>
      </c>
      <c r="Y393" s="233">
        <v>4677833</v>
      </c>
      <c r="Z393" s="233">
        <v>4677833</v>
      </c>
      <c r="AA393" s="233">
        <v>4677833</v>
      </c>
      <c r="AB393" s="233">
        <v>4677833</v>
      </c>
    </row>
    <row r="394" spans="1:28" ht="15" customHeight="1" x14ac:dyDescent="0.25">
      <c r="A394" s="230" t="s">
        <v>420</v>
      </c>
      <c r="B394" s="231" t="s">
        <v>421</v>
      </c>
      <c r="C394" s="232" t="s">
        <v>369</v>
      </c>
      <c r="D394" s="230" t="s">
        <v>264</v>
      </c>
      <c r="E394" s="230" t="s">
        <v>269</v>
      </c>
      <c r="F394" s="230" t="s">
        <v>269</v>
      </c>
      <c r="G394" s="230" t="s">
        <v>269</v>
      </c>
      <c r="H394" s="230" t="s">
        <v>331</v>
      </c>
      <c r="I394" s="230" t="s">
        <v>319</v>
      </c>
      <c r="J394" s="230"/>
      <c r="K394" s="230"/>
      <c r="L394" s="230"/>
      <c r="M394" s="230" t="s">
        <v>266</v>
      </c>
      <c r="N394" s="230" t="s">
        <v>280</v>
      </c>
      <c r="O394" s="230" t="s">
        <v>267</v>
      </c>
      <c r="P394" s="231" t="s">
        <v>370</v>
      </c>
      <c r="Q394" s="231"/>
      <c r="R394" s="233">
        <v>4000000</v>
      </c>
      <c r="S394" s="233">
        <v>0</v>
      </c>
      <c r="T394" s="233">
        <v>0</v>
      </c>
      <c r="U394" s="233">
        <v>4000000</v>
      </c>
      <c r="V394" s="233">
        <v>0</v>
      </c>
      <c r="W394" s="233">
        <v>4000000</v>
      </c>
      <c r="X394" s="233">
        <v>0</v>
      </c>
      <c r="Y394" s="233">
        <v>3242331</v>
      </c>
      <c r="Z394" s="233">
        <v>3242331</v>
      </c>
      <c r="AA394" s="233">
        <v>3242331</v>
      </c>
      <c r="AB394" s="233">
        <v>3242331</v>
      </c>
    </row>
    <row r="395" spans="1:28" ht="15" customHeight="1" x14ac:dyDescent="0.25">
      <c r="A395" s="230" t="s">
        <v>420</v>
      </c>
      <c r="B395" s="231" t="s">
        <v>421</v>
      </c>
      <c r="C395" s="232" t="s">
        <v>371</v>
      </c>
      <c r="D395" s="230" t="s">
        <v>264</v>
      </c>
      <c r="E395" s="230" t="s">
        <v>269</v>
      </c>
      <c r="F395" s="230" t="s">
        <v>269</v>
      </c>
      <c r="G395" s="230" t="s">
        <v>269</v>
      </c>
      <c r="H395" s="230" t="s">
        <v>334</v>
      </c>
      <c r="I395" s="230"/>
      <c r="J395" s="230"/>
      <c r="K395" s="230"/>
      <c r="L395" s="230"/>
      <c r="M395" s="230" t="s">
        <v>266</v>
      </c>
      <c r="N395" s="230" t="s">
        <v>280</v>
      </c>
      <c r="O395" s="230" t="s">
        <v>267</v>
      </c>
      <c r="P395" s="231" t="s">
        <v>372</v>
      </c>
      <c r="Q395" s="231"/>
      <c r="R395" s="233">
        <v>0</v>
      </c>
      <c r="S395" s="233">
        <v>271546</v>
      </c>
      <c r="T395" s="233">
        <v>0</v>
      </c>
      <c r="U395" s="233">
        <v>271546</v>
      </c>
      <c r="V395" s="233">
        <v>0</v>
      </c>
      <c r="W395" s="233">
        <v>271546</v>
      </c>
      <c r="X395" s="233">
        <v>0</v>
      </c>
      <c r="Y395" s="233">
        <v>271546</v>
      </c>
      <c r="Z395" s="233">
        <v>271546</v>
      </c>
      <c r="AA395" s="233">
        <v>271546</v>
      </c>
      <c r="AB395" s="233">
        <v>271546</v>
      </c>
    </row>
    <row r="396" spans="1:28" ht="15" customHeight="1" x14ac:dyDescent="0.25">
      <c r="A396" s="230" t="s">
        <v>420</v>
      </c>
      <c r="B396" s="231" t="s">
        <v>421</v>
      </c>
      <c r="C396" s="232" t="s">
        <v>371</v>
      </c>
      <c r="D396" s="230" t="s">
        <v>264</v>
      </c>
      <c r="E396" s="230" t="s">
        <v>269</v>
      </c>
      <c r="F396" s="230" t="s">
        <v>269</v>
      </c>
      <c r="G396" s="230" t="s">
        <v>269</v>
      </c>
      <c r="H396" s="230" t="s">
        <v>334</v>
      </c>
      <c r="I396" s="230"/>
      <c r="J396" s="230"/>
      <c r="K396" s="230"/>
      <c r="L396" s="230"/>
      <c r="M396" s="230" t="s">
        <v>273</v>
      </c>
      <c r="N396" s="230" t="s">
        <v>34</v>
      </c>
      <c r="O396" s="230" t="s">
        <v>267</v>
      </c>
      <c r="P396" s="231" t="s">
        <v>372</v>
      </c>
      <c r="Q396" s="231"/>
      <c r="R396" s="233">
        <v>0</v>
      </c>
      <c r="S396" s="233">
        <v>54290</v>
      </c>
      <c r="T396" s="233">
        <v>0</v>
      </c>
      <c r="U396" s="233">
        <v>54290</v>
      </c>
      <c r="V396" s="233">
        <v>0</v>
      </c>
      <c r="W396" s="233">
        <v>54290</v>
      </c>
      <c r="X396" s="233">
        <v>0</v>
      </c>
      <c r="Y396" s="233">
        <v>54290</v>
      </c>
      <c r="Z396" s="233">
        <v>54290</v>
      </c>
      <c r="AA396" s="233">
        <v>54290</v>
      </c>
      <c r="AB396" s="233">
        <v>54290</v>
      </c>
    </row>
    <row r="397" spans="1:28" ht="15" customHeight="1" x14ac:dyDescent="0.25">
      <c r="A397" s="230" t="s">
        <v>420</v>
      </c>
      <c r="B397" s="231" t="s">
        <v>421</v>
      </c>
      <c r="C397" s="232" t="s">
        <v>373</v>
      </c>
      <c r="D397" s="230" t="s">
        <v>264</v>
      </c>
      <c r="E397" s="230" t="s">
        <v>271</v>
      </c>
      <c r="F397" s="230" t="s">
        <v>277</v>
      </c>
      <c r="G397" s="230" t="s">
        <v>269</v>
      </c>
      <c r="H397" s="230" t="s">
        <v>278</v>
      </c>
      <c r="I397" s="230" t="s">
        <v>281</v>
      </c>
      <c r="J397" s="230"/>
      <c r="K397" s="230"/>
      <c r="L397" s="230"/>
      <c r="M397" s="230" t="s">
        <v>266</v>
      </c>
      <c r="N397" s="230" t="s">
        <v>280</v>
      </c>
      <c r="O397" s="230" t="s">
        <v>267</v>
      </c>
      <c r="P397" s="231" t="s">
        <v>374</v>
      </c>
      <c r="Q397" s="231"/>
      <c r="R397" s="233">
        <v>900000</v>
      </c>
      <c r="S397" s="233">
        <v>1903000</v>
      </c>
      <c r="T397" s="233">
        <v>0</v>
      </c>
      <c r="U397" s="233">
        <v>2803000</v>
      </c>
      <c r="V397" s="233">
        <v>0</v>
      </c>
      <c r="W397" s="233">
        <v>2177994</v>
      </c>
      <c r="X397" s="233">
        <v>625006</v>
      </c>
      <c r="Y397" s="233">
        <v>2177994</v>
      </c>
      <c r="Z397" s="233">
        <v>2115741</v>
      </c>
      <c r="AA397" s="233">
        <v>2115741</v>
      </c>
      <c r="AB397" s="233">
        <v>2115741</v>
      </c>
    </row>
    <row r="398" spans="1:28" ht="15" customHeight="1" x14ac:dyDescent="0.25">
      <c r="A398" s="230" t="s">
        <v>420</v>
      </c>
      <c r="B398" s="231" t="s">
        <v>421</v>
      </c>
      <c r="C398" s="232" t="s">
        <v>375</v>
      </c>
      <c r="D398" s="230" t="s">
        <v>264</v>
      </c>
      <c r="E398" s="230" t="s">
        <v>285</v>
      </c>
      <c r="F398" s="230" t="s">
        <v>265</v>
      </c>
      <c r="G398" s="230" t="s">
        <v>269</v>
      </c>
      <c r="H398" s="230" t="s">
        <v>281</v>
      </c>
      <c r="I398" s="230"/>
      <c r="J398" s="230"/>
      <c r="K398" s="230"/>
      <c r="L398" s="230"/>
      <c r="M398" s="230" t="s">
        <v>266</v>
      </c>
      <c r="N398" s="230" t="s">
        <v>280</v>
      </c>
      <c r="O398" s="230" t="s">
        <v>267</v>
      </c>
      <c r="P398" s="231" t="s">
        <v>376</v>
      </c>
      <c r="Q398" s="231"/>
      <c r="R398" s="233">
        <v>0</v>
      </c>
      <c r="S398" s="233">
        <v>7697871</v>
      </c>
      <c r="T398" s="233">
        <v>0</v>
      </c>
      <c r="U398" s="233">
        <v>7697871</v>
      </c>
      <c r="V398" s="233">
        <v>0</v>
      </c>
      <c r="W398" s="233">
        <v>7697871</v>
      </c>
      <c r="X398" s="233">
        <v>0</v>
      </c>
      <c r="Y398" s="233">
        <v>7697871</v>
      </c>
      <c r="Z398" s="233">
        <v>7697871</v>
      </c>
      <c r="AA398" s="233">
        <v>7697871</v>
      </c>
      <c r="AB398" s="233">
        <v>7697871</v>
      </c>
    </row>
    <row r="399" spans="1:28" ht="15" customHeight="1" x14ac:dyDescent="0.25">
      <c r="A399" s="230" t="s">
        <v>420</v>
      </c>
      <c r="B399" s="231" t="s">
        <v>421</v>
      </c>
      <c r="C399" s="232" t="s">
        <v>377</v>
      </c>
      <c r="D399" s="230" t="s">
        <v>264</v>
      </c>
      <c r="E399" s="230" t="s">
        <v>285</v>
      </c>
      <c r="F399" s="230" t="s">
        <v>265</v>
      </c>
      <c r="G399" s="230" t="s">
        <v>269</v>
      </c>
      <c r="H399" s="230" t="s">
        <v>316</v>
      </c>
      <c r="I399" s="230"/>
      <c r="J399" s="230"/>
      <c r="K399" s="230"/>
      <c r="L399" s="230"/>
      <c r="M399" s="230" t="s">
        <v>273</v>
      </c>
      <c r="N399" s="230" t="s">
        <v>34</v>
      </c>
      <c r="O399" s="230" t="s">
        <v>267</v>
      </c>
      <c r="P399" s="231" t="s">
        <v>378</v>
      </c>
      <c r="Q399" s="231"/>
      <c r="R399" s="233">
        <v>0</v>
      </c>
      <c r="S399" s="233">
        <v>15400000</v>
      </c>
      <c r="T399" s="233">
        <v>1146000</v>
      </c>
      <c r="U399" s="233">
        <v>14254000</v>
      </c>
      <c r="V399" s="233">
        <v>0</v>
      </c>
      <c r="W399" s="233">
        <v>14254000</v>
      </c>
      <c r="X399" s="233">
        <v>0</v>
      </c>
      <c r="Y399" s="233">
        <v>14254000</v>
      </c>
      <c r="Z399" s="233">
        <v>14254000</v>
      </c>
      <c r="AA399" s="233">
        <v>14254000</v>
      </c>
      <c r="AB399" s="233">
        <v>14254000</v>
      </c>
    </row>
    <row r="400" spans="1:28" ht="15" customHeight="1" x14ac:dyDescent="0.25">
      <c r="A400" s="230" t="s">
        <v>422</v>
      </c>
      <c r="B400" s="231" t="s">
        <v>423</v>
      </c>
      <c r="C400" s="232" t="s">
        <v>313</v>
      </c>
      <c r="D400" s="230" t="s">
        <v>264</v>
      </c>
      <c r="E400" s="230" t="s">
        <v>265</v>
      </c>
      <c r="F400" s="230" t="s">
        <v>265</v>
      </c>
      <c r="G400" s="230" t="s">
        <v>265</v>
      </c>
      <c r="H400" s="230" t="s">
        <v>281</v>
      </c>
      <c r="I400" s="230" t="s">
        <v>281</v>
      </c>
      <c r="J400" s="230"/>
      <c r="K400" s="230"/>
      <c r="L400" s="230"/>
      <c r="M400" s="230" t="s">
        <v>266</v>
      </c>
      <c r="N400" s="230" t="s">
        <v>280</v>
      </c>
      <c r="O400" s="230" t="s">
        <v>267</v>
      </c>
      <c r="P400" s="231" t="s">
        <v>314</v>
      </c>
      <c r="Q400" s="231"/>
      <c r="R400" s="233">
        <v>644000000</v>
      </c>
      <c r="S400" s="233">
        <v>0</v>
      </c>
      <c r="T400" s="233">
        <v>0</v>
      </c>
      <c r="U400" s="233">
        <v>644000000</v>
      </c>
      <c r="V400" s="233">
        <v>0</v>
      </c>
      <c r="W400" s="233">
        <v>580377619</v>
      </c>
      <c r="X400" s="233">
        <v>63622381</v>
      </c>
      <c r="Y400" s="233">
        <v>580377619</v>
      </c>
      <c r="Z400" s="233">
        <v>580377619</v>
      </c>
      <c r="AA400" s="233">
        <v>580377619</v>
      </c>
      <c r="AB400" s="233">
        <v>580377619</v>
      </c>
    </row>
    <row r="401" spans="1:28" ht="15" customHeight="1" x14ac:dyDescent="0.25">
      <c r="A401" s="230" t="s">
        <v>422</v>
      </c>
      <c r="B401" s="231" t="s">
        <v>423</v>
      </c>
      <c r="C401" s="232" t="s">
        <v>315</v>
      </c>
      <c r="D401" s="230" t="s">
        <v>264</v>
      </c>
      <c r="E401" s="230" t="s">
        <v>265</v>
      </c>
      <c r="F401" s="230" t="s">
        <v>265</v>
      </c>
      <c r="G401" s="230" t="s">
        <v>265</v>
      </c>
      <c r="H401" s="230" t="s">
        <v>281</v>
      </c>
      <c r="I401" s="230" t="s">
        <v>316</v>
      </c>
      <c r="J401" s="230"/>
      <c r="K401" s="230"/>
      <c r="L401" s="230"/>
      <c r="M401" s="230" t="s">
        <v>266</v>
      </c>
      <c r="N401" s="230" t="s">
        <v>280</v>
      </c>
      <c r="O401" s="230" t="s">
        <v>267</v>
      </c>
      <c r="P401" s="231" t="s">
        <v>317</v>
      </c>
      <c r="Q401" s="231"/>
      <c r="R401" s="233">
        <v>0</v>
      </c>
      <c r="S401" s="233">
        <v>12000000</v>
      </c>
      <c r="T401" s="233">
        <v>0</v>
      </c>
      <c r="U401" s="233">
        <v>12000000</v>
      </c>
      <c r="V401" s="233">
        <v>0</v>
      </c>
      <c r="W401" s="233">
        <v>8366809</v>
      </c>
      <c r="X401" s="233">
        <v>3633191</v>
      </c>
      <c r="Y401" s="233">
        <v>8366809</v>
      </c>
      <c r="Z401" s="233">
        <v>8366809</v>
      </c>
      <c r="AA401" s="233">
        <v>8366809</v>
      </c>
      <c r="AB401" s="233">
        <v>8366809</v>
      </c>
    </row>
    <row r="402" spans="1:28" ht="15" customHeight="1" x14ac:dyDescent="0.25">
      <c r="A402" s="230" t="s">
        <v>422</v>
      </c>
      <c r="B402" s="231" t="s">
        <v>423</v>
      </c>
      <c r="C402" s="232" t="s">
        <v>318</v>
      </c>
      <c r="D402" s="230" t="s">
        <v>264</v>
      </c>
      <c r="E402" s="230" t="s">
        <v>265</v>
      </c>
      <c r="F402" s="230" t="s">
        <v>265</v>
      </c>
      <c r="G402" s="230" t="s">
        <v>265</v>
      </c>
      <c r="H402" s="230" t="s">
        <v>281</v>
      </c>
      <c r="I402" s="230" t="s">
        <v>319</v>
      </c>
      <c r="J402" s="230"/>
      <c r="K402" s="230"/>
      <c r="L402" s="230"/>
      <c r="M402" s="230" t="s">
        <v>266</v>
      </c>
      <c r="N402" s="230" t="s">
        <v>280</v>
      </c>
      <c r="O402" s="230" t="s">
        <v>267</v>
      </c>
      <c r="P402" s="231" t="s">
        <v>320</v>
      </c>
      <c r="Q402" s="231"/>
      <c r="R402" s="233">
        <v>16382000</v>
      </c>
      <c r="S402" s="233">
        <v>0</v>
      </c>
      <c r="T402" s="233">
        <v>0</v>
      </c>
      <c r="U402" s="233">
        <v>16382000</v>
      </c>
      <c r="V402" s="233">
        <v>0</v>
      </c>
      <c r="W402" s="233">
        <v>13583332</v>
      </c>
      <c r="X402" s="233">
        <v>2798668</v>
      </c>
      <c r="Y402" s="233">
        <v>13583332</v>
      </c>
      <c r="Z402" s="233">
        <v>13583332</v>
      </c>
      <c r="AA402" s="233">
        <v>13583332</v>
      </c>
      <c r="AB402" s="233">
        <v>13583332</v>
      </c>
    </row>
    <row r="403" spans="1:28" ht="15" customHeight="1" x14ac:dyDescent="0.25">
      <c r="A403" s="230" t="s">
        <v>422</v>
      </c>
      <c r="B403" s="231" t="s">
        <v>423</v>
      </c>
      <c r="C403" s="232" t="s">
        <v>321</v>
      </c>
      <c r="D403" s="230" t="s">
        <v>264</v>
      </c>
      <c r="E403" s="230" t="s">
        <v>265</v>
      </c>
      <c r="F403" s="230" t="s">
        <v>265</v>
      </c>
      <c r="G403" s="230" t="s">
        <v>265</v>
      </c>
      <c r="H403" s="230" t="s">
        <v>281</v>
      </c>
      <c r="I403" s="230" t="s">
        <v>322</v>
      </c>
      <c r="J403" s="230"/>
      <c r="K403" s="230"/>
      <c r="L403" s="230"/>
      <c r="M403" s="230" t="s">
        <v>266</v>
      </c>
      <c r="N403" s="230" t="s">
        <v>280</v>
      </c>
      <c r="O403" s="230" t="s">
        <v>267</v>
      </c>
      <c r="P403" s="231" t="s">
        <v>323</v>
      </c>
      <c r="Q403" s="231"/>
      <c r="R403" s="233">
        <v>12305000</v>
      </c>
      <c r="S403" s="233">
        <v>3200000</v>
      </c>
      <c r="T403" s="233">
        <v>12305000</v>
      </c>
      <c r="U403" s="233">
        <v>3200000</v>
      </c>
      <c r="V403" s="233">
        <v>0</v>
      </c>
      <c r="W403" s="233">
        <v>3151040</v>
      </c>
      <c r="X403" s="233">
        <v>48960</v>
      </c>
      <c r="Y403" s="233">
        <v>3151040</v>
      </c>
      <c r="Z403" s="233">
        <v>3151040</v>
      </c>
      <c r="AA403" s="233">
        <v>3151040</v>
      </c>
      <c r="AB403" s="233">
        <v>3151040</v>
      </c>
    </row>
    <row r="404" spans="1:28" ht="15" customHeight="1" x14ac:dyDescent="0.25">
      <c r="A404" s="230" t="s">
        <v>422</v>
      </c>
      <c r="B404" s="231" t="s">
        <v>423</v>
      </c>
      <c r="C404" s="232" t="s">
        <v>324</v>
      </c>
      <c r="D404" s="230" t="s">
        <v>264</v>
      </c>
      <c r="E404" s="230" t="s">
        <v>265</v>
      </c>
      <c r="F404" s="230" t="s">
        <v>265</v>
      </c>
      <c r="G404" s="230" t="s">
        <v>265</v>
      </c>
      <c r="H404" s="230" t="s">
        <v>281</v>
      </c>
      <c r="I404" s="230" t="s">
        <v>325</v>
      </c>
      <c r="J404" s="230"/>
      <c r="K404" s="230"/>
      <c r="L404" s="230"/>
      <c r="M404" s="230" t="s">
        <v>266</v>
      </c>
      <c r="N404" s="230" t="s">
        <v>280</v>
      </c>
      <c r="O404" s="230" t="s">
        <v>267</v>
      </c>
      <c r="P404" s="231" t="s">
        <v>326</v>
      </c>
      <c r="Q404" s="231"/>
      <c r="R404" s="233">
        <v>64000000</v>
      </c>
      <c r="S404" s="233">
        <v>9352437</v>
      </c>
      <c r="T404" s="233">
        <v>2099033</v>
      </c>
      <c r="U404" s="233">
        <v>71253404</v>
      </c>
      <c r="V404" s="233">
        <v>0</v>
      </c>
      <c r="W404" s="233">
        <v>71175082</v>
      </c>
      <c r="X404" s="233">
        <v>78322</v>
      </c>
      <c r="Y404" s="233">
        <v>71175082</v>
      </c>
      <c r="Z404" s="233">
        <v>71175082</v>
      </c>
      <c r="AA404" s="233">
        <v>71175082</v>
      </c>
      <c r="AB404" s="233">
        <v>71175082</v>
      </c>
    </row>
    <row r="405" spans="1:28" ht="15" customHeight="1" x14ac:dyDescent="0.25">
      <c r="A405" s="230" t="s">
        <v>422</v>
      </c>
      <c r="B405" s="231" t="s">
        <v>423</v>
      </c>
      <c r="C405" s="232" t="s">
        <v>327</v>
      </c>
      <c r="D405" s="230" t="s">
        <v>264</v>
      </c>
      <c r="E405" s="230" t="s">
        <v>265</v>
      </c>
      <c r="F405" s="230" t="s">
        <v>265</v>
      </c>
      <c r="G405" s="230" t="s">
        <v>265</v>
      </c>
      <c r="H405" s="230" t="s">
        <v>281</v>
      </c>
      <c r="I405" s="230" t="s">
        <v>328</v>
      </c>
      <c r="J405" s="230"/>
      <c r="K405" s="230"/>
      <c r="L405" s="230"/>
      <c r="M405" s="230" t="s">
        <v>266</v>
      </c>
      <c r="N405" s="230" t="s">
        <v>280</v>
      </c>
      <c r="O405" s="230" t="s">
        <v>267</v>
      </c>
      <c r="P405" s="231" t="s">
        <v>329</v>
      </c>
      <c r="Q405" s="231"/>
      <c r="R405" s="233">
        <v>24000000</v>
      </c>
      <c r="S405" s="233">
        <v>1000000</v>
      </c>
      <c r="T405" s="233">
        <v>0</v>
      </c>
      <c r="U405" s="233">
        <v>25000000</v>
      </c>
      <c r="V405" s="233">
        <v>0</v>
      </c>
      <c r="W405" s="233">
        <v>24795887</v>
      </c>
      <c r="X405" s="233">
        <v>204113</v>
      </c>
      <c r="Y405" s="233">
        <v>24795887</v>
      </c>
      <c r="Z405" s="233">
        <v>24795887</v>
      </c>
      <c r="AA405" s="233">
        <v>24795887</v>
      </c>
      <c r="AB405" s="233">
        <v>24795887</v>
      </c>
    </row>
    <row r="406" spans="1:28" ht="15" customHeight="1" x14ac:dyDescent="0.25">
      <c r="A406" s="230" t="s">
        <v>422</v>
      </c>
      <c r="B406" s="231" t="s">
        <v>423</v>
      </c>
      <c r="C406" s="232" t="s">
        <v>330</v>
      </c>
      <c r="D406" s="230" t="s">
        <v>264</v>
      </c>
      <c r="E406" s="230" t="s">
        <v>265</v>
      </c>
      <c r="F406" s="230" t="s">
        <v>265</v>
      </c>
      <c r="G406" s="230" t="s">
        <v>265</v>
      </c>
      <c r="H406" s="230" t="s">
        <v>281</v>
      </c>
      <c r="I406" s="230" t="s">
        <v>331</v>
      </c>
      <c r="J406" s="230"/>
      <c r="K406" s="230"/>
      <c r="L406" s="230"/>
      <c r="M406" s="230" t="s">
        <v>266</v>
      </c>
      <c r="N406" s="230" t="s">
        <v>280</v>
      </c>
      <c r="O406" s="230" t="s">
        <v>267</v>
      </c>
      <c r="P406" s="231" t="s">
        <v>332</v>
      </c>
      <c r="Q406" s="231"/>
      <c r="R406" s="233">
        <v>82000000</v>
      </c>
      <c r="S406" s="233">
        <v>0</v>
      </c>
      <c r="T406" s="233">
        <v>0</v>
      </c>
      <c r="U406" s="233">
        <v>82000000</v>
      </c>
      <c r="V406" s="233">
        <v>0</v>
      </c>
      <c r="W406" s="233">
        <v>78098333</v>
      </c>
      <c r="X406" s="233">
        <v>3901667</v>
      </c>
      <c r="Y406" s="233">
        <v>78098333</v>
      </c>
      <c r="Z406" s="233">
        <v>78098333</v>
      </c>
      <c r="AA406" s="233">
        <v>78098333</v>
      </c>
      <c r="AB406" s="233">
        <v>78098333</v>
      </c>
    </row>
    <row r="407" spans="1:28" ht="15" customHeight="1" x14ac:dyDescent="0.25">
      <c r="A407" s="230" t="s">
        <v>422</v>
      </c>
      <c r="B407" s="231" t="s">
        <v>423</v>
      </c>
      <c r="C407" s="232" t="s">
        <v>333</v>
      </c>
      <c r="D407" s="230" t="s">
        <v>264</v>
      </c>
      <c r="E407" s="230" t="s">
        <v>265</v>
      </c>
      <c r="F407" s="230" t="s">
        <v>265</v>
      </c>
      <c r="G407" s="230" t="s">
        <v>265</v>
      </c>
      <c r="H407" s="230" t="s">
        <v>281</v>
      </c>
      <c r="I407" s="230" t="s">
        <v>334</v>
      </c>
      <c r="J407" s="230"/>
      <c r="K407" s="230"/>
      <c r="L407" s="230"/>
      <c r="M407" s="230" t="s">
        <v>266</v>
      </c>
      <c r="N407" s="230" t="s">
        <v>280</v>
      </c>
      <c r="O407" s="230" t="s">
        <v>267</v>
      </c>
      <c r="P407" s="231" t="s">
        <v>335</v>
      </c>
      <c r="Q407" s="231"/>
      <c r="R407" s="233">
        <v>48000000</v>
      </c>
      <c r="S407" s="233">
        <v>2500000</v>
      </c>
      <c r="T407" s="233">
        <v>0</v>
      </c>
      <c r="U407" s="233">
        <v>50500000</v>
      </c>
      <c r="V407" s="233">
        <v>0</v>
      </c>
      <c r="W407" s="233">
        <v>42919534</v>
      </c>
      <c r="X407" s="233">
        <v>7580466</v>
      </c>
      <c r="Y407" s="233">
        <v>42919534</v>
      </c>
      <c r="Z407" s="233">
        <v>42919534</v>
      </c>
      <c r="AA407" s="233">
        <v>42919534</v>
      </c>
      <c r="AB407" s="233">
        <v>42919534</v>
      </c>
    </row>
    <row r="408" spans="1:28" ht="15" customHeight="1" x14ac:dyDescent="0.25">
      <c r="A408" s="230" t="s">
        <v>422</v>
      </c>
      <c r="B408" s="231" t="s">
        <v>423</v>
      </c>
      <c r="C408" s="232" t="s">
        <v>336</v>
      </c>
      <c r="D408" s="230" t="s">
        <v>264</v>
      </c>
      <c r="E408" s="230" t="s">
        <v>265</v>
      </c>
      <c r="F408" s="230" t="s">
        <v>265</v>
      </c>
      <c r="G408" s="230" t="s">
        <v>265</v>
      </c>
      <c r="H408" s="230" t="s">
        <v>281</v>
      </c>
      <c r="I408" s="230" t="s">
        <v>278</v>
      </c>
      <c r="J408" s="230"/>
      <c r="K408" s="230"/>
      <c r="L408" s="230"/>
      <c r="M408" s="230" t="s">
        <v>266</v>
      </c>
      <c r="N408" s="230" t="s">
        <v>280</v>
      </c>
      <c r="O408" s="230" t="s">
        <v>267</v>
      </c>
      <c r="P408" s="231" t="s">
        <v>337</v>
      </c>
      <c r="Q408" s="231"/>
      <c r="R408" s="233">
        <v>12000000</v>
      </c>
      <c r="S408" s="233">
        <v>9575000</v>
      </c>
      <c r="T408" s="233">
        <v>4542358</v>
      </c>
      <c r="U408" s="233">
        <v>17032642</v>
      </c>
      <c r="V408" s="233">
        <v>0</v>
      </c>
      <c r="W408" s="233">
        <v>17032642</v>
      </c>
      <c r="X408" s="233">
        <v>0</v>
      </c>
      <c r="Y408" s="233">
        <v>17032642</v>
      </c>
      <c r="Z408" s="233">
        <v>17032642</v>
      </c>
      <c r="AA408" s="233">
        <v>17032642</v>
      </c>
      <c r="AB408" s="233">
        <v>17032642</v>
      </c>
    </row>
    <row r="409" spans="1:28" ht="15" customHeight="1" x14ac:dyDescent="0.25">
      <c r="A409" s="230" t="s">
        <v>422</v>
      </c>
      <c r="B409" s="231" t="s">
        <v>423</v>
      </c>
      <c r="C409" s="232" t="s">
        <v>338</v>
      </c>
      <c r="D409" s="230" t="s">
        <v>264</v>
      </c>
      <c r="E409" s="230" t="s">
        <v>265</v>
      </c>
      <c r="F409" s="230" t="s">
        <v>265</v>
      </c>
      <c r="G409" s="230" t="s">
        <v>269</v>
      </c>
      <c r="H409" s="230" t="s">
        <v>281</v>
      </c>
      <c r="I409" s="230"/>
      <c r="J409" s="230"/>
      <c r="K409" s="230"/>
      <c r="L409" s="230"/>
      <c r="M409" s="230" t="s">
        <v>266</v>
      </c>
      <c r="N409" s="230" t="s">
        <v>280</v>
      </c>
      <c r="O409" s="230" t="s">
        <v>267</v>
      </c>
      <c r="P409" s="231" t="s">
        <v>339</v>
      </c>
      <c r="Q409" s="231"/>
      <c r="R409" s="233">
        <v>80000000</v>
      </c>
      <c r="S409" s="233">
        <v>5700000</v>
      </c>
      <c r="T409" s="233">
        <v>0</v>
      </c>
      <c r="U409" s="233">
        <v>85700000</v>
      </c>
      <c r="V409" s="233">
        <v>0</v>
      </c>
      <c r="W409" s="233">
        <v>77961800</v>
      </c>
      <c r="X409" s="233">
        <v>7738200</v>
      </c>
      <c r="Y409" s="233">
        <v>77961800</v>
      </c>
      <c r="Z409" s="233">
        <v>77961800</v>
      </c>
      <c r="AA409" s="233">
        <v>77961800</v>
      </c>
      <c r="AB409" s="233">
        <v>77961800</v>
      </c>
    </row>
    <row r="410" spans="1:28" ht="15" customHeight="1" x14ac:dyDescent="0.25">
      <c r="A410" s="230" t="s">
        <v>422</v>
      </c>
      <c r="B410" s="231" t="s">
        <v>423</v>
      </c>
      <c r="C410" s="232" t="s">
        <v>340</v>
      </c>
      <c r="D410" s="230" t="s">
        <v>264</v>
      </c>
      <c r="E410" s="230" t="s">
        <v>265</v>
      </c>
      <c r="F410" s="230" t="s">
        <v>265</v>
      </c>
      <c r="G410" s="230" t="s">
        <v>269</v>
      </c>
      <c r="H410" s="230" t="s">
        <v>283</v>
      </c>
      <c r="I410" s="230"/>
      <c r="J410" s="230"/>
      <c r="K410" s="230"/>
      <c r="L410" s="230"/>
      <c r="M410" s="230" t="s">
        <v>266</v>
      </c>
      <c r="N410" s="230" t="s">
        <v>280</v>
      </c>
      <c r="O410" s="230" t="s">
        <v>267</v>
      </c>
      <c r="P410" s="231" t="s">
        <v>341</v>
      </c>
      <c r="Q410" s="231"/>
      <c r="R410" s="233">
        <v>60000000</v>
      </c>
      <c r="S410" s="233">
        <v>1000000</v>
      </c>
      <c r="T410" s="233">
        <v>0</v>
      </c>
      <c r="U410" s="233">
        <v>61000000</v>
      </c>
      <c r="V410" s="233">
        <v>0</v>
      </c>
      <c r="W410" s="233">
        <v>55524400</v>
      </c>
      <c r="X410" s="233">
        <v>5475600</v>
      </c>
      <c r="Y410" s="233">
        <v>55224400</v>
      </c>
      <c r="Z410" s="233">
        <v>55224400</v>
      </c>
      <c r="AA410" s="233">
        <v>55224400</v>
      </c>
      <c r="AB410" s="233">
        <v>55224400</v>
      </c>
    </row>
    <row r="411" spans="1:28" ht="15" customHeight="1" x14ac:dyDescent="0.25">
      <c r="A411" s="230" t="s">
        <v>422</v>
      </c>
      <c r="B411" s="231" t="s">
        <v>423</v>
      </c>
      <c r="C411" s="232" t="s">
        <v>342</v>
      </c>
      <c r="D411" s="230" t="s">
        <v>264</v>
      </c>
      <c r="E411" s="230" t="s">
        <v>265</v>
      </c>
      <c r="F411" s="230" t="s">
        <v>265</v>
      </c>
      <c r="G411" s="230" t="s">
        <v>269</v>
      </c>
      <c r="H411" s="230" t="s">
        <v>319</v>
      </c>
      <c r="I411" s="230"/>
      <c r="J411" s="230"/>
      <c r="K411" s="230"/>
      <c r="L411" s="230"/>
      <c r="M411" s="230" t="s">
        <v>266</v>
      </c>
      <c r="N411" s="230" t="s">
        <v>280</v>
      </c>
      <c r="O411" s="230" t="s">
        <v>267</v>
      </c>
      <c r="P411" s="231" t="s">
        <v>343</v>
      </c>
      <c r="Q411" s="231"/>
      <c r="R411" s="233">
        <v>36000000</v>
      </c>
      <c r="S411" s="233">
        <v>1000000</v>
      </c>
      <c r="T411" s="233">
        <v>0</v>
      </c>
      <c r="U411" s="233">
        <v>37000000</v>
      </c>
      <c r="V411" s="233">
        <v>0</v>
      </c>
      <c r="W411" s="233">
        <v>32547400</v>
      </c>
      <c r="X411" s="233">
        <v>4452600</v>
      </c>
      <c r="Y411" s="233">
        <v>32547400</v>
      </c>
      <c r="Z411" s="233">
        <v>32547400</v>
      </c>
      <c r="AA411" s="233">
        <v>32547400</v>
      </c>
      <c r="AB411" s="233">
        <v>32547400</v>
      </c>
    </row>
    <row r="412" spans="1:28" ht="15" customHeight="1" x14ac:dyDescent="0.25">
      <c r="A412" s="230" t="s">
        <v>422</v>
      </c>
      <c r="B412" s="231" t="s">
        <v>423</v>
      </c>
      <c r="C412" s="232" t="s">
        <v>344</v>
      </c>
      <c r="D412" s="230" t="s">
        <v>264</v>
      </c>
      <c r="E412" s="230" t="s">
        <v>265</v>
      </c>
      <c r="F412" s="230" t="s">
        <v>265</v>
      </c>
      <c r="G412" s="230" t="s">
        <v>269</v>
      </c>
      <c r="H412" s="230" t="s">
        <v>322</v>
      </c>
      <c r="I412" s="230"/>
      <c r="J412" s="230"/>
      <c r="K412" s="230"/>
      <c r="L412" s="230"/>
      <c r="M412" s="230" t="s">
        <v>266</v>
      </c>
      <c r="N412" s="230" t="s">
        <v>280</v>
      </c>
      <c r="O412" s="230" t="s">
        <v>267</v>
      </c>
      <c r="P412" s="231" t="s">
        <v>345</v>
      </c>
      <c r="Q412" s="231"/>
      <c r="R412" s="233">
        <v>10000000</v>
      </c>
      <c r="S412" s="233">
        <v>280000</v>
      </c>
      <c r="T412" s="233">
        <v>0</v>
      </c>
      <c r="U412" s="233">
        <v>10280000</v>
      </c>
      <c r="V412" s="233">
        <v>0</v>
      </c>
      <c r="W412" s="233">
        <v>9279400</v>
      </c>
      <c r="X412" s="233">
        <v>1000600</v>
      </c>
      <c r="Y412" s="233">
        <v>9279400</v>
      </c>
      <c r="Z412" s="233">
        <v>9279400</v>
      </c>
      <c r="AA412" s="233">
        <v>9279400</v>
      </c>
      <c r="AB412" s="233">
        <v>9279400</v>
      </c>
    </row>
    <row r="413" spans="1:28" ht="15" customHeight="1" x14ac:dyDescent="0.25">
      <c r="A413" s="230" t="s">
        <v>422</v>
      </c>
      <c r="B413" s="231" t="s">
        <v>423</v>
      </c>
      <c r="C413" s="232" t="s">
        <v>346</v>
      </c>
      <c r="D413" s="230" t="s">
        <v>264</v>
      </c>
      <c r="E413" s="230" t="s">
        <v>265</v>
      </c>
      <c r="F413" s="230" t="s">
        <v>265</v>
      </c>
      <c r="G413" s="230" t="s">
        <v>269</v>
      </c>
      <c r="H413" s="230" t="s">
        <v>325</v>
      </c>
      <c r="I413" s="230"/>
      <c r="J413" s="230"/>
      <c r="K413" s="230"/>
      <c r="L413" s="230"/>
      <c r="M413" s="230" t="s">
        <v>266</v>
      </c>
      <c r="N413" s="230" t="s">
        <v>280</v>
      </c>
      <c r="O413" s="230" t="s">
        <v>267</v>
      </c>
      <c r="P413" s="231" t="s">
        <v>347</v>
      </c>
      <c r="Q413" s="231"/>
      <c r="R413" s="233">
        <v>26000000</v>
      </c>
      <c r="S413" s="233">
        <v>575000</v>
      </c>
      <c r="T413" s="233">
        <v>0</v>
      </c>
      <c r="U413" s="233">
        <v>26575000</v>
      </c>
      <c r="V413" s="233">
        <v>0</v>
      </c>
      <c r="W413" s="233">
        <v>24414500</v>
      </c>
      <c r="X413" s="233">
        <v>2160500</v>
      </c>
      <c r="Y413" s="233">
        <v>24414500</v>
      </c>
      <c r="Z413" s="233">
        <v>24414500</v>
      </c>
      <c r="AA413" s="233">
        <v>24414500</v>
      </c>
      <c r="AB413" s="233">
        <v>24414500</v>
      </c>
    </row>
    <row r="414" spans="1:28" ht="15" customHeight="1" x14ac:dyDescent="0.25">
      <c r="A414" s="230" t="s">
        <v>422</v>
      </c>
      <c r="B414" s="231" t="s">
        <v>423</v>
      </c>
      <c r="C414" s="232" t="s">
        <v>348</v>
      </c>
      <c r="D414" s="230" t="s">
        <v>264</v>
      </c>
      <c r="E414" s="230" t="s">
        <v>265</v>
      </c>
      <c r="F414" s="230" t="s">
        <v>265</v>
      </c>
      <c r="G414" s="230" t="s">
        <v>269</v>
      </c>
      <c r="H414" s="230" t="s">
        <v>328</v>
      </c>
      <c r="I414" s="230"/>
      <c r="J414" s="230"/>
      <c r="K414" s="230"/>
      <c r="L414" s="230"/>
      <c r="M414" s="230" t="s">
        <v>266</v>
      </c>
      <c r="N414" s="230" t="s">
        <v>280</v>
      </c>
      <c r="O414" s="230" t="s">
        <v>267</v>
      </c>
      <c r="P414" s="231" t="s">
        <v>349</v>
      </c>
      <c r="Q414" s="231"/>
      <c r="R414" s="233">
        <v>5000000</v>
      </c>
      <c r="S414" s="233">
        <v>15000000</v>
      </c>
      <c r="T414" s="233">
        <v>0</v>
      </c>
      <c r="U414" s="233">
        <v>20000000</v>
      </c>
      <c r="V414" s="233">
        <v>0</v>
      </c>
      <c r="W414" s="233">
        <v>16282600</v>
      </c>
      <c r="X414" s="233">
        <v>3717400</v>
      </c>
      <c r="Y414" s="233">
        <v>16282600</v>
      </c>
      <c r="Z414" s="233">
        <v>16282600</v>
      </c>
      <c r="AA414" s="233">
        <v>16282600</v>
      </c>
      <c r="AB414" s="233">
        <v>16282600</v>
      </c>
    </row>
    <row r="415" spans="1:28" ht="15" customHeight="1" x14ac:dyDescent="0.25">
      <c r="A415" s="230" t="s">
        <v>422</v>
      </c>
      <c r="B415" s="231" t="s">
        <v>423</v>
      </c>
      <c r="C415" s="232" t="s">
        <v>350</v>
      </c>
      <c r="D415" s="230" t="s">
        <v>264</v>
      </c>
      <c r="E415" s="230" t="s">
        <v>265</v>
      </c>
      <c r="F415" s="230" t="s">
        <v>265</v>
      </c>
      <c r="G415" s="230" t="s">
        <v>269</v>
      </c>
      <c r="H415" s="230" t="s">
        <v>351</v>
      </c>
      <c r="I415" s="230"/>
      <c r="J415" s="230"/>
      <c r="K415" s="230"/>
      <c r="L415" s="230"/>
      <c r="M415" s="230" t="s">
        <v>266</v>
      </c>
      <c r="N415" s="230" t="s">
        <v>280</v>
      </c>
      <c r="O415" s="230" t="s">
        <v>267</v>
      </c>
      <c r="P415" s="231" t="s">
        <v>352</v>
      </c>
      <c r="Q415" s="231"/>
      <c r="R415" s="233">
        <v>5000000</v>
      </c>
      <c r="S415" s="233">
        <v>0</v>
      </c>
      <c r="T415" s="233">
        <v>5000000</v>
      </c>
      <c r="U415" s="233">
        <v>0</v>
      </c>
      <c r="V415" s="233">
        <v>0</v>
      </c>
      <c r="W415" s="233">
        <v>0</v>
      </c>
      <c r="X415" s="233">
        <v>0</v>
      </c>
      <c r="Y415" s="233">
        <v>0</v>
      </c>
      <c r="Z415" s="233">
        <v>0</v>
      </c>
      <c r="AA415" s="233">
        <v>0</v>
      </c>
      <c r="AB415" s="233">
        <v>0</v>
      </c>
    </row>
    <row r="416" spans="1:28" ht="15" customHeight="1" x14ac:dyDescent="0.25">
      <c r="A416" s="230" t="s">
        <v>422</v>
      </c>
      <c r="B416" s="231" t="s">
        <v>423</v>
      </c>
      <c r="C416" s="232" t="s">
        <v>353</v>
      </c>
      <c r="D416" s="230" t="s">
        <v>264</v>
      </c>
      <c r="E416" s="230" t="s">
        <v>265</v>
      </c>
      <c r="F416" s="230" t="s">
        <v>265</v>
      </c>
      <c r="G416" s="230" t="s">
        <v>269</v>
      </c>
      <c r="H416" s="230" t="s">
        <v>331</v>
      </c>
      <c r="I416" s="230"/>
      <c r="J416" s="230"/>
      <c r="K416" s="230"/>
      <c r="L416" s="230"/>
      <c r="M416" s="230" t="s">
        <v>266</v>
      </c>
      <c r="N416" s="230" t="s">
        <v>280</v>
      </c>
      <c r="O416" s="230" t="s">
        <v>267</v>
      </c>
      <c r="P416" s="231" t="s">
        <v>354</v>
      </c>
      <c r="Q416" s="231"/>
      <c r="R416" s="233">
        <v>10000000</v>
      </c>
      <c r="S416" s="233">
        <v>0</v>
      </c>
      <c r="T416" s="233">
        <v>10000000</v>
      </c>
      <c r="U416" s="233">
        <v>0</v>
      </c>
      <c r="V416" s="233">
        <v>0</v>
      </c>
      <c r="W416" s="233">
        <v>0</v>
      </c>
      <c r="X416" s="233">
        <v>0</v>
      </c>
      <c r="Y416" s="233">
        <v>0</v>
      </c>
      <c r="Z416" s="233">
        <v>0</v>
      </c>
      <c r="AA416" s="233">
        <v>0</v>
      </c>
      <c r="AB416" s="233">
        <v>0</v>
      </c>
    </row>
    <row r="417" spans="1:28" ht="15" customHeight="1" x14ac:dyDescent="0.25">
      <c r="A417" s="230" t="s">
        <v>422</v>
      </c>
      <c r="B417" s="231" t="s">
        <v>423</v>
      </c>
      <c r="C417" s="232" t="s">
        <v>355</v>
      </c>
      <c r="D417" s="230" t="s">
        <v>264</v>
      </c>
      <c r="E417" s="230" t="s">
        <v>265</v>
      </c>
      <c r="F417" s="230" t="s">
        <v>265</v>
      </c>
      <c r="G417" s="230" t="s">
        <v>271</v>
      </c>
      <c r="H417" s="230" t="s">
        <v>281</v>
      </c>
      <c r="I417" s="230" t="s">
        <v>281</v>
      </c>
      <c r="J417" s="230"/>
      <c r="K417" s="230"/>
      <c r="L417" s="230"/>
      <c r="M417" s="230" t="s">
        <v>266</v>
      </c>
      <c r="N417" s="230" t="s">
        <v>280</v>
      </c>
      <c r="O417" s="230" t="s">
        <v>267</v>
      </c>
      <c r="P417" s="231" t="s">
        <v>356</v>
      </c>
      <c r="Q417" s="231"/>
      <c r="R417" s="233">
        <v>46000000</v>
      </c>
      <c r="S417" s="233">
        <v>2000000</v>
      </c>
      <c r="T417" s="233">
        <v>0</v>
      </c>
      <c r="U417" s="233">
        <v>48000000</v>
      </c>
      <c r="V417" s="233">
        <v>0</v>
      </c>
      <c r="W417" s="233">
        <v>39698642</v>
      </c>
      <c r="X417" s="233">
        <v>8301358</v>
      </c>
      <c r="Y417" s="233">
        <v>39698642</v>
      </c>
      <c r="Z417" s="233">
        <v>39698642</v>
      </c>
      <c r="AA417" s="233">
        <v>39698642</v>
      </c>
      <c r="AB417" s="233">
        <v>39698642</v>
      </c>
    </row>
    <row r="418" spans="1:28" ht="15" customHeight="1" x14ac:dyDescent="0.25">
      <c r="A418" s="230" t="s">
        <v>422</v>
      </c>
      <c r="B418" s="231" t="s">
        <v>423</v>
      </c>
      <c r="C418" s="232" t="s">
        <v>357</v>
      </c>
      <c r="D418" s="230" t="s">
        <v>264</v>
      </c>
      <c r="E418" s="230" t="s">
        <v>265</v>
      </c>
      <c r="F418" s="230" t="s">
        <v>265</v>
      </c>
      <c r="G418" s="230" t="s">
        <v>271</v>
      </c>
      <c r="H418" s="230" t="s">
        <v>281</v>
      </c>
      <c r="I418" s="230" t="s">
        <v>283</v>
      </c>
      <c r="J418" s="230"/>
      <c r="K418" s="230"/>
      <c r="L418" s="230"/>
      <c r="M418" s="230" t="s">
        <v>266</v>
      </c>
      <c r="N418" s="230" t="s">
        <v>280</v>
      </c>
      <c r="O418" s="230" t="s">
        <v>267</v>
      </c>
      <c r="P418" s="231" t="s">
        <v>358</v>
      </c>
      <c r="Q418" s="231"/>
      <c r="R418" s="233">
        <v>0</v>
      </c>
      <c r="S418" s="233">
        <v>9223842</v>
      </c>
      <c r="T418" s="233">
        <v>0</v>
      </c>
      <c r="U418" s="233">
        <v>9223842</v>
      </c>
      <c r="V418" s="233">
        <v>0</v>
      </c>
      <c r="W418" s="233">
        <v>7402175</v>
      </c>
      <c r="X418" s="233">
        <v>1821667</v>
      </c>
      <c r="Y418" s="233">
        <v>7402175</v>
      </c>
      <c r="Z418" s="233">
        <v>7402175</v>
      </c>
      <c r="AA418" s="233">
        <v>7402175</v>
      </c>
      <c r="AB418" s="233">
        <v>7402175</v>
      </c>
    </row>
    <row r="419" spans="1:28" ht="15" customHeight="1" x14ac:dyDescent="0.25">
      <c r="A419" s="230" t="s">
        <v>422</v>
      </c>
      <c r="B419" s="231" t="s">
        <v>423</v>
      </c>
      <c r="C419" s="232" t="s">
        <v>359</v>
      </c>
      <c r="D419" s="230" t="s">
        <v>264</v>
      </c>
      <c r="E419" s="230" t="s">
        <v>265</v>
      </c>
      <c r="F419" s="230" t="s">
        <v>265</v>
      </c>
      <c r="G419" s="230" t="s">
        <v>271</v>
      </c>
      <c r="H419" s="230" t="s">
        <v>281</v>
      </c>
      <c r="I419" s="230" t="s">
        <v>316</v>
      </c>
      <c r="J419" s="230"/>
      <c r="K419" s="230"/>
      <c r="L419" s="230"/>
      <c r="M419" s="230" t="s">
        <v>266</v>
      </c>
      <c r="N419" s="230" t="s">
        <v>280</v>
      </c>
      <c r="O419" s="230" t="s">
        <v>267</v>
      </c>
      <c r="P419" s="231" t="s">
        <v>360</v>
      </c>
      <c r="Q419" s="231"/>
      <c r="R419" s="233">
        <v>4000000</v>
      </c>
      <c r="S419" s="233">
        <v>0</v>
      </c>
      <c r="T419" s="233">
        <v>0</v>
      </c>
      <c r="U419" s="233">
        <v>4000000</v>
      </c>
      <c r="V419" s="233">
        <v>0</v>
      </c>
      <c r="W419" s="233">
        <v>3553467</v>
      </c>
      <c r="X419" s="233">
        <v>446533</v>
      </c>
      <c r="Y419" s="233">
        <v>3553467</v>
      </c>
      <c r="Z419" s="233">
        <v>3553467</v>
      </c>
      <c r="AA419" s="233">
        <v>3553467</v>
      </c>
      <c r="AB419" s="233">
        <v>3553467</v>
      </c>
    </row>
    <row r="420" spans="1:28" ht="15" customHeight="1" x14ac:dyDescent="0.25">
      <c r="A420" s="230" t="s">
        <v>422</v>
      </c>
      <c r="B420" s="231" t="s">
        <v>423</v>
      </c>
      <c r="C420" s="232" t="s">
        <v>361</v>
      </c>
      <c r="D420" s="230" t="s">
        <v>264</v>
      </c>
      <c r="E420" s="230" t="s">
        <v>265</v>
      </c>
      <c r="F420" s="230" t="s">
        <v>265</v>
      </c>
      <c r="G420" s="230" t="s">
        <v>271</v>
      </c>
      <c r="H420" s="230" t="s">
        <v>283</v>
      </c>
      <c r="I420" s="230"/>
      <c r="J420" s="230"/>
      <c r="K420" s="230"/>
      <c r="L420" s="230"/>
      <c r="M420" s="230" t="s">
        <v>266</v>
      </c>
      <c r="N420" s="230" t="s">
        <v>280</v>
      </c>
      <c r="O420" s="230" t="s">
        <v>267</v>
      </c>
      <c r="P420" s="231" t="s">
        <v>362</v>
      </c>
      <c r="Q420" s="231"/>
      <c r="R420" s="233">
        <v>29000000</v>
      </c>
      <c r="S420" s="233">
        <v>3000000</v>
      </c>
      <c r="T420" s="233">
        <v>0</v>
      </c>
      <c r="U420" s="233">
        <v>32000000</v>
      </c>
      <c r="V420" s="233">
        <v>0</v>
      </c>
      <c r="W420" s="233">
        <v>20678991</v>
      </c>
      <c r="X420" s="233">
        <v>11321009</v>
      </c>
      <c r="Y420" s="233">
        <v>20678991</v>
      </c>
      <c r="Z420" s="233">
        <v>20678991</v>
      </c>
      <c r="AA420" s="233">
        <v>20678991</v>
      </c>
      <c r="AB420" s="233">
        <v>20678991</v>
      </c>
    </row>
    <row r="421" spans="1:28" ht="15" customHeight="1" x14ac:dyDescent="0.25">
      <c r="A421" s="230" t="s">
        <v>422</v>
      </c>
      <c r="B421" s="231" t="s">
        <v>423</v>
      </c>
      <c r="C421" s="232" t="s">
        <v>395</v>
      </c>
      <c r="D421" s="230" t="s">
        <v>264</v>
      </c>
      <c r="E421" s="230" t="s">
        <v>269</v>
      </c>
      <c r="F421" s="230" t="s">
        <v>269</v>
      </c>
      <c r="G421" s="230" t="s">
        <v>265</v>
      </c>
      <c r="H421" s="230" t="s">
        <v>316</v>
      </c>
      <c r="I421" s="230" t="s">
        <v>316</v>
      </c>
      <c r="J421" s="230"/>
      <c r="K421" s="230"/>
      <c r="L421" s="230"/>
      <c r="M421" s="230" t="s">
        <v>266</v>
      </c>
      <c r="N421" s="230" t="s">
        <v>280</v>
      </c>
      <c r="O421" s="230" t="s">
        <v>267</v>
      </c>
      <c r="P421" s="231" t="s">
        <v>396</v>
      </c>
      <c r="Q421" s="231"/>
      <c r="R421" s="233">
        <v>0</v>
      </c>
      <c r="S421" s="233">
        <v>1000000</v>
      </c>
      <c r="T421" s="233">
        <v>0</v>
      </c>
      <c r="U421" s="233">
        <v>1000000</v>
      </c>
      <c r="V421" s="233">
        <v>0</v>
      </c>
      <c r="W421" s="233">
        <v>1000000</v>
      </c>
      <c r="X421" s="233">
        <v>0</v>
      </c>
      <c r="Y421" s="233">
        <v>7790</v>
      </c>
      <c r="Z421" s="233">
        <v>7790</v>
      </c>
      <c r="AA421" s="233">
        <v>7790</v>
      </c>
      <c r="AB421" s="233">
        <v>7790</v>
      </c>
    </row>
    <row r="422" spans="1:28" ht="15" customHeight="1" x14ac:dyDescent="0.25">
      <c r="A422" s="230" t="s">
        <v>422</v>
      </c>
      <c r="B422" s="231" t="s">
        <v>423</v>
      </c>
      <c r="C422" s="232" t="s">
        <v>363</v>
      </c>
      <c r="D422" s="230" t="s">
        <v>264</v>
      </c>
      <c r="E422" s="230" t="s">
        <v>269</v>
      </c>
      <c r="F422" s="230" t="s">
        <v>269</v>
      </c>
      <c r="G422" s="230" t="s">
        <v>269</v>
      </c>
      <c r="H422" s="230" t="s">
        <v>325</v>
      </c>
      <c r="I422" s="230" t="s">
        <v>319</v>
      </c>
      <c r="J422" s="230"/>
      <c r="K422" s="230"/>
      <c r="L422" s="230"/>
      <c r="M422" s="230" t="s">
        <v>273</v>
      </c>
      <c r="N422" s="230" t="s">
        <v>34</v>
      </c>
      <c r="O422" s="230" t="s">
        <v>267</v>
      </c>
      <c r="P422" s="231" t="s">
        <v>364</v>
      </c>
      <c r="Q422" s="231"/>
      <c r="R422" s="233">
        <v>0</v>
      </c>
      <c r="S422" s="233">
        <v>4170000</v>
      </c>
      <c r="T422" s="233">
        <v>0</v>
      </c>
      <c r="U422" s="233">
        <v>4170000</v>
      </c>
      <c r="V422" s="233">
        <v>0</v>
      </c>
      <c r="W422" s="233">
        <v>4170000</v>
      </c>
      <c r="X422" s="233">
        <v>0</v>
      </c>
      <c r="Y422" s="233">
        <v>4170000</v>
      </c>
      <c r="Z422" s="233">
        <v>4170000</v>
      </c>
      <c r="AA422" s="233">
        <v>4170000</v>
      </c>
      <c r="AB422" s="233">
        <v>4170000</v>
      </c>
    </row>
    <row r="423" spans="1:28" ht="15" customHeight="1" x14ac:dyDescent="0.25">
      <c r="A423" s="230" t="s">
        <v>422</v>
      </c>
      <c r="B423" s="231" t="s">
        <v>423</v>
      </c>
      <c r="C423" s="232" t="s">
        <v>365</v>
      </c>
      <c r="D423" s="230" t="s">
        <v>264</v>
      </c>
      <c r="E423" s="230" t="s">
        <v>269</v>
      </c>
      <c r="F423" s="230" t="s">
        <v>269</v>
      </c>
      <c r="G423" s="230" t="s">
        <v>269</v>
      </c>
      <c r="H423" s="230" t="s">
        <v>325</v>
      </c>
      <c r="I423" s="230" t="s">
        <v>331</v>
      </c>
      <c r="J423" s="230"/>
      <c r="K423" s="230"/>
      <c r="L423" s="230"/>
      <c r="M423" s="230" t="s">
        <v>266</v>
      </c>
      <c r="N423" s="230" t="s">
        <v>280</v>
      </c>
      <c r="O423" s="230" t="s">
        <v>267</v>
      </c>
      <c r="P423" s="231" t="s">
        <v>366</v>
      </c>
      <c r="Q423" s="231"/>
      <c r="R423" s="233">
        <v>23200000</v>
      </c>
      <c r="S423" s="233">
        <v>6000000</v>
      </c>
      <c r="T423" s="233">
        <v>0</v>
      </c>
      <c r="U423" s="233">
        <v>29200000</v>
      </c>
      <c r="V423" s="233">
        <v>0</v>
      </c>
      <c r="W423" s="233">
        <v>29200000</v>
      </c>
      <c r="X423" s="233">
        <v>0</v>
      </c>
      <c r="Y423" s="233">
        <v>26594093.960000001</v>
      </c>
      <c r="Z423" s="233">
        <v>26594093.960000001</v>
      </c>
      <c r="AA423" s="233">
        <v>26594093.960000001</v>
      </c>
      <c r="AB423" s="233">
        <v>26594093.960000001</v>
      </c>
    </row>
    <row r="424" spans="1:28" ht="15" customHeight="1" x14ac:dyDescent="0.25">
      <c r="A424" s="230" t="s">
        <v>422</v>
      </c>
      <c r="B424" s="231" t="s">
        <v>423</v>
      </c>
      <c r="C424" s="232" t="s">
        <v>383</v>
      </c>
      <c r="D424" s="230" t="s">
        <v>264</v>
      </c>
      <c r="E424" s="230" t="s">
        <v>269</v>
      </c>
      <c r="F424" s="230" t="s">
        <v>269</v>
      </c>
      <c r="G424" s="230" t="s">
        <v>269</v>
      </c>
      <c r="H424" s="230" t="s">
        <v>328</v>
      </c>
      <c r="I424" s="230" t="s">
        <v>283</v>
      </c>
      <c r="J424" s="230"/>
      <c r="K424" s="230"/>
      <c r="L424" s="230"/>
      <c r="M424" s="230" t="s">
        <v>266</v>
      </c>
      <c r="N424" s="230" t="s">
        <v>280</v>
      </c>
      <c r="O424" s="230" t="s">
        <v>267</v>
      </c>
      <c r="P424" s="231" t="s">
        <v>384</v>
      </c>
      <c r="Q424" s="231"/>
      <c r="R424" s="233">
        <v>30000000</v>
      </c>
      <c r="S424" s="233">
        <v>10431606</v>
      </c>
      <c r="T424" s="233">
        <v>0</v>
      </c>
      <c r="U424" s="233">
        <v>40431606</v>
      </c>
      <c r="V424" s="233">
        <v>0</v>
      </c>
      <c r="W424" s="233">
        <v>37984350</v>
      </c>
      <c r="X424" s="233">
        <v>2447256</v>
      </c>
      <c r="Y424" s="233">
        <v>37730168</v>
      </c>
      <c r="Z424" s="233">
        <v>37730168</v>
      </c>
      <c r="AA424" s="233">
        <v>37730168</v>
      </c>
      <c r="AB424" s="233">
        <v>37730168</v>
      </c>
    </row>
    <row r="425" spans="1:28" ht="15" customHeight="1" x14ac:dyDescent="0.25">
      <c r="A425" s="230" t="s">
        <v>422</v>
      </c>
      <c r="B425" s="231" t="s">
        <v>423</v>
      </c>
      <c r="C425" s="232" t="s">
        <v>383</v>
      </c>
      <c r="D425" s="230" t="s">
        <v>264</v>
      </c>
      <c r="E425" s="230" t="s">
        <v>269</v>
      </c>
      <c r="F425" s="230" t="s">
        <v>269</v>
      </c>
      <c r="G425" s="230" t="s">
        <v>269</v>
      </c>
      <c r="H425" s="230" t="s">
        <v>328</v>
      </c>
      <c r="I425" s="230" t="s">
        <v>283</v>
      </c>
      <c r="J425" s="230"/>
      <c r="K425" s="230"/>
      <c r="L425" s="230"/>
      <c r="M425" s="230" t="s">
        <v>273</v>
      </c>
      <c r="N425" s="230" t="s">
        <v>34</v>
      </c>
      <c r="O425" s="230" t="s">
        <v>267</v>
      </c>
      <c r="P425" s="231" t="s">
        <v>384</v>
      </c>
      <c r="Q425" s="231"/>
      <c r="R425" s="233">
        <v>3800000</v>
      </c>
      <c r="S425" s="233">
        <v>45700000</v>
      </c>
      <c r="T425" s="233">
        <v>0</v>
      </c>
      <c r="U425" s="233">
        <v>49500000</v>
      </c>
      <c r="V425" s="233">
        <v>0</v>
      </c>
      <c r="W425" s="233">
        <v>49500000</v>
      </c>
      <c r="X425" s="233">
        <v>0</v>
      </c>
      <c r="Y425" s="233">
        <v>49500000</v>
      </c>
      <c r="Z425" s="233">
        <v>36000000</v>
      </c>
      <c r="AA425" s="233">
        <v>36000000</v>
      </c>
      <c r="AB425" s="233">
        <v>36000000</v>
      </c>
    </row>
    <row r="426" spans="1:28" ht="15" customHeight="1" x14ac:dyDescent="0.25">
      <c r="A426" s="230" t="s">
        <v>422</v>
      </c>
      <c r="B426" s="231" t="s">
        <v>423</v>
      </c>
      <c r="C426" s="232" t="s">
        <v>367</v>
      </c>
      <c r="D426" s="230" t="s">
        <v>264</v>
      </c>
      <c r="E426" s="230" t="s">
        <v>269</v>
      </c>
      <c r="F426" s="230" t="s">
        <v>269</v>
      </c>
      <c r="G426" s="230" t="s">
        <v>269</v>
      </c>
      <c r="H426" s="230" t="s">
        <v>351</v>
      </c>
      <c r="I426" s="230" t="s">
        <v>319</v>
      </c>
      <c r="J426" s="230"/>
      <c r="K426" s="230"/>
      <c r="L426" s="230"/>
      <c r="M426" s="230" t="s">
        <v>266</v>
      </c>
      <c r="N426" s="230" t="s">
        <v>280</v>
      </c>
      <c r="O426" s="230" t="s">
        <v>267</v>
      </c>
      <c r="P426" s="231" t="s">
        <v>368</v>
      </c>
      <c r="Q426" s="231"/>
      <c r="R426" s="233">
        <v>2800000</v>
      </c>
      <c r="S426" s="233">
        <v>300000</v>
      </c>
      <c r="T426" s="233">
        <v>0</v>
      </c>
      <c r="U426" s="233">
        <v>3100000</v>
      </c>
      <c r="V426" s="233">
        <v>0</v>
      </c>
      <c r="W426" s="233">
        <v>3100000</v>
      </c>
      <c r="X426" s="233">
        <v>0</v>
      </c>
      <c r="Y426" s="233">
        <v>2677567</v>
      </c>
      <c r="Z426" s="233">
        <v>2408346</v>
      </c>
      <c r="AA426" s="233">
        <v>2408346</v>
      </c>
      <c r="AB426" s="233">
        <v>2408346</v>
      </c>
    </row>
    <row r="427" spans="1:28" ht="15" customHeight="1" x14ac:dyDescent="0.25">
      <c r="A427" s="230" t="s">
        <v>422</v>
      </c>
      <c r="B427" s="231" t="s">
        <v>423</v>
      </c>
      <c r="C427" s="232" t="s">
        <v>369</v>
      </c>
      <c r="D427" s="230" t="s">
        <v>264</v>
      </c>
      <c r="E427" s="230" t="s">
        <v>269</v>
      </c>
      <c r="F427" s="230" t="s">
        <v>269</v>
      </c>
      <c r="G427" s="230" t="s">
        <v>269</v>
      </c>
      <c r="H427" s="230" t="s">
        <v>331</v>
      </c>
      <c r="I427" s="230" t="s">
        <v>319</v>
      </c>
      <c r="J427" s="230"/>
      <c r="K427" s="230"/>
      <c r="L427" s="230"/>
      <c r="M427" s="230" t="s">
        <v>266</v>
      </c>
      <c r="N427" s="230" t="s">
        <v>280</v>
      </c>
      <c r="O427" s="230" t="s">
        <v>267</v>
      </c>
      <c r="P427" s="231" t="s">
        <v>370</v>
      </c>
      <c r="Q427" s="231"/>
      <c r="R427" s="233">
        <v>1200000</v>
      </c>
      <c r="S427" s="233">
        <v>800000</v>
      </c>
      <c r="T427" s="233">
        <v>0</v>
      </c>
      <c r="U427" s="233">
        <v>2000000</v>
      </c>
      <c r="V427" s="233">
        <v>0</v>
      </c>
      <c r="W427" s="233">
        <v>2000000</v>
      </c>
      <c r="X427" s="233">
        <v>0</v>
      </c>
      <c r="Y427" s="233">
        <v>1797372.04</v>
      </c>
      <c r="Z427" s="233">
        <v>1797372.04</v>
      </c>
      <c r="AA427" s="233">
        <v>1797372.04</v>
      </c>
      <c r="AB427" s="233">
        <v>1797372.04</v>
      </c>
    </row>
    <row r="428" spans="1:28" ht="15" customHeight="1" x14ac:dyDescent="0.25">
      <c r="A428" s="230" t="s">
        <v>422</v>
      </c>
      <c r="B428" s="231" t="s">
        <v>423</v>
      </c>
      <c r="C428" s="232" t="s">
        <v>371</v>
      </c>
      <c r="D428" s="230" t="s">
        <v>264</v>
      </c>
      <c r="E428" s="230" t="s">
        <v>269</v>
      </c>
      <c r="F428" s="230" t="s">
        <v>269</v>
      </c>
      <c r="G428" s="230" t="s">
        <v>269</v>
      </c>
      <c r="H428" s="230" t="s">
        <v>334</v>
      </c>
      <c r="I428" s="230"/>
      <c r="J428" s="230"/>
      <c r="K428" s="230"/>
      <c r="L428" s="230"/>
      <c r="M428" s="230" t="s">
        <v>266</v>
      </c>
      <c r="N428" s="230" t="s">
        <v>280</v>
      </c>
      <c r="O428" s="230" t="s">
        <v>267</v>
      </c>
      <c r="P428" s="231" t="s">
        <v>372</v>
      </c>
      <c r="Q428" s="231"/>
      <c r="R428" s="233">
        <v>0</v>
      </c>
      <c r="S428" s="233">
        <v>543092</v>
      </c>
      <c r="T428" s="233">
        <v>0</v>
      </c>
      <c r="U428" s="233">
        <v>543092</v>
      </c>
      <c r="V428" s="233">
        <v>0</v>
      </c>
      <c r="W428" s="233">
        <v>543092</v>
      </c>
      <c r="X428" s="233">
        <v>0</v>
      </c>
      <c r="Y428" s="233">
        <v>543092</v>
      </c>
      <c r="Z428" s="233">
        <v>543092</v>
      </c>
      <c r="AA428" s="233">
        <v>543092</v>
      </c>
      <c r="AB428" s="233">
        <v>543092</v>
      </c>
    </row>
    <row r="429" spans="1:28" ht="15" customHeight="1" x14ac:dyDescent="0.25">
      <c r="A429" s="230" t="s">
        <v>422</v>
      </c>
      <c r="B429" s="231" t="s">
        <v>423</v>
      </c>
      <c r="C429" s="232" t="s">
        <v>371</v>
      </c>
      <c r="D429" s="230" t="s">
        <v>264</v>
      </c>
      <c r="E429" s="230" t="s">
        <v>269</v>
      </c>
      <c r="F429" s="230" t="s">
        <v>269</v>
      </c>
      <c r="G429" s="230" t="s">
        <v>269</v>
      </c>
      <c r="H429" s="230" t="s">
        <v>334</v>
      </c>
      <c r="I429" s="230"/>
      <c r="J429" s="230"/>
      <c r="K429" s="230"/>
      <c r="L429" s="230"/>
      <c r="M429" s="230" t="s">
        <v>273</v>
      </c>
      <c r="N429" s="230" t="s">
        <v>34</v>
      </c>
      <c r="O429" s="230" t="s">
        <v>267</v>
      </c>
      <c r="P429" s="231" t="s">
        <v>372</v>
      </c>
      <c r="Q429" s="231"/>
      <c r="R429" s="233">
        <v>0</v>
      </c>
      <c r="S429" s="233">
        <v>144317</v>
      </c>
      <c r="T429" s="233">
        <v>0</v>
      </c>
      <c r="U429" s="233">
        <v>144317</v>
      </c>
      <c r="V429" s="233">
        <v>0</v>
      </c>
      <c r="W429" s="233">
        <v>144317</v>
      </c>
      <c r="X429" s="233">
        <v>0</v>
      </c>
      <c r="Y429" s="233">
        <v>144317</v>
      </c>
      <c r="Z429" s="233">
        <v>144317</v>
      </c>
      <c r="AA429" s="233">
        <v>144317</v>
      </c>
      <c r="AB429" s="233">
        <v>144317</v>
      </c>
    </row>
    <row r="430" spans="1:28" ht="15" customHeight="1" x14ac:dyDescent="0.25">
      <c r="A430" s="230" t="s">
        <v>422</v>
      </c>
      <c r="B430" s="231" t="s">
        <v>423</v>
      </c>
      <c r="C430" s="232" t="s">
        <v>373</v>
      </c>
      <c r="D430" s="230" t="s">
        <v>264</v>
      </c>
      <c r="E430" s="230" t="s">
        <v>271</v>
      </c>
      <c r="F430" s="230" t="s">
        <v>277</v>
      </c>
      <c r="G430" s="230" t="s">
        <v>269</v>
      </c>
      <c r="H430" s="230" t="s">
        <v>278</v>
      </c>
      <c r="I430" s="230" t="s">
        <v>281</v>
      </c>
      <c r="J430" s="230"/>
      <c r="K430" s="230"/>
      <c r="L430" s="230"/>
      <c r="M430" s="230" t="s">
        <v>266</v>
      </c>
      <c r="N430" s="230" t="s">
        <v>280</v>
      </c>
      <c r="O430" s="230" t="s">
        <v>267</v>
      </c>
      <c r="P430" s="231" t="s">
        <v>374</v>
      </c>
      <c r="Q430" s="231"/>
      <c r="R430" s="233">
        <v>0</v>
      </c>
      <c r="S430" s="233">
        <v>5733170</v>
      </c>
      <c r="T430" s="233">
        <v>0</v>
      </c>
      <c r="U430" s="233">
        <v>5733170</v>
      </c>
      <c r="V430" s="233">
        <v>0</v>
      </c>
      <c r="W430" s="233">
        <v>4426009</v>
      </c>
      <c r="X430" s="233">
        <v>1307161</v>
      </c>
      <c r="Y430" s="233">
        <v>4229272</v>
      </c>
      <c r="Z430" s="233">
        <v>3857440</v>
      </c>
      <c r="AA430" s="233">
        <v>3857440</v>
      </c>
      <c r="AB430" s="233">
        <v>3857440</v>
      </c>
    </row>
    <row r="431" spans="1:28" ht="15" customHeight="1" x14ac:dyDescent="0.25">
      <c r="A431" s="230" t="s">
        <v>422</v>
      </c>
      <c r="B431" s="231" t="s">
        <v>423</v>
      </c>
      <c r="C431" s="232" t="s">
        <v>375</v>
      </c>
      <c r="D431" s="230" t="s">
        <v>264</v>
      </c>
      <c r="E431" s="230" t="s">
        <v>285</v>
      </c>
      <c r="F431" s="230" t="s">
        <v>265</v>
      </c>
      <c r="G431" s="230" t="s">
        <v>269</v>
      </c>
      <c r="H431" s="230" t="s">
        <v>281</v>
      </c>
      <c r="I431" s="230"/>
      <c r="J431" s="230"/>
      <c r="K431" s="230"/>
      <c r="L431" s="230"/>
      <c r="M431" s="230" t="s">
        <v>266</v>
      </c>
      <c r="N431" s="230" t="s">
        <v>280</v>
      </c>
      <c r="O431" s="230" t="s">
        <v>267</v>
      </c>
      <c r="P431" s="231" t="s">
        <v>376</v>
      </c>
      <c r="Q431" s="231"/>
      <c r="R431" s="233">
        <v>0</v>
      </c>
      <c r="S431" s="233">
        <v>9898547</v>
      </c>
      <c r="T431" s="233">
        <v>0</v>
      </c>
      <c r="U431" s="233">
        <v>9898547</v>
      </c>
      <c r="V431" s="233">
        <v>0</v>
      </c>
      <c r="W431" s="233">
        <v>9898547</v>
      </c>
      <c r="X431" s="233">
        <v>0</v>
      </c>
      <c r="Y431" s="233">
        <v>9898547</v>
      </c>
      <c r="Z431" s="233">
        <v>9898547</v>
      </c>
      <c r="AA431" s="233">
        <v>9898547</v>
      </c>
      <c r="AB431" s="233">
        <v>9898547</v>
      </c>
    </row>
    <row r="432" spans="1:28" ht="15" customHeight="1" x14ac:dyDescent="0.25">
      <c r="A432" s="230" t="s">
        <v>424</v>
      </c>
      <c r="B432" s="231" t="s">
        <v>425</v>
      </c>
      <c r="C432" s="232" t="s">
        <v>313</v>
      </c>
      <c r="D432" s="230" t="s">
        <v>264</v>
      </c>
      <c r="E432" s="230" t="s">
        <v>265</v>
      </c>
      <c r="F432" s="230" t="s">
        <v>265</v>
      </c>
      <c r="G432" s="230" t="s">
        <v>265</v>
      </c>
      <c r="H432" s="230" t="s">
        <v>281</v>
      </c>
      <c r="I432" s="230" t="s">
        <v>281</v>
      </c>
      <c r="J432" s="230"/>
      <c r="K432" s="230"/>
      <c r="L432" s="230"/>
      <c r="M432" s="230" t="s">
        <v>266</v>
      </c>
      <c r="N432" s="230" t="s">
        <v>280</v>
      </c>
      <c r="O432" s="230" t="s">
        <v>267</v>
      </c>
      <c r="P432" s="231" t="s">
        <v>314</v>
      </c>
      <c r="Q432" s="231"/>
      <c r="R432" s="233">
        <v>582000000</v>
      </c>
      <c r="S432" s="233">
        <v>0</v>
      </c>
      <c r="T432" s="233">
        <v>0</v>
      </c>
      <c r="U432" s="233">
        <v>582000000</v>
      </c>
      <c r="V432" s="233">
        <v>0</v>
      </c>
      <c r="W432" s="233">
        <v>519979045</v>
      </c>
      <c r="X432" s="233">
        <v>62020955</v>
      </c>
      <c r="Y432" s="233">
        <v>519977908</v>
      </c>
      <c r="Z432" s="233">
        <v>519977908</v>
      </c>
      <c r="AA432" s="233">
        <v>519977908</v>
      </c>
      <c r="AB432" s="233">
        <v>519977908</v>
      </c>
    </row>
    <row r="433" spans="1:28" ht="15" customHeight="1" x14ac:dyDescent="0.25">
      <c r="A433" s="230" t="s">
        <v>424</v>
      </c>
      <c r="B433" s="231" t="s">
        <v>425</v>
      </c>
      <c r="C433" s="232" t="s">
        <v>315</v>
      </c>
      <c r="D433" s="230" t="s">
        <v>264</v>
      </c>
      <c r="E433" s="230" t="s">
        <v>265</v>
      </c>
      <c r="F433" s="230" t="s">
        <v>265</v>
      </c>
      <c r="G433" s="230" t="s">
        <v>265</v>
      </c>
      <c r="H433" s="230" t="s">
        <v>281</v>
      </c>
      <c r="I433" s="230" t="s">
        <v>316</v>
      </c>
      <c r="J433" s="230"/>
      <c r="K433" s="230"/>
      <c r="L433" s="230"/>
      <c r="M433" s="230" t="s">
        <v>266</v>
      </c>
      <c r="N433" s="230" t="s">
        <v>280</v>
      </c>
      <c r="O433" s="230" t="s">
        <v>267</v>
      </c>
      <c r="P433" s="231" t="s">
        <v>317</v>
      </c>
      <c r="Q433" s="231"/>
      <c r="R433" s="233">
        <v>0</v>
      </c>
      <c r="S433" s="233">
        <v>12000000</v>
      </c>
      <c r="T433" s="233">
        <v>0</v>
      </c>
      <c r="U433" s="233">
        <v>12000000</v>
      </c>
      <c r="V433" s="233">
        <v>0</v>
      </c>
      <c r="W433" s="233">
        <v>8366809</v>
      </c>
      <c r="X433" s="233">
        <v>3633191</v>
      </c>
      <c r="Y433" s="233">
        <v>8366809</v>
      </c>
      <c r="Z433" s="233">
        <v>8366809</v>
      </c>
      <c r="AA433" s="233">
        <v>8366809</v>
      </c>
      <c r="AB433" s="233">
        <v>8366809</v>
      </c>
    </row>
    <row r="434" spans="1:28" ht="15" customHeight="1" x14ac:dyDescent="0.25">
      <c r="A434" s="230" t="s">
        <v>424</v>
      </c>
      <c r="B434" s="231" t="s">
        <v>425</v>
      </c>
      <c r="C434" s="232" t="s">
        <v>318</v>
      </c>
      <c r="D434" s="230" t="s">
        <v>264</v>
      </c>
      <c r="E434" s="230" t="s">
        <v>265</v>
      </c>
      <c r="F434" s="230" t="s">
        <v>265</v>
      </c>
      <c r="G434" s="230" t="s">
        <v>265</v>
      </c>
      <c r="H434" s="230" t="s">
        <v>281</v>
      </c>
      <c r="I434" s="230" t="s">
        <v>319</v>
      </c>
      <c r="J434" s="230"/>
      <c r="K434" s="230"/>
      <c r="L434" s="230"/>
      <c r="M434" s="230" t="s">
        <v>266</v>
      </c>
      <c r="N434" s="230" t="s">
        <v>280</v>
      </c>
      <c r="O434" s="230" t="s">
        <v>267</v>
      </c>
      <c r="P434" s="231" t="s">
        <v>320</v>
      </c>
      <c r="Q434" s="231"/>
      <c r="R434" s="233">
        <v>11000000</v>
      </c>
      <c r="S434" s="233">
        <v>0</v>
      </c>
      <c r="T434" s="233">
        <v>0</v>
      </c>
      <c r="U434" s="233">
        <v>11000000</v>
      </c>
      <c r="V434" s="233">
        <v>0</v>
      </c>
      <c r="W434" s="233">
        <v>10870755</v>
      </c>
      <c r="X434" s="233">
        <v>129245</v>
      </c>
      <c r="Y434" s="233">
        <v>10870755</v>
      </c>
      <c r="Z434" s="233">
        <v>10870755</v>
      </c>
      <c r="AA434" s="233">
        <v>10870755</v>
      </c>
      <c r="AB434" s="233">
        <v>10870755</v>
      </c>
    </row>
    <row r="435" spans="1:28" ht="15" customHeight="1" x14ac:dyDescent="0.25">
      <c r="A435" s="230" t="s">
        <v>424</v>
      </c>
      <c r="B435" s="231" t="s">
        <v>425</v>
      </c>
      <c r="C435" s="232" t="s">
        <v>321</v>
      </c>
      <c r="D435" s="230" t="s">
        <v>264</v>
      </c>
      <c r="E435" s="230" t="s">
        <v>265</v>
      </c>
      <c r="F435" s="230" t="s">
        <v>265</v>
      </c>
      <c r="G435" s="230" t="s">
        <v>265</v>
      </c>
      <c r="H435" s="230" t="s">
        <v>281</v>
      </c>
      <c r="I435" s="230" t="s">
        <v>322</v>
      </c>
      <c r="J435" s="230"/>
      <c r="K435" s="230"/>
      <c r="L435" s="230"/>
      <c r="M435" s="230" t="s">
        <v>266</v>
      </c>
      <c r="N435" s="230" t="s">
        <v>280</v>
      </c>
      <c r="O435" s="230" t="s">
        <v>267</v>
      </c>
      <c r="P435" s="231" t="s">
        <v>323</v>
      </c>
      <c r="Q435" s="231"/>
      <c r="R435" s="233">
        <v>9158000</v>
      </c>
      <c r="S435" s="233">
        <v>3200000</v>
      </c>
      <c r="T435" s="233">
        <v>9158000</v>
      </c>
      <c r="U435" s="233">
        <v>3200000</v>
      </c>
      <c r="V435" s="233">
        <v>0</v>
      </c>
      <c r="W435" s="233">
        <v>2317149</v>
      </c>
      <c r="X435" s="233">
        <v>882851</v>
      </c>
      <c r="Y435" s="233">
        <v>2317149</v>
      </c>
      <c r="Z435" s="233">
        <v>2317149</v>
      </c>
      <c r="AA435" s="233">
        <v>2317149</v>
      </c>
      <c r="AB435" s="233">
        <v>2317149</v>
      </c>
    </row>
    <row r="436" spans="1:28" ht="15" customHeight="1" x14ac:dyDescent="0.25">
      <c r="A436" s="230" t="s">
        <v>424</v>
      </c>
      <c r="B436" s="231" t="s">
        <v>425</v>
      </c>
      <c r="C436" s="232" t="s">
        <v>324</v>
      </c>
      <c r="D436" s="230" t="s">
        <v>264</v>
      </c>
      <c r="E436" s="230" t="s">
        <v>265</v>
      </c>
      <c r="F436" s="230" t="s">
        <v>265</v>
      </c>
      <c r="G436" s="230" t="s">
        <v>265</v>
      </c>
      <c r="H436" s="230" t="s">
        <v>281</v>
      </c>
      <c r="I436" s="230" t="s">
        <v>325</v>
      </c>
      <c r="J436" s="230"/>
      <c r="K436" s="230"/>
      <c r="L436" s="230"/>
      <c r="M436" s="230" t="s">
        <v>266</v>
      </c>
      <c r="N436" s="230" t="s">
        <v>280</v>
      </c>
      <c r="O436" s="230" t="s">
        <v>267</v>
      </c>
      <c r="P436" s="231" t="s">
        <v>326</v>
      </c>
      <c r="Q436" s="231"/>
      <c r="R436" s="233">
        <v>57000000</v>
      </c>
      <c r="S436" s="233">
        <v>1483872</v>
      </c>
      <c r="T436" s="233">
        <v>1865444</v>
      </c>
      <c r="U436" s="233">
        <v>56618428</v>
      </c>
      <c r="V436" s="233">
        <v>0</v>
      </c>
      <c r="W436" s="233">
        <v>56618428</v>
      </c>
      <c r="X436" s="233">
        <v>0</v>
      </c>
      <c r="Y436" s="233">
        <v>56618428</v>
      </c>
      <c r="Z436" s="233">
        <v>56618428</v>
      </c>
      <c r="AA436" s="233">
        <v>56618428</v>
      </c>
      <c r="AB436" s="233">
        <v>56618428</v>
      </c>
    </row>
    <row r="437" spans="1:28" ht="15" customHeight="1" x14ac:dyDescent="0.25">
      <c r="A437" s="230" t="s">
        <v>424</v>
      </c>
      <c r="B437" s="231" t="s">
        <v>425</v>
      </c>
      <c r="C437" s="232" t="s">
        <v>327</v>
      </c>
      <c r="D437" s="230" t="s">
        <v>264</v>
      </c>
      <c r="E437" s="230" t="s">
        <v>265</v>
      </c>
      <c r="F437" s="230" t="s">
        <v>265</v>
      </c>
      <c r="G437" s="230" t="s">
        <v>265</v>
      </c>
      <c r="H437" s="230" t="s">
        <v>281</v>
      </c>
      <c r="I437" s="230" t="s">
        <v>328</v>
      </c>
      <c r="J437" s="230"/>
      <c r="K437" s="230"/>
      <c r="L437" s="230"/>
      <c r="M437" s="230" t="s">
        <v>266</v>
      </c>
      <c r="N437" s="230" t="s">
        <v>280</v>
      </c>
      <c r="O437" s="230" t="s">
        <v>267</v>
      </c>
      <c r="P437" s="231" t="s">
        <v>329</v>
      </c>
      <c r="Q437" s="231"/>
      <c r="R437" s="233">
        <v>21000000</v>
      </c>
      <c r="S437" s="233">
        <v>2000000</v>
      </c>
      <c r="T437" s="233">
        <v>0</v>
      </c>
      <c r="U437" s="233">
        <v>23000000</v>
      </c>
      <c r="V437" s="233">
        <v>0</v>
      </c>
      <c r="W437" s="233">
        <v>22453540</v>
      </c>
      <c r="X437" s="233">
        <v>546460</v>
      </c>
      <c r="Y437" s="233">
        <v>22453540</v>
      </c>
      <c r="Z437" s="233">
        <v>22453540</v>
      </c>
      <c r="AA437" s="233">
        <v>22453540</v>
      </c>
      <c r="AB437" s="233">
        <v>22453540</v>
      </c>
    </row>
    <row r="438" spans="1:28" ht="15" customHeight="1" x14ac:dyDescent="0.25">
      <c r="A438" s="230" t="s">
        <v>424</v>
      </c>
      <c r="B438" s="231" t="s">
        <v>425</v>
      </c>
      <c r="C438" s="232" t="s">
        <v>330</v>
      </c>
      <c r="D438" s="230" t="s">
        <v>264</v>
      </c>
      <c r="E438" s="230" t="s">
        <v>265</v>
      </c>
      <c r="F438" s="230" t="s">
        <v>265</v>
      </c>
      <c r="G438" s="230" t="s">
        <v>265</v>
      </c>
      <c r="H438" s="230" t="s">
        <v>281</v>
      </c>
      <c r="I438" s="230" t="s">
        <v>331</v>
      </c>
      <c r="J438" s="230"/>
      <c r="K438" s="230"/>
      <c r="L438" s="230"/>
      <c r="M438" s="230" t="s">
        <v>266</v>
      </c>
      <c r="N438" s="230" t="s">
        <v>280</v>
      </c>
      <c r="O438" s="230" t="s">
        <v>267</v>
      </c>
      <c r="P438" s="231" t="s">
        <v>332</v>
      </c>
      <c r="Q438" s="231"/>
      <c r="R438" s="233">
        <v>73000000</v>
      </c>
      <c r="S438" s="233">
        <v>0</v>
      </c>
      <c r="T438" s="233">
        <v>0</v>
      </c>
      <c r="U438" s="233">
        <v>73000000</v>
      </c>
      <c r="V438" s="233">
        <v>0</v>
      </c>
      <c r="W438" s="233">
        <v>70367534</v>
      </c>
      <c r="X438" s="233">
        <v>2632466</v>
      </c>
      <c r="Y438" s="233">
        <v>70367534</v>
      </c>
      <c r="Z438" s="233">
        <v>70367534</v>
      </c>
      <c r="AA438" s="233">
        <v>70367534</v>
      </c>
      <c r="AB438" s="233">
        <v>70367534</v>
      </c>
    </row>
    <row r="439" spans="1:28" ht="15" customHeight="1" x14ac:dyDescent="0.25">
      <c r="A439" s="230" t="s">
        <v>424</v>
      </c>
      <c r="B439" s="231" t="s">
        <v>425</v>
      </c>
      <c r="C439" s="232" t="s">
        <v>333</v>
      </c>
      <c r="D439" s="230" t="s">
        <v>264</v>
      </c>
      <c r="E439" s="230" t="s">
        <v>265</v>
      </c>
      <c r="F439" s="230" t="s">
        <v>265</v>
      </c>
      <c r="G439" s="230" t="s">
        <v>265</v>
      </c>
      <c r="H439" s="230" t="s">
        <v>281</v>
      </c>
      <c r="I439" s="230" t="s">
        <v>334</v>
      </c>
      <c r="J439" s="230"/>
      <c r="K439" s="230"/>
      <c r="L439" s="230"/>
      <c r="M439" s="230" t="s">
        <v>266</v>
      </c>
      <c r="N439" s="230" t="s">
        <v>280</v>
      </c>
      <c r="O439" s="230" t="s">
        <v>267</v>
      </c>
      <c r="P439" s="231" t="s">
        <v>335</v>
      </c>
      <c r="Q439" s="231"/>
      <c r="R439" s="233">
        <v>32000000</v>
      </c>
      <c r="S439" s="233">
        <v>3000000</v>
      </c>
      <c r="T439" s="233">
        <v>0</v>
      </c>
      <c r="U439" s="233">
        <v>35000000</v>
      </c>
      <c r="V439" s="233">
        <v>0</v>
      </c>
      <c r="W439" s="233">
        <v>34284888</v>
      </c>
      <c r="X439" s="233">
        <v>715112</v>
      </c>
      <c r="Y439" s="233">
        <v>34284888</v>
      </c>
      <c r="Z439" s="233">
        <v>34284888</v>
      </c>
      <c r="AA439" s="233">
        <v>34284888</v>
      </c>
      <c r="AB439" s="233">
        <v>34284888</v>
      </c>
    </row>
    <row r="440" spans="1:28" ht="15" customHeight="1" x14ac:dyDescent="0.25">
      <c r="A440" s="230" t="s">
        <v>424</v>
      </c>
      <c r="B440" s="231" t="s">
        <v>425</v>
      </c>
      <c r="C440" s="232" t="s">
        <v>336</v>
      </c>
      <c r="D440" s="230" t="s">
        <v>264</v>
      </c>
      <c r="E440" s="230" t="s">
        <v>265</v>
      </c>
      <c r="F440" s="230" t="s">
        <v>265</v>
      </c>
      <c r="G440" s="230" t="s">
        <v>265</v>
      </c>
      <c r="H440" s="230" t="s">
        <v>281</v>
      </c>
      <c r="I440" s="230" t="s">
        <v>278</v>
      </c>
      <c r="J440" s="230"/>
      <c r="K440" s="230"/>
      <c r="L440" s="230"/>
      <c r="M440" s="230" t="s">
        <v>266</v>
      </c>
      <c r="N440" s="230" t="s">
        <v>280</v>
      </c>
      <c r="O440" s="230" t="s">
        <v>267</v>
      </c>
      <c r="P440" s="231" t="s">
        <v>337</v>
      </c>
      <c r="Q440" s="231"/>
      <c r="R440" s="233">
        <v>9000000</v>
      </c>
      <c r="S440" s="233">
        <v>5396129</v>
      </c>
      <c r="T440" s="233">
        <v>0</v>
      </c>
      <c r="U440" s="233">
        <v>14396129</v>
      </c>
      <c r="V440" s="233">
        <v>0</v>
      </c>
      <c r="W440" s="233">
        <v>14396129</v>
      </c>
      <c r="X440" s="233">
        <v>0</v>
      </c>
      <c r="Y440" s="233">
        <v>14396129</v>
      </c>
      <c r="Z440" s="233">
        <v>14396129</v>
      </c>
      <c r="AA440" s="233">
        <v>14396129</v>
      </c>
      <c r="AB440" s="233">
        <v>14396129</v>
      </c>
    </row>
    <row r="441" spans="1:28" ht="15" customHeight="1" x14ac:dyDescent="0.25">
      <c r="A441" s="230" t="s">
        <v>424</v>
      </c>
      <c r="B441" s="231" t="s">
        <v>425</v>
      </c>
      <c r="C441" s="232" t="s">
        <v>338</v>
      </c>
      <c r="D441" s="230" t="s">
        <v>264</v>
      </c>
      <c r="E441" s="230" t="s">
        <v>265</v>
      </c>
      <c r="F441" s="230" t="s">
        <v>265</v>
      </c>
      <c r="G441" s="230" t="s">
        <v>269</v>
      </c>
      <c r="H441" s="230" t="s">
        <v>281</v>
      </c>
      <c r="I441" s="230"/>
      <c r="J441" s="230"/>
      <c r="K441" s="230"/>
      <c r="L441" s="230"/>
      <c r="M441" s="230" t="s">
        <v>266</v>
      </c>
      <c r="N441" s="230" t="s">
        <v>280</v>
      </c>
      <c r="O441" s="230" t="s">
        <v>267</v>
      </c>
      <c r="P441" s="231" t="s">
        <v>339</v>
      </c>
      <c r="Q441" s="231"/>
      <c r="R441" s="233">
        <v>78000000</v>
      </c>
      <c r="S441" s="233">
        <v>0</v>
      </c>
      <c r="T441" s="233">
        <v>0</v>
      </c>
      <c r="U441" s="233">
        <v>78000000</v>
      </c>
      <c r="V441" s="233">
        <v>0</v>
      </c>
      <c r="W441" s="233">
        <v>68865100</v>
      </c>
      <c r="X441" s="233">
        <v>9134900</v>
      </c>
      <c r="Y441" s="233">
        <v>68865100</v>
      </c>
      <c r="Z441" s="233">
        <v>68865100</v>
      </c>
      <c r="AA441" s="233">
        <v>68865100</v>
      </c>
      <c r="AB441" s="233">
        <v>68865100</v>
      </c>
    </row>
    <row r="442" spans="1:28" ht="15" customHeight="1" x14ac:dyDescent="0.25">
      <c r="A442" s="230" t="s">
        <v>424</v>
      </c>
      <c r="B442" s="231" t="s">
        <v>425</v>
      </c>
      <c r="C442" s="232" t="s">
        <v>340</v>
      </c>
      <c r="D442" s="230" t="s">
        <v>264</v>
      </c>
      <c r="E442" s="230" t="s">
        <v>265</v>
      </c>
      <c r="F442" s="230" t="s">
        <v>265</v>
      </c>
      <c r="G442" s="230" t="s">
        <v>269</v>
      </c>
      <c r="H442" s="230" t="s">
        <v>283</v>
      </c>
      <c r="I442" s="230"/>
      <c r="J442" s="230"/>
      <c r="K442" s="230"/>
      <c r="L442" s="230"/>
      <c r="M442" s="230" t="s">
        <v>266</v>
      </c>
      <c r="N442" s="230" t="s">
        <v>280</v>
      </c>
      <c r="O442" s="230" t="s">
        <v>267</v>
      </c>
      <c r="P442" s="231" t="s">
        <v>341</v>
      </c>
      <c r="Q442" s="231"/>
      <c r="R442" s="233">
        <v>54000000</v>
      </c>
      <c r="S442" s="233">
        <v>2000000</v>
      </c>
      <c r="T442" s="233">
        <v>0</v>
      </c>
      <c r="U442" s="233">
        <v>56000000</v>
      </c>
      <c r="V442" s="233">
        <v>0</v>
      </c>
      <c r="W442" s="233">
        <v>48783000</v>
      </c>
      <c r="X442" s="233">
        <v>7217000</v>
      </c>
      <c r="Y442" s="233">
        <v>48783000</v>
      </c>
      <c r="Z442" s="233">
        <v>48783000</v>
      </c>
      <c r="AA442" s="233">
        <v>48783000</v>
      </c>
      <c r="AB442" s="233">
        <v>48783000</v>
      </c>
    </row>
    <row r="443" spans="1:28" ht="15" customHeight="1" x14ac:dyDescent="0.25">
      <c r="A443" s="230" t="s">
        <v>424</v>
      </c>
      <c r="B443" s="231" t="s">
        <v>425</v>
      </c>
      <c r="C443" s="232" t="s">
        <v>342</v>
      </c>
      <c r="D443" s="230" t="s">
        <v>264</v>
      </c>
      <c r="E443" s="230" t="s">
        <v>265</v>
      </c>
      <c r="F443" s="230" t="s">
        <v>265</v>
      </c>
      <c r="G443" s="230" t="s">
        <v>269</v>
      </c>
      <c r="H443" s="230" t="s">
        <v>319</v>
      </c>
      <c r="I443" s="230"/>
      <c r="J443" s="230"/>
      <c r="K443" s="230"/>
      <c r="L443" s="230"/>
      <c r="M443" s="230" t="s">
        <v>266</v>
      </c>
      <c r="N443" s="230" t="s">
        <v>280</v>
      </c>
      <c r="O443" s="230" t="s">
        <v>267</v>
      </c>
      <c r="P443" s="231" t="s">
        <v>343</v>
      </c>
      <c r="Q443" s="231"/>
      <c r="R443" s="233">
        <v>31000000</v>
      </c>
      <c r="S443" s="233">
        <v>2000000</v>
      </c>
      <c r="T443" s="233">
        <v>0</v>
      </c>
      <c r="U443" s="233">
        <v>33000000</v>
      </c>
      <c r="V443" s="233">
        <v>0</v>
      </c>
      <c r="W443" s="233">
        <v>27617100</v>
      </c>
      <c r="X443" s="233">
        <v>5382900</v>
      </c>
      <c r="Y443" s="233">
        <v>27617100</v>
      </c>
      <c r="Z443" s="233">
        <v>27617100</v>
      </c>
      <c r="AA443" s="233">
        <v>27617100</v>
      </c>
      <c r="AB443" s="233">
        <v>27617100</v>
      </c>
    </row>
    <row r="444" spans="1:28" ht="15" customHeight="1" x14ac:dyDescent="0.25">
      <c r="A444" s="230" t="s">
        <v>424</v>
      </c>
      <c r="B444" s="231" t="s">
        <v>425</v>
      </c>
      <c r="C444" s="232" t="s">
        <v>344</v>
      </c>
      <c r="D444" s="230" t="s">
        <v>264</v>
      </c>
      <c r="E444" s="230" t="s">
        <v>265</v>
      </c>
      <c r="F444" s="230" t="s">
        <v>265</v>
      </c>
      <c r="G444" s="230" t="s">
        <v>269</v>
      </c>
      <c r="H444" s="230" t="s">
        <v>322</v>
      </c>
      <c r="I444" s="230"/>
      <c r="J444" s="230"/>
      <c r="K444" s="230"/>
      <c r="L444" s="230"/>
      <c r="M444" s="230" t="s">
        <v>266</v>
      </c>
      <c r="N444" s="230" t="s">
        <v>280</v>
      </c>
      <c r="O444" s="230" t="s">
        <v>267</v>
      </c>
      <c r="P444" s="231" t="s">
        <v>345</v>
      </c>
      <c r="Q444" s="231"/>
      <c r="R444" s="233">
        <v>7000000</v>
      </c>
      <c r="S444" s="233">
        <v>400000</v>
      </c>
      <c r="T444" s="233">
        <v>0</v>
      </c>
      <c r="U444" s="233">
        <v>7400000</v>
      </c>
      <c r="V444" s="233">
        <v>0</v>
      </c>
      <c r="W444" s="233">
        <v>6544300</v>
      </c>
      <c r="X444" s="233">
        <v>855700</v>
      </c>
      <c r="Y444" s="233">
        <v>6544300</v>
      </c>
      <c r="Z444" s="233">
        <v>6544300</v>
      </c>
      <c r="AA444" s="233">
        <v>6544300</v>
      </c>
      <c r="AB444" s="233">
        <v>6544300</v>
      </c>
    </row>
    <row r="445" spans="1:28" ht="15" customHeight="1" x14ac:dyDescent="0.25">
      <c r="A445" s="230" t="s">
        <v>424</v>
      </c>
      <c r="B445" s="231" t="s">
        <v>425</v>
      </c>
      <c r="C445" s="232" t="s">
        <v>346</v>
      </c>
      <c r="D445" s="230" t="s">
        <v>264</v>
      </c>
      <c r="E445" s="230" t="s">
        <v>265</v>
      </c>
      <c r="F445" s="230" t="s">
        <v>265</v>
      </c>
      <c r="G445" s="230" t="s">
        <v>269</v>
      </c>
      <c r="H445" s="230" t="s">
        <v>325</v>
      </c>
      <c r="I445" s="230"/>
      <c r="J445" s="230"/>
      <c r="K445" s="230"/>
      <c r="L445" s="230"/>
      <c r="M445" s="230" t="s">
        <v>266</v>
      </c>
      <c r="N445" s="230" t="s">
        <v>280</v>
      </c>
      <c r="O445" s="230" t="s">
        <v>267</v>
      </c>
      <c r="P445" s="231" t="s">
        <v>347</v>
      </c>
      <c r="Q445" s="231"/>
      <c r="R445" s="233">
        <v>23000000</v>
      </c>
      <c r="S445" s="233">
        <v>3500000</v>
      </c>
      <c r="T445" s="233">
        <v>0</v>
      </c>
      <c r="U445" s="233">
        <v>26500000</v>
      </c>
      <c r="V445" s="233">
        <v>0</v>
      </c>
      <c r="W445" s="233">
        <v>20718800</v>
      </c>
      <c r="X445" s="233">
        <v>5781200</v>
      </c>
      <c r="Y445" s="233">
        <v>20718800</v>
      </c>
      <c r="Z445" s="233">
        <v>20718800</v>
      </c>
      <c r="AA445" s="233">
        <v>20718800</v>
      </c>
      <c r="AB445" s="233">
        <v>20718800</v>
      </c>
    </row>
    <row r="446" spans="1:28" ht="15" customHeight="1" x14ac:dyDescent="0.25">
      <c r="A446" s="230" t="s">
        <v>424</v>
      </c>
      <c r="B446" s="231" t="s">
        <v>425</v>
      </c>
      <c r="C446" s="232" t="s">
        <v>348</v>
      </c>
      <c r="D446" s="230" t="s">
        <v>264</v>
      </c>
      <c r="E446" s="230" t="s">
        <v>265</v>
      </c>
      <c r="F446" s="230" t="s">
        <v>265</v>
      </c>
      <c r="G446" s="230" t="s">
        <v>269</v>
      </c>
      <c r="H446" s="230" t="s">
        <v>328</v>
      </c>
      <c r="I446" s="230"/>
      <c r="J446" s="230"/>
      <c r="K446" s="230"/>
      <c r="L446" s="230"/>
      <c r="M446" s="230" t="s">
        <v>266</v>
      </c>
      <c r="N446" s="230" t="s">
        <v>280</v>
      </c>
      <c r="O446" s="230" t="s">
        <v>267</v>
      </c>
      <c r="P446" s="231" t="s">
        <v>349</v>
      </c>
      <c r="Q446" s="231"/>
      <c r="R446" s="233">
        <v>3000000</v>
      </c>
      <c r="S446" s="233">
        <v>13000000</v>
      </c>
      <c r="T446" s="233">
        <v>0</v>
      </c>
      <c r="U446" s="233">
        <v>16000000</v>
      </c>
      <c r="V446" s="233">
        <v>0</v>
      </c>
      <c r="W446" s="233">
        <v>13817000</v>
      </c>
      <c r="X446" s="233">
        <v>2183000</v>
      </c>
      <c r="Y446" s="233">
        <v>13817000</v>
      </c>
      <c r="Z446" s="233">
        <v>13817000</v>
      </c>
      <c r="AA446" s="233">
        <v>13817000</v>
      </c>
      <c r="AB446" s="233">
        <v>13817000</v>
      </c>
    </row>
    <row r="447" spans="1:28" ht="15" customHeight="1" x14ac:dyDescent="0.25">
      <c r="A447" s="230" t="s">
        <v>424</v>
      </c>
      <c r="B447" s="231" t="s">
        <v>425</v>
      </c>
      <c r="C447" s="232" t="s">
        <v>350</v>
      </c>
      <c r="D447" s="230" t="s">
        <v>264</v>
      </c>
      <c r="E447" s="230" t="s">
        <v>265</v>
      </c>
      <c r="F447" s="230" t="s">
        <v>265</v>
      </c>
      <c r="G447" s="230" t="s">
        <v>269</v>
      </c>
      <c r="H447" s="230" t="s">
        <v>351</v>
      </c>
      <c r="I447" s="230"/>
      <c r="J447" s="230"/>
      <c r="K447" s="230"/>
      <c r="L447" s="230"/>
      <c r="M447" s="230" t="s">
        <v>266</v>
      </c>
      <c r="N447" s="230" t="s">
        <v>280</v>
      </c>
      <c r="O447" s="230" t="s">
        <v>267</v>
      </c>
      <c r="P447" s="231" t="s">
        <v>352</v>
      </c>
      <c r="Q447" s="231"/>
      <c r="R447" s="233">
        <v>3000000</v>
      </c>
      <c r="S447" s="233">
        <v>0</v>
      </c>
      <c r="T447" s="233">
        <v>3000000</v>
      </c>
      <c r="U447" s="233">
        <v>0</v>
      </c>
      <c r="V447" s="233">
        <v>0</v>
      </c>
      <c r="W447" s="233">
        <v>0</v>
      </c>
      <c r="X447" s="233">
        <v>0</v>
      </c>
      <c r="Y447" s="233">
        <v>0</v>
      </c>
      <c r="Z447" s="233">
        <v>0</v>
      </c>
      <c r="AA447" s="233">
        <v>0</v>
      </c>
      <c r="AB447" s="233">
        <v>0</v>
      </c>
    </row>
    <row r="448" spans="1:28" ht="15" customHeight="1" x14ac:dyDescent="0.25">
      <c r="A448" s="230" t="s">
        <v>424</v>
      </c>
      <c r="B448" s="231" t="s">
        <v>425</v>
      </c>
      <c r="C448" s="232" t="s">
        <v>353</v>
      </c>
      <c r="D448" s="230" t="s">
        <v>264</v>
      </c>
      <c r="E448" s="230" t="s">
        <v>265</v>
      </c>
      <c r="F448" s="230" t="s">
        <v>265</v>
      </c>
      <c r="G448" s="230" t="s">
        <v>269</v>
      </c>
      <c r="H448" s="230" t="s">
        <v>331</v>
      </c>
      <c r="I448" s="230"/>
      <c r="J448" s="230"/>
      <c r="K448" s="230"/>
      <c r="L448" s="230"/>
      <c r="M448" s="230" t="s">
        <v>266</v>
      </c>
      <c r="N448" s="230" t="s">
        <v>280</v>
      </c>
      <c r="O448" s="230" t="s">
        <v>267</v>
      </c>
      <c r="P448" s="231" t="s">
        <v>354</v>
      </c>
      <c r="Q448" s="231"/>
      <c r="R448" s="233">
        <v>6000000</v>
      </c>
      <c r="S448" s="233">
        <v>0</v>
      </c>
      <c r="T448" s="233">
        <v>6000000</v>
      </c>
      <c r="U448" s="233">
        <v>0</v>
      </c>
      <c r="V448" s="233">
        <v>0</v>
      </c>
      <c r="W448" s="233">
        <v>0</v>
      </c>
      <c r="X448" s="233">
        <v>0</v>
      </c>
      <c r="Y448" s="233">
        <v>0</v>
      </c>
      <c r="Z448" s="233">
        <v>0</v>
      </c>
      <c r="AA448" s="233">
        <v>0</v>
      </c>
      <c r="AB448" s="233">
        <v>0</v>
      </c>
    </row>
    <row r="449" spans="1:28" ht="15" customHeight="1" x14ac:dyDescent="0.25">
      <c r="A449" s="230" t="s">
        <v>424</v>
      </c>
      <c r="B449" s="231" t="s">
        <v>425</v>
      </c>
      <c r="C449" s="232" t="s">
        <v>355</v>
      </c>
      <c r="D449" s="230" t="s">
        <v>264</v>
      </c>
      <c r="E449" s="230" t="s">
        <v>265</v>
      </c>
      <c r="F449" s="230" t="s">
        <v>265</v>
      </c>
      <c r="G449" s="230" t="s">
        <v>271</v>
      </c>
      <c r="H449" s="230" t="s">
        <v>281</v>
      </c>
      <c r="I449" s="230" t="s">
        <v>281</v>
      </c>
      <c r="J449" s="230"/>
      <c r="K449" s="230"/>
      <c r="L449" s="230"/>
      <c r="M449" s="230" t="s">
        <v>266</v>
      </c>
      <c r="N449" s="230" t="s">
        <v>280</v>
      </c>
      <c r="O449" s="230" t="s">
        <v>267</v>
      </c>
      <c r="P449" s="231" t="s">
        <v>356</v>
      </c>
      <c r="Q449" s="231"/>
      <c r="R449" s="233">
        <v>35000000</v>
      </c>
      <c r="S449" s="233">
        <v>0</v>
      </c>
      <c r="T449" s="233">
        <v>0</v>
      </c>
      <c r="U449" s="233">
        <v>35000000</v>
      </c>
      <c r="V449" s="233">
        <v>0</v>
      </c>
      <c r="W449" s="233">
        <v>22215452</v>
      </c>
      <c r="X449" s="233">
        <v>12784548</v>
      </c>
      <c r="Y449" s="233">
        <v>22215452</v>
      </c>
      <c r="Z449" s="233">
        <v>22215452</v>
      </c>
      <c r="AA449" s="233">
        <v>22215452</v>
      </c>
      <c r="AB449" s="233">
        <v>22215452</v>
      </c>
    </row>
    <row r="450" spans="1:28" ht="15" customHeight="1" x14ac:dyDescent="0.25">
      <c r="A450" s="230" t="s">
        <v>424</v>
      </c>
      <c r="B450" s="231" t="s">
        <v>425</v>
      </c>
      <c r="C450" s="232" t="s">
        <v>357</v>
      </c>
      <c r="D450" s="230" t="s">
        <v>264</v>
      </c>
      <c r="E450" s="230" t="s">
        <v>265</v>
      </c>
      <c r="F450" s="230" t="s">
        <v>265</v>
      </c>
      <c r="G450" s="230" t="s">
        <v>271</v>
      </c>
      <c r="H450" s="230" t="s">
        <v>281</v>
      </c>
      <c r="I450" s="230" t="s">
        <v>283</v>
      </c>
      <c r="J450" s="230"/>
      <c r="K450" s="230"/>
      <c r="L450" s="230"/>
      <c r="M450" s="230" t="s">
        <v>266</v>
      </c>
      <c r="N450" s="230" t="s">
        <v>280</v>
      </c>
      <c r="O450" s="230" t="s">
        <v>267</v>
      </c>
      <c r="P450" s="231" t="s">
        <v>358</v>
      </c>
      <c r="Q450" s="231"/>
      <c r="R450" s="233">
        <v>0</v>
      </c>
      <c r="S450" s="233">
        <v>14833180</v>
      </c>
      <c r="T450" s="233">
        <v>0</v>
      </c>
      <c r="U450" s="233">
        <v>14833180</v>
      </c>
      <c r="V450" s="233">
        <v>0</v>
      </c>
      <c r="W450" s="233">
        <v>14833180</v>
      </c>
      <c r="X450" s="233">
        <v>0</v>
      </c>
      <c r="Y450" s="233">
        <v>14833180</v>
      </c>
      <c r="Z450" s="233">
        <v>14833180</v>
      </c>
      <c r="AA450" s="233">
        <v>14833180</v>
      </c>
      <c r="AB450" s="233">
        <v>14833180</v>
      </c>
    </row>
    <row r="451" spans="1:28" ht="15" customHeight="1" x14ac:dyDescent="0.25">
      <c r="A451" s="230" t="s">
        <v>424</v>
      </c>
      <c r="B451" s="231" t="s">
        <v>425</v>
      </c>
      <c r="C451" s="232" t="s">
        <v>359</v>
      </c>
      <c r="D451" s="230" t="s">
        <v>264</v>
      </c>
      <c r="E451" s="230" t="s">
        <v>265</v>
      </c>
      <c r="F451" s="230" t="s">
        <v>265</v>
      </c>
      <c r="G451" s="230" t="s">
        <v>271</v>
      </c>
      <c r="H451" s="230" t="s">
        <v>281</v>
      </c>
      <c r="I451" s="230" t="s">
        <v>316</v>
      </c>
      <c r="J451" s="230"/>
      <c r="K451" s="230"/>
      <c r="L451" s="230"/>
      <c r="M451" s="230" t="s">
        <v>266</v>
      </c>
      <c r="N451" s="230" t="s">
        <v>280</v>
      </c>
      <c r="O451" s="230" t="s">
        <v>267</v>
      </c>
      <c r="P451" s="231" t="s">
        <v>360</v>
      </c>
      <c r="Q451" s="231"/>
      <c r="R451" s="233">
        <v>3000000</v>
      </c>
      <c r="S451" s="233">
        <v>0</v>
      </c>
      <c r="T451" s="233">
        <v>0</v>
      </c>
      <c r="U451" s="233">
        <v>3000000</v>
      </c>
      <c r="V451" s="233">
        <v>0</v>
      </c>
      <c r="W451" s="233">
        <v>2981246</v>
      </c>
      <c r="X451" s="233">
        <v>18754</v>
      </c>
      <c r="Y451" s="233">
        <v>2981246</v>
      </c>
      <c r="Z451" s="233">
        <v>2981246</v>
      </c>
      <c r="AA451" s="233">
        <v>2981246</v>
      </c>
      <c r="AB451" s="233">
        <v>2981246</v>
      </c>
    </row>
    <row r="452" spans="1:28" ht="15" customHeight="1" x14ac:dyDescent="0.25">
      <c r="A452" s="230" t="s">
        <v>424</v>
      </c>
      <c r="B452" s="231" t="s">
        <v>425</v>
      </c>
      <c r="C452" s="232" t="s">
        <v>361</v>
      </c>
      <c r="D452" s="230" t="s">
        <v>264</v>
      </c>
      <c r="E452" s="230" t="s">
        <v>265</v>
      </c>
      <c r="F452" s="230" t="s">
        <v>265</v>
      </c>
      <c r="G452" s="230" t="s">
        <v>271</v>
      </c>
      <c r="H452" s="230" t="s">
        <v>283</v>
      </c>
      <c r="I452" s="230"/>
      <c r="J452" s="230"/>
      <c r="K452" s="230"/>
      <c r="L452" s="230"/>
      <c r="M452" s="230" t="s">
        <v>266</v>
      </c>
      <c r="N452" s="230" t="s">
        <v>280</v>
      </c>
      <c r="O452" s="230" t="s">
        <v>267</v>
      </c>
      <c r="P452" s="231" t="s">
        <v>362</v>
      </c>
      <c r="Q452" s="231"/>
      <c r="R452" s="233">
        <v>29000000</v>
      </c>
      <c r="S452" s="233">
        <v>0</v>
      </c>
      <c r="T452" s="233">
        <v>8321000</v>
      </c>
      <c r="U452" s="233">
        <v>20679000</v>
      </c>
      <c r="V452" s="233">
        <v>0</v>
      </c>
      <c r="W452" s="233">
        <v>20678991</v>
      </c>
      <c r="X452" s="233">
        <v>9</v>
      </c>
      <c r="Y452" s="233">
        <v>20678991</v>
      </c>
      <c r="Z452" s="233">
        <v>20678991</v>
      </c>
      <c r="AA452" s="233">
        <v>20678991</v>
      </c>
      <c r="AB452" s="233">
        <v>20678991</v>
      </c>
    </row>
    <row r="453" spans="1:28" ht="15" customHeight="1" x14ac:dyDescent="0.25">
      <c r="A453" s="230" t="s">
        <v>424</v>
      </c>
      <c r="B453" s="231" t="s">
        <v>425</v>
      </c>
      <c r="C453" s="232" t="s">
        <v>363</v>
      </c>
      <c r="D453" s="230" t="s">
        <v>264</v>
      </c>
      <c r="E453" s="230" t="s">
        <v>269</v>
      </c>
      <c r="F453" s="230" t="s">
        <v>269</v>
      </c>
      <c r="G453" s="230" t="s">
        <v>269</v>
      </c>
      <c r="H453" s="230" t="s">
        <v>325</v>
      </c>
      <c r="I453" s="230" t="s">
        <v>319</v>
      </c>
      <c r="J453" s="230"/>
      <c r="K453" s="230"/>
      <c r="L453" s="230"/>
      <c r="M453" s="230" t="s">
        <v>273</v>
      </c>
      <c r="N453" s="230" t="s">
        <v>34</v>
      </c>
      <c r="O453" s="230" t="s">
        <v>267</v>
      </c>
      <c r="P453" s="231" t="s">
        <v>364</v>
      </c>
      <c r="Q453" s="231"/>
      <c r="R453" s="233">
        <v>4600000</v>
      </c>
      <c r="S453" s="233">
        <v>4660000</v>
      </c>
      <c r="T453" s="233">
        <v>9200000</v>
      </c>
      <c r="U453" s="233">
        <v>60000</v>
      </c>
      <c r="V453" s="233">
        <v>0</v>
      </c>
      <c r="W453" s="233">
        <v>60000</v>
      </c>
      <c r="X453" s="233">
        <v>0</v>
      </c>
      <c r="Y453" s="233">
        <v>60000</v>
      </c>
      <c r="Z453" s="233">
        <v>60000</v>
      </c>
      <c r="AA453" s="233">
        <v>60000</v>
      </c>
      <c r="AB453" s="233">
        <v>60000</v>
      </c>
    </row>
    <row r="454" spans="1:28" ht="15" customHeight="1" x14ac:dyDescent="0.25">
      <c r="A454" s="230" t="s">
        <v>424</v>
      </c>
      <c r="B454" s="231" t="s">
        <v>425</v>
      </c>
      <c r="C454" s="232" t="s">
        <v>365</v>
      </c>
      <c r="D454" s="230" t="s">
        <v>264</v>
      </c>
      <c r="E454" s="230" t="s">
        <v>269</v>
      </c>
      <c r="F454" s="230" t="s">
        <v>269</v>
      </c>
      <c r="G454" s="230" t="s">
        <v>269</v>
      </c>
      <c r="H454" s="230" t="s">
        <v>325</v>
      </c>
      <c r="I454" s="230" t="s">
        <v>331</v>
      </c>
      <c r="J454" s="230"/>
      <c r="K454" s="230"/>
      <c r="L454" s="230"/>
      <c r="M454" s="230" t="s">
        <v>266</v>
      </c>
      <c r="N454" s="230" t="s">
        <v>280</v>
      </c>
      <c r="O454" s="230" t="s">
        <v>267</v>
      </c>
      <c r="P454" s="231" t="s">
        <v>366</v>
      </c>
      <c r="Q454" s="231"/>
      <c r="R454" s="233">
        <v>50000000</v>
      </c>
      <c r="S454" s="233">
        <v>30351297</v>
      </c>
      <c r="T454" s="233">
        <v>0</v>
      </c>
      <c r="U454" s="233">
        <v>80351297</v>
      </c>
      <c r="V454" s="233">
        <v>0</v>
      </c>
      <c r="W454" s="233">
        <v>80351297</v>
      </c>
      <c r="X454" s="233">
        <v>0</v>
      </c>
      <c r="Y454" s="233">
        <v>72803153</v>
      </c>
      <c r="Z454" s="233">
        <v>72803072</v>
      </c>
      <c r="AA454" s="233">
        <v>72803072</v>
      </c>
      <c r="AB454" s="233">
        <v>72803072</v>
      </c>
    </row>
    <row r="455" spans="1:28" ht="15" customHeight="1" x14ac:dyDescent="0.25">
      <c r="A455" s="230" t="s">
        <v>424</v>
      </c>
      <c r="B455" s="231" t="s">
        <v>425</v>
      </c>
      <c r="C455" s="232" t="s">
        <v>383</v>
      </c>
      <c r="D455" s="230" t="s">
        <v>264</v>
      </c>
      <c r="E455" s="230" t="s">
        <v>269</v>
      </c>
      <c r="F455" s="230" t="s">
        <v>269</v>
      </c>
      <c r="G455" s="230" t="s">
        <v>269</v>
      </c>
      <c r="H455" s="230" t="s">
        <v>328</v>
      </c>
      <c r="I455" s="230" t="s">
        <v>283</v>
      </c>
      <c r="J455" s="230"/>
      <c r="K455" s="230"/>
      <c r="L455" s="230"/>
      <c r="M455" s="230" t="s">
        <v>266</v>
      </c>
      <c r="N455" s="230" t="s">
        <v>280</v>
      </c>
      <c r="O455" s="230" t="s">
        <v>267</v>
      </c>
      <c r="P455" s="231" t="s">
        <v>384</v>
      </c>
      <c r="Q455" s="231"/>
      <c r="R455" s="233">
        <v>28500000</v>
      </c>
      <c r="S455" s="233">
        <v>10646947</v>
      </c>
      <c r="T455" s="233">
        <v>0</v>
      </c>
      <c r="U455" s="233">
        <v>39146947</v>
      </c>
      <c r="V455" s="233">
        <v>0</v>
      </c>
      <c r="W455" s="233">
        <v>39146947</v>
      </c>
      <c r="X455" s="233">
        <v>0</v>
      </c>
      <c r="Y455" s="233">
        <v>39146947</v>
      </c>
      <c r="Z455" s="233">
        <v>35699222</v>
      </c>
      <c r="AA455" s="233">
        <v>35699222</v>
      </c>
      <c r="AB455" s="233">
        <v>35699222</v>
      </c>
    </row>
    <row r="456" spans="1:28" ht="15" customHeight="1" x14ac:dyDescent="0.25">
      <c r="A456" s="230" t="s">
        <v>424</v>
      </c>
      <c r="B456" s="231" t="s">
        <v>425</v>
      </c>
      <c r="C456" s="232" t="s">
        <v>383</v>
      </c>
      <c r="D456" s="230" t="s">
        <v>264</v>
      </c>
      <c r="E456" s="230" t="s">
        <v>269</v>
      </c>
      <c r="F456" s="230" t="s">
        <v>269</v>
      </c>
      <c r="G456" s="230" t="s">
        <v>269</v>
      </c>
      <c r="H456" s="230" t="s">
        <v>328</v>
      </c>
      <c r="I456" s="230" t="s">
        <v>283</v>
      </c>
      <c r="J456" s="230"/>
      <c r="K456" s="230"/>
      <c r="L456" s="230"/>
      <c r="M456" s="230" t="s">
        <v>273</v>
      </c>
      <c r="N456" s="230" t="s">
        <v>34</v>
      </c>
      <c r="O456" s="230" t="s">
        <v>267</v>
      </c>
      <c r="P456" s="231" t="s">
        <v>384</v>
      </c>
      <c r="Q456" s="231"/>
      <c r="R456" s="233">
        <v>35000000</v>
      </c>
      <c r="S456" s="233">
        <v>5100048</v>
      </c>
      <c r="T456" s="233">
        <v>5100000</v>
      </c>
      <c r="U456" s="233">
        <v>35000048</v>
      </c>
      <c r="V456" s="233">
        <v>0</v>
      </c>
      <c r="W456" s="233">
        <v>35000048</v>
      </c>
      <c r="X456" s="233">
        <v>0</v>
      </c>
      <c r="Y456" s="233">
        <v>32551548</v>
      </c>
      <c r="Z456" s="233">
        <v>31929728</v>
      </c>
      <c r="AA456" s="233">
        <v>31929728</v>
      </c>
      <c r="AB456" s="233">
        <v>31929728</v>
      </c>
    </row>
    <row r="457" spans="1:28" ht="15" customHeight="1" x14ac:dyDescent="0.25">
      <c r="A457" s="230" t="s">
        <v>424</v>
      </c>
      <c r="B457" s="231" t="s">
        <v>425</v>
      </c>
      <c r="C457" s="232" t="s">
        <v>367</v>
      </c>
      <c r="D457" s="230" t="s">
        <v>264</v>
      </c>
      <c r="E457" s="230" t="s">
        <v>269</v>
      </c>
      <c r="F457" s="230" t="s">
        <v>269</v>
      </c>
      <c r="G457" s="230" t="s">
        <v>269</v>
      </c>
      <c r="H457" s="230" t="s">
        <v>351</v>
      </c>
      <c r="I457" s="230" t="s">
        <v>319</v>
      </c>
      <c r="J457" s="230"/>
      <c r="K457" s="230"/>
      <c r="L457" s="230"/>
      <c r="M457" s="230" t="s">
        <v>266</v>
      </c>
      <c r="N457" s="230" t="s">
        <v>280</v>
      </c>
      <c r="O457" s="230" t="s">
        <v>267</v>
      </c>
      <c r="P457" s="231" t="s">
        <v>368</v>
      </c>
      <c r="Q457" s="231"/>
      <c r="R457" s="233">
        <v>700000</v>
      </c>
      <c r="S457" s="233">
        <v>0</v>
      </c>
      <c r="T457" s="233">
        <v>215524</v>
      </c>
      <c r="U457" s="233">
        <v>484476</v>
      </c>
      <c r="V457" s="233">
        <v>0</v>
      </c>
      <c r="W457" s="233">
        <v>484476</v>
      </c>
      <c r="X457" s="233">
        <v>0</v>
      </c>
      <c r="Y457" s="233">
        <v>443489</v>
      </c>
      <c r="Z457" s="233">
        <v>443489</v>
      </c>
      <c r="AA457" s="233">
        <v>443489</v>
      </c>
      <c r="AB457" s="233">
        <v>443489</v>
      </c>
    </row>
    <row r="458" spans="1:28" ht="15" customHeight="1" x14ac:dyDescent="0.25">
      <c r="A458" s="230" t="s">
        <v>424</v>
      </c>
      <c r="B458" s="231" t="s">
        <v>425</v>
      </c>
      <c r="C458" s="232" t="s">
        <v>371</v>
      </c>
      <c r="D458" s="230" t="s">
        <v>264</v>
      </c>
      <c r="E458" s="230" t="s">
        <v>269</v>
      </c>
      <c r="F458" s="230" t="s">
        <v>269</v>
      </c>
      <c r="G458" s="230" t="s">
        <v>269</v>
      </c>
      <c r="H458" s="230" t="s">
        <v>334</v>
      </c>
      <c r="I458" s="230"/>
      <c r="J458" s="230"/>
      <c r="K458" s="230"/>
      <c r="L458" s="230"/>
      <c r="M458" s="230" t="s">
        <v>266</v>
      </c>
      <c r="N458" s="230" t="s">
        <v>280</v>
      </c>
      <c r="O458" s="230" t="s">
        <v>267</v>
      </c>
      <c r="P458" s="231" t="s">
        <v>372</v>
      </c>
      <c r="Q458" s="231"/>
      <c r="R458" s="233">
        <v>0</v>
      </c>
      <c r="S458" s="233">
        <v>1350119</v>
      </c>
      <c r="T458" s="233">
        <v>135773</v>
      </c>
      <c r="U458" s="233">
        <v>1214346</v>
      </c>
      <c r="V458" s="233">
        <v>0</v>
      </c>
      <c r="W458" s="233">
        <v>1214346</v>
      </c>
      <c r="X458" s="233">
        <v>0</v>
      </c>
      <c r="Y458" s="233">
        <v>1214346</v>
      </c>
      <c r="Z458" s="233">
        <v>1214346</v>
      </c>
      <c r="AA458" s="233">
        <v>1214346</v>
      </c>
      <c r="AB458" s="233">
        <v>1214346</v>
      </c>
    </row>
    <row r="459" spans="1:28" ht="15" customHeight="1" x14ac:dyDescent="0.25">
      <c r="A459" s="230" t="s">
        <v>424</v>
      </c>
      <c r="B459" s="231" t="s">
        <v>425</v>
      </c>
      <c r="C459" s="232" t="s">
        <v>373</v>
      </c>
      <c r="D459" s="230" t="s">
        <v>264</v>
      </c>
      <c r="E459" s="230" t="s">
        <v>271</v>
      </c>
      <c r="F459" s="230" t="s">
        <v>277</v>
      </c>
      <c r="G459" s="230" t="s">
        <v>269</v>
      </c>
      <c r="H459" s="230" t="s">
        <v>278</v>
      </c>
      <c r="I459" s="230" t="s">
        <v>281</v>
      </c>
      <c r="J459" s="230"/>
      <c r="K459" s="230"/>
      <c r="L459" s="230"/>
      <c r="M459" s="230" t="s">
        <v>266</v>
      </c>
      <c r="N459" s="230" t="s">
        <v>280</v>
      </c>
      <c r="O459" s="230" t="s">
        <v>267</v>
      </c>
      <c r="P459" s="231" t="s">
        <v>374</v>
      </c>
      <c r="Q459" s="231"/>
      <c r="R459" s="233">
        <v>0</v>
      </c>
      <c r="S459" s="233">
        <v>7352101</v>
      </c>
      <c r="T459" s="233">
        <v>0</v>
      </c>
      <c r="U459" s="233">
        <v>7352101</v>
      </c>
      <c r="V459" s="233">
        <v>0</v>
      </c>
      <c r="W459" s="233">
        <v>7352061</v>
      </c>
      <c r="X459" s="233">
        <v>40</v>
      </c>
      <c r="Y459" s="233">
        <v>6295998</v>
      </c>
      <c r="Z459" s="233">
        <v>6114293</v>
      </c>
      <c r="AA459" s="233">
        <v>6114293</v>
      </c>
      <c r="AB459" s="233">
        <v>6114293</v>
      </c>
    </row>
    <row r="460" spans="1:28" ht="15" customHeight="1" x14ac:dyDescent="0.25">
      <c r="A460" s="230" t="s">
        <v>424</v>
      </c>
      <c r="B460" s="231" t="s">
        <v>425</v>
      </c>
      <c r="C460" s="232" t="s">
        <v>375</v>
      </c>
      <c r="D460" s="230" t="s">
        <v>264</v>
      </c>
      <c r="E460" s="230" t="s">
        <v>285</v>
      </c>
      <c r="F460" s="230" t="s">
        <v>265</v>
      </c>
      <c r="G460" s="230" t="s">
        <v>269</v>
      </c>
      <c r="H460" s="230" t="s">
        <v>281</v>
      </c>
      <c r="I460" s="230"/>
      <c r="J460" s="230"/>
      <c r="K460" s="230"/>
      <c r="L460" s="230"/>
      <c r="M460" s="230" t="s">
        <v>266</v>
      </c>
      <c r="N460" s="230" t="s">
        <v>280</v>
      </c>
      <c r="O460" s="230" t="s">
        <v>267</v>
      </c>
      <c r="P460" s="231" t="s">
        <v>376</v>
      </c>
      <c r="Q460" s="231"/>
      <c r="R460" s="233">
        <v>0</v>
      </c>
      <c r="S460" s="233">
        <v>23942000</v>
      </c>
      <c r="T460" s="233">
        <v>0</v>
      </c>
      <c r="U460" s="233">
        <v>23942000</v>
      </c>
      <c r="V460" s="233">
        <v>0</v>
      </c>
      <c r="W460" s="233">
        <v>23942000</v>
      </c>
      <c r="X460" s="233">
        <v>0</v>
      </c>
      <c r="Y460" s="233">
        <v>23942000</v>
      </c>
      <c r="Z460" s="233">
        <v>23942000</v>
      </c>
      <c r="AA460" s="233">
        <v>23942000</v>
      </c>
      <c r="AB460" s="233">
        <v>23942000</v>
      </c>
    </row>
    <row r="461" spans="1:28" ht="15" customHeight="1" x14ac:dyDescent="0.25">
      <c r="A461" s="230" t="s">
        <v>426</v>
      </c>
      <c r="B461" s="231" t="s">
        <v>427</v>
      </c>
      <c r="C461" s="232" t="s">
        <v>313</v>
      </c>
      <c r="D461" s="230" t="s">
        <v>264</v>
      </c>
      <c r="E461" s="230" t="s">
        <v>265</v>
      </c>
      <c r="F461" s="230" t="s">
        <v>265</v>
      </c>
      <c r="G461" s="230" t="s">
        <v>265</v>
      </c>
      <c r="H461" s="230" t="s">
        <v>281</v>
      </c>
      <c r="I461" s="230" t="s">
        <v>281</v>
      </c>
      <c r="J461" s="230"/>
      <c r="K461" s="230"/>
      <c r="L461" s="230"/>
      <c r="M461" s="230" t="s">
        <v>266</v>
      </c>
      <c r="N461" s="230" t="s">
        <v>280</v>
      </c>
      <c r="O461" s="230" t="s">
        <v>267</v>
      </c>
      <c r="P461" s="231" t="s">
        <v>314</v>
      </c>
      <c r="Q461" s="231"/>
      <c r="R461" s="233">
        <v>426000000</v>
      </c>
      <c r="S461" s="233">
        <v>16300000</v>
      </c>
      <c r="T461" s="233">
        <v>0</v>
      </c>
      <c r="U461" s="233">
        <v>442300000</v>
      </c>
      <c r="V461" s="233">
        <v>0</v>
      </c>
      <c r="W461" s="233">
        <v>400895896</v>
      </c>
      <c r="X461" s="233">
        <v>41404104</v>
      </c>
      <c r="Y461" s="233">
        <v>400895896</v>
      </c>
      <c r="Z461" s="233">
        <v>400895896</v>
      </c>
      <c r="AA461" s="233">
        <v>400895896</v>
      </c>
      <c r="AB461" s="233">
        <v>400895896</v>
      </c>
    </row>
    <row r="462" spans="1:28" ht="15" customHeight="1" x14ac:dyDescent="0.25">
      <c r="A462" s="230" t="s">
        <v>426</v>
      </c>
      <c r="B462" s="231" t="s">
        <v>427</v>
      </c>
      <c r="C462" s="232" t="s">
        <v>315</v>
      </c>
      <c r="D462" s="230" t="s">
        <v>264</v>
      </c>
      <c r="E462" s="230" t="s">
        <v>265</v>
      </c>
      <c r="F462" s="230" t="s">
        <v>265</v>
      </c>
      <c r="G462" s="230" t="s">
        <v>265</v>
      </c>
      <c r="H462" s="230" t="s">
        <v>281</v>
      </c>
      <c r="I462" s="230" t="s">
        <v>316</v>
      </c>
      <c r="J462" s="230"/>
      <c r="K462" s="230"/>
      <c r="L462" s="230"/>
      <c r="M462" s="230" t="s">
        <v>266</v>
      </c>
      <c r="N462" s="230" t="s">
        <v>280</v>
      </c>
      <c r="O462" s="230" t="s">
        <v>267</v>
      </c>
      <c r="P462" s="231" t="s">
        <v>317</v>
      </c>
      <c r="Q462" s="231"/>
      <c r="R462" s="233">
        <v>0</v>
      </c>
      <c r="S462" s="233">
        <v>14000000</v>
      </c>
      <c r="T462" s="233">
        <v>0</v>
      </c>
      <c r="U462" s="233">
        <v>14000000</v>
      </c>
      <c r="V462" s="233">
        <v>0</v>
      </c>
      <c r="W462" s="233">
        <v>8366809</v>
      </c>
      <c r="X462" s="233">
        <v>5633191</v>
      </c>
      <c r="Y462" s="233">
        <v>8366809</v>
      </c>
      <c r="Z462" s="233">
        <v>8366809</v>
      </c>
      <c r="AA462" s="233">
        <v>8366809</v>
      </c>
      <c r="AB462" s="233">
        <v>8366809</v>
      </c>
    </row>
    <row r="463" spans="1:28" ht="15" customHeight="1" x14ac:dyDescent="0.25">
      <c r="A463" s="230" t="s">
        <v>426</v>
      </c>
      <c r="B463" s="231" t="s">
        <v>427</v>
      </c>
      <c r="C463" s="232" t="s">
        <v>318</v>
      </c>
      <c r="D463" s="230" t="s">
        <v>264</v>
      </c>
      <c r="E463" s="230" t="s">
        <v>265</v>
      </c>
      <c r="F463" s="230" t="s">
        <v>265</v>
      </c>
      <c r="G463" s="230" t="s">
        <v>265</v>
      </c>
      <c r="H463" s="230" t="s">
        <v>281</v>
      </c>
      <c r="I463" s="230" t="s">
        <v>319</v>
      </c>
      <c r="J463" s="230"/>
      <c r="K463" s="230"/>
      <c r="L463" s="230"/>
      <c r="M463" s="230" t="s">
        <v>266</v>
      </c>
      <c r="N463" s="230" t="s">
        <v>280</v>
      </c>
      <c r="O463" s="230" t="s">
        <v>267</v>
      </c>
      <c r="P463" s="231" t="s">
        <v>320</v>
      </c>
      <c r="Q463" s="231"/>
      <c r="R463" s="233">
        <v>7312000</v>
      </c>
      <c r="S463" s="233">
        <v>0</v>
      </c>
      <c r="T463" s="233">
        <v>0</v>
      </c>
      <c r="U463" s="233">
        <v>7312000</v>
      </c>
      <c r="V463" s="233">
        <v>0</v>
      </c>
      <c r="W463" s="233">
        <v>6393158</v>
      </c>
      <c r="X463" s="233">
        <v>918842</v>
      </c>
      <c r="Y463" s="233">
        <v>6393158</v>
      </c>
      <c r="Z463" s="233">
        <v>6393158</v>
      </c>
      <c r="AA463" s="233">
        <v>6393158</v>
      </c>
      <c r="AB463" s="233">
        <v>6393158</v>
      </c>
    </row>
    <row r="464" spans="1:28" ht="15" customHeight="1" x14ac:dyDescent="0.25">
      <c r="A464" s="230" t="s">
        <v>426</v>
      </c>
      <c r="B464" s="231" t="s">
        <v>427</v>
      </c>
      <c r="C464" s="232" t="s">
        <v>321</v>
      </c>
      <c r="D464" s="230" t="s">
        <v>264</v>
      </c>
      <c r="E464" s="230" t="s">
        <v>265</v>
      </c>
      <c r="F464" s="230" t="s">
        <v>265</v>
      </c>
      <c r="G464" s="230" t="s">
        <v>265</v>
      </c>
      <c r="H464" s="230" t="s">
        <v>281</v>
      </c>
      <c r="I464" s="230" t="s">
        <v>322</v>
      </c>
      <c r="J464" s="230"/>
      <c r="K464" s="230"/>
      <c r="L464" s="230"/>
      <c r="M464" s="230" t="s">
        <v>266</v>
      </c>
      <c r="N464" s="230" t="s">
        <v>280</v>
      </c>
      <c r="O464" s="230" t="s">
        <v>267</v>
      </c>
      <c r="P464" s="231" t="s">
        <v>323</v>
      </c>
      <c r="Q464" s="231"/>
      <c r="R464" s="233">
        <v>4680000</v>
      </c>
      <c r="S464" s="233">
        <v>2800000</v>
      </c>
      <c r="T464" s="233">
        <v>4680000</v>
      </c>
      <c r="U464" s="233">
        <v>2800000</v>
      </c>
      <c r="V464" s="233">
        <v>0</v>
      </c>
      <c r="W464" s="233">
        <v>1390999</v>
      </c>
      <c r="X464" s="233">
        <v>1409001</v>
      </c>
      <c r="Y464" s="233">
        <v>1390999</v>
      </c>
      <c r="Z464" s="233">
        <v>1390999</v>
      </c>
      <c r="AA464" s="233">
        <v>1390999</v>
      </c>
      <c r="AB464" s="233">
        <v>1390999</v>
      </c>
    </row>
    <row r="465" spans="1:28" ht="15" customHeight="1" x14ac:dyDescent="0.25">
      <c r="A465" s="230" t="s">
        <v>426</v>
      </c>
      <c r="B465" s="231" t="s">
        <v>427</v>
      </c>
      <c r="C465" s="232" t="s">
        <v>324</v>
      </c>
      <c r="D465" s="230" t="s">
        <v>264</v>
      </c>
      <c r="E465" s="230" t="s">
        <v>265</v>
      </c>
      <c r="F465" s="230" t="s">
        <v>265</v>
      </c>
      <c r="G465" s="230" t="s">
        <v>265</v>
      </c>
      <c r="H465" s="230" t="s">
        <v>281</v>
      </c>
      <c r="I465" s="230" t="s">
        <v>325</v>
      </c>
      <c r="J465" s="230"/>
      <c r="K465" s="230"/>
      <c r="L465" s="230"/>
      <c r="M465" s="230" t="s">
        <v>266</v>
      </c>
      <c r="N465" s="230" t="s">
        <v>280</v>
      </c>
      <c r="O465" s="230" t="s">
        <v>267</v>
      </c>
      <c r="P465" s="231" t="s">
        <v>326</v>
      </c>
      <c r="Q465" s="231"/>
      <c r="R465" s="233">
        <v>40400000</v>
      </c>
      <c r="S465" s="233">
        <v>2394944</v>
      </c>
      <c r="T465" s="233">
        <v>0</v>
      </c>
      <c r="U465" s="233">
        <v>42794944</v>
      </c>
      <c r="V465" s="233">
        <v>0</v>
      </c>
      <c r="W465" s="233">
        <v>42706592</v>
      </c>
      <c r="X465" s="233">
        <v>88352</v>
      </c>
      <c r="Y465" s="233">
        <v>42706592</v>
      </c>
      <c r="Z465" s="233">
        <v>42706592</v>
      </c>
      <c r="AA465" s="233">
        <v>42706592</v>
      </c>
      <c r="AB465" s="233">
        <v>42706592</v>
      </c>
    </row>
    <row r="466" spans="1:28" ht="15" customHeight="1" x14ac:dyDescent="0.25">
      <c r="A466" s="230" t="s">
        <v>426</v>
      </c>
      <c r="B466" s="231" t="s">
        <v>427</v>
      </c>
      <c r="C466" s="232" t="s">
        <v>327</v>
      </c>
      <c r="D466" s="230" t="s">
        <v>264</v>
      </c>
      <c r="E466" s="230" t="s">
        <v>265</v>
      </c>
      <c r="F466" s="230" t="s">
        <v>265</v>
      </c>
      <c r="G466" s="230" t="s">
        <v>265</v>
      </c>
      <c r="H466" s="230" t="s">
        <v>281</v>
      </c>
      <c r="I466" s="230" t="s">
        <v>328</v>
      </c>
      <c r="J466" s="230"/>
      <c r="K466" s="230"/>
      <c r="L466" s="230"/>
      <c r="M466" s="230" t="s">
        <v>266</v>
      </c>
      <c r="N466" s="230" t="s">
        <v>280</v>
      </c>
      <c r="O466" s="230" t="s">
        <v>267</v>
      </c>
      <c r="P466" s="231" t="s">
        <v>329</v>
      </c>
      <c r="Q466" s="231"/>
      <c r="R466" s="233">
        <v>16000000</v>
      </c>
      <c r="S466" s="233">
        <v>4000000</v>
      </c>
      <c r="T466" s="233">
        <v>0</v>
      </c>
      <c r="U466" s="233">
        <v>20000000</v>
      </c>
      <c r="V466" s="233">
        <v>0</v>
      </c>
      <c r="W466" s="233">
        <v>15564417</v>
      </c>
      <c r="X466" s="233">
        <v>4435583</v>
      </c>
      <c r="Y466" s="233">
        <v>15564417</v>
      </c>
      <c r="Z466" s="233">
        <v>15564417</v>
      </c>
      <c r="AA466" s="233">
        <v>15564417</v>
      </c>
      <c r="AB466" s="233">
        <v>15564417</v>
      </c>
    </row>
    <row r="467" spans="1:28" ht="15" customHeight="1" x14ac:dyDescent="0.25">
      <c r="A467" s="230" t="s">
        <v>426</v>
      </c>
      <c r="B467" s="231" t="s">
        <v>427</v>
      </c>
      <c r="C467" s="232" t="s">
        <v>330</v>
      </c>
      <c r="D467" s="230" t="s">
        <v>264</v>
      </c>
      <c r="E467" s="230" t="s">
        <v>265</v>
      </c>
      <c r="F467" s="230" t="s">
        <v>265</v>
      </c>
      <c r="G467" s="230" t="s">
        <v>265</v>
      </c>
      <c r="H467" s="230" t="s">
        <v>281</v>
      </c>
      <c r="I467" s="230" t="s">
        <v>331</v>
      </c>
      <c r="J467" s="230"/>
      <c r="K467" s="230"/>
      <c r="L467" s="230"/>
      <c r="M467" s="230" t="s">
        <v>266</v>
      </c>
      <c r="N467" s="230" t="s">
        <v>280</v>
      </c>
      <c r="O467" s="230" t="s">
        <v>267</v>
      </c>
      <c r="P467" s="231" t="s">
        <v>332</v>
      </c>
      <c r="Q467" s="231"/>
      <c r="R467" s="233">
        <v>54000000</v>
      </c>
      <c r="S467" s="233">
        <v>2700000</v>
      </c>
      <c r="T467" s="233">
        <v>0</v>
      </c>
      <c r="U467" s="233">
        <v>56700000</v>
      </c>
      <c r="V467" s="233">
        <v>0</v>
      </c>
      <c r="W467" s="233">
        <v>55227810</v>
      </c>
      <c r="X467" s="233">
        <v>1472190</v>
      </c>
      <c r="Y467" s="233">
        <v>55227810</v>
      </c>
      <c r="Z467" s="233">
        <v>55227810</v>
      </c>
      <c r="AA467" s="233">
        <v>55227810</v>
      </c>
      <c r="AB467" s="233">
        <v>55227810</v>
      </c>
    </row>
    <row r="468" spans="1:28" ht="15" customHeight="1" x14ac:dyDescent="0.25">
      <c r="A468" s="230" t="s">
        <v>426</v>
      </c>
      <c r="B468" s="231" t="s">
        <v>427</v>
      </c>
      <c r="C468" s="232" t="s">
        <v>333</v>
      </c>
      <c r="D468" s="230" t="s">
        <v>264</v>
      </c>
      <c r="E468" s="230" t="s">
        <v>265</v>
      </c>
      <c r="F468" s="230" t="s">
        <v>265</v>
      </c>
      <c r="G468" s="230" t="s">
        <v>265</v>
      </c>
      <c r="H468" s="230" t="s">
        <v>281</v>
      </c>
      <c r="I468" s="230" t="s">
        <v>334</v>
      </c>
      <c r="J468" s="230"/>
      <c r="K468" s="230"/>
      <c r="L468" s="230"/>
      <c r="M468" s="230" t="s">
        <v>266</v>
      </c>
      <c r="N468" s="230" t="s">
        <v>280</v>
      </c>
      <c r="O468" s="230" t="s">
        <v>267</v>
      </c>
      <c r="P468" s="231" t="s">
        <v>335</v>
      </c>
      <c r="Q468" s="231"/>
      <c r="R468" s="233">
        <v>33000000</v>
      </c>
      <c r="S468" s="233">
        <v>2500000</v>
      </c>
      <c r="T468" s="233">
        <v>0</v>
      </c>
      <c r="U468" s="233">
        <v>35500000</v>
      </c>
      <c r="V468" s="233">
        <v>0</v>
      </c>
      <c r="W468" s="233">
        <v>20986232</v>
      </c>
      <c r="X468" s="233">
        <v>14513768</v>
      </c>
      <c r="Y468" s="233">
        <v>20986232</v>
      </c>
      <c r="Z468" s="233">
        <v>20986232</v>
      </c>
      <c r="AA468" s="233">
        <v>20986232</v>
      </c>
      <c r="AB468" s="233">
        <v>20986232</v>
      </c>
    </row>
    <row r="469" spans="1:28" ht="15" customHeight="1" x14ac:dyDescent="0.25">
      <c r="A469" s="230" t="s">
        <v>426</v>
      </c>
      <c r="B469" s="231" t="s">
        <v>427</v>
      </c>
      <c r="C469" s="232" t="s">
        <v>336</v>
      </c>
      <c r="D469" s="230" t="s">
        <v>264</v>
      </c>
      <c r="E469" s="230" t="s">
        <v>265</v>
      </c>
      <c r="F469" s="230" t="s">
        <v>265</v>
      </c>
      <c r="G469" s="230" t="s">
        <v>265</v>
      </c>
      <c r="H469" s="230" t="s">
        <v>281</v>
      </c>
      <c r="I469" s="230" t="s">
        <v>278</v>
      </c>
      <c r="J469" s="230"/>
      <c r="K469" s="230"/>
      <c r="L469" s="230"/>
      <c r="M469" s="230" t="s">
        <v>266</v>
      </c>
      <c r="N469" s="230" t="s">
        <v>280</v>
      </c>
      <c r="O469" s="230" t="s">
        <v>267</v>
      </c>
      <c r="P469" s="231" t="s">
        <v>337</v>
      </c>
      <c r="Q469" s="231"/>
      <c r="R469" s="233">
        <v>5000000</v>
      </c>
      <c r="S469" s="233">
        <v>5500000</v>
      </c>
      <c r="T469" s="233">
        <v>3960174</v>
      </c>
      <c r="U469" s="233">
        <v>6539826</v>
      </c>
      <c r="V469" s="233">
        <v>0</v>
      </c>
      <c r="W469" s="233">
        <v>6539826</v>
      </c>
      <c r="X469" s="233">
        <v>0</v>
      </c>
      <c r="Y469" s="233">
        <v>6539826</v>
      </c>
      <c r="Z469" s="233">
        <v>6539826</v>
      </c>
      <c r="AA469" s="233">
        <v>6539826</v>
      </c>
      <c r="AB469" s="233">
        <v>6539826</v>
      </c>
    </row>
    <row r="470" spans="1:28" ht="15" customHeight="1" x14ac:dyDescent="0.25">
      <c r="A470" s="230" t="s">
        <v>426</v>
      </c>
      <c r="B470" s="231" t="s">
        <v>427</v>
      </c>
      <c r="C470" s="232" t="s">
        <v>338</v>
      </c>
      <c r="D470" s="230" t="s">
        <v>264</v>
      </c>
      <c r="E470" s="230" t="s">
        <v>265</v>
      </c>
      <c r="F470" s="230" t="s">
        <v>265</v>
      </c>
      <c r="G470" s="230" t="s">
        <v>269</v>
      </c>
      <c r="H470" s="230" t="s">
        <v>281</v>
      </c>
      <c r="I470" s="230"/>
      <c r="J470" s="230"/>
      <c r="K470" s="230"/>
      <c r="L470" s="230"/>
      <c r="M470" s="230" t="s">
        <v>266</v>
      </c>
      <c r="N470" s="230" t="s">
        <v>280</v>
      </c>
      <c r="O470" s="230" t="s">
        <v>267</v>
      </c>
      <c r="P470" s="231" t="s">
        <v>339</v>
      </c>
      <c r="Q470" s="231"/>
      <c r="R470" s="233">
        <v>50000000</v>
      </c>
      <c r="S470" s="233">
        <v>8750000</v>
      </c>
      <c r="T470" s="233">
        <v>0</v>
      </c>
      <c r="U470" s="233">
        <v>58750000</v>
      </c>
      <c r="V470" s="233">
        <v>0</v>
      </c>
      <c r="W470" s="233">
        <v>54148400</v>
      </c>
      <c r="X470" s="233">
        <v>4601600</v>
      </c>
      <c r="Y470" s="233">
        <v>54148400</v>
      </c>
      <c r="Z470" s="233">
        <v>54148400</v>
      </c>
      <c r="AA470" s="233">
        <v>54148400</v>
      </c>
      <c r="AB470" s="233">
        <v>54148400</v>
      </c>
    </row>
    <row r="471" spans="1:28" ht="15" customHeight="1" x14ac:dyDescent="0.25">
      <c r="A471" s="230" t="s">
        <v>426</v>
      </c>
      <c r="B471" s="231" t="s">
        <v>427</v>
      </c>
      <c r="C471" s="232" t="s">
        <v>340</v>
      </c>
      <c r="D471" s="230" t="s">
        <v>264</v>
      </c>
      <c r="E471" s="230" t="s">
        <v>265</v>
      </c>
      <c r="F471" s="230" t="s">
        <v>265</v>
      </c>
      <c r="G471" s="230" t="s">
        <v>269</v>
      </c>
      <c r="H471" s="230" t="s">
        <v>283</v>
      </c>
      <c r="I471" s="230"/>
      <c r="J471" s="230"/>
      <c r="K471" s="230"/>
      <c r="L471" s="230"/>
      <c r="M471" s="230" t="s">
        <v>266</v>
      </c>
      <c r="N471" s="230" t="s">
        <v>280</v>
      </c>
      <c r="O471" s="230" t="s">
        <v>267</v>
      </c>
      <c r="P471" s="231" t="s">
        <v>341</v>
      </c>
      <c r="Q471" s="231"/>
      <c r="R471" s="233">
        <v>40000000</v>
      </c>
      <c r="S471" s="233">
        <v>2500000</v>
      </c>
      <c r="T471" s="233">
        <v>0</v>
      </c>
      <c r="U471" s="233">
        <v>42500000</v>
      </c>
      <c r="V471" s="233">
        <v>0</v>
      </c>
      <c r="W471" s="233">
        <v>38378500</v>
      </c>
      <c r="X471" s="233">
        <v>4121500</v>
      </c>
      <c r="Y471" s="233">
        <v>38378500</v>
      </c>
      <c r="Z471" s="233">
        <v>38378500</v>
      </c>
      <c r="AA471" s="233">
        <v>38378500</v>
      </c>
      <c r="AB471" s="233">
        <v>38378500</v>
      </c>
    </row>
    <row r="472" spans="1:28" ht="15" customHeight="1" x14ac:dyDescent="0.25">
      <c r="A472" s="230" t="s">
        <v>426</v>
      </c>
      <c r="B472" s="231" t="s">
        <v>427</v>
      </c>
      <c r="C472" s="232" t="s">
        <v>342</v>
      </c>
      <c r="D472" s="230" t="s">
        <v>264</v>
      </c>
      <c r="E472" s="230" t="s">
        <v>265</v>
      </c>
      <c r="F472" s="230" t="s">
        <v>265</v>
      </c>
      <c r="G472" s="230" t="s">
        <v>269</v>
      </c>
      <c r="H472" s="230" t="s">
        <v>319</v>
      </c>
      <c r="I472" s="230"/>
      <c r="J472" s="230"/>
      <c r="K472" s="230"/>
      <c r="L472" s="230"/>
      <c r="M472" s="230" t="s">
        <v>266</v>
      </c>
      <c r="N472" s="230" t="s">
        <v>280</v>
      </c>
      <c r="O472" s="230" t="s">
        <v>267</v>
      </c>
      <c r="P472" s="231" t="s">
        <v>343</v>
      </c>
      <c r="Q472" s="231"/>
      <c r="R472" s="233">
        <v>23000000</v>
      </c>
      <c r="S472" s="233">
        <v>1000000</v>
      </c>
      <c r="T472" s="233">
        <v>0</v>
      </c>
      <c r="U472" s="233">
        <v>24000000</v>
      </c>
      <c r="V472" s="233">
        <v>0</v>
      </c>
      <c r="W472" s="233">
        <v>21283200</v>
      </c>
      <c r="X472" s="233">
        <v>2716800</v>
      </c>
      <c r="Y472" s="233">
        <v>21283200</v>
      </c>
      <c r="Z472" s="233">
        <v>21283200</v>
      </c>
      <c r="AA472" s="233">
        <v>21283200</v>
      </c>
      <c r="AB472" s="233">
        <v>21283200</v>
      </c>
    </row>
    <row r="473" spans="1:28" ht="15" customHeight="1" x14ac:dyDescent="0.25">
      <c r="A473" s="230" t="s">
        <v>426</v>
      </c>
      <c r="B473" s="231" t="s">
        <v>427</v>
      </c>
      <c r="C473" s="232" t="s">
        <v>344</v>
      </c>
      <c r="D473" s="230" t="s">
        <v>264</v>
      </c>
      <c r="E473" s="230" t="s">
        <v>265</v>
      </c>
      <c r="F473" s="230" t="s">
        <v>265</v>
      </c>
      <c r="G473" s="230" t="s">
        <v>269</v>
      </c>
      <c r="H473" s="230" t="s">
        <v>322</v>
      </c>
      <c r="I473" s="230"/>
      <c r="J473" s="230"/>
      <c r="K473" s="230"/>
      <c r="L473" s="230"/>
      <c r="M473" s="230" t="s">
        <v>266</v>
      </c>
      <c r="N473" s="230" t="s">
        <v>280</v>
      </c>
      <c r="O473" s="230" t="s">
        <v>267</v>
      </c>
      <c r="P473" s="231" t="s">
        <v>345</v>
      </c>
      <c r="Q473" s="231"/>
      <c r="R473" s="233">
        <v>6000000</v>
      </c>
      <c r="S473" s="233">
        <v>400000</v>
      </c>
      <c r="T473" s="233">
        <v>0</v>
      </c>
      <c r="U473" s="233">
        <v>6400000</v>
      </c>
      <c r="V473" s="233">
        <v>0</v>
      </c>
      <c r="W473" s="233">
        <v>6112300</v>
      </c>
      <c r="X473" s="233">
        <v>287700</v>
      </c>
      <c r="Y473" s="233">
        <v>6112300</v>
      </c>
      <c r="Z473" s="233">
        <v>6112300</v>
      </c>
      <c r="AA473" s="233">
        <v>6112300</v>
      </c>
      <c r="AB473" s="233">
        <v>6112300</v>
      </c>
    </row>
    <row r="474" spans="1:28" ht="15" customHeight="1" x14ac:dyDescent="0.25">
      <c r="A474" s="230" t="s">
        <v>426</v>
      </c>
      <c r="B474" s="231" t="s">
        <v>427</v>
      </c>
      <c r="C474" s="232" t="s">
        <v>346</v>
      </c>
      <c r="D474" s="230" t="s">
        <v>264</v>
      </c>
      <c r="E474" s="230" t="s">
        <v>265</v>
      </c>
      <c r="F474" s="230" t="s">
        <v>265</v>
      </c>
      <c r="G474" s="230" t="s">
        <v>269</v>
      </c>
      <c r="H474" s="230" t="s">
        <v>325</v>
      </c>
      <c r="I474" s="230"/>
      <c r="J474" s="230"/>
      <c r="K474" s="230"/>
      <c r="L474" s="230"/>
      <c r="M474" s="230" t="s">
        <v>266</v>
      </c>
      <c r="N474" s="230" t="s">
        <v>280</v>
      </c>
      <c r="O474" s="230" t="s">
        <v>267</v>
      </c>
      <c r="P474" s="231" t="s">
        <v>347</v>
      </c>
      <c r="Q474" s="231"/>
      <c r="R474" s="233">
        <v>17000000</v>
      </c>
      <c r="S474" s="233">
        <v>1000000</v>
      </c>
      <c r="T474" s="233">
        <v>0</v>
      </c>
      <c r="U474" s="233">
        <v>18000000</v>
      </c>
      <c r="V474" s="233">
        <v>0</v>
      </c>
      <c r="W474" s="233">
        <v>15966600</v>
      </c>
      <c r="X474" s="233">
        <v>2033400</v>
      </c>
      <c r="Y474" s="233">
        <v>15966600</v>
      </c>
      <c r="Z474" s="233">
        <v>15966600</v>
      </c>
      <c r="AA474" s="233">
        <v>15966600</v>
      </c>
      <c r="AB474" s="233">
        <v>15966600</v>
      </c>
    </row>
    <row r="475" spans="1:28" ht="15" customHeight="1" x14ac:dyDescent="0.25">
      <c r="A475" s="230" t="s">
        <v>426</v>
      </c>
      <c r="B475" s="231" t="s">
        <v>427</v>
      </c>
      <c r="C475" s="232" t="s">
        <v>348</v>
      </c>
      <c r="D475" s="230" t="s">
        <v>264</v>
      </c>
      <c r="E475" s="230" t="s">
        <v>265</v>
      </c>
      <c r="F475" s="230" t="s">
        <v>265</v>
      </c>
      <c r="G475" s="230" t="s">
        <v>269</v>
      </c>
      <c r="H475" s="230" t="s">
        <v>328</v>
      </c>
      <c r="I475" s="230"/>
      <c r="J475" s="230"/>
      <c r="K475" s="230"/>
      <c r="L475" s="230"/>
      <c r="M475" s="230" t="s">
        <v>266</v>
      </c>
      <c r="N475" s="230" t="s">
        <v>280</v>
      </c>
      <c r="O475" s="230" t="s">
        <v>267</v>
      </c>
      <c r="P475" s="231" t="s">
        <v>349</v>
      </c>
      <c r="Q475" s="231"/>
      <c r="R475" s="233">
        <v>3000000</v>
      </c>
      <c r="S475" s="233">
        <v>9000000</v>
      </c>
      <c r="T475" s="233">
        <v>0</v>
      </c>
      <c r="U475" s="233">
        <v>12000000</v>
      </c>
      <c r="V475" s="233">
        <v>0</v>
      </c>
      <c r="W475" s="233">
        <v>10647400</v>
      </c>
      <c r="X475" s="233">
        <v>1352600</v>
      </c>
      <c r="Y475" s="233">
        <v>10647400</v>
      </c>
      <c r="Z475" s="233">
        <v>10647400</v>
      </c>
      <c r="AA475" s="233">
        <v>10647400</v>
      </c>
      <c r="AB475" s="233">
        <v>10647400</v>
      </c>
    </row>
    <row r="476" spans="1:28" ht="15" customHeight="1" x14ac:dyDescent="0.25">
      <c r="A476" s="230" t="s">
        <v>426</v>
      </c>
      <c r="B476" s="231" t="s">
        <v>427</v>
      </c>
      <c r="C476" s="232" t="s">
        <v>350</v>
      </c>
      <c r="D476" s="230" t="s">
        <v>264</v>
      </c>
      <c r="E476" s="230" t="s">
        <v>265</v>
      </c>
      <c r="F476" s="230" t="s">
        <v>265</v>
      </c>
      <c r="G476" s="230" t="s">
        <v>269</v>
      </c>
      <c r="H476" s="230" t="s">
        <v>351</v>
      </c>
      <c r="I476" s="230"/>
      <c r="J476" s="230"/>
      <c r="K476" s="230"/>
      <c r="L476" s="230"/>
      <c r="M476" s="230" t="s">
        <v>266</v>
      </c>
      <c r="N476" s="230" t="s">
        <v>280</v>
      </c>
      <c r="O476" s="230" t="s">
        <v>267</v>
      </c>
      <c r="P476" s="231" t="s">
        <v>352</v>
      </c>
      <c r="Q476" s="231"/>
      <c r="R476" s="233">
        <v>3000000</v>
      </c>
      <c r="S476" s="233">
        <v>0</v>
      </c>
      <c r="T476" s="233">
        <v>3000000</v>
      </c>
      <c r="U476" s="233">
        <v>0</v>
      </c>
      <c r="V476" s="233">
        <v>0</v>
      </c>
      <c r="W476" s="233">
        <v>0</v>
      </c>
      <c r="X476" s="233">
        <v>0</v>
      </c>
      <c r="Y476" s="233">
        <v>0</v>
      </c>
      <c r="Z476" s="233">
        <v>0</v>
      </c>
      <c r="AA476" s="233">
        <v>0</v>
      </c>
      <c r="AB476" s="233">
        <v>0</v>
      </c>
    </row>
    <row r="477" spans="1:28" ht="15" customHeight="1" x14ac:dyDescent="0.25">
      <c r="A477" s="230" t="s">
        <v>426</v>
      </c>
      <c r="B477" s="231" t="s">
        <v>427</v>
      </c>
      <c r="C477" s="232" t="s">
        <v>353</v>
      </c>
      <c r="D477" s="230" t="s">
        <v>264</v>
      </c>
      <c r="E477" s="230" t="s">
        <v>265</v>
      </c>
      <c r="F477" s="230" t="s">
        <v>265</v>
      </c>
      <c r="G477" s="230" t="s">
        <v>269</v>
      </c>
      <c r="H477" s="230" t="s">
        <v>331</v>
      </c>
      <c r="I477" s="230"/>
      <c r="J477" s="230"/>
      <c r="K477" s="230"/>
      <c r="L477" s="230"/>
      <c r="M477" s="230" t="s">
        <v>266</v>
      </c>
      <c r="N477" s="230" t="s">
        <v>280</v>
      </c>
      <c r="O477" s="230" t="s">
        <v>267</v>
      </c>
      <c r="P477" s="231" t="s">
        <v>354</v>
      </c>
      <c r="Q477" s="231"/>
      <c r="R477" s="233">
        <v>6000000</v>
      </c>
      <c r="S477" s="233">
        <v>0</v>
      </c>
      <c r="T477" s="233">
        <v>6000000</v>
      </c>
      <c r="U477" s="233">
        <v>0</v>
      </c>
      <c r="V477" s="233">
        <v>0</v>
      </c>
      <c r="W477" s="233">
        <v>0</v>
      </c>
      <c r="X477" s="233">
        <v>0</v>
      </c>
      <c r="Y477" s="233">
        <v>0</v>
      </c>
      <c r="Z477" s="233">
        <v>0</v>
      </c>
      <c r="AA477" s="233">
        <v>0</v>
      </c>
      <c r="AB477" s="233">
        <v>0</v>
      </c>
    </row>
    <row r="478" spans="1:28" ht="15" customHeight="1" x14ac:dyDescent="0.25">
      <c r="A478" s="230" t="s">
        <v>426</v>
      </c>
      <c r="B478" s="231" t="s">
        <v>427</v>
      </c>
      <c r="C478" s="232" t="s">
        <v>355</v>
      </c>
      <c r="D478" s="230" t="s">
        <v>264</v>
      </c>
      <c r="E478" s="230" t="s">
        <v>265</v>
      </c>
      <c r="F478" s="230" t="s">
        <v>265</v>
      </c>
      <c r="G478" s="230" t="s">
        <v>271</v>
      </c>
      <c r="H478" s="230" t="s">
        <v>281</v>
      </c>
      <c r="I478" s="230" t="s">
        <v>281</v>
      </c>
      <c r="J478" s="230"/>
      <c r="K478" s="230"/>
      <c r="L478" s="230"/>
      <c r="M478" s="230" t="s">
        <v>266</v>
      </c>
      <c r="N478" s="230" t="s">
        <v>280</v>
      </c>
      <c r="O478" s="230" t="s">
        <v>267</v>
      </c>
      <c r="P478" s="231" t="s">
        <v>356</v>
      </c>
      <c r="Q478" s="231"/>
      <c r="R478" s="233">
        <v>29000000</v>
      </c>
      <c r="S478" s="233">
        <v>0</v>
      </c>
      <c r="T478" s="233">
        <v>0</v>
      </c>
      <c r="U478" s="233">
        <v>29000000</v>
      </c>
      <c r="V478" s="233">
        <v>0</v>
      </c>
      <c r="W478" s="233">
        <v>19391517</v>
      </c>
      <c r="X478" s="233">
        <v>9608483</v>
      </c>
      <c r="Y478" s="233">
        <v>19391517</v>
      </c>
      <c r="Z478" s="233">
        <v>19391517</v>
      </c>
      <c r="AA478" s="233">
        <v>19391517</v>
      </c>
      <c r="AB478" s="233">
        <v>19391517</v>
      </c>
    </row>
    <row r="479" spans="1:28" ht="15" customHeight="1" x14ac:dyDescent="0.25">
      <c r="A479" s="230" t="s">
        <v>426</v>
      </c>
      <c r="B479" s="231" t="s">
        <v>427</v>
      </c>
      <c r="C479" s="232" t="s">
        <v>357</v>
      </c>
      <c r="D479" s="230" t="s">
        <v>264</v>
      </c>
      <c r="E479" s="230" t="s">
        <v>265</v>
      </c>
      <c r="F479" s="230" t="s">
        <v>265</v>
      </c>
      <c r="G479" s="230" t="s">
        <v>271</v>
      </c>
      <c r="H479" s="230" t="s">
        <v>281</v>
      </c>
      <c r="I479" s="230" t="s">
        <v>283</v>
      </c>
      <c r="J479" s="230"/>
      <c r="K479" s="230"/>
      <c r="L479" s="230"/>
      <c r="M479" s="230" t="s">
        <v>266</v>
      </c>
      <c r="N479" s="230" t="s">
        <v>280</v>
      </c>
      <c r="O479" s="230" t="s">
        <v>267</v>
      </c>
      <c r="P479" s="231" t="s">
        <v>358</v>
      </c>
      <c r="Q479" s="231"/>
      <c r="R479" s="233">
        <v>0</v>
      </c>
      <c r="S479" s="233">
        <v>4366187</v>
      </c>
      <c r="T479" s="233">
        <v>0</v>
      </c>
      <c r="U479" s="233">
        <v>4366187</v>
      </c>
      <c r="V479" s="233">
        <v>0</v>
      </c>
      <c r="W479" s="233">
        <v>2888306</v>
      </c>
      <c r="X479" s="233">
        <v>1477881</v>
      </c>
      <c r="Y479" s="233">
        <v>2888306</v>
      </c>
      <c r="Z479" s="233">
        <v>2888306</v>
      </c>
      <c r="AA479" s="233">
        <v>2888306</v>
      </c>
      <c r="AB479" s="233">
        <v>2888306</v>
      </c>
    </row>
    <row r="480" spans="1:28" ht="15" customHeight="1" x14ac:dyDescent="0.25">
      <c r="A480" s="230" t="s">
        <v>426</v>
      </c>
      <c r="B480" s="231" t="s">
        <v>427</v>
      </c>
      <c r="C480" s="232" t="s">
        <v>359</v>
      </c>
      <c r="D480" s="230" t="s">
        <v>264</v>
      </c>
      <c r="E480" s="230" t="s">
        <v>265</v>
      </c>
      <c r="F480" s="230" t="s">
        <v>265</v>
      </c>
      <c r="G480" s="230" t="s">
        <v>271</v>
      </c>
      <c r="H480" s="230" t="s">
        <v>281</v>
      </c>
      <c r="I480" s="230" t="s">
        <v>316</v>
      </c>
      <c r="J480" s="230"/>
      <c r="K480" s="230"/>
      <c r="L480" s="230"/>
      <c r="M480" s="230" t="s">
        <v>266</v>
      </c>
      <c r="N480" s="230" t="s">
        <v>280</v>
      </c>
      <c r="O480" s="230" t="s">
        <v>267</v>
      </c>
      <c r="P480" s="231" t="s">
        <v>360</v>
      </c>
      <c r="Q480" s="231"/>
      <c r="R480" s="233">
        <v>3000000</v>
      </c>
      <c r="S480" s="233">
        <v>0</v>
      </c>
      <c r="T480" s="233">
        <v>0</v>
      </c>
      <c r="U480" s="233">
        <v>3000000</v>
      </c>
      <c r="V480" s="233">
        <v>0</v>
      </c>
      <c r="W480" s="233">
        <v>1729058</v>
      </c>
      <c r="X480" s="233">
        <v>1270942</v>
      </c>
      <c r="Y480" s="233">
        <v>1729058</v>
      </c>
      <c r="Z480" s="233">
        <v>1729058</v>
      </c>
      <c r="AA480" s="233">
        <v>1729058</v>
      </c>
      <c r="AB480" s="233">
        <v>1729058</v>
      </c>
    </row>
    <row r="481" spans="1:28" ht="15" customHeight="1" x14ac:dyDescent="0.25">
      <c r="A481" s="230" t="s">
        <v>426</v>
      </c>
      <c r="B481" s="231" t="s">
        <v>427</v>
      </c>
      <c r="C481" s="232" t="s">
        <v>361</v>
      </c>
      <c r="D481" s="230" t="s">
        <v>264</v>
      </c>
      <c r="E481" s="230" t="s">
        <v>265</v>
      </c>
      <c r="F481" s="230" t="s">
        <v>265</v>
      </c>
      <c r="G481" s="230" t="s">
        <v>271</v>
      </c>
      <c r="H481" s="230" t="s">
        <v>283</v>
      </c>
      <c r="I481" s="230"/>
      <c r="J481" s="230"/>
      <c r="K481" s="230"/>
      <c r="L481" s="230"/>
      <c r="M481" s="230" t="s">
        <v>266</v>
      </c>
      <c r="N481" s="230" t="s">
        <v>280</v>
      </c>
      <c r="O481" s="230" t="s">
        <v>267</v>
      </c>
      <c r="P481" s="231" t="s">
        <v>362</v>
      </c>
      <c r="Q481" s="231"/>
      <c r="R481" s="233">
        <v>29000000</v>
      </c>
      <c r="S481" s="233">
        <v>0</v>
      </c>
      <c r="T481" s="233">
        <v>0</v>
      </c>
      <c r="U481" s="233">
        <v>29000000</v>
      </c>
      <c r="V481" s="233">
        <v>0</v>
      </c>
      <c r="W481" s="233">
        <v>20678991</v>
      </c>
      <c r="X481" s="233">
        <v>8321009</v>
      </c>
      <c r="Y481" s="233">
        <v>20678991</v>
      </c>
      <c r="Z481" s="233">
        <v>20678991</v>
      </c>
      <c r="AA481" s="233">
        <v>20678991</v>
      </c>
      <c r="AB481" s="233">
        <v>20678991</v>
      </c>
    </row>
    <row r="482" spans="1:28" ht="15" customHeight="1" x14ac:dyDescent="0.25">
      <c r="A482" s="230" t="s">
        <v>426</v>
      </c>
      <c r="B482" s="231" t="s">
        <v>427</v>
      </c>
      <c r="C482" s="232" t="s">
        <v>363</v>
      </c>
      <c r="D482" s="230" t="s">
        <v>264</v>
      </c>
      <c r="E482" s="230" t="s">
        <v>269</v>
      </c>
      <c r="F482" s="230" t="s">
        <v>269</v>
      </c>
      <c r="G482" s="230" t="s">
        <v>269</v>
      </c>
      <c r="H482" s="230" t="s">
        <v>325</v>
      </c>
      <c r="I482" s="230" t="s">
        <v>319</v>
      </c>
      <c r="J482" s="230"/>
      <c r="K482" s="230"/>
      <c r="L482" s="230"/>
      <c r="M482" s="230" t="s">
        <v>273</v>
      </c>
      <c r="N482" s="230" t="s">
        <v>34</v>
      </c>
      <c r="O482" s="230" t="s">
        <v>267</v>
      </c>
      <c r="P482" s="231" t="s">
        <v>364</v>
      </c>
      <c r="Q482" s="231"/>
      <c r="R482" s="233">
        <v>0</v>
      </c>
      <c r="S482" s="233">
        <v>110000</v>
      </c>
      <c r="T482" s="233">
        <v>0</v>
      </c>
      <c r="U482" s="233">
        <v>110000</v>
      </c>
      <c r="V482" s="233">
        <v>0</v>
      </c>
      <c r="W482" s="233">
        <v>110000</v>
      </c>
      <c r="X482" s="233">
        <v>0</v>
      </c>
      <c r="Y482" s="233">
        <v>110000</v>
      </c>
      <c r="Z482" s="233">
        <v>110000</v>
      </c>
      <c r="AA482" s="233">
        <v>110000</v>
      </c>
      <c r="AB482" s="233">
        <v>110000</v>
      </c>
    </row>
    <row r="483" spans="1:28" ht="15" customHeight="1" x14ac:dyDescent="0.25">
      <c r="A483" s="230" t="s">
        <v>426</v>
      </c>
      <c r="B483" s="231" t="s">
        <v>427</v>
      </c>
      <c r="C483" s="232" t="s">
        <v>365</v>
      </c>
      <c r="D483" s="230" t="s">
        <v>264</v>
      </c>
      <c r="E483" s="230" t="s">
        <v>269</v>
      </c>
      <c r="F483" s="230" t="s">
        <v>269</v>
      </c>
      <c r="G483" s="230" t="s">
        <v>269</v>
      </c>
      <c r="H483" s="230" t="s">
        <v>325</v>
      </c>
      <c r="I483" s="230" t="s">
        <v>331</v>
      </c>
      <c r="J483" s="230"/>
      <c r="K483" s="230"/>
      <c r="L483" s="230"/>
      <c r="M483" s="230" t="s">
        <v>266</v>
      </c>
      <c r="N483" s="230" t="s">
        <v>280</v>
      </c>
      <c r="O483" s="230" t="s">
        <v>267</v>
      </c>
      <c r="P483" s="231" t="s">
        <v>366</v>
      </c>
      <c r="Q483" s="231"/>
      <c r="R483" s="233">
        <v>16500000</v>
      </c>
      <c r="S483" s="233">
        <v>1600000</v>
      </c>
      <c r="T483" s="233">
        <v>0</v>
      </c>
      <c r="U483" s="233">
        <v>18100000</v>
      </c>
      <c r="V483" s="233">
        <v>0</v>
      </c>
      <c r="W483" s="233">
        <v>16500000</v>
      </c>
      <c r="X483" s="233">
        <v>1600000</v>
      </c>
      <c r="Y483" s="233">
        <v>16378577</v>
      </c>
      <c r="Z483" s="233">
        <v>16378577</v>
      </c>
      <c r="AA483" s="233">
        <v>16378577</v>
      </c>
      <c r="AB483" s="233">
        <v>16378577</v>
      </c>
    </row>
    <row r="484" spans="1:28" ht="15" customHeight="1" x14ac:dyDescent="0.25">
      <c r="A484" s="230" t="s">
        <v>426</v>
      </c>
      <c r="B484" s="231" t="s">
        <v>427</v>
      </c>
      <c r="C484" s="232" t="s">
        <v>383</v>
      </c>
      <c r="D484" s="230" t="s">
        <v>264</v>
      </c>
      <c r="E484" s="230" t="s">
        <v>269</v>
      </c>
      <c r="F484" s="230" t="s">
        <v>269</v>
      </c>
      <c r="G484" s="230" t="s">
        <v>269</v>
      </c>
      <c r="H484" s="230" t="s">
        <v>328</v>
      </c>
      <c r="I484" s="230" t="s">
        <v>283</v>
      </c>
      <c r="J484" s="230"/>
      <c r="K484" s="230"/>
      <c r="L484" s="230"/>
      <c r="M484" s="230" t="s">
        <v>266</v>
      </c>
      <c r="N484" s="230" t="s">
        <v>280</v>
      </c>
      <c r="O484" s="230" t="s">
        <v>267</v>
      </c>
      <c r="P484" s="231" t="s">
        <v>384</v>
      </c>
      <c r="Q484" s="231"/>
      <c r="R484" s="233">
        <v>12000000</v>
      </c>
      <c r="S484" s="233">
        <v>100144</v>
      </c>
      <c r="T484" s="233">
        <v>0</v>
      </c>
      <c r="U484" s="233">
        <v>12100144</v>
      </c>
      <c r="V484" s="233">
        <v>0</v>
      </c>
      <c r="W484" s="233">
        <v>12100144</v>
      </c>
      <c r="X484" s="233">
        <v>0</v>
      </c>
      <c r="Y484" s="233">
        <v>12100144</v>
      </c>
      <c r="Z484" s="233">
        <v>12100144</v>
      </c>
      <c r="AA484" s="233">
        <v>12100144</v>
      </c>
      <c r="AB484" s="233">
        <v>12100144</v>
      </c>
    </row>
    <row r="485" spans="1:28" ht="15" customHeight="1" x14ac:dyDescent="0.25">
      <c r="A485" s="230" t="s">
        <v>426</v>
      </c>
      <c r="B485" s="231" t="s">
        <v>427</v>
      </c>
      <c r="C485" s="232" t="s">
        <v>367</v>
      </c>
      <c r="D485" s="230" t="s">
        <v>264</v>
      </c>
      <c r="E485" s="230" t="s">
        <v>269</v>
      </c>
      <c r="F485" s="230" t="s">
        <v>269</v>
      </c>
      <c r="G485" s="230" t="s">
        <v>269</v>
      </c>
      <c r="H485" s="230" t="s">
        <v>351</v>
      </c>
      <c r="I485" s="230" t="s">
        <v>319</v>
      </c>
      <c r="J485" s="230"/>
      <c r="K485" s="230"/>
      <c r="L485" s="230"/>
      <c r="M485" s="230" t="s">
        <v>266</v>
      </c>
      <c r="N485" s="230" t="s">
        <v>280</v>
      </c>
      <c r="O485" s="230" t="s">
        <v>267</v>
      </c>
      <c r="P485" s="231" t="s">
        <v>368</v>
      </c>
      <c r="Q485" s="231"/>
      <c r="R485" s="233">
        <v>600000</v>
      </c>
      <c r="S485" s="233">
        <v>400000</v>
      </c>
      <c r="T485" s="233">
        <v>0</v>
      </c>
      <c r="U485" s="233">
        <v>1000000</v>
      </c>
      <c r="V485" s="233">
        <v>0</v>
      </c>
      <c r="W485" s="233">
        <v>1000000</v>
      </c>
      <c r="X485" s="233">
        <v>0</v>
      </c>
      <c r="Y485" s="233">
        <v>853329</v>
      </c>
      <c r="Z485" s="233">
        <v>853329</v>
      </c>
      <c r="AA485" s="233">
        <v>853329</v>
      </c>
      <c r="AB485" s="233">
        <v>853329</v>
      </c>
    </row>
    <row r="486" spans="1:28" ht="15" customHeight="1" x14ac:dyDescent="0.25">
      <c r="A486" s="230" t="s">
        <v>426</v>
      </c>
      <c r="B486" s="231" t="s">
        <v>427</v>
      </c>
      <c r="C486" s="232" t="s">
        <v>369</v>
      </c>
      <c r="D486" s="230" t="s">
        <v>264</v>
      </c>
      <c r="E486" s="230" t="s">
        <v>269</v>
      </c>
      <c r="F486" s="230" t="s">
        <v>269</v>
      </c>
      <c r="G486" s="230" t="s">
        <v>269</v>
      </c>
      <c r="H486" s="230" t="s">
        <v>331</v>
      </c>
      <c r="I486" s="230" t="s">
        <v>319</v>
      </c>
      <c r="J486" s="230"/>
      <c r="K486" s="230"/>
      <c r="L486" s="230"/>
      <c r="M486" s="230" t="s">
        <v>266</v>
      </c>
      <c r="N486" s="230" t="s">
        <v>280</v>
      </c>
      <c r="O486" s="230" t="s">
        <v>267</v>
      </c>
      <c r="P486" s="231" t="s">
        <v>370</v>
      </c>
      <c r="Q486" s="231"/>
      <c r="R486" s="233">
        <v>1000000</v>
      </c>
      <c r="S486" s="233">
        <v>460000</v>
      </c>
      <c r="T486" s="233">
        <v>0</v>
      </c>
      <c r="U486" s="233">
        <v>1460000</v>
      </c>
      <c r="V486" s="233">
        <v>0</v>
      </c>
      <c r="W486" s="233">
        <v>1400000</v>
      </c>
      <c r="X486" s="233">
        <v>60000</v>
      </c>
      <c r="Y486" s="233">
        <v>1286717</v>
      </c>
      <c r="Z486" s="233">
        <v>1286717</v>
      </c>
      <c r="AA486" s="233">
        <v>1286717</v>
      </c>
      <c r="AB486" s="233">
        <v>1286717</v>
      </c>
    </row>
    <row r="487" spans="1:28" ht="15" customHeight="1" x14ac:dyDescent="0.25">
      <c r="A487" s="230" t="s">
        <v>426</v>
      </c>
      <c r="B487" s="231" t="s">
        <v>427</v>
      </c>
      <c r="C487" s="232" t="s">
        <v>371</v>
      </c>
      <c r="D487" s="230" t="s">
        <v>264</v>
      </c>
      <c r="E487" s="230" t="s">
        <v>269</v>
      </c>
      <c r="F487" s="230" t="s">
        <v>269</v>
      </c>
      <c r="G487" s="230" t="s">
        <v>269</v>
      </c>
      <c r="H487" s="230" t="s">
        <v>334</v>
      </c>
      <c r="I487" s="230"/>
      <c r="J487" s="230"/>
      <c r="K487" s="230"/>
      <c r="L487" s="230"/>
      <c r="M487" s="230" t="s">
        <v>266</v>
      </c>
      <c r="N487" s="230" t="s">
        <v>280</v>
      </c>
      <c r="O487" s="230" t="s">
        <v>267</v>
      </c>
      <c r="P487" s="231" t="s">
        <v>372</v>
      </c>
      <c r="Q487" s="231"/>
      <c r="R487" s="233">
        <v>0</v>
      </c>
      <c r="S487" s="233">
        <v>364175</v>
      </c>
      <c r="T487" s="233">
        <v>0</v>
      </c>
      <c r="U487" s="233">
        <v>364175</v>
      </c>
      <c r="V487" s="233">
        <v>0</v>
      </c>
      <c r="W487" s="233">
        <v>364175</v>
      </c>
      <c r="X487" s="233">
        <v>0</v>
      </c>
      <c r="Y487" s="233">
        <v>364175</v>
      </c>
      <c r="Z487" s="233">
        <v>364175</v>
      </c>
      <c r="AA487" s="233">
        <v>364175</v>
      </c>
      <c r="AB487" s="233">
        <v>364175</v>
      </c>
    </row>
    <row r="488" spans="1:28" ht="15" customHeight="1" x14ac:dyDescent="0.25">
      <c r="A488" s="230" t="s">
        <v>426</v>
      </c>
      <c r="B488" s="231" t="s">
        <v>427</v>
      </c>
      <c r="C488" s="232" t="s">
        <v>373</v>
      </c>
      <c r="D488" s="230" t="s">
        <v>264</v>
      </c>
      <c r="E488" s="230" t="s">
        <v>271</v>
      </c>
      <c r="F488" s="230" t="s">
        <v>277</v>
      </c>
      <c r="G488" s="230" t="s">
        <v>269</v>
      </c>
      <c r="H488" s="230" t="s">
        <v>278</v>
      </c>
      <c r="I488" s="230" t="s">
        <v>281</v>
      </c>
      <c r="J488" s="230"/>
      <c r="K488" s="230"/>
      <c r="L488" s="230"/>
      <c r="M488" s="230" t="s">
        <v>266</v>
      </c>
      <c r="N488" s="230" t="s">
        <v>280</v>
      </c>
      <c r="O488" s="230" t="s">
        <v>267</v>
      </c>
      <c r="P488" s="231" t="s">
        <v>374</v>
      </c>
      <c r="Q488" s="231"/>
      <c r="R488" s="233">
        <v>0</v>
      </c>
      <c r="S488" s="233">
        <v>3200000</v>
      </c>
      <c r="T488" s="233">
        <v>0</v>
      </c>
      <c r="U488" s="233">
        <v>3200000</v>
      </c>
      <c r="V488" s="233">
        <v>0</v>
      </c>
      <c r="W488" s="233">
        <v>3070790</v>
      </c>
      <c r="X488" s="233">
        <v>129210</v>
      </c>
      <c r="Y488" s="233">
        <v>3070790</v>
      </c>
      <c r="Z488" s="233">
        <v>3070790</v>
      </c>
      <c r="AA488" s="233">
        <v>3070790</v>
      </c>
      <c r="AB488" s="233">
        <v>3070790</v>
      </c>
    </row>
    <row r="489" spans="1:28" ht="15" customHeight="1" x14ac:dyDescent="0.25">
      <c r="A489" s="230" t="s">
        <v>426</v>
      </c>
      <c r="B489" s="231" t="s">
        <v>427</v>
      </c>
      <c r="C489" s="232" t="s">
        <v>375</v>
      </c>
      <c r="D489" s="230" t="s">
        <v>264</v>
      </c>
      <c r="E489" s="230" t="s">
        <v>285</v>
      </c>
      <c r="F489" s="230" t="s">
        <v>265</v>
      </c>
      <c r="G489" s="230" t="s">
        <v>269</v>
      </c>
      <c r="H489" s="230" t="s">
        <v>281</v>
      </c>
      <c r="I489" s="230"/>
      <c r="J489" s="230"/>
      <c r="K489" s="230"/>
      <c r="L489" s="230"/>
      <c r="M489" s="230" t="s">
        <v>266</v>
      </c>
      <c r="N489" s="230" t="s">
        <v>280</v>
      </c>
      <c r="O489" s="230" t="s">
        <v>267</v>
      </c>
      <c r="P489" s="231" t="s">
        <v>376</v>
      </c>
      <c r="Q489" s="231"/>
      <c r="R489" s="233">
        <v>0</v>
      </c>
      <c r="S489" s="233">
        <v>8000000</v>
      </c>
      <c r="T489" s="233">
        <v>570742</v>
      </c>
      <c r="U489" s="233">
        <v>7429258</v>
      </c>
      <c r="V489" s="233">
        <v>0</v>
      </c>
      <c r="W489" s="233">
        <v>7429258</v>
      </c>
      <c r="X489" s="233">
        <v>0</v>
      </c>
      <c r="Y489" s="233">
        <v>7429258</v>
      </c>
      <c r="Z489" s="233">
        <v>7429258</v>
      </c>
      <c r="AA489" s="233">
        <v>7429258</v>
      </c>
      <c r="AB489" s="233">
        <v>7429258</v>
      </c>
    </row>
    <row r="490" spans="1:28" ht="15" customHeight="1" x14ac:dyDescent="0.25">
      <c r="A490" s="230" t="s">
        <v>426</v>
      </c>
      <c r="B490" s="231" t="s">
        <v>427</v>
      </c>
      <c r="C490" s="232" t="s">
        <v>377</v>
      </c>
      <c r="D490" s="230" t="s">
        <v>264</v>
      </c>
      <c r="E490" s="230" t="s">
        <v>285</v>
      </c>
      <c r="F490" s="230" t="s">
        <v>265</v>
      </c>
      <c r="G490" s="230" t="s">
        <v>269</v>
      </c>
      <c r="H490" s="230" t="s">
        <v>316</v>
      </c>
      <c r="I490" s="230"/>
      <c r="J490" s="230"/>
      <c r="K490" s="230"/>
      <c r="L490" s="230"/>
      <c r="M490" s="230" t="s">
        <v>273</v>
      </c>
      <c r="N490" s="230" t="s">
        <v>34</v>
      </c>
      <c r="O490" s="230" t="s">
        <v>267</v>
      </c>
      <c r="P490" s="231" t="s">
        <v>378</v>
      </c>
      <c r="Q490" s="231"/>
      <c r="R490" s="233">
        <v>0</v>
      </c>
      <c r="S490" s="233">
        <v>3500000</v>
      </c>
      <c r="T490" s="233">
        <v>2319127</v>
      </c>
      <c r="U490" s="233">
        <v>1180873</v>
      </c>
      <c r="V490" s="233">
        <v>0</v>
      </c>
      <c r="W490" s="233">
        <v>1180873</v>
      </c>
      <c r="X490" s="233">
        <v>0</v>
      </c>
      <c r="Y490" s="233">
        <v>1180873</v>
      </c>
      <c r="Z490" s="233">
        <v>1180873</v>
      </c>
      <c r="AA490" s="233">
        <v>1180873</v>
      </c>
      <c r="AB490" s="233">
        <v>1180873</v>
      </c>
    </row>
    <row r="491" spans="1:28" ht="15" customHeight="1" x14ac:dyDescent="0.25">
      <c r="A491" s="230" t="s">
        <v>428</v>
      </c>
      <c r="B491" s="231" t="s">
        <v>429</v>
      </c>
      <c r="C491" s="232" t="s">
        <v>313</v>
      </c>
      <c r="D491" s="230" t="s">
        <v>264</v>
      </c>
      <c r="E491" s="230" t="s">
        <v>265</v>
      </c>
      <c r="F491" s="230" t="s">
        <v>265</v>
      </c>
      <c r="G491" s="230" t="s">
        <v>265</v>
      </c>
      <c r="H491" s="230" t="s">
        <v>281</v>
      </c>
      <c r="I491" s="230" t="s">
        <v>281</v>
      </c>
      <c r="J491" s="230"/>
      <c r="K491" s="230"/>
      <c r="L491" s="230"/>
      <c r="M491" s="230" t="s">
        <v>266</v>
      </c>
      <c r="N491" s="230" t="s">
        <v>280</v>
      </c>
      <c r="O491" s="230" t="s">
        <v>267</v>
      </c>
      <c r="P491" s="231" t="s">
        <v>314</v>
      </c>
      <c r="Q491" s="231"/>
      <c r="R491" s="233">
        <v>594000000</v>
      </c>
      <c r="S491" s="233">
        <v>48839000</v>
      </c>
      <c r="T491" s="233">
        <v>0</v>
      </c>
      <c r="U491" s="233">
        <v>642839000</v>
      </c>
      <c r="V491" s="233">
        <v>0</v>
      </c>
      <c r="W491" s="233">
        <v>590838750</v>
      </c>
      <c r="X491" s="233">
        <v>52000250</v>
      </c>
      <c r="Y491" s="233">
        <v>590838750</v>
      </c>
      <c r="Z491" s="233">
        <v>590838750</v>
      </c>
      <c r="AA491" s="233">
        <v>590838750</v>
      </c>
      <c r="AB491" s="233">
        <v>590838750</v>
      </c>
    </row>
    <row r="492" spans="1:28" ht="15" customHeight="1" x14ac:dyDescent="0.25">
      <c r="A492" s="230" t="s">
        <v>428</v>
      </c>
      <c r="B492" s="231" t="s">
        <v>429</v>
      </c>
      <c r="C492" s="232" t="s">
        <v>315</v>
      </c>
      <c r="D492" s="230" t="s">
        <v>264</v>
      </c>
      <c r="E492" s="230" t="s">
        <v>265</v>
      </c>
      <c r="F492" s="230" t="s">
        <v>265</v>
      </c>
      <c r="G492" s="230" t="s">
        <v>265</v>
      </c>
      <c r="H492" s="230" t="s">
        <v>281</v>
      </c>
      <c r="I492" s="230" t="s">
        <v>316</v>
      </c>
      <c r="J492" s="230"/>
      <c r="K492" s="230"/>
      <c r="L492" s="230"/>
      <c r="M492" s="230" t="s">
        <v>266</v>
      </c>
      <c r="N492" s="230" t="s">
        <v>280</v>
      </c>
      <c r="O492" s="230" t="s">
        <v>267</v>
      </c>
      <c r="P492" s="231" t="s">
        <v>317</v>
      </c>
      <c r="Q492" s="231"/>
      <c r="R492" s="233">
        <v>0</v>
      </c>
      <c r="S492" s="233">
        <v>9818174</v>
      </c>
      <c r="T492" s="233">
        <v>0</v>
      </c>
      <c r="U492" s="233">
        <v>9818174</v>
      </c>
      <c r="V492" s="233">
        <v>0</v>
      </c>
      <c r="W492" s="233">
        <v>7256926</v>
      </c>
      <c r="X492" s="233">
        <v>2561248</v>
      </c>
      <c r="Y492" s="233">
        <v>7256926</v>
      </c>
      <c r="Z492" s="233">
        <v>7256926</v>
      </c>
      <c r="AA492" s="233">
        <v>7256926</v>
      </c>
      <c r="AB492" s="233">
        <v>7256926</v>
      </c>
    </row>
    <row r="493" spans="1:28" ht="15" customHeight="1" x14ac:dyDescent="0.25">
      <c r="A493" s="230" t="s">
        <v>428</v>
      </c>
      <c r="B493" s="231" t="s">
        <v>429</v>
      </c>
      <c r="C493" s="232" t="s">
        <v>318</v>
      </c>
      <c r="D493" s="230" t="s">
        <v>264</v>
      </c>
      <c r="E493" s="230" t="s">
        <v>265</v>
      </c>
      <c r="F493" s="230" t="s">
        <v>265</v>
      </c>
      <c r="G493" s="230" t="s">
        <v>265</v>
      </c>
      <c r="H493" s="230" t="s">
        <v>281</v>
      </c>
      <c r="I493" s="230" t="s">
        <v>319</v>
      </c>
      <c r="J493" s="230"/>
      <c r="K493" s="230"/>
      <c r="L493" s="230"/>
      <c r="M493" s="230" t="s">
        <v>266</v>
      </c>
      <c r="N493" s="230" t="s">
        <v>280</v>
      </c>
      <c r="O493" s="230" t="s">
        <v>267</v>
      </c>
      <c r="P493" s="231" t="s">
        <v>320</v>
      </c>
      <c r="Q493" s="231"/>
      <c r="R493" s="233">
        <v>12000000</v>
      </c>
      <c r="S493" s="233">
        <v>2597111</v>
      </c>
      <c r="T493" s="233">
        <v>0</v>
      </c>
      <c r="U493" s="233">
        <v>14597111</v>
      </c>
      <c r="V493" s="233">
        <v>0</v>
      </c>
      <c r="W493" s="233">
        <v>13527111</v>
      </c>
      <c r="X493" s="233">
        <v>1070000</v>
      </c>
      <c r="Y493" s="233">
        <v>13527111</v>
      </c>
      <c r="Z493" s="233">
        <v>13527111</v>
      </c>
      <c r="AA493" s="233">
        <v>13527111</v>
      </c>
      <c r="AB493" s="233">
        <v>13527111</v>
      </c>
    </row>
    <row r="494" spans="1:28" ht="15" customHeight="1" x14ac:dyDescent="0.25">
      <c r="A494" s="230" t="s">
        <v>428</v>
      </c>
      <c r="B494" s="231" t="s">
        <v>429</v>
      </c>
      <c r="C494" s="232" t="s">
        <v>321</v>
      </c>
      <c r="D494" s="230" t="s">
        <v>264</v>
      </c>
      <c r="E494" s="230" t="s">
        <v>265</v>
      </c>
      <c r="F494" s="230" t="s">
        <v>265</v>
      </c>
      <c r="G494" s="230" t="s">
        <v>265</v>
      </c>
      <c r="H494" s="230" t="s">
        <v>281</v>
      </c>
      <c r="I494" s="230" t="s">
        <v>322</v>
      </c>
      <c r="J494" s="230"/>
      <c r="K494" s="230"/>
      <c r="L494" s="230"/>
      <c r="M494" s="230" t="s">
        <v>266</v>
      </c>
      <c r="N494" s="230" t="s">
        <v>280</v>
      </c>
      <c r="O494" s="230" t="s">
        <v>267</v>
      </c>
      <c r="P494" s="231" t="s">
        <v>323</v>
      </c>
      <c r="Q494" s="231"/>
      <c r="R494" s="233">
        <v>10060000</v>
      </c>
      <c r="S494" s="233">
        <v>4535874</v>
      </c>
      <c r="T494" s="233">
        <v>10060000</v>
      </c>
      <c r="U494" s="233">
        <v>4535874</v>
      </c>
      <c r="V494" s="233">
        <v>0</v>
      </c>
      <c r="W494" s="233">
        <v>2955874</v>
      </c>
      <c r="X494" s="233">
        <v>1580000</v>
      </c>
      <c r="Y494" s="233">
        <v>2955874</v>
      </c>
      <c r="Z494" s="233">
        <v>2955874</v>
      </c>
      <c r="AA494" s="233">
        <v>2955874</v>
      </c>
      <c r="AB494" s="233">
        <v>2955874</v>
      </c>
    </row>
    <row r="495" spans="1:28" ht="15" customHeight="1" x14ac:dyDescent="0.25">
      <c r="A495" s="230" t="s">
        <v>428</v>
      </c>
      <c r="B495" s="231" t="s">
        <v>429</v>
      </c>
      <c r="C495" s="232" t="s">
        <v>324</v>
      </c>
      <c r="D495" s="230" t="s">
        <v>264</v>
      </c>
      <c r="E495" s="230" t="s">
        <v>265</v>
      </c>
      <c r="F495" s="230" t="s">
        <v>265</v>
      </c>
      <c r="G495" s="230" t="s">
        <v>265</v>
      </c>
      <c r="H495" s="230" t="s">
        <v>281</v>
      </c>
      <c r="I495" s="230" t="s">
        <v>325</v>
      </c>
      <c r="J495" s="230"/>
      <c r="K495" s="230"/>
      <c r="L495" s="230"/>
      <c r="M495" s="230" t="s">
        <v>266</v>
      </c>
      <c r="N495" s="230" t="s">
        <v>280</v>
      </c>
      <c r="O495" s="230" t="s">
        <v>267</v>
      </c>
      <c r="P495" s="231" t="s">
        <v>326</v>
      </c>
      <c r="Q495" s="231"/>
      <c r="R495" s="233">
        <v>57000000</v>
      </c>
      <c r="S495" s="233">
        <v>11311154</v>
      </c>
      <c r="T495" s="233">
        <v>0</v>
      </c>
      <c r="U495" s="233">
        <v>68311154</v>
      </c>
      <c r="V495" s="233">
        <v>0</v>
      </c>
      <c r="W495" s="233">
        <v>68311154</v>
      </c>
      <c r="X495" s="233">
        <v>0</v>
      </c>
      <c r="Y495" s="233">
        <v>68311154</v>
      </c>
      <c r="Z495" s="233">
        <v>68311154</v>
      </c>
      <c r="AA495" s="233">
        <v>68311154</v>
      </c>
      <c r="AB495" s="233">
        <v>68311154</v>
      </c>
    </row>
    <row r="496" spans="1:28" ht="15" customHeight="1" x14ac:dyDescent="0.25">
      <c r="A496" s="230" t="s">
        <v>428</v>
      </c>
      <c r="B496" s="231" t="s">
        <v>429</v>
      </c>
      <c r="C496" s="232" t="s">
        <v>327</v>
      </c>
      <c r="D496" s="230" t="s">
        <v>264</v>
      </c>
      <c r="E496" s="230" t="s">
        <v>265</v>
      </c>
      <c r="F496" s="230" t="s">
        <v>265</v>
      </c>
      <c r="G496" s="230" t="s">
        <v>265</v>
      </c>
      <c r="H496" s="230" t="s">
        <v>281</v>
      </c>
      <c r="I496" s="230" t="s">
        <v>328</v>
      </c>
      <c r="J496" s="230"/>
      <c r="K496" s="230"/>
      <c r="L496" s="230"/>
      <c r="M496" s="230" t="s">
        <v>266</v>
      </c>
      <c r="N496" s="230" t="s">
        <v>280</v>
      </c>
      <c r="O496" s="230" t="s">
        <v>267</v>
      </c>
      <c r="P496" s="231" t="s">
        <v>329</v>
      </c>
      <c r="Q496" s="231"/>
      <c r="R496" s="233">
        <v>22000000</v>
      </c>
      <c r="S496" s="233">
        <v>4967000</v>
      </c>
      <c r="T496" s="233">
        <v>0</v>
      </c>
      <c r="U496" s="233">
        <v>26967000</v>
      </c>
      <c r="V496" s="233">
        <v>0</v>
      </c>
      <c r="W496" s="233">
        <v>25004724</v>
      </c>
      <c r="X496" s="233">
        <v>1962276</v>
      </c>
      <c r="Y496" s="233">
        <v>25004724</v>
      </c>
      <c r="Z496" s="233">
        <v>25004724</v>
      </c>
      <c r="AA496" s="233">
        <v>25004724</v>
      </c>
      <c r="AB496" s="233">
        <v>25004724</v>
      </c>
    </row>
    <row r="497" spans="1:28" ht="15" customHeight="1" x14ac:dyDescent="0.25">
      <c r="A497" s="230" t="s">
        <v>428</v>
      </c>
      <c r="B497" s="231" t="s">
        <v>429</v>
      </c>
      <c r="C497" s="232" t="s">
        <v>330</v>
      </c>
      <c r="D497" s="230" t="s">
        <v>264</v>
      </c>
      <c r="E497" s="230" t="s">
        <v>265</v>
      </c>
      <c r="F497" s="230" t="s">
        <v>265</v>
      </c>
      <c r="G497" s="230" t="s">
        <v>265</v>
      </c>
      <c r="H497" s="230" t="s">
        <v>281</v>
      </c>
      <c r="I497" s="230" t="s">
        <v>331</v>
      </c>
      <c r="J497" s="230"/>
      <c r="K497" s="230"/>
      <c r="L497" s="230"/>
      <c r="M497" s="230" t="s">
        <v>266</v>
      </c>
      <c r="N497" s="230" t="s">
        <v>280</v>
      </c>
      <c r="O497" s="230" t="s">
        <v>267</v>
      </c>
      <c r="P497" s="231" t="s">
        <v>332</v>
      </c>
      <c r="Q497" s="231"/>
      <c r="R497" s="233">
        <v>75000000</v>
      </c>
      <c r="S497" s="233">
        <v>4875561</v>
      </c>
      <c r="T497" s="233">
        <v>0</v>
      </c>
      <c r="U497" s="233">
        <v>79875561</v>
      </c>
      <c r="V497" s="233">
        <v>0</v>
      </c>
      <c r="W497" s="233">
        <v>79875561</v>
      </c>
      <c r="X497" s="233">
        <v>0</v>
      </c>
      <c r="Y497" s="233">
        <v>79875561</v>
      </c>
      <c r="Z497" s="233">
        <v>79875561</v>
      </c>
      <c r="AA497" s="233">
        <v>79875561</v>
      </c>
      <c r="AB497" s="233">
        <v>79875561</v>
      </c>
    </row>
    <row r="498" spans="1:28" ht="15" customHeight="1" x14ac:dyDescent="0.25">
      <c r="A498" s="230" t="s">
        <v>428</v>
      </c>
      <c r="B498" s="231" t="s">
        <v>429</v>
      </c>
      <c r="C498" s="232" t="s">
        <v>333</v>
      </c>
      <c r="D498" s="230" t="s">
        <v>264</v>
      </c>
      <c r="E498" s="230" t="s">
        <v>265</v>
      </c>
      <c r="F498" s="230" t="s">
        <v>265</v>
      </c>
      <c r="G498" s="230" t="s">
        <v>265</v>
      </c>
      <c r="H498" s="230" t="s">
        <v>281</v>
      </c>
      <c r="I498" s="230" t="s">
        <v>334</v>
      </c>
      <c r="J498" s="230"/>
      <c r="K498" s="230"/>
      <c r="L498" s="230"/>
      <c r="M498" s="230" t="s">
        <v>266</v>
      </c>
      <c r="N498" s="230" t="s">
        <v>280</v>
      </c>
      <c r="O498" s="230" t="s">
        <v>267</v>
      </c>
      <c r="P498" s="231" t="s">
        <v>335</v>
      </c>
      <c r="Q498" s="231"/>
      <c r="R498" s="233">
        <v>35000000</v>
      </c>
      <c r="S498" s="233">
        <v>39086181</v>
      </c>
      <c r="T498" s="233">
        <v>0</v>
      </c>
      <c r="U498" s="233">
        <v>74086181</v>
      </c>
      <c r="V498" s="233">
        <v>0</v>
      </c>
      <c r="W498" s="233">
        <v>61404176</v>
      </c>
      <c r="X498" s="233">
        <v>12682005</v>
      </c>
      <c r="Y498" s="233">
        <v>61404176</v>
      </c>
      <c r="Z498" s="233">
        <v>61404176</v>
      </c>
      <c r="AA498" s="233">
        <v>61404176</v>
      </c>
      <c r="AB498" s="233">
        <v>61404176</v>
      </c>
    </row>
    <row r="499" spans="1:28" ht="15" customHeight="1" x14ac:dyDescent="0.25">
      <c r="A499" s="230" t="s">
        <v>428</v>
      </c>
      <c r="B499" s="231" t="s">
        <v>429</v>
      </c>
      <c r="C499" s="232" t="s">
        <v>336</v>
      </c>
      <c r="D499" s="230" t="s">
        <v>264</v>
      </c>
      <c r="E499" s="230" t="s">
        <v>265</v>
      </c>
      <c r="F499" s="230" t="s">
        <v>265</v>
      </c>
      <c r="G499" s="230" t="s">
        <v>265</v>
      </c>
      <c r="H499" s="230" t="s">
        <v>281</v>
      </c>
      <c r="I499" s="230" t="s">
        <v>278</v>
      </c>
      <c r="J499" s="230"/>
      <c r="K499" s="230"/>
      <c r="L499" s="230"/>
      <c r="M499" s="230" t="s">
        <v>266</v>
      </c>
      <c r="N499" s="230" t="s">
        <v>280</v>
      </c>
      <c r="O499" s="230" t="s">
        <v>267</v>
      </c>
      <c r="P499" s="231" t="s">
        <v>337</v>
      </c>
      <c r="Q499" s="231"/>
      <c r="R499" s="233">
        <v>8000000</v>
      </c>
      <c r="S499" s="233">
        <v>10060000</v>
      </c>
      <c r="T499" s="233">
        <v>1467371</v>
      </c>
      <c r="U499" s="233">
        <v>16592629</v>
      </c>
      <c r="V499" s="233">
        <v>0</v>
      </c>
      <c r="W499" s="233">
        <v>16592629</v>
      </c>
      <c r="X499" s="233">
        <v>0</v>
      </c>
      <c r="Y499" s="233">
        <v>16592629</v>
      </c>
      <c r="Z499" s="233">
        <v>16592629</v>
      </c>
      <c r="AA499" s="233">
        <v>16592629</v>
      </c>
      <c r="AB499" s="233">
        <v>16592629</v>
      </c>
    </row>
    <row r="500" spans="1:28" ht="15" customHeight="1" x14ac:dyDescent="0.25">
      <c r="A500" s="230" t="s">
        <v>428</v>
      </c>
      <c r="B500" s="231" t="s">
        <v>429</v>
      </c>
      <c r="C500" s="232" t="s">
        <v>338</v>
      </c>
      <c r="D500" s="230" t="s">
        <v>264</v>
      </c>
      <c r="E500" s="230" t="s">
        <v>265</v>
      </c>
      <c r="F500" s="230" t="s">
        <v>265</v>
      </c>
      <c r="G500" s="230" t="s">
        <v>269</v>
      </c>
      <c r="H500" s="230" t="s">
        <v>281</v>
      </c>
      <c r="I500" s="230"/>
      <c r="J500" s="230"/>
      <c r="K500" s="230"/>
      <c r="L500" s="230"/>
      <c r="M500" s="230" t="s">
        <v>266</v>
      </c>
      <c r="N500" s="230" t="s">
        <v>280</v>
      </c>
      <c r="O500" s="230" t="s">
        <v>267</v>
      </c>
      <c r="P500" s="231" t="s">
        <v>339</v>
      </c>
      <c r="Q500" s="231"/>
      <c r="R500" s="233">
        <v>58000000</v>
      </c>
      <c r="S500" s="233">
        <v>35161700</v>
      </c>
      <c r="T500" s="233">
        <v>0</v>
      </c>
      <c r="U500" s="233">
        <v>93161700</v>
      </c>
      <c r="V500" s="233">
        <v>0</v>
      </c>
      <c r="W500" s="233">
        <v>84849700</v>
      </c>
      <c r="X500" s="233">
        <v>8312000</v>
      </c>
      <c r="Y500" s="233">
        <v>84849700</v>
      </c>
      <c r="Z500" s="233">
        <v>84849700</v>
      </c>
      <c r="AA500" s="233">
        <v>84849700</v>
      </c>
      <c r="AB500" s="233">
        <v>84849700</v>
      </c>
    </row>
    <row r="501" spans="1:28" ht="15" customHeight="1" x14ac:dyDescent="0.25">
      <c r="A501" s="230" t="s">
        <v>428</v>
      </c>
      <c r="B501" s="231" t="s">
        <v>429</v>
      </c>
      <c r="C501" s="232" t="s">
        <v>340</v>
      </c>
      <c r="D501" s="230" t="s">
        <v>264</v>
      </c>
      <c r="E501" s="230" t="s">
        <v>265</v>
      </c>
      <c r="F501" s="230" t="s">
        <v>265</v>
      </c>
      <c r="G501" s="230" t="s">
        <v>269</v>
      </c>
      <c r="H501" s="230" t="s">
        <v>283</v>
      </c>
      <c r="I501" s="230"/>
      <c r="J501" s="230"/>
      <c r="K501" s="230"/>
      <c r="L501" s="230"/>
      <c r="M501" s="230" t="s">
        <v>266</v>
      </c>
      <c r="N501" s="230" t="s">
        <v>280</v>
      </c>
      <c r="O501" s="230" t="s">
        <v>267</v>
      </c>
      <c r="P501" s="231" t="s">
        <v>341</v>
      </c>
      <c r="Q501" s="231"/>
      <c r="R501" s="233">
        <v>55000000</v>
      </c>
      <c r="S501" s="233">
        <v>10880300</v>
      </c>
      <c r="T501" s="233">
        <v>0</v>
      </c>
      <c r="U501" s="233">
        <v>65880300</v>
      </c>
      <c r="V501" s="233">
        <v>0</v>
      </c>
      <c r="W501" s="233">
        <v>60120100</v>
      </c>
      <c r="X501" s="233">
        <v>5760200</v>
      </c>
      <c r="Y501" s="233">
        <v>60120100</v>
      </c>
      <c r="Z501" s="233">
        <v>60120100</v>
      </c>
      <c r="AA501" s="233">
        <v>60120100</v>
      </c>
      <c r="AB501" s="233">
        <v>60120100</v>
      </c>
    </row>
    <row r="502" spans="1:28" ht="15" customHeight="1" x14ac:dyDescent="0.25">
      <c r="A502" s="230" t="s">
        <v>428</v>
      </c>
      <c r="B502" s="231" t="s">
        <v>429</v>
      </c>
      <c r="C502" s="232" t="s">
        <v>342</v>
      </c>
      <c r="D502" s="230" t="s">
        <v>264</v>
      </c>
      <c r="E502" s="230" t="s">
        <v>265</v>
      </c>
      <c r="F502" s="230" t="s">
        <v>265</v>
      </c>
      <c r="G502" s="230" t="s">
        <v>269</v>
      </c>
      <c r="H502" s="230" t="s">
        <v>319</v>
      </c>
      <c r="I502" s="230"/>
      <c r="J502" s="230"/>
      <c r="K502" s="230"/>
      <c r="L502" s="230"/>
      <c r="M502" s="230" t="s">
        <v>266</v>
      </c>
      <c r="N502" s="230" t="s">
        <v>280</v>
      </c>
      <c r="O502" s="230" t="s">
        <v>267</v>
      </c>
      <c r="P502" s="231" t="s">
        <v>343</v>
      </c>
      <c r="Q502" s="231"/>
      <c r="R502" s="233">
        <v>35000000</v>
      </c>
      <c r="S502" s="233">
        <v>4500000</v>
      </c>
      <c r="T502" s="233">
        <v>0</v>
      </c>
      <c r="U502" s="233">
        <v>39500000</v>
      </c>
      <c r="V502" s="233">
        <v>0</v>
      </c>
      <c r="W502" s="233">
        <v>36446600</v>
      </c>
      <c r="X502" s="233">
        <v>3053400</v>
      </c>
      <c r="Y502" s="233">
        <v>36446600</v>
      </c>
      <c r="Z502" s="233">
        <v>36446600</v>
      </c>
      <c r="AA502" s="233">
        <v>36446600</v>
      </c>
      <c r="AB502" s="233">
        <v>36446600</v>
      </c>
    </row>
    <row r="503" spans="1:28" ht="15" customHeight="1" x14ac:dyDescent="0.25">
      <c r="A503" s="230" t="s">
        <v>428</v>
      </c>
      <c r="B503" s="231" t="s">
        <v>429</v>
      </c>
      <c r="C503" s="232" t="s">
        <v>344</v>
      </c>
      <c r="D503" s="230" t="s">
        <v>264</v>
      </c>
      <c r="E503" s="230" t="s">
        <v>265</v>
      </c>
      <c r="F503" s="230" t="s">
        <v>265</v>
      </c>
      <c r="G503" s="230" t="s">
        <v>269</v>
      </c>
      <c r="H503" s="230" t="s">
        <v>322</v>
      </c>
      <c r="I503" s="230"/>
      <c r="J503" s="230"/>
      <c r="K503" s="230"/>
      <c r="L503" s="230"/>
      <c r="M503" s="230" t="s">
        <v>266</v>
      </c>
      <c r="N503" s="230" t="s">
        <v>280</v>
      </c>
      <c r="O503" s="230" t="s">
        <v>267</v>
      </c>
      <c r="P503" s="231" t="s">
        <v>345</v>
      </c>
      <c r="Q503" s="231"/>
      <c r="R503" s="233">
        <v>8000000</v>
      </c>
      <c r="S503" s="233">
        <v>2699500</v>
      </c>
      <c r="T503" s="233">
        <v>0</v>
      </c>
      <c r="U503" s="233">
        <v>10699500</v>
      </c>
      <c r="V503" s="233">
        <v>0</v>
      </c>
      <c r="W503" s="233">
        <v>9513200</v>
      </c>
      <c r="X503" s="233">
        <v>1186300</v>
      </c>
      <c r="Y503" s="233">
        <v>9513200</v>
      </c>
      <c r="Z503" s="233">
        <v>9513200</v>
      </c>
      <c r="AA503" s="233">
        <v>9513200</v>
      </c>
      <c r="AB503" s="233">
        <v>9513200</v>
      </c>
    </row>
    <row r="504" spans="1:28" ht="15" customHeight="1" x14ac:dyDescent="0.25">
      <c r="A504" s="230" t="s">
        <v>428</v>
      </c>
      <c r="B504" s="231" t="s">
        <v>429</v>
      </c>
      <c r="C504" s="232" t="s">
        <v>346</v>
      </c>
      <c r="D504" s="230" t="s">
        <v>264</v>
      </c>
      <c r="E504" s="230" t="s">
        <v>265</v>
      </c>
      <c r="F504" s="230" t="s">
        <v>265</v>
      </c>
      <c r="G504" s="230" t="s">
        <v>269</v>
      </c>
      <c r="H504" s="230" t="s">
        <v>325</v>
      </c>
      <c r="I504" s="230"/>
      <c r="J504" s="230"/>
      <c r="K504" s="230"/>
      <c r="L504" s="230"/>
      <c r="M504" s="230" t="s">
        <v>266</v>
      </c>
      <c r="N504" s="230" t="s">
        <v>280</v>
      </c>
      <c r="O504" s="230" t="s">
        <v>267</v>
      </c>
      <c r="P504" s="231" t="s">
        <v>347</v>
      </c>
      <c r="Q504" s="231"/>
      <c r="R504" s="233">
        <v>26000000</v>
      </c>
      <c r="S504" s="233">
        <v>3099700</v>
      </c>
      <c r="T504" s="233">
        <v>0</v>
      </c>
      <c r="U504" s="233">
        <v>29099700</v>
      </c>
      <c r="V504" s="233">
        <v>0</v>
      </c>
      <c r="W504" s="233">
        <v>27340700</v>
      </c>
      <c r="X504" s="233">
        <v>1759000</v>
      </c>
      <c r="Y504" s="233">
        <v>27340700</v>
      </c>
      <c r="Z504" s="233">
        <v>27340700</v>
      </c>
      <c r="AA504" s="233">
        <v>27340700</v>
      </c>
      <c r="AB504" s="233">
        <v>27340700</v>
      </c>
    </row>
    <row r="505" spans="1:28" ht="15" customHeight="1" x14ac:dyDescent="0.25">
      <c r="A505" s="230" t="s">
        <v>428</v>
      </c>
      <c r="B505" s="231" t="s">
        <v>429</v>
      </c>
      <c r="C505" s="232" t="s">
        <v>348</v>
      </c>
      <c r="D505" s="230" t="s">
        <v>264</v>
      </c>
      <c r="E505" s="230" t="s">
        <v>265</v>
      </c>
      <c r="F505" s="230" t="s">
        <v>265</v>
      </c>
      <c r="G505" s="230" t="s">
        <v>269</v>
      </c>
      <c r="H505" s="230" t="s">
        <v>328</v>
      </c>
      <c r="I505" s="230"/>
      <c r="J505" s="230"/>
      <c r="K505" s="230"/>
      <c r="L505" s="230"/>
      <c r="M505" s="230" t="s">
        <v>266</v>
      </c>
      <c r="N505" s="230" t="s">
        <v>280</v>
      </c>
      <c r="O505" s="230" t="s">
        <v>267</v>
      </c>
      <c r="P505" s="231" t="s">
        <v>349</v>
      </c>
      <c r="Q505" s="231"/>
      <c r="R505" s="233">
        <v>3000000</v>
      </c>
      <c r="S505" s="233">
        <v>18000000</v>
      </c>
      <c r="T505" s="233">
        <v>0</v>
      </c>
      <c r="U505" s="233">
        <v>21000000</v>
      </c>
      <c r="V505" s="233">
        <v>0</v>
      </c>
      <c r="W505" s="233">
        <v>18233700</v>
      </c>
      <c r="X505" s="233">
        <v>2766300</v>
      </c>
      <c r="Y505" s="233">
        <v>18233700</v>
      </c>
      <c r="Z505" s="233">
        <v>18233700</v>
      </c>
      <c r="AA505" s="233">
        <v>18233700</v>
      </c>
      <c r="AB505" s="233">
        <v>18233700</v>
      </c>
    </row>
    <row r="506" spans="1:28" ht="15" customHeight="1" x14ac:dyDescent="0.25">
      <c r="A506" s="230" t="s">
        <v>428</v>
      </c>
      <c r="B506" s="231" t="s">
        <v>429</v>
      </c>
      <c r="C506" s="232" t="s">
        <v>350</v>
      </c>
      <c r="D506" s="230" t="s">
        <v>264</v>
      </c>
      <c r="E506" s="230" t="s">
        <v>265</v>
      </c>
      <c r="F506" s="230" t="s">
        <v>265</v>
      </c>
      <c r="G506" s="230" t="s">
        <v>269</v>
      </c>
      <c r="H506" s="230" t="s">
        <v>351</v>
      </c>
      <c r="I506" s="230"/>
      <c r="J506" s="230"/>
      <c r="K506" s="230"/>
      <c r="L506" s="230"/>
      <c r="M506" s="230" t="s">
        <v>266</v>
      </c>
      <c r="N506" s="230" t="s">
        <v>280</v>
      </c>
      <c r="O506" s="230" t="s">
        <v>267</v>
      </c>
      <c r="P506" s="231" t="s">
        <v>352</v>
      </c>
      <c r="Q506" s="231"/>
      <c r="R506" s="233">
        <v>3000000</v>
      </c>
      <c r="S506" s="233">
        <v>0</v>
      </c>
      <c r="T506" s="233">
        <v>3000000</v>
      </c>
      <c r="U506" s="233">
        <v>0</v>
      </c>
      <c r="V506" s="233">
        <v>0</v>
      </c>
      <c r="W506" s="233">
        <v>0</v>
      </c>
      <c r="X506" s="233">
        <v>0</v>
      </c>
      <c r="Y506" s="233">
        <v>0</v>
      </c>
      <c r="Z506" s="233">
        <v>0</v>
      </c>
      <c r="AA506" s="233">
        <v>0</v>
      </c>
      <c r="AB506" s="233">
        <v>0</v>
      </c>
    </row>
    <row r="507" spans="1:28" ht="15" customHeight="1" x14ac:dyDescent="0.25">
      <c r="A507" s="230" t="s">
        <v>428</v>
      </c>
      <c r="B507" s="231" t="s">
        <v>429</v>
      </c>
      <c r="C507" s="232" t="s">
        <v>353</v>
      </c>
      <c r="D507" s="230" t="s">
        <v>264</v>
      </c>
      <c r="E507" s="230" t="s">
        <v>265</v>
      </c>
      <c r="F507" s="230" t="s">
        <v>265</v>
      </c>
      <c r="G507" s="230" t="s">
        <v>269</v>
      </c>
      <c r="H507" s="230" t="s">
        <v>331</v>
      </c>
      <c r="I507" s="230"/>
      <c r="J507" s="230"/>
      <c r="K507" s="230"/>
      <c r="L507" s="230"/>
      <c r="M507" s="230" t="s">
        <v>266</v>
      </c>
      <c r="N507" s="230" t="s">
        <v>280</v>
      </c>
      <c r="O507" s="230" t="s">
        <v>267</v>
      </c>
      <c r="P507" s="231" t="s">
        <v>354</v>
      </c>
      <c r="Q507" s="231"/>
      <c r="R507" s="233">
        <v>6000000</v>
      </c>
      <c r="S507" s="233">
        <v>0</v>
      </c>
      <c r="T507" s="233">
        <v>6000000</v>
      </c>
      <c r="U507" s="233">
        <v>0</v>
      </c>
      <c r="V507" s="233">
        <v>0</v>
      </c>
      <c r="W507" s="233">
        <v>0</v>
      </c>
      <c r="X507" s="233">
        <v>0</v>
      </c>
      <c r="Y507" s="233">
        <v>0</v>
      </c>
      <c r="Z507" s="233">
        <v>0</v>
      </c>
      <c r="AA507" s="233">
        <v>0</v>
      </c>
      <c r="AB507" s="233">
        <v>0</v>
      </c>
    </row>
    <row r="508" spans="1:28" ht="15" customHeight="1" x14ac:dyDescent="0.25">
      <c r="A508" s="230" t="s">
        <v>428</v>
      </c>
      <c r="B508" s="231" t="s">
        <v>429</v>
      </c>
      <c r="C508" s="232" t="s">
        <v>355</v>
      </c>
      <c r="D508" s="230" t="s">
        <v>264</v>
      </c>
      <c r="E508" s="230" t="s">
        <v>265</v>
      </c>
      <c r="F508" s="230" t="s">
        <v>265</v>
      </c>
      <c r="G508" s="230" t="s">
        <v>271</v>
      </c>
      <c r="H508" s="230" t="s">
        <v>281</v>
      </c>
      <c r="I508" s="230" t="s">
        <v>281</v>
      </c>
      <c r="J508" s="230"/>
      <c r="K508" s="230"/>
      <c r="L508" s="230"/>
      <c r="M508" s="230" t="s">
        <v>266</v>
      </c>
      <c r="N508" s="230" t="s">
        <v>280</v>
      </c>
      <c r="O508" s="230" t="s">
        <v>267</v>
      </c>
      <c r="P508" s="231" t="s">
        <v>356</v>
      </c>
      <c r="Q508" s="231"/>
      <c r="R508" s="233">
        <v>39000000</v>
      </c>
      <c r="S508" s="233">
        <v>8280753</v>
      </c>
      <c r="T508" s="233">
        <v>0</v>
      </c>
      <c r="U508" s="233">
        <v>47280753</v>
      </c>
      <c r="V508" s="233">
        <v>0</v>
      </c>
      <c r="W508" s="233">
        <v>47279947</v>
      </c>
      <c r="X508" s="233">
        <v>806</v>
      </c>
      <c r="Y508" s="233">
        <v>47279947</v>
      </c>
      <c r="Z508" s="233">
        <v>47279947</v>
      </c>
      <c r="AA508" s="233">
        <v>47279947</v>
      </c>
      <c r="AB508" s="233">
        <v>47279947</v>
      </c>
    </row>
    <row r="509" spans="1:28" ht="15" customHeight="1" x14ac:dyDescent="0.25">
      <c r="A509" s="230" t="s">
        <v>428</v>
      </c>
      <c r="B509" s="231" t="s">
        <v>429</v>
      </c>
      <c r="C509" s="232" t="s">
        <v>357</v>
      </c>
      <c r="D509" s="230" t="s">
        <v>264</v>
      </c>
      <c r="E509" s="230" t="s">
        <v>265</v>
      </c>
      <c r="F509" s="230" t="s">
        <v>265</v>
      </c>
      <c r="G509" s="230" t="s">
        <v>271</v>
      </c>
      <c r="H509" s="230" t="s">
        <v>281</v>
      </c>
      <c r="I509" s="230" t="s">
        <v>283</v>
      </c>
      <c r="J509" s="230"/>
      <c r="K509" s="230"/>
      <c r="L509" s="230"/>
      <c r="M509" s="230" t="s">
        <v>266</v>
      </c>
      <c r="N509" s="230" t="s">
        <v>280</v>
      </c>
      <c r="O509" s="230" t="s">
        <v>267</v>
      </c>
      <c r="P509" s="231" t="s">
        <v>358</v>
      </c>
      <c r="Q509" s="231"/>
      <c r="R509" s="233">
        <v>0</v>
      </c>
      <c r="S509" s="233">
        <v>22172470</v>
      </c>
      <c r="T509" s="233">
        <v>0</v>
      </c>
      <c r="U509" s="233">
        <v>22172470</v>
      </c>
      <c r="V509" s="233">
        <v>0</v>
      </c>
      <c r="W509" s="233">
        <v>18464800</v>
      </c>
      <c r="X509" s="233">
        <v>3707670</v>
      </c>
      <c r="Y509" s="233">
        <v>18464800</v>
      </c>
      <c r="Z509" s="233">
        <v>18464800</v>
      </c>
      <c r="AA509" s="233">
        <v>18464800</v>
      </c>
      <c r="AB509" s="233">
        <v>18464800</v>
      </c>
    </row>
    <row r="510" spans="1:28" ht="15" customHeight="1" x14ac:dyDescent="0.25">
      <c r="A510" s="230" t="s">
        <v>428</v>
      </c>
      <c r="B510" s="231" t="s">
        <v>429</v>
      </c>
      <c r="C510" s="232" t="s">
        <v>359</v>
      </c>
      <c r="D510" s="230" t="s">
        <v>264</v>
      </c>
      <c r="E510" s="230" t="s">
        <v>265</v>
      </c>
      <c r="F510" s="230" t="s">
        <v>265</v>
      </c>
      <c r="G510" s="230" t="s">
        <v>271</v>
      </c>
      <c r="H510" s="230" t="s">
        <v>281</v>
      </c>
      <c r="I510" s="230" t="s">
        <v>316</v>
      </c>
      <c r="J510" s="230"/>
      <c r="K510" s="230"/>
      <c r="L510" s="230"/>
      <c r="M510" s="230" t="s">
        <v>266</v>
      </c>
      <c r="N510" s="230" t="s">
        <v>280</v>
      </c>
      <c r="O510" s="230" t="s">
        <v>267</v>
      </c>
      <c r="P510" s="231" t="s">
        <v>360</v>
      </c>
      <c r="Q510" s="231"/>
      <c r="R510" s="233">
        <v>3000000</v>
      </c>
      <c r="S510" s="233">
        <v>2950632</v>
      </c>
      <c r="T510" s="233">
        <v>0</v>
      </c>
      <c r="U510" s="233">
        <v>5950632</v>
      </c>
      <c r="V510" s="233">
        <v>0</v>
      </c>
      <c r="W510" s="233">
        <v>5000632</v>
      </c>
      <c r="X510" s="233">
        <v>950000</v>
      </c>
      <c r="Y510" s="233">
        <v>5000632</v>
      </c>
      <c r="Z510" s="233">
        <v>5000632</v>
      </c>
      <c r="AA510" s="233">
        <v>5000632</v>
      </c>
      <c r="AB510" s="233">
        <v>5000632</v>
      </c>
    </row>
    <row r="511" spans="1:28" ht="15" customHeight="1" x14ac:dyDescent="0.25">
      <c r="A511" s="230" t="s">
        <v>428</v>
      </c>
      <c r="B511" s="231" t="s">
        <v>429</v>
      </c>
      <c r="C511" s="232" t="s">
        <v>361</v>
      </c>
      <c r="D511" s="230" t="s">
        <v>264</v>
      </c>
      <c r="E511" s="230" t="s">
        <v>265</v>
      </c>
      <c r="F511" s="230" t="s">
        <v>265</v>
      </c>
      <c r="G511" s="230" t="s">
        <v>271</v>
      </c>
      <c r="H511" s="230" t="s">
        <v>283</v>
      </c>
      <c r="I511" s="230"/>
      <c r="J511" s="230"/>
      <c r="K511" s="230"/>
      <c r="L511" s="230"/>
      <c r="M511" s="230" t="s">
        <v>266</v>
      </c>
      <c r="N511" s="230" t="s">
        <v>280</v>
      </c>
      <c r="O511" s="230" t="s">
        <v>267</v>
      </c>
      <c r="P511" s="231" t="s">
        <v>362</v>
      </c>
      <c r="Q511" s="231"/>
      <c r="R511" s="233">
        <v>29000000</v>
      </c>
      <c r="S511" s="233">
        <v>0</v>
      </c>
      <c r="T511" s="233">
        <v>0</v>
      </c>
      <c r="U511" s="233">
        <v>29000000</v>
      </c>
      <c r="V511" s="233">
        <v>0</v>
      </c>
      <c r="W511" s="233">
        <v>19893513</v>
      </c>
      <c r="X511" s="233">
        <v>9106487</v>
      </c>
      <c r="Y511" s="233">
        <v>19893513</v>
      </c>
      <c r="Z511" s="233">
        <v>19893513</v>
      </c>
      <c r="AA511" s="233">
        <v>19893513</v>
      </c>
      <c r="AB511" s="233">
        <v>19893513</v>
      </c>
    </row>
    <row r="512" spans="1:28" ht="15" customHeight="1" x14ac:dyDescent="0.25">
      <c r="A512" s="230" t="s">
        <v>428</v>
      </c>
      <c r="B512" s="231" t="s">
        <v>429</v>
      </c>
      <c r="C512" s="232" t="s">
        <v>363</v>
      </c>
      <c r="D512" s="230" t="s">
        <v>264</v>
      </c>
      <c r="E512" s="230" t="s">
        <v>269</v>
      </c>
      <c r="F512" s="230" t="s">
        <v>269</v>
      </c>
      <c r="G512" s="230" t="s">
        <v>269</v>
      </c>
      <c r="H512" s="230" t="s">
        <v>325</v>
      </c>
      <c r="I512" s="230" t="s">
        <v>319</v>
      </c>
      <c r="J512" s="230"/>
      <c r="K512" s="230"/>
      <c r="L512" s="230"/>
      <c r="M512" s="230" t="s">
        <v>273</v>
      </c>
      <c r="N512" s="230" t="s">
        <v>34</v>
      </c>
      <c r="O512" s="230" t="s">
        <v>267</v>
      </c>
      <c r="P512" s="231" t="s">
        <v>364</v>
      </c>
      <c r="Q512" s="231"/>
      <c r="R512" s="233">
        <v>0</v>
      </c>
      <c r="S512" s="233">
        <v>80000</v>
      </c>
      <c r="T512" s="233">
        <v>0</v>
      </c>
      <c r="U512" s="233">
        <v>80000</v>
      </c>
      <c r="V512" s="233">
        <v>0</v>
      </c>
      <c r="W512" s="233">
        <v>80000</v>
      </c>
      <c r="X512" s="233">
        <v>0</v>
      </c>
      <c r="Y512" s="233">
        <v>80000</v>
      </c>
      <c r="Z512" s="233">
        <v>80000</v>
      </c>
      <c r="AA512" s="233">
        <v>80000</v>
      </c>
      <c r="AB512" s="233">
        <v>80000</v>
      </c>
    </row>
    <row r="513" spans="1:28" ht="15" customHeight="1" x14ac:dyDescent="0.25">
      <c r="A513" s="230" t="s">
        <v>428</v>
      </c>
      <c r="B513" s="231" t="s">
        <v>429</v>
      </c>
      <c r="C513" s="232" t="s">
        <v>365</v>
      </c>
      <c r="D513" s="230" t="s">
        <v>264</v>
      </c>
      <c r="E513" s="230" t="s">
        <v>269</v>
      </c>
      <c r="F513" s="230" t="s">
        <v>269</v>
      </c>
      <c r="G513" s="230" t="s">
        <v>269</v>
      </c>
      <c r="H513" s="230" t="s">
        <v>325</v>
      </c>
      <c r="I513" s="230" t="s">
        <v>331</v>
      </c>
      <c r="J513" s="230"/>
      <c r="K513" s="230"/>
      <c r="L513" s="230"/>
      <c r="M513" s="230" t="s">
        <v>266</v>
      </c>
      <c r="N513" s="230" t="s">
        <v>280</v>
      </c>
      <c r="O513" s="230" t="s">
        <v>267</v>
      </c>
      <c r="P513" s="231" t="s">
        <v>366</v>
      </c>
      <c r="Q513" s="231"/>
      <c r="R513" s="233">
        <v>14600000</v>
      </c>
      <c r="S513" s="233">
        <v>9200000</v>
      </c>
      <c r="T513" s="233">
        <v>1000000</v>
      </c>
      <c r="U513" s="233">
        <v>22800000</v>
      </c>
      <c r="V513" s="233">
        <v>0</v>
      </c>
      <c r="W513" s="233">
        <v>22800000</v>
      </c>
      <c r="X513" s="233">
        <v>0</v>
      </c>
      <c r="Y513" s="233">
        <v>20461491</v>
      </c>
      <c r="Z513" s="233">
        <v>20461491</v>
      </c>
      <c r="AA513" s="233">
        <v>20461491</v>
      </c>
      <c r="AB513" s="233">
        <v>20461491</v>
      </c>
    </row>
    <row r="514" spans="1:28" ht="15" customHeight="1" x14ac:dyDescent="0.25">
      <c r="A514" s="230" t="s">
        <v>428</v>
      </c>
      <c r="B514" s="231" t="s">
        <v>429</v>
      </c>
      <c r="C514" s="232" t="s">
        <v>383</v>
      </c>
      <c r="D514" s="230" t="s">
        <v>264</v>
      </c>
      <c r="E514" s="230" t="s">
        <v>269</v>
      </c>
      <c r="F514" s="230" t="s">
        <v>269</v>
      </c>
      <c r="G514" s="230" t="s">
        <v>269</v>
      </c>
      <c r="H514" s="230" t="s">
        <v>328</v>
      </c>
      <c r="I514" s="230" t="s">
        <v>283</v>
      </c>
      <c r="J514" s="230"/>
      <c r="K514" s="230"/>
      <c r="L514" s="230"/>
      <c r="M514" s="230" t="s">
        <v>266</v>
      </c>
      <c r="N514" s="230" t="s">
        <v>280</v>
      </c>
      <c r="O514" s="230" t="s">
        <v>267</v>
      </c>
      <c r="P514" s="231" t="s">
        <v>384</v>
      </c>
      <c r="Q514" s="231"/>
      <c r="R514" s="233">
        <v>47000000</v>
      </c>
      <c r="S514" s="233">
        <v>0</v>
      </c>
      <c r="T514" s="233">
        <v>3062200</v>
      </c>
      <c r="U514" s="233">
        <v>43937800</v>
      </c>
      <c r="V514" s="233">
        <v>0</v>
      </c>
      <c r="W514" s="233">
        <v>43937800</v>
      </c>
      <c r="X514" s="233">
        <v>0</v>
      </c>
      <c r="Y514" s="233">
        <v>43937800</v>
      </c>
      <c r="Z514" s="233">
        <v>39949200</v>
      </c>
      <c r="AA514" s="233">
        <v>39949200</v>
      </c>
      <c r="AB514" s="233">
        <v>39949200</v>
      </c>
    </row>
    <row r="515" spans="1:28" ht="15" customHeight="1" x14ac:dyDescent="0.25">
      <c r="A515" s="230" t="s">
        <v>428</v>
      </c>
      <c r="B515" s="231" t="s">
        <v>429</v>
      </c>
      <c r="C515" s="232" t="s">
        <v>383</v>
      </c>
      <c r="D515" s="230" t="s">
        <v>264</v>
      </c>
      <c r="E515" s="230" t="s">
        <v>269</v>
      </c>
      <c r="F515" s="230" t="s">
        <v>269</v>
      </c>
      <c r="G515" s="230" t="s">
        <v>269</v>
      </c>
      <c r="H515" s="230" t="s">
        <v>328</v>
      </c>
      <c r="I515" s="230" t="s">
        <v>283</v>
      </c>
      <c r="J515" s="230"/>
      <c r="K515" s="230"/>
      <c r="L515" s="230"/>
      <c r="M515" s="230" t="s">
        <v>273</v>
      </c>
      <c r="N515" s="230" t="s">
        <v>34</v>
      </c>
      <c r="O515" s="230" t="s">
        <v>267</v>
      </c>
      <c r="P515" s="231" t="s">
        <v>384</v>
      </c>
      <c r="Q515" s="231"/>
      <c r="R515" s="233">
        <v>12350000</v>
      </c>
      <c r="S515" s="233">
        <v>1600300</v>
      </c>
      <c r="T515" s="233">
        <v>0</v>
      </c>
      <c r="U515" s="233">
        <v>13950300</v>
      </c>
      <c r="V515" s="233">
        <v>0</v>
      </c>
      <c r="W515" s="233">
        <v>12248000</v>
      </c>
      <c r="X515" s="233">
        <v>1702300</v>
      </c>
      <c r="Y515" s="233">
        <v>12248000</v>
      </c>
      <c r="Z515" s="233">
        <v>11288000</v>
      </c>
      <c r="AA515" s="233">
        <v>11288000</v>
      </c>
      <c r="AB515" s="233">
        <v>11288000</v>
      </c>
    </row>
    <row r="516" spans="1:28" ht="15" customHeight="1" x14ac:dyDescent="0.25">
      <c r="A516" s="230" t="s">
        <v>428</v>
      </c>
      <c r="B516" s="231" t="s">
        <v>429</v>
      </c>
      <c r="C516" s="232" t="s">
        <v>367</v>
      </c>
      <c r="D516" s="230" t="s">
        <v>264</v>
      </c>
      <c r="E516" s="230" t="s">
        <v>269</v>
      </c>
      <c r="F516" s="230" t="s">
        <v>269</v>
      </c>
      <c r="G516" s="230" t="s">
        <v>269</v>
      </c>
      <c r="H516" s="230" t="s">
        <v>351</v>
      </c>
      <c r="I516" s="230" t="s">
        <v>319</v>
      </c>
      <c r="J516" s="230"/>
      <c r="K516" s="230"/>
      <c r="L516" s="230"/>
      <c r="M516" s="230" t="s">
        <v>266</v>
      </c>
      <c r="N516" s="230" t="s">
        <v>280</v>
      </c>
      <c r="O516" s="230" t="s">
        <v>267</v>
      </c>
      <c r="P516" s="231" t="s">
        <v>368</v>
      </c>
      <c r="Q516" s="231"/>
      <c r="R516" s="233">
        <v>3200000</v>
      </c>
      <c r="S516" s="233">
        <v>1107530</v>
      </c>
      <c r="T516" s="233">
        <v>0</v>
      </c>
      <c r="U516" s="233">
        <v>4307530</v>
      </c>
      <c r="V516" s="233">
        <v>0</v>
      </c>
      <c r="W516" s="233">
        <v>4250000</v>
      </c>
      <c r="X516" s="233">
        <v>57530</v>
      </c>
      <c r="Y516" s="233">
        <v>3898010</v>
      </c>
      <c r="Z516" s="233">
        <v>3898010</v>
      </c>
      <c r="AA516" s="233">
        <v>3898010</v>
      </c>
      <c r="AB516" s="233">
        <v>3898010</v>
      </c>
    </row>
    <row r="517" spans="1:28" ht="15" customHeight="1" x14ac:dyDescent="0.25">
      <c r="A517" s="230" t="s">
        <v>428</v>
      </c>
      <c r="B517" s="231" t="s">
        <v>429</v>
      </c>
      <c r="C517" s="232" t="s">
        <v>369</v>
      </c>
      <c r="D517" s="230" t="s">
        <v>264</v>
      </c>
      <c r="E517" s="230" t="s">
        <v>269</v>
      </c>
      <c r="F517" s="230" t="s">
        <v>269</v>
      </c>
      <c r="G517" s="230" t="s">
        <v>269</v>
      </c>
      <c r="H517" s="230" t="s">
        <v>331</v>
      </c>
      <c r="I517" s="230" t="s">
        <v>319</v>
      </c>
      <c r="J517" s="230"/>
      <c r="K517" s="230"/>
      <c r="L517" s="230"/>
      <c r="M517" s="230" t="s">
        <v>266</v>
      </c>
      <c r="N517" s="230" t="s">
        <v>280</v>
      </c>
      <c r="O517" s="230" t="s">
        <v>267</v>
      </c>
      <c r="P517" s="231" t="s">
        <v>370</v>
      </c>
      <c r="Q517" s="231"/>
      <c r="R517" s="233">
        <v>1000000</v>
      </c>
      <c r="S517" s="233">
        <v>800000</v>
      </c>
      <c r="T517" s="233">
        <v>0</v>
      </c>
      <c r="U517" s="233">
        <v>1800000</v>
      </c>
      <c r="V517" s="233">
        <v>0</v>
      </c>
      <c r="W517" s="233">
        <v>1800000</v>
      </c>
      <c r="X517" s="233">
        <v>0</v>
      </c>
      <c r="Y517" s="233">
        <v>1615491</v>
      </c>
      <c r="Z517" s="233">
        <v>1615491</v>
      </c>
      <c r="AA517" s="233">
        <v>1615491</v>
      </c>
      <c r="AB517" s="233">
        <v>1615491</v>
      </c>
    </row>
    <row r="518" spans="1:28" ht="15" customHeight="1" x14ac:dyDescent="0.25">
      <c r="A518" s="230" t="s">
        <v>428</v>
      </c>
      <c r="B518" s="231" t="s">
        <v>429</v>
      </c>
      <c r="C518" s="232" t="s">
        <v>371</v>
      </c>
      <c r="D518" s="230" t="s">
        <v>264</v>
      </c>
      <c r="E518" s="230" t="s">
        <v>269</v>
      </c>
      <c r="F518" s="230" t="s">
        <v>269</v>
      </c>
      <c r="G518" s="230" t="s">
        <v>269</v>
      </c>
      <c r="H518" s="230" t="s">
        <v>334</v>
      </c>
      <c r="I518" s="230"/>
      <c r="J518" s="230"/>
      <c r="K518" s="230"/>
      <c r="L518" s="230"/>
      <c r="M518" s="230" t="s">
        <v>266</v>
      </c>
      <c r="N518" s="230" t="s">
        <v>280</v>
      </c>
      <c r="O518" s="230" t="s">
        <v>267</v>
      </c>
      <c r="P518" s="231" t="s">
        <v>372</v>
      </c>
      <c r="Q518" s="231"/>
      <c r="R518" s="233">
        <v>0</v>
      </c>
      <c r="S518" s="233">
        <v>364175</v>
      </c>
      <c r="T518" s="233">
        <v>0</v>
      </c>
      <c r="U518" s="233">
        <v>364175</v>
      </c>
      <c r="V518" s="233">
        <v>0</v>
      </c>
      <c r="W518" s="233">
        <v>364175</v>
      </c>
      <c r="X518" s="233">
        <v>0</v>
      </c>
      <c r="Y518" s="233">
        <v>364175</v>
      </c>
      <c r="Z518" s="233">
        <v>364175</v>
      </c>
      <c r="AA518" s="233">
        <v>364175</v>
      </c>
      <c r="AB518" s="233">
        <v>364175</v>
      </c>
    </row>
    <row r="519" spans="1:28" ht="15" customHeight="1" x14ac:dyDescent="0.25">
      <c r="A519" s="230" t="s">
        <v>428</v>
      </c>
      <c r="B519" s="231" t="s">
        <v>429</v>
      </c>
      <c r="C519" s="232" t="s">
        <v>373</v>
      </c>
      <c r="D519" s="230" t="s">
        <v>264</v>
      </c>
      <c r="E519" s="230" t="s">
        <v>271</v>
      </c>
      <c r="F519" s="230" t="s">
        <v>277</v>
      </c>
      <c r="G519" s="230" t="s">
        <v>269</v>
      </c>
      <c r="H519" s="230" t="s">
        <v>278</v>
      </c>
      <c r="I519" s="230" t="s">
        <v>281</v>
      </c>
      <c r="J519" s="230"/>
      <c r="K519" s="230"/>
      <c r="L519" s="230"/>
      <c r="M519" s="230" t="s">
        <v>266</v>
      </c>
      <c r="N519" s="230" t="s">
        <v>280</v>
      </c>
      <c r="O519" s="230" t="s">
        <v>267</v>
      </c>
      <c r="P519" s="231" t="s">
        <v>374</v>
      </c>
      <c r="Q519" s="231"/>
      <c r="R519" s="233">
        <v>0</v>
      </c>
      <c r="S519" s="233">
        <v>1000000</v>
      </c>
      <c r="T519" s="233">
        <v>0</v>
      </c>
      <c r="U519" s="233">
        <v>1000000</v>
      </c>
      <c r="V519" s="233">
        <v>0</v>
      </c>
      <c r="W519" s="233">
        <v>703624</v>
      </c>
      <c r="X519" s="233">
        <v>296376</v>
      </c>
      <c r="Y519" s="233">
        <v>703624</v>
      </c>
      <c r="Z519" s="233">
        <v>703624</v>
      </c>
      <c r="AA519" s="233">
        <v>703624</v>
      </c>
      <c r="AB519" s="233">
        <v>703624</v>
      </c>
    </row>
    <row r="520" spans="1:28" ht="15" customHeight="1" x14ac:dyDescent="0.25">
      <c r="A520" s="230" t="s">
        <v>428</v>
      </c>
      <c r="B520" s="231" t="s">
        <v>429</v>
      </c>
      <c r="C520" s="232" t="s">
        <v>387</v>
      </c>
      <c r="D520" s="230" t="s">
        <v>264</v>
      </c>
      <c r="E520" s="230" t="s">
        <v>271</v>
      </c>
      <c r="F520" s="230" t="s">
        <v>277</v>
      </c>
      <c r="G520" s="230" t="s">
        <v>269</v>
      </c>
      <c r="H520" s="230" t="s">
        <v>278</v>
      </c>
      <c r="I520" s="230" t="s">
        <v>283</v>
      </c>
      <c r="J520" s="230"/>
      <c r="K520" s="230"/>
      <c r="L520" s="230"/>
      <c r="M520" s="230" t="s">
        <v>266</v>
      </c>
      <c r="N520" s="230" t="s">
        <v>280</v>
      </c>
      <c r="O520" s="230" t="s">
        <v>267</v>
      </c>
      <c r="P520" s="231" t="s">
        <v>388</v>
      </c>
      <c r="Q520" s="231"/>
      <c r="R520" s="233">
        <v>0</v>
      </c>
      <c r="S520" s="233">
        <v>6590500</v>
      </c>
      <c r="T520" s="233">
        <v>5284705</v>
      </c>
      <c r="U520" s="233">
        <v>1305795</v>
      </c>
      <c r="V520" s="233">
        <v>0</v>
      </c>
      <c r="W520" s="233">
        <v>1305795</v>
      </c>
      <c r="X520" s="233">
        <v>0</v>
      </c>
      <c r="Y520" s="233">
        <v>1305795</v>
      </c>
      <c r="Z520" s="233">
        <v>1305795</v>
      </c>
      <c r="AA520" s="233">
        <v>1305795</v>
      </c>
      <c r="AB520" s="233">
        <v>1305795</v>
      </c>
    </row>
    <row r="521" spans="1:28" ht="15" customHeight="1" x14ac:dyDescent="0.25">
      <c r="A521" s="230" t="s">
        <v>428</v>
      </c>
      <c r="B521" s="231" t="s">
        <v>429</v>
      </c>
      <c r="C521" s="232" t="s">
        <v>375</v>
      </c>
      <c r="D521" s="230" t="s">
        <v>264</v>
      </c>
      <c r="E521" s="230" t="s">
        <v>285</v>
      </c>
      <c r="F521" s="230" t="s">
        <v>265</v>
      </c>
      <c r="G521" s="230" t="s">
        <v>269</v>
      </c>
      <c r="H521" s="230" t="s">
        <v>281</v>
      </c>
      <c r="I521" s="230"/>
      <c r="J521" s="230"/>
      <c r="K521" s="230"/>
      <c r="L521" s="230"/>
      <c r="M521" s="230" t="s">
        <v>266</v>
      </c>
      <c r="N521" s="230" t="s">
        <v>280</v>
      </c>
      <c r="O521" s="230" t="s">
        <v>267</v>
      </c>
      <c r="P521" s="231" t="s">
        <v>376</v>
      </c>
      <c r="Q521" s="231"/>
      <c r="R521" s="233">
        <v>0</v>
      </c>
      <c r="S521" s="233">
        <v>17231949</v>
      </c>
      <c r="T521" s="233">
        <v>0</v>
      </c>
      <c r="U521" s="233">
        <v>17231949</v>
      </c>
      <c r="V521" s="233">
        <v>0</v>
      </c>
      <c r="W521" s="233">
        <v>17231949</v>
      </c>
      <c r="X521" s="233">
        <v>0</v>
      </c>
      <c r="Y521" s="233">
        <v>17231949</v>
      </c>
      <c r="Z521" s="233">
        <v>17231949</v>
      </c>
      <c r="AA521" s="233">
        <v>17231949</v>
      </c>
      <c r="AB521" s="233">
        <v>17231949</v>
      </c>
    </row>
    <row r="522" spans="1:28" ht="15" customHeight="1" x14ac:dyDescent="0.25">
      <c r="A522" s="230" t="s">
        <v>428</v>
      </c>
      <c r="B522" s="231" t="s">
        <v>429</v>
      </c>
      <c r="C522" s="232" t="s">
        <v>377</v>
      </c>
      <c r="D522" s="230" t="s">
        <v>264</v>
      </c>
      <c r="E522" s="230" t="s">
        <v>285</v>
      </c>
      <c r="F522" s="230" t="s">
        <v>265</v>
      </c>
      <c r="G522" s="230" t="s">
        <v>269</v>
      </c>
      <c r="H522" s="230" t="s">
        <v>316</v>
      </c>
      <c r="I522" s="230"/>
      <c r="J522" s="230"/>
      <c r="K522" s="230"/>
      <c r="L522" s="230"/>
      <c r="M522" s="230" t="s">
        <v>266</v>
      </c>
      <c r="N522" s="230" t="s">
        <v>280</v>
      </c>
      <c r="O522" s="230" t="s">
        <v>267</v>
      </c>
      <c r="P522" s="231" t="s">
        <v>378</v>
      </c>
      <c r="Q522" s="231"/>
      <c r="R522" s="233">
        <v>0</v>
      </c>
      <c r="S522" s="233">
        <v>148000</v>
      </c>
      <c r="T522" s="233">
        <v>148000</v>
      </c>
      <c r="U522" s="233">
        <v>0</v>
      </c>
      <c r="V522" s="233">
        <v>0</v>
      </c>
      <c r="W522" s="233">
        <v>0</v>
      </c>
      <c r="X522" s="233">
        <v>0</v>
      </c>
      <c r="Y522" s="233">
        <v>0</v>
      </c>
      <c r="Z522" s="233">
        <v>0</v>
      </c>
      <c r="AA522" s="233">
        <v>0</v>
      </c>
      <c r="AB522" s="233">
        <v>0</v>
      </c>
    </row>
    <row r="523" spans="1:28" ht="15" customHeight="1" x14ac:dyDescent="0.25">
      <c r="A523" s="230" t="s">
        <v>428</v>
      </c>
      <c r="B523" s="231" t="s">
        <v>429</v>
      </c>
      <c r="C523" s="232" t="s">
        <v>377</v>
      </c>
      <c r="D523" s="230" t="s">
        <v>264</v>
      </c>
      <c r="E523" s="230" t="s">
        <v>285</v>
      </c>
      <c r="F523" s="230" t="s">
        <v>265</v>
      </c>
      <c r="G523" s="230" t="s">
        <v>269</v>
      </c>
      <c r="H523" s="230" t="s">
        <v>316</v>
      </c>
      <c r="I523" s="230"/>
      <c r="J523" s="230"/>
      <c r="K523" s="230"/>
      <c r="L523" s="230"/>
      <c r="M523" s="230" t="s">
        <v>273</v>
      </c>
      <c r="N523" s="230" t="s">
        <v>34</v>
      </c>
      <c r="O523" s="230" t="s">
        <v>267</v>
      </c>
      <c r="P523" s="231" t="s">
        <v>378</v>
      </c>
      <c r="Q523" s="231"/>
      <c r="R523" s="233">
        <v>0</v>
      </c>
      <c r="S523" s="233">
        <v>4631366</v>
      </c>
      <c r="T523" s="233">
        <v>566</v>
      </c>
      <c r="U523" s="233">
        <v>4630800</v>
      </c>
      <c r="V523" s="233">
        <v>0</v>
      </c>
      <c r="W523" s="233">
        <v>4630785</v>
      </c>
      <c r="X523" s="233">
        <v>15</v>
      </c>
      <c r="Y523" s="233">
        <v>4630785</v>
      </c>
      <c r="Z523" s="233">
        <v>4630785</v>
      </c>
      <c r="AA523" s="233">
        <v>4630785</v>
      </c>
      <c r="AB523" s="233">
        <v>4630785</v>
      </c>
    </row>
    <row r="524" spans="1:28" ht="15" customHeight="1" x14ac:dyDescent="0.25">
      <c r="A524" s="230" t="s">
        <v>430</v>
      </c>
      <c r="B524" s="231" t="s">
        <v>431</v>
      </c>
      <c r="C524" s="232" t="s">
        <v>313</v>
      </c>
      <c r="D524" s="230" t="s">
        <v>264</v>
      </c>
      <c r="E524" s="230" t="s">
        <v>265</v>
      </c>
      <c r="F524" s="230" t="s">
        <v>265</v>
      </c>
      <c r="G524" s="230" t="s">
        <v>265</v>
      </c>
      <c r="H524" s="230" t="s">
        <v>281</v>
      </c>
      <c r="I524" s="230" t="s">
        <v>281</v>
      </c>
      <c r="J524" s="230"/>
      <c r="K524" s="230"/>
      <c r="L524" s="230"/>
      <c r="M524" s="230" t="s">
        <v>266</v>
      </c>
      <c r="N524" s="230" t="s">
        <v>280</v>
      </c>
      <c r="O524" s="230" t="s">
        <v>267</v>
      </c>
      <c r="P524" s="231" t="s">
        <v>314</v>
      </c>
      <c r="Q524" s="231"/>
      <c r="R524" s="233">
        <v>862000000</v>
      </c>
      <c r="S524" s="233">
        <v>0</v>
      </c>
      <c r="T524" s="233">
        <v>0</v>
      </c>
      <c r="U524" s="233">
        <v>862000000</v>
      </c>
      <c r="V524" s="233">
        <v>0</v>
      </c>
      <c r="W524" s="233">
        <v>732005198</v>
      </c>
      <c r="X524" s="233">
        <v>129994802</v>
      </c>
      <c r="Y524" s="233">
        <v>732005198</v>
      </c>
      <c r="Z524" s="233">
        <v>732005198</v>
      </c>
      <c r="AA524" s="233">
        <v>732005198</v>
      </c>
      <c r="AB524" s="233">
        <v>732005198</v>
      </c>
    </row>
    <row r="525" spans="1:28" ht="15" customHeight="1" x14ac:dyDescent="0.25">
      <c r="A525" s="230" t="s">
        <v>430</v>
      </c>
      <c r="B525" s="231" t="s">
        <v>431</v>
      </c>
      <c r="C525" s="232" t="s">
        <v>318</v>
      </c>
      <c r="D525" s="230" t="s">
        <v>264</v>
      </c>
      <c r="E525" s="230" t="s">
        <v>265</v>
      </c>
      <c r="F525" s="230" t="s">
        <v>265</v>
      </c>
      <c r="G525" s="230" t="s">
        <v>265</v>
      </c>
      <c r="H525" s="230" t="s">
        <v>281</v>
      </c>
      <c r="I525" s="230" t="s">
        <v>319</v>
      </c>
      <c r="J525" s="230"/>
      <c r="K525" s="230"/>
      <c r="L525" s="230"/>
      <c r="M525" s="230" t="s">
        <v>266</v>
      </c>
      <c r="N525" s="230" t="s">
        <v>280</v>
      </c>
      <c r="O525" s="230" t="s">
        <v>267</v>
      </c>
      <c r="P525" s="231" t="s">
        <v>320</v>
      </c>
      <c r="Q525" s="231"/>
      <c r="R525" s="233">
        <v>22710000</v>
      </c>
      <c r="S525" s="233">
        <v>0</v>
      </c>
      <c r="T525" s="233">
        <v>0</v>
      </c>
      <c r="U525" s="233">
        <v>22710000</v>
      </c>
      <c r="V525" s="233">
        <v>0</v>
      </c>
      <c r="W525" s="233">
        <v>18118414</v>
      </c>
      <c r="X525" s="233">
        <v>4591586</v>
      </c>
      <c r="Y525" s="233">
        <v>18118414</v>
      </c>
      <c r="Z525" s="233">
        <v>18118414</v>
      </c>
      <c r="AA525" s="233">
        <v>18118414</v>
      </c>
      <c r="AB525" s="233">
        <v>18118414</v>
      </c>
    </row>
    <row r="526" spans="1:28" ht="15" customHeight="1" x14ac:dyDescent="0.25">
      <c r="A526" s="230" t="s">
        <v>430</v>
      </c>
      <c r="B526" s="231" t="s">
        <v>431</v>
      </c>
      <c r="C526" s="232" t="s">
        <v>321</v>
      </c>
      <c r="D526" s="230" t="s">
        <v>264</v>
      </c>
      <c r="E526" s="230" t="s">
        <v>265</v>
      </c>
      <c r="F526" s="230" t="s">
        <v>265</v>
      </c>
      <c r="G526" s="230" t="s">
        <v>265</v>
      </c>
      <c r="H526" s="230" t="s">
        <v>281</v>
      </c>
      <c r="I526" s="230" t="s">
        <v>322</v>
      </c>
      <c r="J526" s="230"/>
      <c r="K526" s="230"/>
      <c r="L526" s="230"/>
      <c r="M526" s="230" t="s">
        <v>266</v>
      </c>
      <c r="N526" s="230" t="s">
        <v>280</v>
      </c>
      <c r="O526" s="230" t="s">
        <v>267</v>
      </c>
      <c r="P526" s="231" t="s">
        <v>323</v>
      </c>
      <c r="Q526" s="231"/>
      <c r="R526" s="233">
        <v>15395000</v>
      </c>
      <c r="S526" s="233">
        <v>7000000</v>
      </c>
      <c r="T526" s="233">
        <v>15395000</v>
      </c>
      <c r="U526" s="233">
        <v>7000000</v>
      </c>
      <c r="V526" s="233">
        <v>0</v>
      </c>
      <c r="W526" s="233">
        <v>4165901</v>
      </c>
      <c r="X526" s="233">
        <v>2834099</v>
      </c>
      <c r="Y526" s="233">
        <v>4165901</v>
      </c>
      <c r="Z526" s="233">
        <v>4165901</v>
      </c>
      <c r="AA526" s="233">
        <v>4165901</v>
      </c>
      <c r="AB526" s="233">
        <v>4165901</v>
      </c>
    </row>
    <row r="527" spans="1:28" ht="15" customHeight="1" x14ac:dyDescent="0.25">
      <c r="A527" s="230" t="s">
        <v>430</v>
      </c>
      <c r="B527" s="231" t="s">
        <v>431</v>
      </c>
      <c r="C527" s="232" t="s">
        <v>324</v>
      </c>
      <c r="D527" s="230" t="s">
        <v>264</v>
      </c>
      <c r="E527" s="230" t="s">
        <v>265</v>
      </c>
      <c r="F527" s="230" t="s">
        <v>265</v>
      </c>
      <c r="G527" s="230" t="s">
        <v>265</v>
      </c>
      <c r="H527" s="230" t="s">
        <v>281</v>
      </c>
      <c r="I527" s="230" t="s">
        <v>325</v>
      </c>
      <c r="J527" s="230"/>
      <c r="K527" s="230"/>
      <c r="L527" s="230"/>
      <c r="M527" s="230" t="s">
        <v>266</v>
      </c>
      <c r="N527" s="230" t="s">
        <v>280</v>
      </c>
      <c r="O527" s="230" t="s">
        <v>267</v>
      </c>
      <c r="P527" s="231" t="s">
        <v>326</v>
      </c>
      <c r="Q527" s="231"/>
      <c r="R527" s="233">
        <v>85300000</v>
      </c>
      <c r="S527" s="233">
        <v>2104300</v>
      </c>
      <c r="T527" s="233">
        <v>3950382</v>
      </c>
      <c r="U527" s="233">
        <v>83453918</v>
      </c>
      <c r="V527" s="233">
        <v>0</v>
      </c>
      <c r="W527" s="233">
        <v>83453918</v>
      </c>
      <c r="X527" s="233">
        <v>0</v>
      </c>
      <c r="Y527" s="233">
        <v>83453918</v>
      </c>
      <c r="Z527" s="233">
        <v>83453918</v>
      </c>
      <c r="AA527" s="233">
        <v>83453918</v>
      </c>
      <c r="AB527" s="233">
        <v>83453918</v>
      </c>
    </row>
    <row r="528" spans="1:28" ht="15" customHeight="1" x14ac:dyDescent="0.25">
      <c r="A528" s="230" t="s">
        <v>430</v>
      </c>
      <c r="B528" s="231" t="s">
        <v>431</v>
      </c>
      <c r="C528" s="232" t="s">
        <v>327</v>
      </c>
      <c r="D528" s="230" t="s">
        <v>264</v>
      </c>
      <c r="E528" s="230" t="s">
        <v>265</v>
      </c>
      <c r="F528" s="230" t="s">
        <v>265</v>
      </c>
      <c r="G528" s="230" t="s">
        <v>265</v>
      </c>
      <c r="H528" s="230" t="s">
        <v>281</v>
      </c>
      <c r="I528" s="230" t="s">
        <v>328</v>
      </c>
      <c r="J528" s="230"/>
      <c r="K528" s="230"/>
      <c r="L528" s="230"/>
      <c r="M528" s="230" t="s">
        <v>266</v>
      </c>
      <c r="N528" s="230" t="s">
        <v>280</v>
      </c>
      <c r="O528" s="230" t="s">
        <v>267</v>
      </c>
      <c r="P528" s="231" t="s">
        <v>329</v>
      </c>
      <c r="Q528" s="231"/>
      <c r="R528" s="233">
        <v>34000000</v>
      </c>
      <c r="S528" s="233">
        <v>4000000</v>
      </c>
      <c r="T528" s="233">
        <v>0</v>
      </c>
      <c r="U528" s="233">
        <v>38000000</v>
      </c>
      <c r="V528" s="233">
        <v>0</v>
      </c>
      <c r="W528" s="233">
        <v>33547574</v>
      </c>
      <c r="X528" s="233">
        <v>4452426</v>
      </c>
      <c r="Y528" s="233">
        <v>33547574</v>
      </c>
      <c r="Z528" s="233">
        <v>33547574</v>
      </c>
      <c r="AA528" s="233">
        <v>33547574</v>
      </c>
      <c r="AB528" s="233">
        <v>33547574</v>
      </c>
    </row>
    <row r="529" spans="1:28" ht="15" customHeight="1" x14ac:dyDescent="0.25">
      <c r="A529" s="230" t="s">
        <v>430</v>
      </c>
      <c r="B529" s="231" t="s">
        <v>431</v>
      </c>
      <c r="C529" s="232" t="s">
        <v>330</v>
      </c>
      <c r="D529" s="230" t="s">
        <v>264</v>
      </c>
      <c r="E529" s="230" t="s">
        <v>265</v>
      </c>
      <c r="F529" s="230" t="s">
        <v>265</v>
      </c>
      <c r="G529" s="230" t="s">
        <v>265</v>
      </c>
      <c r="H529" s="230" t="s">
        <v>281</v>
      </c>
      <c r="I529" s="230" t="s">
        <v>331</v>
      </c>
      <c r="J529" s="230"/>
      <c r="K529" s="230"/>
      <c r="L529" s="230"/>
      <c r="M529" s="230" t="s">
        <v>266</v>
      </c>
      <c r="N529" s="230" t="s">
        <v>280</v>
      </c>
      <c r="O529" s="230" t="s">
        <v>267</v>
      </c>
      <c r="P529" s="231" t="s">
        <v>332</v>
      </c>
      <c r="Q529" s="231"/>
      <c r="R529" s="233">
        <v>114000000</v>
      </c>
      <c r="S529" s="233">
        <v>0</v>
      </c>
      <c r="T529" s="233">
        <v>0</v>
      </c>
      <c r="U529" s="233">
        <v>114000000</v>
      </c>
      <c r="V529" s="233">
        <v>0</v>
      </c>
      <c r="W529" s="233">
        <v>90608509</v>
      </c>
      <c r="X529" s="233">
        <v>23391491</v>
      </c>
      <c r="Y529" s="233">
        <v>90608509</v>
      </c>
      <c r="Z529" s="233">
        <v>90608509</v>
      </c>
      <c r="AA529" s="233">
        <v>90608509</v>
      </c>
      <c r="AB529" s="233">
        <v>90608509</v>
      </c>
    </row>
    <row r="530" spans="1:28" ht="15" customHeight="1" x14ac:dyDescent="0.25">
      <c r="A530" s="230" t="s">
        <v>430</v>
      </c>
      <c r="B530" s="231" t="s">
        <v>431</v>
      </c>
      <c r="C530" s="232" t="s">
        <v>333</v>
      </c>
      <c r="D530" s="230" t="s">
        <v>264</v>
      </c>
      <c r="E530" s="230" t="s">
        <v>265</v>
      </c>
      <c r="F530" s="230" t="s">
        <v>265</v>
      </c>
      <c r="G530" s="230" t="s">
        <v>265</v>
      </c>
      <c r="H530" s="230" t="s">
        <v>281</v>
      </c>
      <c r="I530" s="230" t="s">
        <v>334</v>
      </c>
      <c r="J530" s="230"/>
      <c r="K530" s="230"/>
      <c r="L530" s="230"/>
      <c r="M530" s="230" t="s">
        <v>266</v>
      </c>
      <c r="N530" s="230" t="s">
        <v>280</v>
      </c>
      <c r="O530" s="230" t="s">
        <v>267</v>
      </c>
      <c r="P530" s="231" t="s">
        <v>335</v>
      </c>
      <c r="Q530" s="231"/>
      <c r="R530" s="233">
        <v>49000000</v>
      </c>
      <c r="S530" s="233">
        <v>22500000</v>
      </c>
      <c r="T530" s="233">
        <v>0</v>
      </c>
      <c r="U530" s="233">
        <v>71500000</v>
      </c>
      <c r="V530" s="233">
        <v>0</v>
      </c>
      <c r="W530" s="233">
        <v>68498420</v>
      </c>
      <c r="X530" s="233">
        <v>3001580</v>
      </c>
      <c r="Y530" s="233">
        <v>68498420</v>
      </c>
      <c r="Z530" s="233">
        <v>68498420</v>
      </c>
      <c r="AA530" s="233">
        <v>68498420</v>
      </c>
      <c r="AB530" s="233">
        <v>68498420</v>
      </c>
    </row>
    <row r="531" spans="1:28" ht="15" customHeight="1" x14ac:dyDescent="0.25">
      <c r="A531" s="230" t="s">
        <v>430</v>
      </c>
      <c r="B531" s="231" t="s">
        <v>431</v>
      </c>
      <c r="C531" s="232" t="s">
        <v>336</v>
      </c>
      <c r="D531" s="230" t="s">
        <v>264</v>
      </c>
      <c r="E531" s="230" t="s">
        <v>265</v>
      </c>
      <c r="F531" s="230" t="s">
        <v>265</v>
      </c>
      <c r="G531" s="230" t="s">
        <v>265</v>
      </c>
      <c r="H531" s="230" t="s">
        <v>281</v>
      </c>
      <c r="I531" s="230" t="s">
        <v>278</v>
      </c>
      <c r="J531" s="230"/>
      <c r="K531" s="230"/>
      <c r="L531" s="230"/>
      <c r="M531" s="230" t="s">
        <v>266</v>
      </c>
      <c r="N531" s="230" t="s">
        <v>280</v>
      </c>
      <c r="O531" s="230" t="s">
        <v>267</v>
      </c>
      <c r="P531" s="231" t="s">
        <v>337</v>
      </c>
      <c r="Q531" s="231"/>
      <c r="R531" s="233">
        <v>17000000</v>
      </c>
      <c r="S531" s="233">
        <v>7000000</v>
      </c>
      <c r="T531" s="233">
        <v>1836273</v>
      </c>
      <c r="U531" s="233">
        <v>22163727</v>
      </c>
      <c r="V531" s="233">
        <v>0</v>
      </c>
      <c r="W531" s="233">
        <v>22163727</v>
      </c>
      <c r="X531" s="233">
        <v>0</v>
      </c>
      <c r="Y531" s="233">
        <v>22163727</v>
      </c>
      <c r="Z531" s="233">
        <v>22163727</v>
      </c>
      <c r="AA531" s="233">
        <v>22163727</v>
      </c>
      <c r="AB531" s="233">
        <v>22163727</v>
      </c>
    </row>
    <row r="532" spans="1:28" ht="15" customHeight="1" x14ac:dyDescent="0.25">
      <c r="A532" s="230" t="s">
        <v>430</v>
      </c>
      <c r="B532" s="231" t="s">
        <v>431</v>
      </c>
      <c r="C532" s="232" t="s">
        <v>338</v>
      </c>
      <c r="D532" s="230" t="s">
        <v>264</v>
      </c>
      <c r="E532" s="230" t="s">
        <v>265</v>
      </c>
      <c r="F532" s="230" t="s">
        <v>265</v>
      </c>
      <c r="G532" s="230" t="s">
        <v>269</v>
      </c>
      <c r="H532" s="230" t="s">
        <v>281</v>
      </c>
      <c r="I532" s="230"/>
      <c r="J532" s="230"/>
      <c r="K532" s="230"/>
      <c r="L532" s="230"/>
      <c r="M532" s="230" t="s">
        <v>266</v>
      </c>
      <c r="N532" s="230" t="s">
        <v>280</v>
      </c>
      <c r="O532" s="230" t="s">
        <v>267</v>
      </c>
      <c r="P532" s="231" t="s">
        <v>339</v>
      </c>
      <c r="Q532" s="231"/>
      <c r="R532" s="233">
        <v>113000000</v>
      </c>
      <c r="S532" s="233">
        <v>2000000</v>
      </c>
      <c r="T532" s="233">
        <v>0</v>
      </c>
      <c r="U532" s="233">
        <v>115000000</v>
      </c>
      <c r="V532" s="233">
        <v>0</v>
      </c>
      <c r="W532" s="233">
        <v>101618400</v>
      </c>
      <c r="X532" s="233">
        <v>13381600</v>
      </c>
      <c r="Y532" s="233">
        <v>101618400</v>
      </c>
      <c r="Z532" s="233">
        <v>101618400</v>
      </c>
      <c r="AA532" s="233">
        <v>101618400</v>
      </c>
      <c r="AB532" s="233">
        <v>101618400</v>
      </c>
    </row>
    <row r="533" spans="1:28" ht="15" customHeight="1" x14ac:dyDescent="0.25">
      <c r="A533" s="230" t="s">
        <v>430</v>
      </c>
      <c r="B533" s="231" t="s">
        <v>431</v>
      </c>
      <c r="C533" s="232" t="s">
        <v>340</v>
      </c>
      <c r="D533" s="230" t="s">
        <v>264</v>
      </c>
      <c r="E533" s="230" t="s">
        <v>265</v>
      </c>
      <c r="F533" s="230" t="s">
        <v>265</v>
      </c>
      <c r="G533" s="230" t="s">
        <v>269</v>
      </c>
      <c r="H533" s="230" t="s">
        <v>283</v>
      </c>
      <c r="I533" s="230"/>
      <c r="J533" s="230"/>
      <c r="K533" s="230"/>
      <c r="L533" s="230"/>
      <c r="M533" s="230" t="s">
        <v>266</v>
      </c>
      <c r="N533" s="230" t="s">
        <v>280</v>
      </c>
      <c r="O533" s="230" t="s">
        <v>267</v>
      </c>
      <c r="P533" s="231" t="s">
        <v>341</v>
      </c>
      <c r="Q533" s="231"/>
      <c r="R533" s="233">
        <v>81000000</v>
      </c>
      <c r="S533" s="233">
        <v>0</v>
      </c>
      <c r="T533" s="233">
        <v>0</v>
      </c>
      <c r="U533" s="233">
        <v>81000000</v>
      </c>
      <c r="V533" s="233">
        <v>0</v>
      </c>
      <c r="W533" s="233">
        <v>71979900</v>
      </c>
      <c r="X533" s="233">
        <v>9020100</v>
      </c>
      <c r="Y533" s="233">
        <v>71979900</v>
      </c>
      <c r="Z533" s="233">
        <v>71979900</v>
      </c>
      <c r="AA533" s="233">
        <v>71979900</v>
      </c>
      <c r="AB533" s="233">
        <v>71979900</v>
      </c>
    </row>
    <row r="534" spans="1:28" ht="15" customHeight="1" x14ac:dyDescent="0.25">
      <c r="A534" s="230" t="s">
        <v>430</v>
      </c>
      <c r="B534" s="231" t="s">
        <v>431</v>
      </c>
      <c r="C534" s="232" t="s">
        <v>342</v>
      </c>
      <c r="D534" s="230" t="s">
        <v>264</v>
      </c>
      <c r="E534" s="230" t="s">
        <v>265</v>
      </c>
      <c r="F534" s="230" t="s">
        <v>265</v>
      </c>
      <c r="G534" s="230" t="s">
        <v>269</v>
      </c>
      <c r="H534" s="230" t="s">
        <v>319</v>
      </c>
      <c r="I534" s="230"/>
      <c r="J534" s="230"/>
      <c r="K534" s="230"/>
      <c r="L534" s="230"/>
      <c r="M534" s="230" t="s">
        <v>266</v>
      </c>
      <c r="N534" s="230" t="s">
        <v>280</v>
      </c>
      <c r="O534" s="230" t="s">
        <v>267</v>
      </c>
      <c r="P534" s="231" t="s">
        <v>343</v>
      </c>
      <c r="Q534" s="231"/>
      <c r="R534" s="233">
        <v>48000000</v>
      </c>
      <c r="S534" s="233">
        <v>2000000</v>
      </c>
      <c r="T534" s="233">
        <v>0</v>
      </c>
      <c r="U534" s="233">
        <v>50000000</v>
      </c>
      <c r="V534" s="233">
        <v>0</v>
      </c>
      <c r="W534" s="233">
        <v>42844700</v>
      </c>
      <c r="X534" s="233">
        <v>7155300</v>
      </c>
      <c r="Y534" s="233">
        <v>42844700</v>
      </c>
      <c r="Z534" s="233">
        <v>42844700</v>
      </c>
      <c r="AA534" s="233">
        <v>42844700</v>
      </c>
      <c r="AB534" s="233">
        <v>42844700</v>
      </c>
    </row>
    <row r="535" spans="1:28" ht="15" customHeight="1" x14ac:dyDescent="0.25">
      <c r="A535" s="230" t="s">
        <v>430</v>
      </c>
      <c r="B535" s="231" t="s">
        <v>431</v>
      </c>
      <c r="C535" s="232" t="s">
        <v>344</v>
      </c>
      <c r="D535" s="230" t="s">
        <v>264</v>
      </c>
      <c r="E535" s="230" t="s">
        <v>265</v>
      </c>
      <c r="F535" s="230" t="s">
        <v>265</v>
      </c>
      <c r="G535" s="230" t="s">
        <v>269</v>
      </c>
      <c r="H535" s="230" t="s">
        <v>322</v>
      </c>
      <c r="I535" s="230"/>
      <c r="J535" s="230"/>
      <c r="K535" s="230"/>
      <c r="L535" s="230"/>
      <c r="M535" s="230" t="s">
        <v>266</v>
      </c>
      <c r="N535" s="230" t="s">
        <v>280</v>
      </c>
      <c r="O535" s="230" t="s">
        <v>267</v>
      </c>
      <c r="P535" s="231" t="s">
        <v>345</v>
      </c>
      <c r="Q535" s="231"/>
      <c r="R535" s="233">
        <v>16000000</v>
      </c>
      <c r="S535" s="233">
        <v>0</v>
      </c>
      <c r="T535" s="233">
        <v>0</v>
      </c>
      <c r="U535" s="233">
        <v>16000000</v>
      </c>
      <c r="V535" s="233">
        <v>0</v>
      </c>
      <c r="W535" s="233">
        <v>13323600</v>
      </c>
      <c r="X535" s="233">
        <v>2676400</v>
      </c>
      <c r="Y535" s="233">
        <v>13323600</v>
      </c>
      <c r="Z535" s="233">
        <v>13323600</v>
      </c>
      <c r="AA535" s="233">
        <v>13323600</v>
      </c>
      <c r="AB535" s="233">
        <v>13323600</v>
      </c>
    </row>
    <row r="536" spans="1:28" ht="15" customHeight="1" x14ac:dyDescent="0.25">
      <c r="A536" s="230" t="s">
        <v>430</v>
      </c>
      <c r="B536" s="231" t="s">
        <v>431</v>
      </c>
      <c r="C536" s="232" t="s">
        <v>346</v>
      </c>
      <c r="D536" s="230" t="s">
        <v>264</v>
      </c>
      <c r="E536" s="230" t="s">
        <v>265</v>
      </c>
      <c r="F536" s="230" t="s">
        <v>265</v>
      </c>
      <c r="G536" s="230" t="s">
        <v>269</v>
      </c>
      <c r="H536" s="230" t="s">
        <v>325</v>
      </c>
      <c r="I536" s="230"/>
      <c r="J536" s="230"/>
      <c r="K536" s="230"/>
      <c r="L536" s="230"/>
      <c r="M536" s="230" t="s">
        <v>266</v>
      </c>
      <c r="N536" s="230" t="s">
        <v>280</v>
      </c>
      <c r="O536" s="230" t="s">
        <v>267</v>
      </c>
      <c r="P536" s="231" t="s">
        <v>347</v>
      </c>
      <c r="Q536" s="231"/>
      <c r="R536" s="233">
        <v>36000000</v>
      </c>
      <c r="S536" s="233">
        <v>2000000</v>
      </c>
      <c r="T536" s="233">
        <v>0</v>
      </c>
      <c r="U536" s="233">
        <v>38000000</v>
      </c>
      <c r="V536" s="233">
        <v>0</v>
      </c>
      <c r="W536" s="233">
        <v>32135900</v>
      </c>
      <c r="X536" s="233">
        <v>5864100</v>
      </c>
      <c r="Y536" s="233">
        <v>32135900</v>
      </c>
      <c r="Z536" s="233">
        <v>32135900</v>
      </c>
      <c r="AA536" s="233">
        <v>32135900</v>
      </c>
      <c r="AB536" s="233">
        <v>32135900</v>
      </c>
    </row>
    <row r="537" spans="1:28" ht="15" customHeight="1" x14ac:dyDescent="0.25">
      <c r="A537" s="230" t="s">
        <v>430</v>
      </c>
      <c r="B537" s="231" t="s">
        <v>431</v>
      </c>
      <c r="C537" s="232" t="s">
        <v>348</v>
      </c>
      <c r="D537" s="230" t="s">
        <v>264</v>
      </c>
      <c r="E537" s="230" t="s">
        <v>265</v>
      </c>
      <c r="F537" s="230" t="s">
        <v>265</v>
      </c>
      <c r="G537" s="230" t="s">
        <v>269</v>
      </c>
      <c r="H537" s="230" t="s">
        <v>328</v>
      </c>
      <c r="I537" s="230"/>
      <c r="J537" s="230"/>
      <c r="K537" s="230"/>
      <c r="L537" s="230"/>
      <c r="M537" s="230" t="s">
        <v>266</v>
      </c>
      <c r="N537" s="230" t="s">
        <v>280</v>
      </c>
      <c r="O537" s="230" t="s">
        <v>267</v>
      </c>
      <c r="P537" s="231" t="s">
        <v>349</v>
      </c>
      <c r="Q537" s="231"/>
      <c r="R537" s="233">
        <v>5000000</v>
      </c>
      <c r="S537" s="233">
        <v>17000000</v>
      </c>
      <c r="T537" s="233">
        <v>0</v>
      </c>
      <c r="U537" s="233">
        <v>22000000</v>
      </c>
      <c r="V537" s="233">
        <v>0</v>
      </c>
      <c r="W537" s="233">
        <v>21435300</v>
      </c>
      <c r="X537" s="233">
        <v>564700</v>
      </c>
      <c r="Y537" s="233">
        <v>21435300</v>
      </c>
      <c r="Z537" s="233">
        <v>21435300</v>
      </c>
      <c r="AA537" s="233">
        <v>21435300</v>
      </c>
      <c r="AB537" s="233">
        <v>21435300</v>
      </c>
    </row>
    <row r="538" spans="1:28" ht="15" customHeight="1" x14ac:dyDescent="0.25">
      <c r="A538" s="230" t="s">
        <v>430</v>
      </c>
      <c r="B538" s="231" t="s">
        <v>431</v>
      </c>
      <c r="C538" s="232" t="s">
        <v>350</v>
      </c>
      <c r="D538" s="230" t="s">
        <v>264</v>
      </c>
      <c r="E538" s="230" t="s">
        <v>265</v>
      </c>
      <c r="F538" s="230" t="s">
        <v>265</v>
      </c>
      <c r="G538" s="230" t="s">
        <v>269</v>
      </c>
      <c r="H538" s="230" t="s">
        <v>351</v>
      </c>
      <c r="I538" s="230"/>
      <c r="J538" s="230"/>
      <c r="K538" s="230"/>
      <c r="L538" s="230"/>
      <c r="M538" s="230" t="s">
        <v>266</v>
      </c>
      <c r="N538" s="230" t="s">
        <v>280</v>
      </c>
      <c r="O538" s="230" t="s">
        <v>267</v>
      </c>
      <c r="P538" s="231" t="s">
        <v>352</v>
      </c>
      <c r="Q538" s="231"/>
      <c r="R538" s="233">
        <v>5000000</v>
      </c>
      <c r="S538" s="233">
        <v>0</v>
      </c>
      <c r="T538" s="233">
        <v>5000000</v>
      </c>
      <c r="U538" s="233">
        <v>0</v>
      </c>
      <c r="V538" s="233">
        <v>0</v>
      </c>
      <c r="W538" s="233">
        <v>0</v>
      </c>
      <c r="X538" s="233">
        <v>0</v>
      </c>
      <c r="Y538" s="233">
        <v>0</v>
      </c>
      <c r="Z538" s="233">
        <v>0</v>
      </c>
      <c r="AA538" s="233">
        <v>0</v>
      </c>
      <c r="AB538" s="233">
        <v>0</v>
      </c>
    </row>
    <row r="539" spans="1:28" ht="15" customHeight="1" x14ac:dyDescent="0.25">
      <c r="A539" s="230" t="s">
        <v>430</v>
      </c>
      <c r="B539" s="231" t="s">
        <v>431</v>
      </c>
      <c r="C539" s="232" t="s">
        <v>353</v>
      </c>
      <c r="D539" s="230" t="s">
        <v>264</v>
      </c>
      <c r="E539" s="230" t="s">
        <v>265</v>
      </c>
      <c r="F539" s="230" t="s">
        <v>265</v>
      </c>
      <c r="G539" s="230" t="s">
        <v>269</v>
      </c>
      <c r="H539" s="230" t="s">
        <v>331</v>
      </c>
      <c r="I539" s="230"/>
      <c r="J539" s="230"/>
      <c r="K539" s="230"/>
      <c r="L539" s="230"/>
      <c r="M539" s="230" t="s">
        <v>266</v>
      </c>
      <c r="N539" s="230" t="s">
        <v>280</v>
      </c>
      <c r="O539" s="230" t="s">
        <v>267</v>
      </c>
      <c r="P539" s="231" t="s">
        <v>354</v>
      </c>
      <c r="Q539" s="231"/>
      <c r="R539" s="233">
        <v>10000000</v>
      </c>
      <c r="S539" s="233">
        <v>0</v>
      </c>
      <c r="T539" s="233">
        <v>10000000</v>
      </c>
      <c r="U539" s="233">
        <v>0</v>
      </c>
      <c r="V539" s="233">
        <v>0</v>
      </c>
      <c r="W539" s="233">
        <v>0</v>
      </c>
      <c r="X539" s="233">
        <v>0</v>
      </c>
      <c r="Y539" s="233">
        <v>0</v>
      </c>
      <c r="Z539" s="233">
        <v>0</v>
      </c>
      <c r="AA539" s="233">
        <v>0</v>
      </c>
      <c r="AB539" s="233">
        <v>0</v>
      </c>
    </row>
    <row r="540" spans="1:28" ht="15" customHeight="1" x14ac:dyDescent="0.25">
      <c r="A540" s="230" t="s">
        <v>430</v>
      </c>
      <c r="B540" s="231" t="s">
        <v>431</v>
      </c>
      <c r="C540" s="232" t="s">
        <v>355</v>
      </c>
      <c r="D540" s="230" t="s">
        <v>264</v>
      </c>
      <c r="E540" s="230" t="s">
        <v>265</v>
      </c>
      <c r="F540" s="230" t="s">
        <v>265</v>
      </c>
      <c r="G540" s="230" t="s">
        <v>271</v>
      </c>
      <c r="H540" s="230" t="s">
        <v>281</v>
      </c>
      <c r="I540" s="230" t="s">
        <v>281</v>
      </c>
      <c r="J540" s="230"/>
      <c r="K540" s="230"/>
      <c r="L540" s="230"/>
      <c r="M540" s="230" t="s">
        <v>266</v>
      </c>
      <c r="N540" s="230" t="s">
        <v>280</v>
      </c>
      <c r="O540" s="230" t="s">
        <v>267</v>
      </c>
      <c r="P540" s="231" t="s">
        <v>356</v>
      </c>
      <c r="Q540" s="231"/>
      <c r="R540" s="233">
        <v>54000000</v>
      </c>
      <c r="S540" s="233">
        <v>14000000</v>
      </c>
      <c r="T540" s="233">
        <v>0</v>
      </c>
      <c r="U540" s="233">
        <v>68000000</v>
      </c>
      <c r="V540" s="233">
        <v>0</v>
      </c>
      <c r="W540" s="233">
        <v>59221366</v>
      </c>
      <c r="X540" s="233">
        <v>8778634</v>
      </c>
      <c r="Y540" s="233">
        <v>59221366</v>
      </c>
      <c r="Z540" s="233">
        <v>59221366</v>
      </c>
      <c r="AA540" s="233">
        <v>59221366</v>
      </c>
      <c r="AB540" s="233">
        <v>59221366</v>
      </c>
    </row>
    <row r="541" spans="1:28" ht="15" customHeight="1" x14ac:dyDescent="0.25">
      <c r="A541" s="230" t="s">
        <v>430</v>
      </c>
      <c r="B541" s="231" t="s">
        <v>431</v>
      </c>
      <c r="C541" s="232" t="s">
        <v>357</v>
      </c>
      <c r="D541" s="230" t="s">
        <v>264</v>
      </c>
      <c r="E541" s="230" t="s">
        <v>265</v>
      </c>
      <c r="F541" s="230" t="s">
        <v>265</v>
      </c>
      <c r="G541" s="230" t="s">
        <v>271</v>
      </c>
      <c r="H541" s="230" t="s">
        <v>281</v>
      </c>
      <c r="I541" s="230" t="s">
        <v>283</v>
      </c>
      <c r="J541" s="230"/>
      <c r="K541" s="230"/>
      <c r="L541" s="230"/>
      <c r="M541" s="230" t="s">
        <v>266</v>
      </c>
      <c r="N541" s="230" t="s">
        <v>280</v>
      </c>
      <c r="O541" s="230" t="s">
        <v>267</v>
      </c>
      <c r="P541" s="231" t="s">
        <v>358</v>
      </c>
      <c r="Q541" s="231"/>
      <c r="R541" s="233">
        <v>0</v>
      </c>
      <c r="S541" s="233">
        <v>16816941</v>
      </c>
      <c r="T541" s="233">
        <v>302941</v>
      </c>
      <c r="U541" s="233">
        <v>16514000</v>
      </c>
      <c r="V541" s="233">
        <v>0</v>
      </c>
      <c r="W541" s="233">
        <v>15724995</v>
      </c>
      <c r="X541" s="233">
        <v>789005</v>
      </c>
      <c r="Y541" s="233">
        <v>15724995</v>
      </c>
      <c r="Z541" s="233">
        <v>15724995</v>
      </c>
      <c r="AA541" s="233">
        <v>15724995</v>
      </c>
      <c r="AB541" s="233">
        <v>15724995</v>
      </c>
    </row>
    <row r="542" spans="1:28" ht="15" customHeight="1" x14ac:dyDescent="0.25">
      <c r="A542" s="230" t="s">
        <v>430</v>
      </c>
      <c r="B542" s="231" t="s">
        <v>431</v>
      </c>
      <c r="C542" s="232" t="s">
        <v>359</v>
      </c>
      <c r="D542" s="230" t="s">
        <v>264</v>
      </c>
      <c r="E542" s="230" t="s">
        <v>265</v>
      </c>
      <c r="F542" s="230" t="s">
        <v>265</v>
      </c>
      <c r="G542" s="230" t="s">
        <v>271</v>
      </c>
      <c r="H542" s="230" t="s">
        <v>281</v>
      </c>
      <c r="I542" s="230" t="s">
        <v>316</v>
      </c>
      <c r="J542" s="230"/>
      <c r="K542" s="230"/>
      <c r="L542" s="230"/>
      <c r="M542" s="230" t="s">
        <v>266</v>
      </c>
      <c r="N542" s="230" t="s">
        <v>280</v>
      </c>
      <c r="O542" s="230" t="s">
        <v>267</v>
      </c>
      <c r="P542" s="231" t="s">
        <v>360</v>
      </c>
      <c r="Q542" s="231"/>
      <c r="R542" s="233">
        <v>5000000</v>
      </c>
      <c r="S542" s="233">
        <v>2000000</v>
      </c>
      <c r="T542" s="233">
        <v>0</v>
      </c>
      <c r="U542" s="233">
        <v>7000000</v>
      </c>
      <c r="V542" s="233">
        <v>0</v>
      </c>
      <c r="W542" s="233">
        <v>5611836</v>
      </c>
      <c r="X542" s="233">
        <v>1388164</v>
      </c>
      <c r="Y542" s="233">
        <v>5611836</v>
      </c>
      <c r="Z542" s="233">
        <v>5611836</v>
      </c>
      <c r="AA542" s="233">
        <v>5611836</v>
      </c>
      <c r="AB542" s="233">
        <v>5611836</v>
      </c>
    </row>
    <row r="543" spans="1:28" ht="15" customHeight="1" x14ac:dyDescent="0.25">
      <c r="A543" s="230" t="s">
        <v>430</v>
      </c>
      <c r="B543" s="231" t="s">
        <v>431</v>
      </c>
      <c r="C543" s="232" t="s">
        <v>361</v>
      </c>
      <c r="D543" s="230" t="s">
        <v>264</v>
      </c>
      <c r="E543" s="230" t="s">
        <v>265</v>
      </c>
      <c r="F543" s="230" t="s">
        <v>265</v>
      </c>
      <c r="G543" s="230" t="s">
        <v>271</v>
      </c>
      <c r="H543" s="230" t="s">
        <v>283</v>
      </c>
      <c r="I543" s="230"/>
      <c r="J543" s="230"/>
      <c r="K543" s="230"/>
      <c r="L543" s="230"/>
      <c r="M543" s="230" t="s">
        <v>266</v>
      </c>
      <c r="N543" s="230" t="s">
        <v>280</v>
      </c>
      <c r="O543" s="230" t="s">
        <v>267</v>
      </c>
      <c r="P543" s="231" t="s">
        <v>362</v>
      </c>
      <c r="Q543" s="231"/>
      <c r="R543" s="233">
        <v>29000000</v>
      </c>
      <c r="S543" s="233">
        <v>0</v>
      </c>
      <c r="T543" s="233">
        <v>0</v>
      </c>
      <c r="U543" s="233">
        <v>29000000</v>
      </c>
      <c r="V543" s="233">
        <v>0</v>
      </c>
      <c r="W543" s="233">
        <v>27150440</v>
      </c>
      <c r="X543" s="233">
        <v>1849560</v>
      </c>
      <c r="Y543" s="233">
        <v>27150440</v>
      </c>
      <c r="Z543" s="233">
        <v>27150440</v>
      </c>
      <c r="AA543" s="233">
        <v>27150440</v>
      </c>
      <c r="AB543" s="233">
        <v>27150440</v>
      </c>
    </row>
    <row r="544" spans="1:28" ht="15" customHeight="1" x14ac:dyDescent="0.25">
      <c r="A544" s="230" t="s">
        <v>430</v>
      </c>
      <c r="B544" s="231" t="s">
        <v>431</v>
      </c>
      <c r="C544" s="232" t="s">
        <v>363</v>
      </c>
      <c r="D544" s="230" t="s">
        <v>264</v>
      </c>
      <c r="E544" s="230" t="s">
        <v>269</v>
      </c>
      <c r="F544" s="230" t="s">
        <v>269</v>
      </c>
      <c r="G544" s="230" t="s">
        <v>269</v>
      </c>
      <c r="H544" s="230" t="s">
        <v>325</v>
      </c>
      <c r="I544" s="230" t="s">
        <v>319</v>
      </c>
      <c r="J544" s="230"/>
      <c r="K544" s="230"/>
      <c r="L544" s="230"/>
      <c r="M544" s="230" t="s">
        <v>273</v>
      </c>
      <c r="N544" s="230" t="s">
        <v>34</v>
      </c>
      <c r="O544" s="230" t="s">
        <v>267</v>
      </c>
      <c r="P544" s="231" t="s">
        <v>364</v>
      </c>
      <c r="Q544" s="231"/>
      <c r="R544" s="233">
        <v>0</v>
      </c>
      <c r="S544" s="233">
        <v>20760000</v>
      </c>
      <c r="T544" s="233">
        <v>458000</v>
      </c>
      <c r="U544" s="233">
        <v>20302000</v>
      </c>
      <c r="V544" s="233">
        <v>0</v>
      </c>
      <c r="W544" s="233">
        <v>20302000</v>
      </c>
      <c r="X544" s="233">
        <v>0</v>
      </c>
      <c r="Y544" s="233">
        <v>20302000</v>
      </c>
      <c r="Z544" s="233">
        <v>20302000</v>
      </c>
      <c r="AA544" s="233">
        <v>20302000</v>
      </c>
      <c r="AB544" s="233">
        <v>20302000</v>
      </c>
    </row>
    <row r="545" spans="1:28" ht="15" customHeight="1" x14ac:dyDescent="0.25">
      <c r="A545" s="230" t="s">
        <v>430</v>
      </c>
      <c r="B545" s="231" t="s">
        <v>431</v>
      </c>
      <c r="C545" s="232" t="s">
        <v>365</v>
      </c>
      <c r="D545" s="230" t="s">
        <v>264</v>
      </c>
      <c r="E545" s="230" t="s">
        <v>269</v>
      </c>
      <c r="F545" s="230" t="s">
        <v>269</v>
      </c>
      <c r="G545" s="230" t="s">
        <v>269</v>
      </c>
      <c r="H545" s="230" t="s">
        <v>325</v>
      </c>
      <c r="I545" s="230" t="s">
        <v>331</v>
      </c>
      <c r="J545" s="230"/>
      <c r="K545" s="230"/>
      <c r="L545" s="230"/>
      <c r="M545" s="230" t="s">
        <v>266</v>
      </c>
      <c r="N545" s="230" t="s">
        <v>280</v>
      </c>
      <c r="O545" s="230" t="s">
        <v>267</v>
      </c>
      <c r="P545" s="231" t="s">
        <v>366</v>
      </c>
      <c r="Q545" s="231"/>
      <c r="R545" s="233">
        <v>41200000</v>
      </c>
      <c r="S545" s="233">
        <v>0</v>
      </c>
      <c r="T545" s="233">
        <v>0</v>
      </c>
      <c r="U545" s="233">
        <v>41200000</v>
      </c>
      <c r="V545" s="233">
        <v>0</v>
      </c>
      <c r="W545" s="233">
        <v>41200000</v>
      </c>
      <c r="X545" s="233">
        <v>0</v>
      </c>
      <c r="Y545" s="233">
        <v>39348499</v>
      </c>
      <c r="Z545" s="233">
        <v>39348499</v>
      </c>
      <c r="AA545" s="233">
        <v>39348499</v>
      </c>
      <c r="AB545" s="233">
        <v>39348499</v>
      </c>
    </row>
    <row r="546" spans="1:28" ht="15" customHeight="1" x14ac:dyDescent="0.25">
      <c r="A546" s="230" t="s">
        <v>430</v>
      </c>
      <c r="B546" s="231" t="s">
        <v>431</v>
      </c>
      <c r="C546" s="232" t="s">
        <v>383</v>
      </c>
      <c r="D546" s="230" t="s">
        <v>264</v>
      </c>
      <c r="E546" s="230" t="s">
        <v>269</v>
      </c>
      <c r="F546" s="230" t="s">
        <v>269</v>
      </c>
      <c r="G546" s="230" t="s">
        <v>269</v>
      </c>
      <c r="H546" s="230" t="s">
        <v>328</v>
      </c>
      <c r="I546" s="230" t="s">
        <v>283</v>
      </c>
      <c r="J546" s="230"/>
      <c r="K546" s="230"/>
      <c r="L546" s="230"/>
      <c r="M546" s="230" t="s">
        <v>266</v>
      </c>
      <c r="N546" s="230" t="s">
        <v>280</v>
      </c>
      <c r="O546" s="230" t="s">
        <v>267</v>
      </c>
      <c r="P546" s="231" t="s">
        <v>384</v>
      </c>
      <c r="Q546" s="231"/>
      <c r="R546" s="233">
        <v>17000000</v>
      </c>
      <c r="S546" s="233">
        <v>6017912</v>
      </c>
      <c r="T546" s="233">
        <v>0</v>
      </c>
      <c r="U546" s="233">
        <v>23017912</v>
      </c>
      <c r="V546" s="233">
        <v>0</v>
      </c>
      <c r="W546" s="233">
        <v>23017912</v>
      </c>
      <c r="X546" s="233">
        <v>0</v>
      </c>
      <c r="Y546" s="233">
        <v>21524510</v>
      </c>
      <c r="Z546" s="233">
        <v>21524510</v>
      </c>
      <c r="AA546" s="233">
        <v>21524510</v>
      </c>
      <c r="AB546" s="233">
        <v>21524510</v>
      </c>
    </row>
    <row r="547" spans="1:28" ht="15" customHeight="1" x14ac:dyDescent="0.25">
      <c r="A547" s="230" t="s">
        <v>430</v>
      </c>
      <c r="B547" s="231" t="s">
        <v>431</v>
      </c>
      <c r="C547" s="232" t="s">
        <v>367</v>
      </c>
      <c r="D547" s="230" t="s">
        <v>264</v>
      </c>
      <c r="E547" s="230" t="s">
        <v>269</v>
      </c>
      <c r="F547" s="230" t="s">
        <v>269</v>
      </c>
      <c r="G547" s="230" t="s">
        <v>269</v>
      </c>
      <c r="H547" s="230" t="s">
        <v>351</v>
      </c>
      <c r="I547" s="230" t="s">
        <v>319</v>
      </c>
      <c r="J547" s="230"/>
      <c r="K547" s="230"/>
      <c r="L547" s="230"/>
      <c r="M547" s="230" t="s">
        <v>266</v>
      </c>
      <c r="N547" s="230" t="s">
        <v>280</v>
      </c>
      <c r="O547" s="230" t="s">
        <v>267</v>
      </c>
      <c r="P547" s="231" t="s">
        <v>368</v>
      </c>
      <c r="Q547" s="231"/>
      <c r="R547" s="233">
        <v>3000000</v>
      </c>
      <c r="S547" s="233">
        <v>5000000</v>
      </c>
      <c r="T547" s="233">
        <v>0</v>
      </c>
      <c r="U547" s="233">
        <v>8000000</v>
      </c>
      <c r="V547" s="233">
        <v>0</v>
      </c>
      <c r="W547" s="233">
        <v>8000000</v>
      </c>
      <c r="X547" s="233">
        <v>0</v>
      </c>
      <c r="Y547" s="233">
        <v>5519543</v>
      </c>
      <c r="Z547" s="233">
        <v>5519543</v>
      </c>
      <c r="AA547" s="233">
        <v>5519543</v>
      </c>
      <c r="AB547" s="233">
        <v>5519543</v>
      </c>
    </row>
    <row r="548" spans="1:28" ht="15" customHeight="1" x14ac:dyDescent="0.25">
      <c r="A548" s="230" t="s">
        <v>430</v>
      </c>
      <c r="B548" s="231" t="s">
        <v>431</v>
      </c>
      <c r="C548" s="232" t="s">
        <v>369</v>
      </c>
      <c r="D548" s="230" t="s">
        <v>264</v>
      </c>
      <c r="E548" s="230" t="s">
        <v>269</v>
      </c>
      <c r="F548" s="230" t="s">
        <v>269</v>
      </c>
      <c r="G548" s="230" t="s">
        <v>269</v>
      </c>
      <c r="H548" s="230" t="s">
        <v>331</v>
      </c>
      <c r="I548" s="230" t="s">
        <v>319</v>
      </c>
      <c r="J548" s="230"/>
      <c r="K548" s="230"/>
      <c r="L548" s="230"/>
      <c r="M548" s="230" t="s">
        <v>266</v>
      </c>
      <c r="N548" s="230" t="s">
        <v>280</v>
      </c>
      <c r="O548" s="230" t="s">
        <v>267</v>
      </c>
      <c r="P548" s="231" t="s">
        <v>370</v>
      </c>
      <c r="Q548" s="231"/>
      <c r="R548" s="233">
        <v>1800000</v>
      </c>
      <c r="S548" s="233">
        <v>1200000</v>
      </c>
      <c r="T548" s="233">
        <v>0</v>
      </c>
      <c r="U548" s="233">
        <v>3000000</v>
      </c>
      <c r="V548" s="233">
        <v>0</v>
      </c>
      <c r="W548" s="233">
        <v>3000000</v>
      </c>
      <c r="X548" s="233">
        <v>0</v>
      </c>
      <c r="Y548" s="233">
        <v>2451484</v>
      </c>
      <c r="Z548" s="233">
        <v>2451484</v>
      </c>
      <c r="AA548" s="233">
        <v>2451484</v>
      </c>
      <c r="AB548" s="233">
        <v>2451484</v>
      </c>
    </row>
    <row r="549" spans="1:28" ht="15" customHeight="1" x14ac:dyDescent="0.25">
      <c r="A549" s="230" t="s">
        <v>430</v>
      </c>
      <c r="B549" s="231" t="s">
        <v>431</v>
      </c>
      <c r="C549" s="232" t="s">
        <v>371</v>
      </c>
      <c r="D549" s="230" t="s">
        <v>264</v>
      </c>
      <c r="E549" s="230" t="s">
        <v>269</v>
      </c>
      <c r="F549" s="230" t="s">
        <v>269</v>
      </c>
      <c r="G549" s="230" t="s">
        <v>269</v>
      </c>
      <c r="H549" s="230" t="s">
        <v>334</v>
      </c>
      <c r="I549" s="230"/>
      <c r="J549" s="230"/>
      <c r="K549" s="230"/>
      <c r="L549" s="230"/>
      <c r="M549" s="230" t="s">
        <v>266</v>
      </c>
      <c r="N549" s="230" t="s">
        <v>280</v>
      </c>
      <c r="O549" s="230" t="s">
        <v>267</v>
      </c>
      <c r="P549" s="231" t="s">
        <v>372</v>
      </c>
      <c r="Q549" s="231"/>
      <c r="R549" s="233">
        <v>0</v>
      </c>
      <c r="S549" s="233">
        <v>135773</v>
      </c>
      <c r="T549" s="233">
        <v>0</v>
      </c>
      <c r="U549" s="233">
        <v>135773</v>
      </c>
      <c r="V549" s="233">
        <v>0</v>
      </c>
      <c r="W549" s="233">
        <v>135773</v>
      </c>
      <c r="X549" s="233">
        <v>0</v>
      </c>
      <c r="Y549" s="233">
        <v>135773</v>
      </c>
      <c r="Z549" s="233">
        <v>135773</v>
      </c>
      <c r="AA549" s="233">
        <v>135773</v>
      </c>
      <c r="AB549" s="233">
        <v>135773</v>
      </c>
    </row>
    <row r="550" spans="1:28" ht="15" customHeight="1" x14ac:dyDescent="0.25">
      <c r="A550" s="230" t="s">
        <v>430</v>
      </c>
      <c r="B550" s="231" t="s">
        <v>431</v>
      </c>
      <c r="C550" s="232" t="s">
        <v>371</v>
      </c>
      <c r="D550" s="230" t="s">
        <v>264</v>
      </c>
      <c r="E550" s="230" t="s">
        <v>269</v>
      </c>
      <c r="F550" s="230" t="s">
        <v>269</v>
      </c>
      <c r="G550" s="230" t="s">
        <v>269</v>
      </c>
      <c r="H550" s="230" t="s">
        <v>334</v>
      </c>
      <c r="I550" s="230"/>
      <c r="J550" s="230"/>
      <c r="K550" s="230"/>
      <c r="L550" s="230"/>
      <c r="M550" s="230" t="s">
        <v>273</v>
      </c>
      <c r="N550" s="230" t="s">
        <v>34</v>
      </c>
      <c r="O550" s="230" t="s">
        <v>267</v>
      </c>
      <c r="P550" s="231" t="s">
        <v>372</v>
      </c>
      <c r="Q550" s="231"/>
      <c r="R550" s="233">
        <v>0</v>
      </c>
      <c r="S550" s="233">
        <v>1854773</v>
      </c>
      <c r="T550" s="233">
        <v>328446</v>
      </c>
      <c r="U550" s="233">
        <v>1526327</v>
      </c>
      <c r="V550" s="233">
        <v>0</v>
      </c>
      <c r="W550" s="233">
        <v>1526327</v>
      </c>
      <c r="X550" s="233">
        <v>0</v>
      </c>
      <c r="Y550" s="233">
        <v>1419938</v>
      </c>
      <c r="Z550" s="233">
        <v>1419938</v>
      </c>
      <c r="AA550" s="233">
        <v>1419938</v>
      </c>
      <c r="AB550" s="233">
        <v>1419938</v>
      </c>
    </row>
    <row r="551" spans="1:28" ht="15" customHeight="1" x14ac:dyDescent="0.25">
      <c r="A551" s="230" t="s">
        <v>430</v>
      </c>
      <c r="B551" s="231" t="s">
        <v>431</v>
      </c>
      <c r="C551" s="232" t="s">
        <v>373</v>
      </c>
      <c r="D551" s="230" t="s">
        <v>264</v>
      </c>
      <c r="E551" s="230" t="s">
        <v>271</v>
      </c>
      <c r="F551" s="230" t="s">
        <v>277</v>
      </c>
      <c r="G551" s="230" t="s">
        <v>269</v>
      </c>
      <c r="H551" s="230" t="s">
        <v>278</v>
      </c>
      <c r="I551" s="230" t="s">
        <v>281</v>
      </c>
      <c r="J551" s="230"/>
      <c r="K551" s="230"/>
      <c r="L551" s="230"/>
      <c r="M551" s="230" t="s">
        <v>266</v>
      </c>
      <c r="N551" s="230" t="s">
        <v>280</v>
      </c>
      <c r="O551" s="230" t="s">
        <v>267</v>
      </c>
      <c r="P551" s="231" t="s">
        <v>374</v>
      </c>
      <c r="Q551" s="231"/>
      <c r="R551" s="233">
        <v>0</v>
      </c>
      <c r="S551" s="233">
        <v>9158000</v>
      </c>
      <c r="T551" s="233">
        <v>0</v>
      </c>
      <c r="U551" s="233">
        <v>9158000</v>
      </c>
      <c r="V551" s="233">
        <v>0</v>
      </c>
      <c r="W551" s="233">
        <v>8128059</v>
      </c>
      <c r="X551" s="233">
        <v>1029941</v>
      </c>
      <c r="Y551" s="233">
        <v>8046423</v>
      </c>
      <c r="Z551" s="233">
        <v>6986298</v>
      </c>
      <c r="AA551" s="233">
        <v>6986298</v>
      </c>
      <c r="AB551" s="233">
        <v>6986298</v>
      </c>
    </row>
    <row r="552" spans="1:28" ht="15" customHeight="1" x14ac:dyDescent="0.25">
      <c r="A552" s="230" t="s">
        <v>430</v>
      </c>
      <c r="B552" s="231" t="s">
        <v>431</v>
      </c>
      <c r="C552" s="232" t="s">
        <v>387</v>
      </c>
      <c r="D552" s="230" t="s">
        <v>264</v>
      </c>
      <c r="E552" s="230" t="s">
        <v>271</v>
      </c>
      <c r="F552" s="230" t="s">
        <v>277</v>
      </c>
      <c r="G552" s="230" t="s">
        <v>269</v>
      </c>
      <c r="H552" s="230" t="s">
        <v>278</v>
      </c>
      <c r="I552" s="230" t="s">
        <v>283</v>
      </c>
      <c r="J552" s="230"/>
      <c r="K552" s="230"/>
      <c r="L552" s="230"/>
      <c r="M552" s="230" t="s">
        <v>266</v>
      </c>
      <c r="N552" s="230" t="s">
        <v>280</v>
      </c>
      <c r="O552" s="230" t="s">
        <v>267</v>
      </c>
      <c r="P552" s="231" t="s">
        <v>388</v>
      </c>
      <c r="Q552" s="231"/>
      <c r="R552" s="233">
        <v>0</v>
      </c>
      <c r="S552" s="233">
        <v>16835473</v>
      </c>
      <c r="T552" s="233">
        <v>0</v>
      </c>
      <c r="U552" s="233">
        <v>16835473</v>
      </c>
      <c r="V552" s="233">
        <v>0</v>
      </c>
      <c r="W552" s="233">
        <v>11507128</v>
      </c>
      <c r="X552" s="233">
        <v>5328345</v>
      </c>
      <c r="Y552" s="233">
        <v>11507128</v>
      </c>
      <c r="Z552" s="233">
        <v>11507128</v>
      </c>
      <c r="AA552" s="233">
        <v>11507128</v>
      </c>
      <c r="AB552" s="233">
        <v>11507128</v>
      </c>
    </row>
    <row r="553" spans="1:28" ht="15" customHeight="1" x14ac:dyDescent="0.25">
      <c r="A553" s="230" t="s">
        <v>430</v>
      </c>
      <c r="B553" s="231" t="s">
        <v>431</v>
      </c>
      <c r="C553" s="232" t="s">
        <v>375</v>
      </c>
      <c r="D553" s="230" t="s">
        <v>264</v>
      </c>
      <c r="E553" s="230" t="s">
        <v>285</v>
      </c>
      <c r="F553" s="230" t="s">
        <v>265</v>
      </c>
      <c r="G553" s="230" t="s">
        <v>269</v>
      </c>
      <c r="H553" s="230" t="s">
        <v>281</v>
      </c>
      <c r="I553" s="230"/>
      <c r="J553" s="230"/>
      <c r="K553" s="230"/>
      <c r="L553" s="230"/>
      <c r="M553" s="230" t="s">
        <v>266</v>
      </c>
      <c r="N553" s="230" t="s">
        <v>280</v>
      </c>
      <c r="O553" s="230" t="s">
        <v>267</v>
      </c>
      <c r="P553" s="231" t="s">
        <v>376</v>
      </c>
      <c r="Q553" s="231"/>
      <c r="R553" s="233">
        <v>0</v>
      </c>
      <c r="S553" s="233">
        <v>18286000</v>
      </c>
      <c r="T553" s="233">
        <v>0</v>
      </c>
      <c r="U553" s="233">
        <v>18286000</v>
      </c>
      <c r="V553" s="233">
        <v>0</v>
      </c>
      <c r="W553" s="233">
        <v>18286000</v>
      </c>
      <c r="X553" s="233">
        <v>0</v>
      </c>
      <c r="Y553" s="233">
        <v>18286000</v>
      </c>
      <c r="Z553" s="233">
        <v>18286000</v>
      </c>
      <c r="AA553" s="233">
        <v>18286000</v>
      </c>
      <c r="AB553" s="233">
        <v>18286000</v>
      </c>
    </row>
    <row r="554" spans="1:28" ht="15" customHeight="1" x14ac:dyDescent="0.25">
      <c r="A554" s="230" t="s">
        <v>430</v>
      </c>
      <c r="B554" s="231" t="s">
        <v>431</v>
      </c>
      <c r="C554" s="232" t="s">
        <v>377</v>
      </c>
      <c r="D554" s="230" t="s">
        <v>264</v>
      </c>
      <c r="E554" s="230" t="s">
        <v>285</v>
      </c>
      <c r="F554" s="230" t="s">
        <v>265</v>
      </c>
      <c r="G554" s="230" t="s">
        <v>269</v>
      </c>
      <c r="H554" s="230" t="s">
        <v>316</v>
      </c>
      <c r="I554" s="230"/>
      <c r="J554" s="230"/>
      <c r="K554" s="230"/>
      <c r="L554" s="230"/>
      <c r="M554" s="230" t="s">
        <v>273</v>
      </c>
      <c r="N554" s="230" t="s">
        <v>34</v>
      </c>
      <c r="O554" s="230" t="s">
        <v>267</v>
      </c>
      <c r="P554" s="231" t="s">
        <v>378</v>
      </c>
      <c r="Q554" s="231"/>
      <c r="R554" s="233">
        <v>0</v>
      </c>
      <c r="S554" s="233">
        <v>2542000</v>
      </c>
      <c r="T554" s="233">
        <v>0</v>
      </c>
      <c r="U554" s="233">
        <v>2542000</v>
      </c>
      <c r="V554" s="233">
        <v>0</v>
      </c>
      <c r="W554" s="233">
        <v>2542000</v>
      </c>
      <c r="X554" s="233">
        <v>0</v>
      </c>
      <c r="Y554" s="233">
        <v>2542000</v>
      </c>
      <c r="Z554" s="233">
        <v>2542000</v>
      </c>
      <c r="AA554" s="233">
        <v>2542000</v>
      </c>
      <c r="AB554" s="233">
        <v>2542000</v>
      </c>
    </row>
    <row r="555" spans="1:28" ht="15" customHeight="1" x14ac:dyDescent="0.25">
      <c r="A555" s="230" t="s">
        <v>432</v>
      </c>
      <c r="B555" s="231" t="s">
        <v>433</v>
      </c>
      <c r="C555" s="232" t="s">
        <v>313</v>
      </c>
      <c r="D555" s="230" t="s">
        <v>264</v>
      </c>
      <c r="E555" s="230" t="s">
        <v>265</v>
      </c>
      <c r="F555" s="230" t="s">
        <v>265</v>
      </c>
      <c r="G555" s="230" t="s">
        <v>265</v>
      </c>
      <c r="H555" s="230" t="s">
        <v>281</v>
      </c>
      <c r="I555" s="230" t="s">
        <v>281</v>
      </c>
      <c r="J555" s="230"/>
      <c r="K555" s="230"/>
      <c r="L555" s="230"/>
      <c r="M555" s="230" t="s">
        <v>266</v>
      </c>
      <c r="N555" s="230" t="s">
        <v>280</v>
      </c>
      <c r="O555" s="230" t="s">
        <v>267</v>
      </c>
      <c r="P555" s="231" t="s">
        <v>314</v>
      </c>
      <c r="Q555" s="231"/>
      <c r="R555" s="233">
        <v>428000000</v>
      </c>
      <c r="S555" s="233">
        <v>43000000</v>
      </c>
      <c r="T555" s="233">
        <v>0</v>
      </c>
      <c r="U555" s="233">
        <v>471000000</v>
      </c>
      <c r="V555" s="233">
        <v>0</v>
      </c>
      <c r="W555" s="233">
        <v>429930372</v>
      </c>
      <c r="X555" s="233">
        <v>41069628</v>
      </c>
      <c r="Y555" s="233">
        <v>429862073</v>
      </c>
      <c r="Z555" s="233">
        <v>429854329</v>
      </c>
      <c r="AA555" s="233">
        <v>429854329</v>
      </c>
      <c r="AB555" s="233">
        <v>429854329</v>
      </c>
    </row>
    <row r="556" spans="1:28" ht="15" customHeight="1" x14ac:dyDescent="0.25">
      <c r="A556" s="230" t="s">
        <v>432</v>
      </c>
      <c r="B556" s="231" t="s">
        <v>433</v>
      </c>
      <c r="C556" s="232" t="s">
        <v>318</v>
      </c>
      <c r="D556" s="230" t="s">
        <v>264</v>
      </c>
      <c r="E556" s="230" t="s">
        <v>265</v>
      </c>
      <c r="F556" s="230" t="s">
        <v>265</v>
      </c>
      <c r="G556" s="230" t="s">
        <v>265</v>
      </c>
      <c r="H556" s="230" t="s">
        <v>281</v>
      </c>
      <c r="I556" s="230" t="s">
        <v>319</v>
      </c>
      <c r="J556" s="230"/>
      <c r="K556" s="230"/>
      <c r="L556" s="230"/>
      <c r="M556" s="230" t="s">
        <v>266</v>
      </c>
      <c r="N556" s="230" t="s">
        <v>280</v>
      </c>
      <c r="O556" s="230" t="s">
        <v>267</v>
      </c>
      <c r="P556" s="231" t="s">
        <v>320</v>
      </c>
      <c r="Q556" s="231"/>
      <c r="R556" s="233">
        <v>7920000</v>
      </c>
      <c r="S556" s="233">
        <v>0</v>
      </c>
      <c r="T556" s="233">
        <v>0</v>
      </c>
      <c r="U556" s="233">
        <v>7920000</v>
      </c>
      <c r="V556" s="233">
        <v>0</v>
      </c>
      <c r="W556" s="233">
        <v>7837339</v>
      </c>
      <c r="X556" s="233">
        <v>82661</v>
      </c>
      <c r="Y556" s="233">
        <v>7837339</v>
      </c>
      <c r="Z556" s="233">
        <v>7837339</v>
      </c>
      <c r="AA556" s="233">
        <v>7837339</v>
      </c>
      <c r="AB556" s="233">
        <v>7837339</v>
      </c>
    </row>
    <row r="557" spans="1:28" ht="15" customHeight="1" x14ac:dyDescent="0.25">
      <c r="A557" s="230" t="s">
        <v>432</v>
      </c>
      <c r="B557" s="231" t="s">
        <v>433</v>
      </c>
      <c r="C557" s="232" t="s">
        <v>321</v>
      </c>
      <c r="D557" s="230" t="s">
        <v>264</v>
      </c>
      <c r="E557" s="230" t="s">
        <v>265</v>
      </c>
      <c r="F557" s="230" t="s">
        <v>265</v>
      </c>
      <c r="G557" s="230" t="s">
        <v>265</v>
      </c>
      <c r="H557" s="230" t="s">
        <v>281</v>
      </c>
      <c r="I557" s="230" t="s">
        <v>322</v>
      </c>
      <c r="J557" s="230"/>
      <c r="K557" s="230"/>
      <c r="L557" s="230"/>
      <c r="M557" s="230" t="s">
        <v>266</v>
      </c>
      <c r="N557" s="230" t="s">
        <v>280</v>
      </c>
      <c r="O557" s="230" t="s">
        <v>267</v>
      </c>
      <c r="P557" s="231" t="s">
        <v>323</v>
      </c>
      <c r="Q557" s="231"/>
      <c r="R557" s="233">
        <v>5870000</v>
      </c>
      <c r="S557" s="233">
        <v>3000000</v>
      </c>
      <c r="T557" s="233">
        <v>5870000</v>
      </c>
      <c r="U557" s="233">
        <v>3000000</v>
      </c>
      <c r="V557" s="233">
        <v>0</v>
      </c>
      <c r="W557" s="233">
        <v>1490356</v>
      </c>
      <c r="X557" s="233">
        <v>1509644</v>
      </c>
      <c r="Y557" s="233">
        <v>1490356</v>
      </c>
      <c r="Z557" s="233">
        <v>1490356</v>
      </c>
      <c r="AA557" s="233">
        <v>1490356</v>
      </c>
      <c r="AB557" s="233">
        <v>1490356</v>
      </c>
    </row>
    <row r="558" spans="1:28" ht="15" customHeight="1" x14ac:dyDescent="0.25">
      <c r="A558" s="230" t="s">
        <v>432</v>
      </c>
      <c r="B558" s="231" t="s">
        <v>433</v>
      </c>
      <c r="C558" s="232" t="s">
        <v>324</v>
      </c>
      <c r="D558" s="230" t="s">
        <v>264</v>
      </c>
      <c r="E558" s="230" t="s">
        <v>265</v>
      </c>
      <c r="F558" s="230" t="s">
        <v>265</v>
      </c>
      <c r="G558" s="230" t="s">
        <v>265</v>
      </c>
      <c r="H558" s="230" t="s">
        <v>281</v>
      </c>
      <c r="I558" s="230" t="s">
        <v>325</v>
      </c>
      <c r="J558" s="230"/>
      <c r="K558" s="230"/>
      <c r="L558" s="230"/>
      <c r="M558" s="230" t="s">
        <v>266</v>
      </c>
      <c r="N558" s="230" t="s">
        <v>280</v>
      </c>
      <c r="O558" s="230" t="s">
        <v>267</v>
      </c>
      <c r="P558" s="231" t="s">
        <v>326</v>
      </c>
      <c r="Q558" s="231"/>
      <c r="R558" s="233">
        <v>40000000</v>
      </c>
      <c r="S558" s="233">
        <v>11141000</v>
      </c>
      <c r="T558" s="233">
        <v>3945404</v>
      </c>
      <c r="U558" s="233">
        <v>47195596</v>
      </c>
      <c r="V558" s="233">
        <v>0</v>
      </c>
      <c r="W558" s="233">
        <v>47195572</v>
      </c>
      <c r="X558" s="233">
        <v>24</v>
      </c>
      <c r="Y558" s="233">
        <v>47195572</v>
      </c>
      <c r="Z558" s="233">
        <v>47195572</v>
      </c>
      <c r="AA558" s="233">
        <v>47195572</v>
      </c>
      <c r="AB558" s="233">
        <v>47195572</v>
      </c>
    </row>
    <row r="559" spans="1:28" ht="15" customHeight="1" x14ac:dyDescent="0.25">
      <c r="A559" s="230" t="s">
        <v>432</v>
      </c>
      <c r="B559" s="231" t="s">
        <v>433</v>
      </c>
      <c r="C559" s="232" t="s">
        <v>327</v>
      </c>
      <c r="D559" s="230" t="s">
        <v>264</v>
      </c>
      <c r="E559" s="230" t="s">
        <v>265</v>
      </c>
      <c r="F559" s="230" t="s">
        <v>265</v>
      </c>
      <c r="G559" s="230" t="s">
        <v>265</v>
      </c>
      <c r="H559" s="230" t="s">
        <v>281</v>
      </c>
      <c r="I559" s="230" t="s">
        <v>328</v>
      </c>
      <c r="J559" s="230"/>
      <c r="K559" s="230"/>
      <c r="L559" s="230"/>
      <c r="M559" s="230" t="s">
        <v>266</v>
      </c>
      <c r="N559" s="230" t="s">
        <v>280</v>
      </c>
      <c r="O559" s="230" t="s">
        <v>267</v>
      </c>
      <c r="P559" s="231" t="s">
        <v>329</v>
      </c>
      <c r="Q559" s="231"/>
      <c r="R559" s="233">
        <v>15000000</v>
      </c>
      <c r="S559" s="233">
        <v>2200000</v>
      </c>
      <c r="T559" s="233">
        <v>0</v>
      </c>
      <c r="U559" s="233">
        <v>17200000</v>
      </c>
      <c r="V559" s="233">
        <v>0</v>
      </c>
      <c r="W559" s="233">
        <v>16554885</v>
      </c>
      <c r="X559" s="233">
        <v>645115</v>
      </c>
      <c r="Y559" s="233">
        <v>16554885</v>
      </c>
      <c r="Z559" s="233">
        <v>16554885</v>
      </c>
      <c r="AA559" s="233">
        <v>16554885</v>
      </c>
      <c r="AB559" s="233">
        <v>16554885</v>
      </c>
    </row>
    <row r="560" spans="1:28" ht="15" customHeight="1" x14ac:dyDescent="0.25">
      <c r="A560" s="230" t="s">
        <v>432</v>
      </c>
      <c r="B560" s="231" t="s">
        <v>433</v>
      </c>
      <c r="C560" s="232" t="s">
        <v>330</v>
      </c>
      <c r="D560" s="230" t="s">
        <v>264</v>
      </c>
      <c r="E560" s="230" t="s">
        <v>265</v>
      </c>
      <c r="F560" s="230" t="s">
        <v>265</v>
      </c>
      <c r="G560" s="230" t="s">
        <v>265</v>
      </c>
      <c r="H560" s="230" t="s">
        <v>281</v>
      </c>
      <c r="I560" s="230" t="s">
        <v>331</v>
      </c>
      <c r="J560" s="230"/>
      <c r="K560" s="230"/>
      <c r="L560" s="230"/>
      <c r="M560" s="230" t="s">
        <v>266</v>
      </c>
      <c r="N560" s="230" t="s">
        <v>280</v>
      </c>
      <c r="O560" s="230" t="s">
        <v>267</v>
      </c>
      <c r="P560" s="231" t="s">
        <v>332</v>
      </c>
      <c r="Q560" s="231"/>
      <c r="R560" s="233">
        <v>52000000</v>
      </c>
      <c r="S560" s="233">
        <v>6200000</v>
      </c>
      <c r="T560" s="233">
        <v>0</v>
      </c>
      <c r="U560" s="233">
        <v>58200000</v>
      </c>
      <c r="V560" s="233">
        <v>0</v>
      </c>
      <c r="W560" s="233">
        <v>58094177</v>
      </c>
      <c r="X560" s="233">
        <v>105823</v>
      </c>
      <c r="Y560" s="233">
        <v>58094177</v>
      </c>
      <c r="Z560" s="233">
        <v>58094177</v>
      </c>
      <c r="AA560" s="233">
        <v>58094177</v>
      </c>
      <c r="AB560" s="233">
        <v>58094177</v>
      </c>
    </row>
    <row r="561" spans="1:28" ht="15" customHeight="1" x14ac:dyDescent="0.25">
      <c r="A561" s="230" t="s">
        <v>432</v>
      </c>
      <c r="B561" s="231" t="s">
        <v>433</v>
      </c>
      <c r="C561" s="232" t="s">
        <v>333</v>
      </c>
      <c r="D561" s="230" t="s">
        <v>264</v>
      </c>
      <c r="E561" s="230" t="s">
        <v>265</v>
      </c>
      <c r="F561" s="230" t="s">
        <v>265</v>
      </c>
      <c r="G561" s="230" t="s">
        <v>265</v>
      </c>
      <c r="H561" s="230" t="s">
        <v>281</v>
      </c>
      <c r="I561" s="230" t="s">
        <v>334</v>
      </c>
      <c r="J561" s="230"/>
      <c r="K561" s="230"/>
      <c r="L561" s="230"/>
      <c r="M561" s="230" t="s">
        <v>266</v>
      </c>
      <c r="N561" s="230" t="s">
        <v>280</v>
      </c>
      <c r="O561" s="230" t="s">
        <v>267</v>
      </c>
      <c r="P561" s="231" t="s">
        <v>335</v>
      </c>
      <c r="Q561" s="231"/>
      <c r="R561" s="233">
        <v>32000000</v>
      </c>
      <c r="S561" s="233">
        <v>0</v>
      </c>
      <c r="T561" s="233">
        <v>0</v>
      </c>
      <c r="U561" s="233">
        <v>32000000</v>
      </c>
      <c r="V561" s="233">
        <v>0</v>
      </c>
      <c r="W561" s="233">
        <v>16061434</v>
      </c>
      <c r="X561" s="233">
        <v>15938566</v>
      </c>
      <c r="Y561" s="233">
        <v>16061434</v>
      </c>
      <c r="Z561" s="233">
        <v>16061434</v>
      </c>
      <c r="AA561" s="233">
        <v>16061434</v>
      </c>
      <c r="AB561" s="233">
        <v>16061434</v>
      </c>
    </row>
    <row r="562" spans="1:28" ht="15" customHeight="1" x14ac:dyDescent="0.25">
      <c r="A562" s="230" t="s">
        <v>432</v>
      </c>
      <c r="B562" s="231" t="s">
        <v>433</v>
      </c>
      <c r="C562" s="232" t="s">
        <v>336</v>
      </c>
      <c r="D562" s="230" t="s">
        <v>264</v>
      </c>
      <c r="E562" s="230" t="s">
        <v>265</v>
      </c>
      <c r="F562" s="230" t="s">
        <v>265</v>
      </c>
      <c r="G562" s="230" t="s">
        <v>265</v>
      </c>
      <c r="H562" s="230" t="s">
        <v>281</v>
      </c>
      <c r="I562" s="230" t="s">
        <v>278</v>
      </c>
      <c r="J562" s="230"/>
      <c r="K562" s="230"/>
      <c r="L562" s="230"/>
      <c r="M562" s="230" t="s">
        <v>266</v>
      </c>
      <c r="N562" s="230" t="s">
        <v>280</v>
      </c>
      <c r="O562" s="230" t="s">
        <v>267</v>
      </c>
      <c r="P562" s="231" t="s">
        <v>337</v>
      </c>
      <c r="Q562" s="231"/>
      <c r="R562" s="233">
        <v>6000000</v>
      </c>
      <c r="S562" s="233">
        <v>2900000</v>
      </c>
      <c r="T562" s="233">
        <v>7542</v>
      </c>
      <c r="U562" s="233">
        <v>8892458</v>
      </c>
      <c r="V562" s="233">
        <v>0</v>
      </c>
      <c r="W562" s="233">
        <v>8892458</v>
      </c>
      <c r="X562" s="233">
        <v>0</v>
      </c>
      <c r="Y562" s="233">
        <v>8892458</v>
      </c>
      <c r="Z562" s="233">
        <v>8892458</v>
      </c>
      <c r="AA562" s="233">
        <v>8892458</v>
      </c>
      <c r="AB562" s="233">
        <v>8892458</v>
      </c>
    </row>
    <row r="563" spans="1:28" ht="15" customHeight="1" x14ac:dyDescent="0.25">
      <c r="A563" s="230" t="s">
        <v>432</v>
      </c>
      <c r="B563" s="231" t="s">
        <v>433</v>
      </c>
      <c r="C563" s="232" t="s">
        <v>338</v>
      </c>
      <c r="D563" s="230" t="s">
        <v>264</v>
      </c>
      <c r="E563" s="230" t="s">
        <v>265</v>
      </c>
      <c r="F563" s="230" t="s">
        <v>265</v>
      </c>
      <c r="G563" s="230" t="s">
        <v>269</v>
      </c>
      <c r="H563" s="230" t="s">
        <v>281</v>
      </c>
      <c r="I563" s="230"/>
      <c r="J563" s="230"/>
      <c r="K563" s="230"/>
      <c r="L563" s="230"/>
      <c r="M563" s="230" t="s">
        <v>266</v>
      </c>
      <c r="N563" s="230" t="s">
        <v>280</v>
      </c>
      <c r="O563" s="230" t="s">
        <v>267</v>
      </c>
      <c r="P563" s="231" t="s">
        <v>339</v>
      </c>
      <c r="Q563" s="231"/>
      <c r="R563" s="233">
        <v>50000000</v>
      </c>
      <c r="S563" s="233">
        <v>11000000</v>
      </c>
      <c r="T563" s="233">
        <v>0</v>
      </c>
      <c r="U563" s="233">
        <v>61000000</v>
      </c>
      <c r="V563" s="233">
        <v>0</v>
      </c>
      <c r="W563" s="233">
        <v>57620300</v>
      </c>
      <c r="X563" s="233">
        <v>3379700</v>
      </c>
      <c r="Y563" s="233">
        <v>57620300</v>
      </c>
      <c r="Z563" s="233">
        <v>57620300</v>
      </c>
      <c r="AA563" s="233">
        <v>57620300</v>
      </c>
      <c r="AB563" s="233">
        <v>57620300</v>
      </c>
    </row>
    <row r="564" spans="1:28" ht="15" customHeight="1" x14ac:dyDescent="0.25">
      <c r="A564" s="230" t="s">
        <v>432</v>
      </c>
      <c r="B564" s="231" t="s">
        <v>433</v>
      </c>
      <c r="C564" s="232" t="s">
        <v>340</v>
      </c>
      <c r="D564" s="230" t="s">
        <v>264</v>
      </c>
      <c r="E564" s="230" t="s">
        <v>265</v>
      </c>
      <c r="F564" s="230" t="s">
        <v>265</v>
      </c>
      <c r="G564" s="230" t="s">
        <v>269</v>
      </c>
      <c r="H564" s="230" t="s">
        <v>283</v>
      </c>
      <c r="I564" s="230"/>
      <c r="J564" s="230"/>
      <c r="K564" s="230"/>
      <c r="L564" s="230"/>
      <c r="M564" s="230" t="s">
        <v>266</v>
      </c>
      <c r="N564" s="230" t="s">
        <v>280</v>
      </c>
      <c r="O564" s="230" t="s">
        <v>267</v>
      </c>
      <c r="P564" s="231" t="s">
        <v>341</v>
      </c>
      <c r="Q564" s="231"/>
      <c r="R564" s="233">
        <v>40000000</v>
      </c>
      <c r="S564" s="233">
        <v>4000000</v>
      </c>
      <c r="T564" s="233">
        <v>0</v>
      </c>
      <c r="U564" s="233">
        <v>44000000</v>
      </c>
      <c r="V564" s="233">
        <v>0</v>
      </c>
      <c r="W564" s="233">
        <v>40811700</v>
      </c>
      <c r="X564" s="233">
        <v>3188300</v>
      </c>
      <c r="Y564" s="233">
        <v>40811700</v>
      </c>
      <c r="Z564" s="233">
        <v>40811700</v>
      </c>
      <c r="AA564" s="233">
        <v>40811700</v>
      </c>
      <c r="AB564" s="233">
        <v>40811700</v>
      </c>
    </row>
    <row r="565" spans="1:28" ht="15" customHeight="1" x14ac:dyDescent="0.25">
      <c r="A565" s="230" t="s">
        <v>432</v>
      </c>
      <c r="B565" s="231" t="s">
        <v>433</v>
      </c>
      <c r="C565" s="232" t="s">
        <v>342</v>
      </c>
      <c r="D565" s="230" t="s">
        <v>264</v>
      </c>
      <c r="E565" s="230" t="s">
        <v>265</v>
      </c>
      <c r="F565" s="230" t="s">
        <v>265</v>
      </c>
      <c r="G565" s="230" t="s">
        <v>269</v>
      </c>
      <c r="H565" s="230" t="s">
        <v>319</v>
      </c>
      <c r="I565" s="230"/>
      <c r="J565" s="230"/>
      <c r="K565" s="230"/>
      <c r="L565" s="230"/>
      <c r="M565" s="230" t="s">
        <v>266</v>
      </c>
      <c r="N565" s="230" t="s">
        <v>280</v>
      </c>
      <c r="O565" s="230" t="s">
        <v>267</v>
      </c>
      <c r="P565" s="231" t="s">
        <v>343</v>
      </c>
      <c r="Q565" s="231"/>
      <c r="R565" s="233">
        <v>23000000</v>
      </c>
      <c r="S565" s="233">
        <v>2500000</v>
      </c>
      <c r="T565" s="233">
        <v>0</v>
      </c>
      <c r="U565" s="233">
        <v>25500000</v>
      </c>
      <c r="V565" s="233">
        <v>0</v>
      </c>
      <c r="W565" s="233">
        <v>22558200</v>
      </c>
      <c r="X565" s="233">
        <v>2941800</v>
      </c>
      <c r="Y565" s="233">
        <v>22558200</v>
      </c>
      <c r="Z565" s="233">
        <v>22558200</v>
      </c>
      <c r="AA565" s="233">
        <v>22558200</v>
      </c>
      <c r="AB565" s="233">
        <v>22558200</v>
      </c>
    </row>
    <row r="566" spans="1:28" ht="15" customHeight="1" x14ac:dyDescent="0.25">
      <c r="A566" s="230" t="s">
        <v>432</v>
      </c>
      <c r="B566" s="231" t="s">
        <v>433</v>
      </c>
      <c r="C566" s="232" t="s">
        <v>344</v>
      </c>
      <c r="D566" s="230" t="s">
        <v>264</v>
      </c>
      <c r="E566" s="230" t="s">
        <v>265</v>
      </c>
      <c r="F566" s="230" t="s">
        <v>265</v>
      </c>
      <c r="G566" s="230" t="s">
        <v>269</v>
      </c>
      <c r="H566" s="230" t="s">
        <v>322</v>
      </c>
      <c r="I566" s="230"/>
      <c r="J566" s="230"/>
      <c r="K566" s="230"/>
      <c r="L566" s="230"/>
      <c r="M566" s="230" t="s">
        <v>266</v>
      </c>
      <c r="N566" s="230" t="s">
        <v>280</v>
      </c>
      <c r="O566" s="230" t="s">
        <v>267</v>
      </c>
      <c r="P566" s="231" t="s">
        <v>345</v>
      </c>
      <c r="Q566" s="231"/>
      <c r="R566" s="233">
        <v>5000000</v>
      </c>
      <c r="S566" s="233">
        <v>1500000</v>
      </c>
      <c r="T566" s="233">
        <v>0</v>
      </c>
      <c r="U566" s="233">
        <v>6500000</v>
      </c>
      <c r="V566" s="233">
        <v>0</v>
      </c>
      <c r="W566" s="233">
        <v>5377800</v>
      </c>
      <c r="X566" s="233">
        <v>1122200</v>
      </c>
      <c r="Y566" s="233">
        <v>5377800</v>
      </c>
      <c r="Z566" s="233">
        <v>5377800</v>
      </c>
      <c r="AA566" s="233">
        <v>5377800</v>
      </c>
      <c r="AB566" s="233">
        <v>5377800</v>
      </c>
    </row>
    <row r="567" spans="1:28" ht="15" customHeight="1" x14ac:dyDescent="0.25">
      <c r="A567" s="230" t="s">
        <v>432</v>
      </c>
      <c r="B567" s="231" t="s">
        <v>433</v>
      </c>
      <c r="C567" s="232" t="s">
        <v>346</v>
      </c>
      <c r="D567" s="230" t="s">
        <v>264</v>
      </c>
      <c r="E567" s="230" t="s">
        <v>265</v>
      </c>
      <c r="F567" s="230" t="s">
        <v>265</v>
      </c>
      <c r="G567" s="230" t="s">
        <v>269</v>
      </c>
      <c r="H567" s="230" t="s">
        <v>325</v>
      </c>
      <c r="I567" s="230"/>
      <c r="J567" s="230"/>
      <c r="K567" s="230"/>
      <c r="L567" s="230"/>
      <c r="M567" s="230" t="s">
        <v>266</v>
      </c>
      <c r="N567" s="230" t="s">
        <v>280</v>
      </c>
      <c r="O567" s="230" t="s">
        <v>267</v>
      </c>
      <c r="P567" s="231" t="s">
        <v>347</v>
      </c>
      <c r="Q567" s="231"/>
      <c r="R567" s="233">
        <v>17000000</v>
      </c>
      <c r="S567" s="233">
        <v>2200000</v>
      </c>
      <c r="T567" s="233">
        <v>0</v>
      </c>
      <c r="U567" s="233">
        <v>19200000</v>
      </c>
      <c r="V567" s="233">
        <v>0</v>
      </c>
      <c r="W567" s="233">
        <v>16922100</v>
      </c>
      <c r="X567" s="233">
        <v>2277900</v>
      </c>
      <c r="Y567" s="233">
        <v>16922100</v>
      </c>
      <c r="Z567" s="233">
        <v>16922100</v>
      </c>
      <c r="AA567" s="233">
        <v>16922100</v>
      </c>
      <c r="AB567" s="233">
        <v>16922100</v>
      </c>
    </row>
    <row r="568" spans="1:28" ht="15" customHeight="1" x14ac:dyDescent="0.25">
      <c r="A568" s="230" t="s">
        <v>432</v>
      </c>
      <c r="B568" s="231" t="s">
        <v>433</v>
      </c>
      <c r="C568" s="232" t="s">
        <v>348</v>
      </c>
      <c r="D568" s="230" t="s">
        <v>264</v>
      </c>
      <c r="E568" s="230" t="s">
        <v>265</v>
      </c>
      <c r="F568" s="230" t="s">
        <v>265</v>
      </c>
      <c r="G568" s="230" t="s">
        <v>269</v>
      </c>
      <c r="H568" s="230" t="s">
        <v>328</v>
      </c>
      <c r="I568" s="230"/>
      <c r="J568" s="230"/>
      <c r="K568" s="230"/>
      <c r="L568" s="230"/>
      <c r="M568" s="230" t="s">
        <v>266</v>
      </c>
      <c r="N568" s="230" t="s">
        <v>280</v>
      </c>
      <c r="O568" s="230" t="s">
        <v>267</v>
      </c>
      <c r="P568" s="231" t="s">
        <v>349</v>
      </c>
      <c r="Q568" s="231"/>
      <c r="R568" s="233">
        <v>3000000</v>
      </c>
      <c r="S568" s="233">
        <v>11000000</v>
      </c>
      <c r="T568" s="233">
        <v>0</v>
      </c>
      <c r="U568" s="233">
        <v>14000000</v>
      </c>
      <c r="V568" s="233">
        <v>0</v>
      </c>
      <c r="W568" s="233">
        <v>11285000</v>
      </c>
      <c r="X568" s="233">
        <v>2715000</v>
      </c>
      <c r="Y568" s="233">
        <v>11285000</v>
      </c>
      <c r="Z568" s="233">
        <v>11285000</v>
      </c>
      <c r="AA568" s="233">
        <v>11285000</v>
      </c>
      <c r="AB568" s="233">
        <v>11285000</v>
      </c>
    </row>
    <row r="569" spans="1:28" ht="15" customHeight="1" x14ac:dyDescent="0.25">
      <c r="A569" s="230" t="s">
        <v>432</v>
      </c>
      <c r="B569" s="231" t="s">
        <v>433</v>
      </c>
      <c r="C569" s="232" t="s">
        <v>350</v>
      </c>
      <c r="D569" s="230" t="s">
        <v>264</v>
      </c>
      <c r="E569" s="230" t="s">
        <v>265</v>
      </c>
      <c r="F569" s="230" t="s">
        <v>265</v>
      </c>
      <c r="G569" s="230" t="s">
        <v>269</v>
      </c>
      <c r="H569" s="230" t="s">
        <v>351</v>
      </c>
      <c r="I569" s="230"/>
      <c r="J569" s="230"/>
      <c r="K569" s="230"/>
      <c r="L569" s="230"/>
      <c r="M569" s="230" t="s">
        <v>266</v>
      </c>
      <c r="N569" s="230" t="s">
        <v>280</v>
      </c>
      <c r="O569" s="230" t="s">
        <v>267</v>
      </c>
      <c r="P569" s="231" t="s">
        <v>352</v>
      </c>
      <c r="Q569" s="231"/>
      <c r="R569" s="233">
        <v>3000000</v>
      </c>
      <c r="S569" s="233">
        <v>0</v>
      </c>
      <c r="T569" s="233">
        <v>3000000</v>
      </c>
      <c r="U569" s="233">
        <v>0</v>
      </c>
      <c r="V569" s="233">
        <v>0</v>
      </c>
      <c r="W569" s="233">
        <v>0</v>
      </c>
      <c r="X569" s="233">
        <v>0</v>
      </c>
      <c r="Y569" s="233">
        <v>0</v>
      </c>
      <c r="Z569" s="233">
        <v>0</v>
      </c>
      <c r="AA569" s="233">
        <v>0</v>
      </c>
      <c r="AB569" s="233">
        <v>0</v>
      </c>
    </row>
    <row r="570" spans="1:28" ht="15" customHeight="1" x14ac:dyDescent="0.25">
      <c r="A570" s="230" t="s">
        <v>432</v>
      </c>
      <c r="B570" s="231" t="s">
        <v>433</v>
      </c>
      <c r="C570" s="232" t="s">
        <v>353</v>
      </c>
      <c r="D570" s="230" t="s">
        <v>264</v>
      </c>
      <c r="E570" s="230" t="s">
        <v>265</v>
      </c>
      <c r="F570" s="230" t="s">
        <v>265</v>
      </c>
      <c r="G570" s="230" t="s">
        <v>269</v>
      </c>
      <c r="H570" s="230" t="s">
        <v>331</v>
      </c>
      <c r="I570" s="230"/>
      <c r="J570" s="230"/>
      <c r="K570" s="230"/>
      <c r="L570" s="230"/>
      <c r="M570" s="230" t="s">
        <v>266</v>
      </c>
      <c r="N570" s="230" t="s">
        <v>280</v>
      </c>
      <c r="O570" s="230" t="s">
        <v>267</v>
      </c>
      <c r="P570" s="231" t="s">
        <v>354</v>
      </c>
      <c r="Q570" s="231"/>
      <c r="R570" s="233">
        <v>6000000</v>
      </c>
      <c r="S570" s="233">
        <v>0</v>
      </c>
      <c r="T570" s="233">
        <v>6000000</v>
      </c>
      <c r="U570" s="233">
        <v>0</v>
      </c>
      <c r="V570" s="233">
        <v>0</v>
      </c>
      <c r="W570" s="233">
        <v>0</v>
      </c>
      <c r="X570" s="233">
        <v>0</v>
      </c>
      <c r="Y570" s="233">
        <v>0</v>
      </c>
      <c r="Z570" s="233">
        <v>0</v>
      </c>
      <c r="AA570" s="233">
        <v>0</v>
      </c>
      <c r="AB570" s="233">
        <v>0</v>
      </c>
    </row>
    <row r="571" spans="1:28" ht="15" customHeight="1" x14ac:dyDescent="0.25">
      <c r="A571" s="230" t="s">
        <v>432</v>
      </c>
      <c r="B571" s="231" t="s">
        <v>433</v>
      </c>
      <c r="C571" s="232" t="s">
        <v>355</v>
      </c>
      <c r="D571" s="230" t="s">
        <v>264</v>
      </c>
      <c r="E571" s="230" t="s">
        <v>265</v>
      </c>
      <c r="F571" s="230" t="s">
        <v>265</v>
      </c>
      <c r="G571" s="230" t="s">
        <v>271</v>
      </c>
      <c r="H571" s="230" t="s">
        <v>281</v>
      </c>
      <c r="I571" s="230" t="s">
        <v>281</v>
      </c>
      <c r="J571" s="230"/>
      <c r="K571" s="230"/>
      <c r="L571" s="230"/>
      <c r="M571" s="230" t="s">
        <v>266</v>
      </c>
      <c r="N571" s="230" t="s">
        <v>280</v>
      </c>
      <c r="O571" s="230" t="s">
        <v>267</v>
      </c>
      <c r="P571" s="231" t="s">
        <v>356</v>
      </c>
      <c r="Q571" s="231"/>
      <c r="R571" s="233">
        <v>32000000</v>
      </c>
      <c r="S571" s="233">
        <v>0</v>
      </c>
      <c r="T571" s="233">
        <v>0</v>
      </c>
      <c r="U571" s="233">
        <v>32000000</v>
      </c>
      <c r="V571" s="233">
        <v>0</v>
      </c>
      <c r="W571" s="233">
        <v>14016943</v>
      </c>
      <c r="X571" s="233">
        <v>17983057</v>
      </c>
      <c r="Y571" s="233">
        <v>14016943</v>
      </c>
      <c r="Z571" s="233">
        <v>14016943</v>
      </c>
      <c r="AA571" s="233">
        <v>14016943</v>
      </c>
      <c r="AB571" s="233">
        <v>14016943</v>
      </c>
    </row>
    <row r="572" spans="1:28" ht="15" customHeight="1" x14ac:dyDescent="0.25">
      <c r="A572" s="230" t="s">
        <v>432</v>
      </c>
      <c r="B572" s="231" t="s">
        <v>433</v>
      </c>
      <c r="C572" s="232" t="s">
        <v>357</v>
      </c>
      <c r="D572" s="230" t="s">
        <v>264</v>
      </c>
      <c r="E572" s="230" t="s">
        <v>265</v>
      </c>
      <c r="F572" s="230" t="s">
        <v>265</v>
      </c>
      <c r="G572" s="230" t="s">
        <v>271</v>
      </c>
      <c r="H572" s="230" t="s">
        <v>281</v>
      </c>
      <c r="I572" s="230" t="s">
        <v>283</v>
      </c>
      <c r="J572" s="230"/>
      <c r="K572" s="230"/>
      <c r="L572" s="230"/>
      <c r="M572" s="230" t="s">
        <v>266</v>
      </c>
      <c r="N572" s="230" t="s">
        <v>280</v>
      </c>
      <c r="O572" s="230" t="s">
        <v>267</v>
      </c>
      <c r="P572" s="231" t="s">
        <v>358</v>
      </c>
      <c r="Q572" s="231"/>
      <c r="R572" s="233">
        <v>0</v>
      </c>
      <c r="S572" s="233">
        <v>3747316</v>
      </c>
      <c r="T572" s="233">
        <v>0</v>
      </c>
      <c r="U572" s="233">
        <v>3747316</v>
      </c>
      <c r="V572" s="233">
        <v>0</v>
      </c>
      <c r="W572" s="233">
        <v>3747316</v>
      </c>
      <c r="X572" s="233">
        <v>0</v>
      </c>
      <c r="Y572" s="233">
        <v>3747316</v>
      </c>
      <c r="Z572" s="233">
        <v>3747316</v>
      </c>
      <c r="AA572" s="233">
        <v>3747316</v>
      </c>
      <c r="AB572" s="233">
        <v>3747316</v>
      </c>
    </row>
    <row r="573" spans="1:28" ht="15" customHeight="1" x14ac:dyDescent="0.25">
      <c r="A573" s="230" t="s">
        <v>432</v>
      </c>
      <c r="B573" s="231" t="s">
        <v>433</v>
      </c>
      <c r="C573" s="232" t="s">
        <v>359</v>
      </c>
      <c r="D573" s="230" t="s">
        <v>264</v>
      </c>
      <c r="E573" s="230" t="s">
        <v>265</v>
      </c>
      <c r="F573" s="230" t="s">
        <v>265</v>
      </c>
      <c r="G573" s="230" t="s">
        <v>271</v>
      </c>
      <c r="H573" s="230" t="s">
        <v>281</v>
      </c>
      <c r="I573" s="230" t="s">
        <v>316</v>
      </c>
      <c r="J573" s="230"/>
      <c r="K573" s="230"/>
      <c r="L573" s="230"/>
      <c r="M573" s="230" t="s">
        <v>266</v>
      </c>
      <c r="N573" s="230" t="s">
        <v>280</v>
      </c>
      <c r="O573" s="230" t="s">
        <v>267</v>
      </c>
      <c r="P573" s="231" t="s">
        <v>360</v>
      </c>
      <c r="Q573" s="231"/>
      <c r="R573" s="233">
        <v>3000000</v>
      </c>
      <c r="S573" s="233">
        <v>0</v>
      </c>
      <c r="T573" s="233">
        <v>0</v>
      </c>
      <c r="U573" s="233">
        <v>3000000</v>
      </c>
      <c r="V573" s="233">
        <v>0</v>
      </c>
      <c r="W573" s="233">
        <v>1379960</v>
      </c>
      <c r="X573" s="233">
        <v>1620040</v>
      </c>
      <c r="Y573" s="233">
        <v>1379960</v>
      </c>
      <c r="Z573" s="233">
        <v>1379960</v>
      </c>
      <c r="AA573" s="233">
        <v>1379960</v>
      </c>
      <c r="AB573" s="233">
        <v>1379960</v>
      </c>
    </row>
    <row r="574" spans="1:28" ht="15" customHeight="1" x14ac:dyDescent="0.25">
      <c r="A574" s="230" t="s">
        <v>432</v>
      </c>
      <c r="B574" s="231" t="s">
        <v>433</v>
      </c>
      <c r="C574" s="232" t="s">
        <v>361</v>
      </c>
      <c r="D574" s="230" t="s">
        <v>264</v>
      </c>
      <c r="E574" s="230" t="s">
        <v>265</v>
      </c>
      <c r="F574" s="230" t="s">
        <v>265</v>
      </c>
      <c r="G574" s="230" t="s">
        <v>271</v>
      </c>
      <c r="H574" s="230" t="s">
        <v>283</v>
      </c>
      <c r="I574" s="230"/>
      <c r="J574" s="230"/>
      <c r="K574" s="230"/>
      <c r="L574" s="230"/>
      <c r="M574" s="230" t="s">
        <v>266</v>
      </c>
      <c r="N574" s="230" t="s">
        <v>280</v>
      </c>
      <c r="O574" s="230" t="s">
        <v>267</v>
      </c>
      <c r="P574" s="231" t="s">
        <v>362</v>
      </c>
      <c r="Q574" s="231"/>
      <c r="R574" s="233">
        <v>29000000</v>
      </c>
      <c r="S574" s="233">
        <v>0</v>
      </c>
      <c r="T574" s="233">
        <v>0</v>
      </c>
      <c r="U574" s="233">
        <v>29000000</v>
      </c>
      <c r="V574" s="233">
        <v>0</v>
      </c>
      <c r="W574" s="233">
        <v>27150441</v>
      </c>
      <c r="X574" s="233">
        <v>1849559</v>
      </c>
      <c r="Y574" s="233">
        <v>27150441</v>
      </c>
      <c r="Z574" s="233">
        <v>27150441</v>
      </c>
      <c r="AA574" s="233">
        <v>27150441</v>
      </c>
      <c r="AB574" s="233">
        <v>27150441</v>
      </c>
    </row>
    <row r="575" spans="1:28" ht="15" customHeight="1" x14ac:dyDescent="0.25">
      <c r="A575" s="230" t="s">
        <v>432</v>
      </c>
      <c r="B575" s="231" t="s">
        <v>433</v>
      </c>
      <c r="C575" s="232" t="s">
        <v>363</v>
      </c>
      <c r="D575" s="230" t="s">
        <v>264</v>
      </c>
      <c r="E575" s="230" t="s">
        <v>269</v>
      </c>
      <c r="F575" s="230" t="s">
        <v>269</v>
      </c>
      <c r="G575" s="230" t="s">
        <v>269</v>
      </c>
      <c r="H575" s="230" t="s">
        <v>325</v>
      </c>
      <c r="I575" s="230" t="s">
        <v>319</v>
      </c>
      <c r="J575" s="230"/>
      <c r="K575" s="230"/>
      <c r="L575" s="230"/>
      <c r="M575" s="230" t="s">
        <v>273</v>
      </c>
      <c r="N575" s="230" t="s">
        <v>34</v>
      </c>
      <c r="O575" s="230" t="s">
        <v>267</v>
      </c>
      <c r="P575" s="231" t="s">
        <v>364</v>
      </c>
      <c r="Q575" s="231"/>
      <c r="R575" s="233">
        <v>0</v>
      </c>
      <c r="S575" s="233">
        <v>130000</v>
      </c>
      <c r="T575" s="233">
        <v>0</v>
      </c>
      <c r="U575" s="233">
        <v>130000</v>
      </c>
      <c r="V575" s="233">
        <v>0</v>
      </c>
      <c r="W575" s="233">
        <v>130000</v>
      </c>
      <c r="X575" s="233">
        <v>0</v>
      </c>
      <c r="Y575" s="233">
        <v>130000</v>
      </c>
      <c r="Z575" s="233">
        <v>130000</v>
      </c>
      <c r="AA575" s="233">
        <v>130000</v>
      </c>
      <c r="AB575" s="233">
        <v>130000</v>
      </c>
    </row>
    <row r="576" spans="1:28" ht="15" customHeight="1" x14ac:dyDescent="0.25">
      <c r="A576" s="230" t="s">
        <v>432</v>
      </c>
      <c r="B576" s="231" t="s">
        <v>433</v>
      </c>
      <c r="C576" s="232" t="s">
        <v>365</v>
      </c>
      <c r="D576" s="230" t="s">
        <v>264</v>
      </c>
      <c r="E576" s="230" t="s">
        <v>269</v>
      </c>
      <c r="F576" s="230" t="s">
        <v>269</v>
      </c>
      <c r="G576" s="230" t="s">
        <v>269</v>
      </c>
      <c r="H576" s="230" t="s">
        <v>325</v>
      </c>
      <c r="I576" s="230" t="s">
        <v>331</v>
      </c>
      <c r="J576" s="230"/>
      <c r="K576" s="230"/>
      <c r="L576" s="230"/>
      <c r="M576" s="230" t="s">
        <v>266</v>
      </c>
      <c r="N576" s="230" t="s">
        <v>280</v>
      </c>
      <c r="O576" s="230" t="s">
        <v>267</v>
      </c>
      <c r="P576" s="231" t="s">
        <v>366</v>
      </c>
      <c r="Q576" s="231"/>
      <c r="R576" s="233">
        <v>20180000</v>
      </c>
      <c r="S576" s="233">
        <v>8000000</v>
      </c>
      <c r="T576" s="233">
        <v>0</v>
      </c>
      <c r="U576" s="233">
        <v>28180000</v>
      </c>
      <c r="V576" s="233">
        <v>0</v>
      </c>
      <c r="W576" s="233">
        <v>28180000</v>
      </c>
      <c r="X576" s="233">
        <v>0</v>
      </c>
      <c r="Y576" s="233">
        <v>24702620</v>
      </c>
      <c r="Z576" s="233">
        <v>24581010</v>
      </c>
      <c r="AA576" s="233">
        <v>24581010</v>
      </c>
      <c r="AB576" s="233">
        <v>24581010</v>
      </c>
    </row>
    <row r="577" spans="1:28" ht="15" customHeight="1" x14ac:dyDescent="0.25">
      <c r="A577" s="230" t="s">
        <v>432</v>
      </c>
      <c r="B577" s="231" t="s">
        <v>433</v>
      </c>
      <c r="C577" s="232" t="s">
        <v>383</v>
      </c>
      <c r="D577" s="230" t="s">
        <v>264</v>
      </c>
      <c r="E577" s="230" t="s">
        <v>269</v>
      </c>
      <c r="F577" s="230" t="s">
        <v>269</v>
      </c>
      <c r="G577" s="230" t="s">
        <v>269</v>
      </c>
      <c r="H577" s="230" t="s">
        <v>328</v>
      </c>
      <c r="I577" s="230" t="s">
        <v>283</v>
      </c>
      <c r="J577" s="230"/>
      <c r="K577" s="230"/>
      <c r="L577" s="230"/>
      <c r="M577" s="230" t="s">
        <v>266</v>
      </c>
      <c r="N577" s="230" t="s">
        <v>280</v>
      </c>
      <c r="O577" s="230" t="s">
        <v>267</v>
      </c>
      <c r="P577" s="231" t="s">
        <v>384</v>
      </c>
      <c r="Q577" s="231"/>
      <c r="R577" s="233">
        <v>24000000</v>
      </c>
      <c r="S577" s="233">
        <v>3600000</v>
      </c>
      <c r="T577" s="233">
        <v>0</v>
      </c>
      <c r="U577" s="233">
        <v>27600000</v>
      </c>
      <c r="V577" s="233">
        <v>0</v>
      </c>
      <c r="W577" s="233">
        <v>27600000</v>
      </c>
      <c r="X577" s="233">
        <v>0</v>
      </c>
      <c r="Y577" s="233">
        <v>24551000</v>
      </c>
      <c r="Z577" s="233">
        <v>24551000</v>
      </c>
      <c r="AA577" s="233">
        <v>24551000</v>
      </c>
      <c r="AB577" s="233">
        <v>24551000</v>
      </c>
    </row>
    <row r="578" spans="1:28" ht="15" customHeight="1" x14ac:dyDescent="0.25">
      <c r="A578" s="230" t="s">
        <v>432</v>
      </c>
      <c r="B578" s="231" t="s">
        <v>433</v>
      </c>
      <c r="C578" s="232" t="s">
        <v>383</v>
      </c>
      <c r="D578" s="230" t="s">
        <v>264</v>
      </c>
      <c r="E578" s="230" t="s">
        <v>269</v>
      </c>
      <c r="F578" s="230" t="s">
        <v>269</v>
      </c>
      <c r="G578" s="230" t="s">
        <v>269</v>
      </c>
      <c r="H578" s="230" t="s">
        <v>328</v>
      </c>
      <c r="I578" s="230" t="s">
        <v>283</v>
      </c>
      <c r="J578" s="230"/>
      <c r="K578" s="230"/>
      <c r="L578" s="230"/>
      <c r="M578" s="230" t="s">
        <v>273</v>
      </c>
      <c r="N578" s="230" t="s">
        <v>34</v>
      </c>
      <c r="O578" s="230" t="s">
        <v>267</v>
      </c>
      <c r="P578" s="231" t="s">
        <v>384</v>
      </c>
      <c r="Q578" s="231"/>
      <c r="R578" s="233">
        <v>4000000</v>
      </c>
      <c r="S578" s="233">
        <v>950000</v>
      </c>
      <c r="T578" s="233">
        <v>0</v>
      </c>
      <c r="U578" s="233">
        <v>4950000</v>
      </c>
      <c r="V578" s="233">
        <v>0</v>
      </c>
      <c r="W578" s="233">
        <v>4950000</v>
      </c>
      <c r="X578" s="233">
        <v>0</v>
      </c>
      <c r="Y578" s="233">
        <v>4605000</v>
      </c>
      <c r="Z578" s="233">
        <v>4050000</v>
      </c>
      <c r="AA578" s="233">
        <v>4050000</v>
      </c>
      <c r="AB578" s="233">
        <v>4050000</v>
      </c>
    </row>
    <row r="579" spans="1:28" ht="15" customHeight="1" x14ac:dyDescent="0.25">
      <c r="A579" s="230" t="s">
        <v>432</v>
      </c>
      <c r="B579" s="231" t="s">
        <v>433</v>
      </c>
      <c r="C579" s="232" t="s">
        <v>367</v>
      </c>
      <c r="D579" s="230" t="s">
        <v>264</v>
      </c>
      <c r="E579" s="230" t="s">
        <v>269</v>
      </c>
      <c r="F579" s="230" t="s">
        <v>269</v>
      </c>
      <c r="G579" s="230" t="s">
        <v>269</v>
      </c>
      <c r="H579" s="230" t="s">
        <v>351</v>
      </c>
      <c r="I579" s="230" t="s">
        <v>319</v>
      </c>
      <c r="J579" s="230"/>
      <c r="K579" s="230"/>
      <c r="L579" s="230"/>
      <c r="M579" s="230" t="s">
        <v>266</v>
      </c>
      <c r="N579" s="230" t="s">
        <v>280</v>
      </c>
      <c r="O579" s="230" t="s">
        <v>267</v>
      </c>
      <c r="P579" s="231" t="s">
        <v>368</v>
      </c>
      <c r="Q579" s="231"/>
      <c r="R579" s="233">
        <v>200000</v>
      </c>
      <c r="S579" s="233">
        <v>200000</v>
      </c>
      <c r="T579" s="233">
        <v>0</v>
      </c>
      <c r="U579" s="233">
        <v>400000</v>
      </c>
      <c r="V579" s="233">
        <v>0</v>
      </c>
      <c r="W579" s="233">
        <v>400000</v>
      </c>
      <c r="X579" s="233">
        <v>0</v>
      </c>
      <c r="Y579" s="233">
        <v>360914</v>
      </c>
      <c r="Z579" s="233">
        <v>360914</v>
      </c>
      <c r="AA579" s="233">
        <v>360914</v>
      </c>
      <c r="AB579" s="233">
        <v>360914</v>
      </c>
    </row>
    <row r="580" spans="1:28" ht="15" customHeight="1" x14ac:dyDescent="0.25">
      <c r="A580" s="230" t="s">
        <v>432</v>
      </c>
      <c r="B580" s="231" t="s">
        <v>433</v>
      </c>
      <c r="C580" s="232" t="s">
        <v>434</v>
      </c>
      <c r="D580" s="230" t="s">
        <v>264</v>
      </c>
      <c r="E580" s="230" t="s">
        <v>269</v>
      </c>
      <c r="F580" s="230" t="s">
        <v>269</v>
      </c>
      <c r="G580" s="230" t="s">
        <v>269</v>
      </c>
      <c r="H580" s="230" t="s">
        <v>351</v>
      </c>
      <c r="I580" s="230" t="s">
        <v>322</v>
      </c>
      <c r="J580" s="230"/>
      <c r="K580" s="230"/>
      <c r="L580" s="230"/>
      <c r="M580" s="230" t="s">
        <v>266</v>
      </c>
      <c r="N580" s="230" t="s">
        <v>280</v>
      </c>
      <c r="O580" s="230" t="s">
        <v>267</v>
      </c>
      <c r="P580" s="231" t="s">
        <v>435</v>
      </c>
      <c r="Q580" s="231"/>
      <c r="R580" s="233">
        <v>0</v>
      </c>
      <c r="S580" s="233">
        <v>4007225</v>
      </c>
      <c r="T580" s="233">
        <v>0</v>
      </c>
      <c r="U580" s="233">
        <v>4007225</v>
      </c>
      <c r="V580" s="233">
        <v>0</v>
      </c>
      <c r="W580" s="233">
        <v>4007225</v>
      </c>
      <c r="X580" s="233">
        <v>0</v>
      </c>
      <c r="Y580" s="233">
        <v>2797360</v>
      </c>
      <c r="Z580" s="233">
        <v>139868</v>
      </c>
      <c r="AA580" s="233">
        <v>139868</v>
      </c>
      <c r="AB580" s="233">
        <v>139868</v>
      </c>
    </row>
    <row r="581" spans="1:28" ht="15" customHeight="1" x14ac:dyDescent="0.25">
      <c r="A581" s="230" t="s">
        <v>432</v>
      </c>
      <c r="B581" s="231" t="s">
        <v>433</v>
      </c>
      <c r="C581" s="232" t="s">
        <v>436</v>
      </c>
      <c r="D581" s="230" t="s">
        <v>264</v>
      </c>
      <c r="E581" s="230" t="s">
        <v>269</v>
      </c>
      <c r="F581" s="230" t="s">
        <v>269</v>
      </c>
      <c r="G581" s="230" t="s">
        <v>269</v>
      </c>
      <c r="H581" s="230" t="s">
        <v>351</v>
      </c>
      <c r="I581" s="230" t="s">
        <v>328</v>
      </c>
      <c r="J581" s="230"/>
      <c r="K581" s="230"/>
      <c r="L581" s="230"/>
      <c r="M581" s="230" t="s">
        <v>266</v>
      </c>
      <c r="N581" s="230" t="s">
        <v>280</v>
      </c>
      <c r="O581" s="230" t="s">
        <v>267</v>
      </c>
      <c r="P581" s="231" t="s">
        <v>437</v>
      </c>
      <c r="Q581" s="231"/>
      <c r="R581" s="233">
        <v>0</v>
      </c>
      <c r="S581" s="233">
        <v>10863693</v>
      </c>
      <c r="T581" s="233">
        <v>0</v>
      </c>
      <c r="U581" s="233">
        <v>10863693</v>
      </c>
      <c r="V581" s="233">
        <v>0</v>
      </c>
      <c r="W581" s="233">
        <v>10863693</v>
      </c>
      <c r="X581" s="233">
        <v>0</v>
      </c>
      <c r="Y581" s="233">
        <v>7104300</v>
      </c>
      <c r="Z581" s="233">
        <v>7104300</v>
      </c>
      <c r="AA581" s="233">
        <v>7104300</v>
      </c>
      <c r="AB581" s="233">
        <v>7104300</v>
      </c>
    </row>
    <row r="582" spans="1:28" ht="15" customHeight="1" x14ac:dyDescent="0.25">
      <c r="A582" s="230" t="s">
        <v>432</v>
      </c>
      <c r="B582" s="231" t="s">
        <v>433</v>
      </c>
      <c r="C582" s="232" t="s">
        <v>369</v>
      </c>
      <c r="D582" s="230" t="s">
        <v>264</v>
      </c>
      <c r="E582" s="230" t="s">
        <v>269</v>
      </c>
      <c r="F582" s="230" t="s">
        <v>269</v>
      </c>
      <c r="G582" s="230" t="s">
        <v>269</v>
      </c>
      <c r="H582" s="230" t="s">
        <v>331</v>
      </c>
      <c r="I582" s="230" t="s">
        <v>319</v>
      </c>
      <c r="J582" s="230"/>
      <c r="K582" s="230"/>
      <c r="L582" s="230"/>
      <c r="M582" s="230" t="s">
        <v>266</v>
      </c>
      <c r="N582" s="230" t="s">
        <v>280</v>
      </c>
      <c r="O582" s="230" t="s">
        <v>267</v>
      </c>
      <c r="P582" s="231" t="s">
        <v>370</v>
      </c>
      <c r="Q582" s="231"/>
      <c r="R582" s="233">
        <v>900000</v>
      </c>
      <c r="S582" s="233">
        <v>0</v>
      </c>
      <c r="T582" s="233">
        <v>200000</v>
      </c>
      <c r="U582" s="233">
        <v>700000</v>
      </c>
      <c r="V582" s="233">
        <v>0</v>
      </c>
      <c r="W582" s="233">
        <v>700000</v>
      </c>
      <c r="X582" s="233">
        <v>0</v>
      </c>
      <c r="Y582" s="233">
        <v>252239.53</v>
      </c>
      <c r="Z582" s="233">
        <v>252239.53</v>
      </c>
      <c r="AA582" s="233">
        <v>252239.53</v>
      </c>
      <c r="AB582" s="233">
        <v>252239.53</v>
      </c>
    </row>
    <row r="583" spans="1:28" ht="15" customHeight="1" x14ac:dyDescent="0.25">
      <c r="A583" s="230" t="s">
        <v>432</v>
      </c>
      <c r="B583" s="231" t="s">
        <v>433</v>
      </c>
      <c r="C583" s="232" t="s">
        <v>371</v>
      </c>
      <c r="D583" s="230" t="s">
        <v>264</v>
      </c>
      <c r="E583" s="230" t="s">
        <v>269</v>
      </c>
      <c r="F583" s="230" t="s">
        <v>269</v>
      </c>
      <c r="G583" s="230" t="s">
        <v>269</v>
      </c>
      <c r="H583" s="230" t="s">
        <v>334</v>
      </c>
      <c r="I583" s="230"/>
      <c r="J583" s="230"/>
      <c r="K583" s="230"/>
      <c r="L583" s="230"/>
      <c r="M583" s="230" t="s">
        <v>266</v>
      </c>
      <c r="N583" s="230" t="s">
        <v>280</v>
      </c>
      <c r="O583" s="230" t="s">
        <v>267</v>
      </c>
      <c r="P583" s="231" t="s">
        <v>372</v>
      </c>
      <c r="Q583" s="231"/>
      <c r="R583" s="233">
        <v>0</v>
      </c>
      <c r="S583" s="233">
        <v>407319</v>
      </c>
      <c r="T583" s="233">
        <v>0</v>
      </c>
      <c r="U583" s="233">
        <v>407319</v>
      </c>
      <c r="V583" s="233">
        <v>0</v>
      </c>
      <c r="W583" s="233">
        <v>407319</v>
      </c>
      <c r="X583" s="233">
        <v>0</v>
      </c>
      <c r="Y583" s="233">
        <v>407319</v>
      </c>
      <c r="Z583" s="233">
        <v>407319</v>
      </c>
      <c r="AA583" s="233">
        <v>407319</v>
      </c>
      <c r="AB583" s="233">
        <v>407319</v>
      </c>
    </row>
    <row r="584" spans="1:28" ht="15" customHeight="1" x14ac:dyDescent="0.25">
      <c r="A584" s="230" t="s">
        <v>432</v>
      </c>
      <c r="B584" s="231" t="s">
        <v>433</v>
      </c>
      <c r="C584" s="232" t="s">
        <v>373</v>
      </c>
      <c r="D584" s="230" t="s">
        <v>264</v>
      </c>
      <c r="E584" s="230" t="s">
        <v>271</v>
      </c>
      <c r="F584" s="230" t="s">
        <v>277</v>
      </c>
      <c r="G584" s="230" t="s">
        <v>269</v>
      </c>
      <c r="H584" s="230" t="s">
        <v>278</v>
      </c>
      <c r="I584" s="230" t="s">
        <v>281</v>
      </c>
      <c r="J584" s="230"/>
      <c r="K584" s="230"/>
      <c r="L584" s="230"/>
      <c r="M584" s="230" t="s">
        <v>266</v>
      </c>
      <c r="N584" s="230" t="s">
        <v>280</v>
      </c>
      <c r="O584" s="230" t="s">
        <v>267</v>
      </c>
      <c r="P584" s="231" t="s">
        <v>374</v>
      </c>
      <c r="Q584" s="231"/>
      <c r="R584" s="233">
        <v>0</v>
      </c>
      <c r="S584" s="233">
        <v>6160802</v>
      </c>
      <c r="T584" s="233">
        <v>0</v>
      </c>
      <c r="U584" s="233">
        <v>6160802</v>
      </c>
      <c r="V584" s="233">
        <v>0</v>
      </c>
      <c r="W584" s="233">
        <v>4239485</v>
      </c>
      <c r="X584" s="233">
        <v>1921317</v>
      </c>
      <c r="Y584" s="233">
        <v>4239485</v>
      </c>
      <c r="Z584" s="233">
        <v>3244197</v>
      </c>
      <c r="AA584" s="233">
        <v>3244197</v>
      </c>
      <c r="AB584" s="233">
        <v>3244197</v>
      </c>
    </row>
    <row r="585" spans="1:28" ht="15" customHeight="1" x14ac:dyDescent="0.25">
      <c r="A585" s="230" t="s">
        <v>432</v>
      </c>
      <c r="B585" s="231" t="s">
        <v>433</v>
      </c>
      <c r="C585" s="232" t="s">
        <v>375</v>
      </c>
      <c r="D585" s="230" t="s">
        <v>264</v>
      </c>
      <c r="E585" s="230" t="s">
        <v>285</v>
      </c>
      <c r="F585" s="230" t="s">
        <v>265</v>
      </c>
      <c r="G585" s="230" t="s">
        <v>269</v>
      </c>
      <c r="H585" s="230" t="s">
        <v>281</v>
      </c>
      <c r="I585" s="230"/>
      <c r="J585" s="230"/>
      <c r="K585" s="230"/>
      <c r="L585" s="230"/>
      <c r="M585" s="230" t="s">
        <v>266</v>
      </c>
      <c r="N585" s="230" t="s">
        <v>280</v>
      </c>
      <c r="O585" s="230" t="s">
        <v>267</v>
      </c>
      <c r="P585" s="231" t="s">
        <v>376</v>
      </c>
      <c r="Q585" s="231"/>
      <c r="R585" s="233">
        <v>0</v>
      </c>
      <c r="S585" s="233">
        <v>6500000</v>
      </c>
      <c r="T585" s="233">
        <v>384240</v>
      </c>
      <c r="U585" s="233">
        <v>6115760</v>
      </c>
      <c r="V585" s="233">
        <v>0</v>
      </c>
      <c r="W585" s="233">
        <v>6115760</v>
      </c>
      <c r="X585" s="233">
        <v>0</v>
      </c>
      <c r="Y585" s="233">
        <v>6115760</v>
      </c>
      <c r="Z585" s="233">
        <v>6115760</v>
      </c>
      <c r="AA585" s="233">
        <v>6115760</v>
      </c>
      <c r="AB585" s="233">
        <v>6115760</v>
      </c>
    </row>
    <row r="586" spans="1:28" ht="15" customHeight="1" x14ac:dyDescent="0.25">
      <c r="A586" s="230" t="s">
        <v>438</v>
      </c>
      <c r="B586" s="231" t="s">
        <v>439</v>
      </c>
      <c r="C586" s="232" t="s">
        <v>313</v>
      </c>
      <c r="D586" s="230" t="s">
        <v>264</v>
      </c>
      <c r="E586" s="230" t="s">
        <v>265</v>
      </c>
      <c r="F586" s="230" t="s">
        <v>265</v>
      </c>
      <c r="G586" s="230" t="s">
        <v>265</v>
      </c>
      <c r="H586" s="230" t="s">
        <v>281</v>
      </c>
      <c r="I586" s="230" t="s">
        <v>281</v>
      </c>
      <c r="J586" s="230"/>
      <c r="K586" s="230"/>
      <c r="L586" s="230"/>
      <c r="M586" s="230" t="s">
        <v>266</v>
      </c>
      <c r="N586" s="230" t="s">
        <v>280</v>
      </c>
      <c r="O586" s="230" t="s">
        <v>267</v>
      </c>
      <c r="P586" s="231" t="s">
        <v>314</v>
      </c>
      <c r="Q586" s="231"/>
      <c r="R586" s="233">
        <v>587000000</v>
      </c>
      <c r="S586" s="233">
        <v>0</v>
      </c>
      <c r="T586" s="233">
        <v>0</v>
      </c>
      <c r="U586" s="233">
        <v>587000000</v>
      </c>
      <c r="V586" s="233">
        <v>0</v>
      </c>
      <c r="W586" s="233">
        <v>500435122</v>
      </c>
      <c r="X586" s="233">
        <v>86564878</v>
      </c>
      <c r="Y586" s="233">
        <v>500435122</v>
      </c>
      <c r="Z586" s="233">
        <v>500176787</v>
      </c>
      <c r="AA586" s="233">
        <v>500176787</v>
      </c>
      <c r="AB586" s="233">
        <v>500176787</v>
      </c>
    </row>
    <row r="587" spans="1:28" ht="15" customHeight="1" x14ac:dyDescent="0.25">
      <c r="A587" s="230" t="s">
        <v>438</v>
      </c>
      <c r="B587" s="231" t="s">
        <v>439</v>
      </c>
      <c r="C587" s="232" t="s">
        <v>315</v>
      </c>
      <c r="D587" s="230" t="s">
        <v>264</v>
      </c>
      <c r="E587" s="230" t="s">
        <v>265</v>
      </c>
      <c r="F587" s="230" t="s">
        <v>265</v>
      </c>
      <c r="G587" s="230" t="s">
        <v>265</v>
      </c>
      <c r="H587" s="230" t="s">
        <v>281</v>
      </c>
      <c r="I587" s="230" t="s">
        <v>316</v>
      </c>
      <c r="J587" s="230"/>
      <c r="K587" s="230"/>
      <c r="L587" s="230"/>
      <c r="M587" s="230" t="s">
        <v>266</v>
      </c>
      <c r="N587" s="230" t="s">
        <v>280</v>
      </c>
      <c r="O587" s="230" t="s">
        <v>267</v>
      </c>
      <c r="P587" s="231" t="s">
        <v>317</v>
      </c>
      <c r="Q587" s="231"/>
      <c r="R587" s="233">
        <v>0</v>
      </c>
      <c r="S587" s="233">
        <v>9000000</v>
      </c>
      <c r="T587" s="233">
        <v>0</v>
      </c>
      <c r="U587" s="233">
        <v>9000000</v>
      </c>
      <c r="V587" s="233">
        <v>0</v>
      </c>
      <c r="W587" s="233">
        <v>8178964</v>
      </c>
      <c r="X587" s="233">
        <v>821036</v>
      </c>
      <c r="Y587" s="233">
        <v>8178964</v>
      </c>
      <c r="Z587" s="233">
        <v>8178964</v>
      </c>
      <c r="AA587" s="233">
        <v>8178964</v>
      </c>
      <c r="AB587" s="233">
        <v>8178964</v>
      </c>
    </row>
    <row r="588" spans="1:28" ht="15" customHeight="1" x14ac:dyDescent="0.25">
      <c r="A588" s="230" t="s">
        <v>438</v>
      </c>
      <c r="B588" s="231" t="s">
        <v>439</v>
      </c>
      <c r="C588" s="232" t="s">
        <v>318</v>
      </c>
      <c r="D588" s="230" t="s">
        <v>264</v>
      </c>
      <c r="E588" s="230" t="s">
        <v>265</v>
      </c>
      <c r="F588" s="230" t="s">
        <v>265</v>
      </c>
      <c r="G588" s="230" t="s">
        <v>265</v>
      </c>
      <c r="H588" s="230" t="s">
        <v>281</v>
      </c>
      <c r="I588" s="230" t="s">
        <v>319</v>
      </c>
      <c r="J588" s="230"/>
      <c r="K588" s="230"/>
      <c r="L588" s="230"/>
      <c r="M588" s="230" t="s">
        <v>266</v>
      </c>
      <c r="N588" s="230" t="s">
        <v>280</v>
      </c>
      <c r="O588" s="230" t="s">
        <v>267</v>
      </c>
      <c r="P588" s="231" t="s">
        <v>320</v>
      </c>
      <c r="Q588" s="231"/>
      <c r="R588" s="233">
        <v>14408000</v>
      </c>
      <c r="S588" s="233">
        <v>0</v>
      </c>
      <c r="T588" s="233">
        <v>0</v>
      </c>
      <c r="U588" s="233">
        <v>14408000</v>
      </c>
      <c r="V588" s="233">
        <v>0</v>
      </c>
      <c r="W588" s="233">
        <v>11206360</v>
      </c>
      <c r="X588" s="233">
        <v>3201640</v>
      </c>
      <c r="Y588" s="233">
        <v>11206360</v>
      </c>
      <c r="Z588" s="233">
        <v>11206360</v>
      </c>
      <c r="AA588" s="233">
        <v>11206360</v>
      </c>
      <c r="AB588" s="233">
        <v>11206360</v>
      </c>
    </row>
    <row r="589" spans="1:28" ht="15" customHeight="1" x14ac:dyDescent="0.25">
      <c r="A589" s="230" t="s">
        <v>438</v>
      </c>
      <c r="B589" s="231" t="s">
        <v>439</v>
      </c>
      <c r="C589" s="232" t="s">
        <v>321</v>
      </c>
      <c r="D589" s="230" t="s">
        <v>264</v>
      </c>
      <c r="E589" s="230" t="s">
        <v>265</v>
      </c>
      <c r="F589" s="230" t="s">
        <v>265</v>
      </c>
      <c r="G589" s="230" t="s">
        <v>265</v>
      </c>
      <c r="H589" s="230" t="s">
        <v>281</v>
      </c>
      <c r="I589" s="230" t="s">
        <v>322</v>
      </c>
      <c r="J589" s="230"/>
      <c r="K589" s="230"/>
      <c r="L589" s="230"/>
      <c r="M589" s="230" t="s">
        <v>266</v>
      </c>
      <c r="N589" s="230" t="s">
        <v>280</v>
      </c>
      <c r="O589" s="230" t="s">
        <v>267</v>
      </c>
      <c r="P589" s="231" t="s">
        <v>323</v>
      </c>
      <c r="Q589" s="231"/>
      <c r="R589" s="233">
        <v>10087000</v>
      </c>
      <c r="S589" s="233">
        <v>3200000</v>
      </c>
      <c r="T589" s="233">
        <v>10087000</v>
      </c>
      <c r="U589" s="233">
        <v>3200000</v>
      </c>
      <c r="V589" s="233">
        <v>0</v>
      </c>
      <c r="W589" s="233">
        <v>2554896</v>
      </c>
      <c r="X589" s="233">
        <v>645104</v>
      </c>
      <c r="Y589" s="233">
        <v>2554896</v>
      </c>
      <c r="Z589" s="233">
        <v>2554896</v>
      </c>
      <c r="AA589" s="233">
        <v>2554896</v>
      </c>
      <c r="AB589" s="233">
        <v>2554896</v>
      </c>
    </row>
    <row r="590" spans="1:28" ht="15" customHeight="1" x14ac:dyDescent="0.25">
      <c r="A590" s="230" t="s">
        <v>438</v>
      </c>
      <c r="B590" s="231" t="s">
        <v>439</v>
      </c>
      <c r="C590" s="232" t="s">
        <v>324</v>
      </c>
      <c r="D590" s="230" t="s">
        <v>264</v>
      </c>
      <c r="E590" s="230" t="s">
        <v>265</v>
      </c>
      <c r="F590" s="230" t="s">
        <v>265</v>
      </c>
      <c r="G590" s="230" t="s">
        <v>265</v>
      </c>
      <c r="H590" s="230" t="s">
        <v>281</v>
      </c>
      <c r="I590" s="230" t="s">
        <v>325</v>
      </c>
      <c r="J590" s="230"/>
      <c r="K590" s="230"/>
      <c r="L590" s="230"/>
      <c r="M590" s="230" t="s">
        <v>266</v>
      </c>
      <c r="N590" s="230" t="s">
        <v>280</v>
      </c>
      <c r="O590" s="230" t="s">
        <v>267</v>
      </c>
      <c r="P590" s="231" t="s">
        <v>326</v>
      </c>
      <c r="Q590" s="231"/>
      <c r="R590" s="233">
        <v>56000000</v>
      </c>
      <c r="S590" s="233">
        <v>1630230</v>
      </c>
      <c r="T590" s="233">
        <v>0</v>
      </c>
      <c r="U590" s="233">
        <v>57630230</v>
      </c>
      <c r="V590" s="233">
        <v>0</v>
      </c>
      <c r="W590" s="233">
        <v>57630230</v>
      </c>
      <c r="X590" s="233">
        <v>0</v>
      </c>
      <c r="Y590" s="233">
        <v>57630230</v>
      </c>
      <c r="Z590" s="233">
        <v>57630230</v>
      </c>
      <c r="AA590" s="233">
        <v>57630230</v>
      </c>
      <c r="AB590" s="233">
        <v>57630230</v>
      </c>
    </row>
    <row r="591" spans="1:28" ht="15" customHeight="1" x14ac:dyDescent="0.25">
      <c r="A591" s="230" t="s">
        <v>438</v>
      </c>
      <c r="B591" s="231" t="s">
        <v>439</v>
      </c>
      <c r="C591" s="232" t="s">
        <v>327</v>
      </c>
      <c r="D591" s="230" t="s">
        <v>264</v>
      </c>
      <c r="E591" s="230" t="s">
        <v>265</v>
      </c>
      <c r="F591" s="230" t="s">
        <v>265</v>
      </c>
      <c r="G591" s="230" t="s">
        <v>265</v>
      </c>
      <c r="H591" s="230" t="s">
        <v>281</v>
      </c>
      <c r="I591" s="230" t="s">
        <v>328</v>
      </c>
      <c r="J591" s="230"/>
      <c r="K591" s="230"/>
      <c r="L591" s="230"/>
      <c r="M591" s="230" t="s">
        <v>266</v>
      </c>
      <c r="N591" s="230" t="s">
        <v>280</v>
      </c>
      <c r="O591" s="230" t="s">
        <v>267</v>
      </c>
      <c r="P591" s="231" t="s">
        <v>329</v>
      </c>
      <c r="Q591" s="231"/>
      <c r="R591" s="233">
        <v>22000000</v>
      </c>
      <c r="S591" s="233">
        <v>4000000</v>
      </c>
      <c r="T591" s="233">
        <v>0</v>
      </c>
      <c r="U591" s="233">
        <v>26000000</v>
      </c>
      <c r="V591" s="233">
        <v>0</v>
      </c>
      <c r="W591" s="233">
        <v>23172264</v>
      </c>
      <c r="X591" s="233">
        <v>2827736</v>
      </c>
      <c r="Y591" s="233">
        <v>23172264</v>
      </c>
      <c r="Z591" s="233">
        <v>23172264</v>
      </c>
      <c r="AA591" s="233">
        <v>23172264</v>
      </c>
      <c r="AB591" s="233">
        <v>23172264</v>
      </c>
    </row>
    <row r="592" spans="1:28" ht="15" customHeight="1" x14ac:dyDescent="0.25">
      <c r="A592" s="230" t="s">
        <v>438</v>
      </c>
      <c r="B592" s="231" t="s">
        <v>439</v>
      </c>
      <c r="C592" s="232" t="s">
        <v>330</v>
      </c>
      <c r="D592" s="230" t="s">
        <v>264</v>
      </c>
      <c r="E592" s="230" t="s">
        <v>265</v>
      </c>
      <c r="F592" s="230" t="s">
        <v>265</v>
      </c>
      <c r="G592" s="230" t="s">
        <v>265</v>
      </c>
      <c r="H592" s="230" t="s">
        <v>281</v>
      </c>
      <c r="I592" s="230" t="s">
        <v>331</v>
      </c>
      <c r="J592" s="230"/>
      <c r="K592" s="230"/>
      <c r="L592" s="230"/>
      <c r="M592" s="230" t="s">
        <v>266</v>
      </c>
      <c r="N592" s="230" t="s">
        <v>280</v>
      </c>
      <c r="O592" s="230" t="s">
        <v>267</v>
      </c>
      <c r="P592" s="231" t="s">
        <v>332</v>
      </c>
      <c r="Q592" s="231"/>
      <c r="R592" s="233">
        <v>73000000</v>
      </c>
      <c r="S592" s="233">
        <v>0</v>
      </c>
      <c r="T592" s="233">
        <v>0</v>
      </c>
      <c r="U592" s="233">
        <v>73000000</v>
      </c>
      <c r="V592" s="233">
        <v>0</v>
      </c>
      <c r="W592" s="233">
        <v>63911264</v>
      </c>
      <c r="X592" s="233">
        <v>9088736</v>
      </c>
      <c r="Y592" s="233">
        <v>63911264</v>
      </c>
      <c r="Z592" s="233">
        <v>63911264</v>
      </c>
      <c r="AA592" s="233">
        <v>63911264</v>
      </c>
      <c r="AB592" s="233">
        <v>63911264</v>
      </c>
    </row>
    <row r="593" spans="1:28" ht="15" customHeight="1" x14ac:dyDescent="0.25">
      <c r="A593" s="230" t="s">
        <v>438</v>
      </c>
      <c r="B593" s="231" t="s">
        <v>439</v>
      </c>
      <c r="C593" s="232" t="s">
        <v>333</v>
      </c>
      <c r="D593" s="230" t="s">
        <v>264</v>
      </c>
      <c r="E593" s="230" t="s">
        <v>265</v>
      </c>
      <c r="F593" s="230" t="s">
        <v>265</v>
      </c>
      <c r="G593" s="230" t="s">
        <v>265</v>
      </c>
      <c r="H593" s="230" t="s">
        <v>281</v>
      </c>
      <c r="I593" s="230" t="s">
        <v>334</v>
      </c>
      <c r="J593" s="230"/>
      <c r="K593" s="230"/>
      <c r="L593" s="230"/>
      <c r="M593" s="230" t="s">
        <v>266</v>
      </c>
      <c r="N593" s="230" t="s">
        <v>280</v>
      </c>
      <c r="O593" s="230" t="s">
        <v>267</v>
      </c>
      <c r="P593" s="231" t="s">
        <v>335</v>
      </c>
      <c r="Q593" s="231"/>
      <c r="R593" s="233">
        <v>32000000</v>
      </c>
      <c r="S593" s="233">
        <v>8948093</v>
      </c>
      <c r="T593" s="233">
        <v>0</v>
      </c>
      <c r="U593" s="233">
        <v>40948093</v>
      </c>
      <c r="V593" s="233">
        <v>0</v>
      </c>
      <c r="W593" s="233">
        <v>38896856</v>
      </c>
      <c r="X593" s="233">
        <v>2051237</v>
      </c>
      <c r="Y593" s="233">
        <v>38896856</v>
      </c>
      <c r="Z593" s="233">
        <v>38896856</v>
      </c>
      <c r="AA593" s="233">
        <v>38896856</v>
      </c>
      <c r="AB593" s="233">
        <v>38896856</v>
      </c>
    </row>
    <row r="594" spans="1:28" ht="15" customHeight="1" x14ac:dyDescent="0.25">
      <c r="A594" s="230" t="s">
        <v>438</v>
      </c>
      <c r="B594" s="231" t="s">
        <v>439</v>
      </c>
      <c r="C594" s="232" t="s">
        <v>336</v>
      </c>
      <c r="D594" s="230" t="s">
        <v>264</v>
      </c>
      <c r="E594" s="230" t="s">
        <v>265</v>
      </c>
      <c r="F594" s="230" t="s">
        <v>265</v>
      </c>
      <c r="G594" s="230" t="s">
        <v>265</v>
      </c>
      <c r="H594" s="230" t="s">
        <v>281</v>
      </c>
      <c r="I594" s="230" t="s">
        <v>278</v>
      </c>
      <c r="J594" s="230"/>
      <c r="K594" s="230"/>
      <c r="L594" s="230"/>
      <c r="M594" s="230" t="s">
        <v>266</v>
      </c>
      <c r="N594" s="230" t="s">
        <v>280</v>
      </c>
      <c r="O594" s="230" t="s">
        <v>267</v>
      </c>
      <c r="P594" s="231" t="s">
        <v>337</v>
      </c>
      <c r="Q594" s="231"/>
      <c r="R594" s="233">
        <v>10000000</v>
      </c>
      <c r="S594" s="233">
        <v>4110670</v>
      </c>
      <c r="T594" s="233">
        <v>23257</v>
      </c>
      <c r="U594" s="233">
        <v>14087413</v>
      </c>
      <c r="V594" s="233">
        <v>0</v>
      </c>
      <c r="W594" s="233">
        <v>14087413</v>
      </c>
      <c r="X594" s="233">
        <v>0</v>
      </c>
      <c r="Y594" s="233">
        <v>14087413</v>
      </c>
      <c r="Z594" s="233">
        <v>14087413</v>
      </c>
      <c r="AA594" s="233">
        <v>14087413</v>
      </c>
      <c r="AB594" s="233">
        <v>14087413</v>
      </c>
    </row>
    <row r="595" spans="1:28" ht="15" customHeight="1" x14ac:dyDescent="0.25">
      <c r="A595" s="230" t="s">
        <v>438</v>
      </c>
      <c r="B595" s="231" t="s">
        <v>439</v>
      </c>
      <c r="C595" s="232" t="s">
        <v>338</v>
      </c>
      <c r="D595" s="230" t="s">
        <v>264</v>
      </c>
      <c r="E595" s="230" t="s">
        <v>265</v>
      </c>
      <c r="F595" s="230" t="s">
        <v>265</v>
      </c>
      <c r="G595" s="230" t="s">
        <v>269</v>
      </c>
      <c r="H595" s="230" t="s">
        <v>281</v>
      </c>
      <c r="I595" s="230"/>
      <c r="J595" s="230"/>
      <c r="K595" s="230"/>
      <c r="L595" s="230"/>
      <c r="M595" s="230" t="s">
        <v>266</v>
      </c>
      <c r="N595" s="230" t="s">
        <v>280</v>
      </c>
      <c r="O595" s="230" t="s">
        <v>267</v>
      </c>
      <c r="P595" s="231" t="s">
        <v>339</v>
      </c>
      <c r="Q595" s="231"/>
      <c r="R595" s="233">
        <v>70000000</v>
      </c>
      <c r="S595" s="233">
        <v>3000000</v>
      </c>
      <c r="T595" s="233">
        <v>0</v>
      </c>
      <c r="U595" s="233">
        <v>73000000</v>
      </c>
      <c r="V595" s="233">
        <v>0</v>
      </c>
      <c r="W595" s="233">
        <v>67179900</v>
      </c>
      <c r="X595" s="233">
        <v>5820100</v>
      </c>
      <c r="Y595" s="233">
        <v>67179900</v>
      </c>
      <c r="Z595" s="233">
        <v>67179900</v>
      </c>
      <c r="AA595" s="233">
        <v>67179900</v>
      </c>
      <c r="AB595" s="233">
        <v>67179900</v>
      </c>
    </row>
    <row r="596" spans="1:28" ht="15" customHeight="1" x14ac:dyDescent="0.25">
      <c r="A596" s="230" t="s">
        <v>438</v>
      </c>
      <c r="B596" s="231" t="s">
        <v>439</v>
      </c>
      <c r="C596" s="232" t="s">
        <v>340</v>
      </c>
      <c r="D596" s="230" t="s">
        <v>264</v>
      </c>
      <c r="E596" s="230" t="s">
        <v>265</v>
      </c>
      <c r="F596" s="230" t="s">
        <v>265</v>
      </c>
      <c r="G596" s="230" t="s">
        <v>269</v>
      </c>
      <c r="H596" s="230" t="s">
        <v>283</v>
      </c>
      <c r="I596" s="230"/>
      <c r="J596" s="230"/>
      <c r="K596" s="230"/>
      <c r="L596" s="230"/>
      <c r="M596" s="230" t="s">
        <v>266</v>
      </c>
      <c r="N596" s="230" t="s">
        <v>280</v>
      </c>
      <c r="O596" s="230" t="s">
        <v>267</v>
      </c>
      <c r="P596" s="231" t="s">
        <v>341</v>
      </c>
      <c r="Q596" s="231"/>
      <c r="R596" s="233">
        <v>55000000</v>
      </c>
      <c r="S596" s="233">
        <v>0</v>
      </c>
      <c r="T596" s="233">
        <v>0</v>
      </c>
      <c r="U596" s="233">
        <v>55000000</v>
      </c>
      <c r="V596" s="233">
        <v>0</v>
      </c>
      <c r="W596" s="233">
        <v>47549200</v>
      </c>
      <c r="X596" s="233">
        <v>7450800</v>
      </c>
      <c r="Y596" s="233">
        <v>47549200</v>
      </c>
      <c r="Z596" s="233">
        <v>47549200</v>
      </c>
      <c r="AA596" s="233">
        <v>47549200</v>
      </c>
      <c r="AB596" s="233">
        <v>47549200</v>
      </c>
    </row>
    <row r="597" spans="1:28" ht="15" customHeight="1" x14ac:dyDescent="0.25">
      <c r="A597" s="230" t="s">
        <v>438</v>
      </c>
      <c r="B597" s="231" t="s">
        <v>439</v>
      </c>
      <c r="C597" s="232" t="s">
        <v>342</v>
      </c>
      <c r="D597" s="230" t="s">
        <v>264</v>
      </c>
      <c r="E597" s="230" t="s">
        <v>265</v>
      </c>
      <c r="F597" s="230" t="s">
        <v>265</v>
      </c>
      <c r="G597" s="230" t="s">
        <v>269</v>
      </c>
      <c r="H597" s="230" t="s">
        <v>319</v>
      </c>
      <c r="I597" s="230"/>
      <c r="J597" s="230"/>
      <c r="K597" s="230"/>
      <c r="L597" s="230"/>
      <c r="M597" s="230" t="s">
        <v>266</v>
      </c>
      <c r="N597" s="230" t="s">
        <v>280</v>
      </c>
      <c r="O597" s="230" t="s">
        <v>267</v>
      </c>
      <c r="P597" s="231" t="s">
        <v>343</v>
      </c>
      <c r="Q597" s="231"/>
      <c r="R597" s="233">
        <v>32000000</v>
      </c>
      <c r="S597" s="233">
        <v>1000000</v>
      </c>
      <c r="T597" s="233">
        <v>0</v>
      </c>
      <c r="U597" s="233">
        <v>33000000</v>
      </c>
      <c r="V597" s="233">
        <v>0</v>
      </c>
      <c r="W597" s="233">
        <v>28159000</v>
      </c>
      <c r="X597" s="233">
        <v>4841000</v>
      </c>
      <c r="Y597" s="233">
        <v>28159000</v>
      </c>
      <c r="Z597" s="233">
        <v>28159000</v>
      </c>
      <c r="AA597" s="233">
        <v>28159000</v>
      </c>
      <c r="AB597" s="233">
        <v>28159000</v>
      </c>
    </row>
    <row r="598" spans="1:28" ht="15" customHeight="1" x14ac:dyDescent="0.25">
      <c r="A598" s="230" t="s">
        <v>438</v>
      </c>
      <c r="B598" s="231" t="s">
        <v>439</v>
      </c>
      <c r="C598" s="232" t="s">
        <v>344</v>
      </c>
      <c r="D598" s="230" t="s">
        <v>264</v>
      </c>
      <c r="E598" s="230" t="s">
        <v>265</v>
      </c>
      <c r="F598" s="230" t="s">
        <v>265</v>
      </c>
      <c r="G598" s="230" t="s">
        <v>269</v>
      </c>
      <c r="H598" s="230" t="s">
        <v>322</v>
      </c>
      <c r="I598" s="230"/>
      <c r="J598" s="230"/>
      <c r="K598" s="230"/>
      <c r="L598" s="230"/>
      <c r="M598" s="230" t="s">
        <v>266</v>
      </c>
      <c r="N598" s="230" t="s">
        <v>280</v>
      </c>
      <c r="O598" s="230" t="s">
        <v>267</v>
      </c>
      <c r="P598" s="231" t="s">
        <v>345</v>
      </c>
      <c r="Q598" s="231"/>
      <c r="R598" s="233">
        <v>9000000</v>
      </c>
      <c r="S598" s="233">
        <v>0</v>
      </c>
      <c r="T598" s="233">
        <v>0</v>
      </c>
      <c r="U598" s="233">
        <v>9000000</v>
      </c>
      <c r="V598" s="233">
        <v>0</v>
      </c>
      <c r="W598" s="233">
        <v>7340400</v>
      </c>
      <c r="X598" s="233">
        <v>1659600</v>
      </c>
      <c r="Y598" s="233">
        <v>7340400</v>
      </c>
      <c r="Z598" s="233">
        <v>7340400</v>
      </c>
      <c r="AA598" s="233">
        <v>7340400</v>
      </c>
      <c r="AB598" s="233">
        <v>7340400</v>
      </c>
    </row>
    <row r="599" spans="1:28" ht="15" customHeight="1" x14ac:dyDescent="0.25">
      <c r="A599" s="230" t="s">
        <v>438</v>
      </c>
      <c r="B599" s="231" t="s">
        <v>439</v>
      </c>
      <c r="C599" s="232" t="s">
        <v>346</v>
      </c>
      <c r="D599" s="230" t="s">
        <v>264</v>
      </c>
      <c r="E599" s="230" t="s">
        <v>265</v>
      </c>
      <c r="F599" s="230" t="s">
        <v>265</v>
      </c>
      <c r="G599" s="230" t="s">
        <v>269</v>
      </c>
      <c r="H599" s="230" t="s">
        <v>325</v>
      </c>
      <c r="I599" s="230"/>
      <c r="J599" s="230"/>
      <c r="K599" s="230"/>
      <c r="L599" s="230"/>
      <c r="M599" s="230" t="s">
        <v>266</v>
      </c>
      <c r="N599" s="230" t="s">
        <v>280</v>
      </c>
      <c r="O599" s="230" t="s">
        <v>267</v>
      </c>
      <c r="P599" s="231" t="s">
        <v>347</v>
      </c>
      <c r="Q599" s="231"/>
      <c r="R599" s="233">
        <v>24000000</v>
      </c>
      <c r="S599" s="233">
        <v>0</v>
      </c>
      <c r="T599" s="233">
        <v>0</v>
      </c>
      <c r="U599" s="233">
        <v>24000000</v>
      </c>
      <c r="V599" s="233">
        <v>0</v>
      </c>
      <c r="W599" s="233">
        <v>21124100</v>
      </c>
      <c r="X599" s="233">
        <v>2875900</v>
      </c>
      <c r="Y599" s="233">
        <v>21124100</v>
      </c>
      <c r="Z599" s="233">
        <v>21124100</v>
      </c>
      <c r="AA599" s="233">
        <v>21124100</v>
      </c>
      <c r="AB599" s="233">
        <v>21124100</v>
      </c>
    </row>
    <row r="600" spans="1:28" ht="15" customHeight="1" x14ac:dyDescent="0.25">
      <c r="A600" s="230" t="s">
        <v>438</v>
      </c>
      <c r="B600" s="231" t="s">
        <v>439</v>
      </c>
      <c r="C600" s="232" t="s">
        <v>348</v>
      </c>
      <c r="D600" s="230" t="s">
        <v>264</v>
      </c>
      <c r="E600" s="230" t="s">
        <v>265</v>
      </c>
      <c r="F600" s="230" t="s">
        <v>265</v>
      </c>
      <c r="G600" s="230" t="s">
        <v>269</v>
      </c>
      <c r="H600" s="230" t="s">
        <v>328</v>
      </c>
      <c r="I600" s="230"/>
      <c r="J600" s="230"/>
      <c r="K600" s="230"/>
      <c r="L600" s="230"/>
      <c r="M600" s="230" t="s">
        <v>266</v>
      </c>
      <c r="N600" s="230" t="s">
        <v>280</v>
      </c>
      <c r="O600" s="230" t="s">
        <v>267</v>
      </c>
      <c r="P600" s="231" t="s">
        <v>349</v>
      </c>
      <c r="Q600" s="231"/>
      <c r="R600" s="233">
        <v>4000000</v>
      </c>
      <c r="S600" s="233">
        <v>12000000</v>
      </c>
      <c r="T600" s="233">
        <v>0</v>
      </c>
      <c r="U600" s="233">
        <v>16000000</v>
      </c>
      <c r="V600" s="233">
        <v>0</v>
      </c>
      <c r="W600" s="233">
        <v>14086000</v>
      </c>
      <c r="X600" s="233">
        <v>1914000</v>
      </c>
      <c r="Y600" s="233">
        <v>14086000</v>
      </c>
      <c r="Z600" s="233">
        <v>14086000</v>
      </c>
      <c r="AA600" s="233">
        <v>14086000</v>
      </c>
      <c r="AB600" s="233">
        <v>14086000</v>
      </c>
    </row>
    <row r="601" spans="1:28" ht="15" customHeight="1" x14ac:dyDescent="0.25">
      <c r="A601" s="230" t="s">
        <v>438</v>
      </c>
      <c r="B601" s="231" t="s">
        <v>439</v>
      </c>
      <c r="C601" s="232" t="s">
        <v>350</v>
      </c>
      <c r="D601" s="230" t="s">
        <v>264</v>
      </c>
      <c r="E601" s="230" t="s">
        <v>265</v>
      </c>
      <c r="F601" s="230" t="s">
        <v>265</v>
      </c>
      <c r="G601" s="230" t="s">
        <v>269</v>
      </c>
      <c r="H601" s="230" t="s">
        <v>351</v>
      </c>
      <c r="I601" s="230"/>
      <c r="J601" s="230"/>
      <c r="K601" s="230"/>
      <c r="L601" s="230"/>
      <c r="M601" s="230" t="s">
        <v>266</v>
      </c>
      <c r="N601" s="230" t="s">
        <v>280</v>
      </c>
      <c r="O601" s="230" t="s">
        <v>267</v>
      </c>
      <c r="P601" s="231" t="s">
        <v>352</v>
      </c>
      <c r="Q601" s="231"/>
      <c r="R601" s="233">
        <v>4000000</v>
      </c>
      <c r="S601" s="233">
        <v>0</v>
      </c>
      <c r="T601" s="233">
        <v>4000000</v>
      </c>
      <c r="U601" s="233">
        <v>0</v>
      </c>
      <c r="V601" s="233">
        <v>0</v>
      </c>
      <c r="W601" s="233">
        <v>0</v>
      </c>
      <c r="X601" s="233">
        <v>0</v>
      </c>
      <c r="Y601" s="233">
        <v>0</v>
      </c>
      <c r="Z601" s="233">
        <v>0</v>
      </c>
      <c r="AA601" s="233">
        <v>0</v>
      </c>
      <c r="AB601" s="233">
        <v>0</v>
      </c>
    </row>
    <row r="602" spans="1:28" ht="15" customHeight="1" x14ac:dyDescent="0.25">
      <c r="A602" s="230" t="s">
        <v>438</v>
      </c>
      <c r="B602" s="231" t="s">
        <v>439</v>
      </c>
      <c r="C602" s="232" t="s">
        <v>353</v>
      </c>
      <c r="D602" s="230" t="s">
        <v>264</v>
      </c>
      <c r="E602" s="230" t="s">
        <v>265</v>
      </c>
      <c r="F602" s="230" t="s">
        <v>265</v>
      </c>
      <c r="G602" s="230" t="s">
        <v>269</v>
      </c>
      <c r="H602" s="230" t="s">
        <v>331</v>
      </c>
      <c r="I602" s="230"/>
      <c r="J602" s="230"/>
      <c r="K602" s="230"/>
      <c r="L602" s="230"/>
      <c r="M602" s="230" t="s">
        <v>266</v>
      </c>
      <c r="N602" s="230" t="s">
        <v>280</v>
      </c>
      <c r="O602" s="230" t="s">
        <v>267</v>
      </c>
      <c r="P602" s="231" t="s">
        <v>354</v>
      </c>
      <c r="Q602" s="231"/>
      <c r="R602" s="233">
        <v>8000000</v>
      </c>
      <c r="S602" s="233">
        <v>0</v>
      </c>
      <c r="T602" s="233">
        <v>8000000</v>
      </c>
      <c r="U602" s="233">
        <v>0</v>
      </c>
      <c r="V602" s="233">
        <v>0</v>
      </c>
      <c r="W602" s="233">
        <v>0</v>
      </c>
      <c r="X602" s="233">
        <v>0</v>
      </c>
      <c r="Y602" s="233">
        <v>0</v>
      </c>
      <c r="Z602" s="233">
        <v>0</v>
      </c>
      <c r="AA602" s="233">
        <v>0</v>
      </c>
      <c r="AB602" s="233">
        <v>0</v>
      </c>
    </row>
    <row r="603" spans="1:28" ht="15" customHeight="1" x14ac:dyDescent="0.25">
      <c r="A603" s="230" t="s">
        <v>438</v>
      </c>
      <c r="B603" s="231" t="s">
        <v>439</v>
      </c>
      <c r="C603" s="232" t="s">
        <v>355</v>
      </c>
      <c r="D603" s="230" t="s">
        <v>264</v>
      </c>
      <c r="E603" s="230" t="s">
        <v>265</v>
      </c>
      <c r="F603" s="230" t="s">
        <v>265</v>
      </c>
      <c r="G603" s="230" t="s">
        <v>271</v>
      </c>
      <c r="H603" s="230" t="s">
        <v>281</v>
      </c>
      <c r="I603" s="230" t="s">
        <v>281</v>
      </c>
      <c r="J603" s="230"/>
      <c r="K603" s="230"/>
      <c r="L603" s="230"/>
      <c r="M603" s="230" t="s">
        <v>266</v>
      </c>
      <c r="N603" s="230" t="s">
        <v>280</v>
      </c>
      <c r="O603" s="230" t="s">
        <v>267</v>
      </c>
      <c r="P603" s="231" t="s">
        <v>356</v>
      </c>
      <c r="Q603" s="231"/>
      <c r="R603" s="233">
        <v>27000000</v>
      </c>
      <c r="S603" s="233">
        <v>2500000</v>
      </c>
      <c r="T603" s="233">
        <v>0</v>
      </c>
      <c r="U603" s="233">
        <v>29500000</v>
      </c>
      <c r="V603" s="233">
        <v>0</v>
      </c>
      <c r="W603" s="233">
        <v>25666951</v>
      </c>
      <c r="X603" s="233">
        <v>3833049</v>
      </c>
      <c r="Y603" s="233">
        <v>25666951</v>
      </c>
      <c r="Z603" s="233">
        <v>25666951</v>
      </c>
      <c r="AA603" s="233">
        <v>25666951</v>
      </c>
      <c r="AB603" s="233">
        <v>25666951</v>
      </c>
    </row>
    <row r="604" spans="1:28" ht="15" customHeight="1" x14ac:dyDescent="0.25">
      <c r="A604" s="230" t="s">
        <v>438</v>
      </c>
      <c r="B604" s="231" t="s">
        <v>439</v>
      </c>
      <c r="C604" s="232" t="s">
        <v>357</v>
      </c>
      <c r="D604" s="230" t="s">
        <v>264</v>
      </c>
      <c r="E604" s="230" t="s">
        <v>265</v>
      </c>
      <c r="F604" s="230" t="s">
        <v>265</v>
      </c>
      <c r="G604" s="230" t="s">
        <v>271</v>
      </c>
      <c r="H604" s="230" t="s">
        <v>281</v>
      </c>
      <c r="I604" s="230" t="s">
        <v>283</v>
      </c>
      <c r="J604" s="230"/>
      <c r="K604" s="230"/>
      <c r="L604" s="230"/>
      <c r="M604" s="230" t="s">
        <v>266</v>
      </c>
      <c r="N604" s="230" t="s">
        <v>280</v>
      </c>
      <c r="O604" s="230" t="s">
        <v>267</v>
      </c>
      <c r="P604" s="231" t="s">
        <v>358</v>
      </c>
      <c r="Q604" s="231"/>
      <c r="R604" s="233">
        <v>0</v>
      </c>
      <c r="S604" s="233">
        <v>18056599</v>
      </c>
      <c r="T604" s="233">
        <v>0</v>
      </c>
      <c r="U604" s="233">
        <v>18056599</v>
      </c>
      <c r="V604" s="233">
        <v>0</v>
      </c>
      <c r="W604" s="233">
        <v>17976986</v>
      </c>
      <c r="X604" s="233">
        <v>79613</v>
      </c>
      <c r="Y604" s="233">
        <v>17976986</v>
      </c>
      <c r="Z604" s="233">
        <v>17976986</v>
      </c>
      <c r="AA604" s="233">
        <v>17976986</v>
      </c>
      <c r="AB604" s="233">
        <v>17976986</v>
      </c>
    </row>
    <row r="605" spans="1:28" ht="15" customHeight="1" x14ac:dyDescent="0.25">
      <c r="A605" s="230" t="s">
        <v>438</v>
      </c>
      <c r="B605" s="231" t="s">
        <v>439</v>
      </c>
      <c r="C605" s="232" t="s">
        <v>359</v>
      </c>
      <c r="D605" s="230" t="s">
        <v>264</v>
      </c>
      <c r="E605" s="230" t="s">
        <v>265</v>
      </c>
      <c r="F605" s="230" t="s">
        <v>265</v>
      </c>
      <c r="G605" s="230" t="s">
        <v>271</v>
      </c>
      <c r="H605" s="230" t="s">
        <v>281</v>
      </c>
      <c r="I605" s="230" t="s">
        <v>316</v>
      </c>
      <c r="J605" s="230"/>
      <c r="K605" s="230"/>
      <c r="L605" s="230"/>
      <c r="M605" s="230" t="s">
        <v>266</v>
      </c>
      <c r="N605" s="230" t="s">
        <v>280</v>
      </c>
      <c r="O605" s="230" t="s">
        <v>267</v>
      </c>
      <c r="P605" s="231" t="s">
        <v>360</v>
      </c>
      <c r="Q605" s="231"/>
      <c r="R605" s="233">
        <v>3000000</v>
      </c>
      <c r="S605" s="233">
        <v>533620</v>
      </c>
      <c r="T605" s="233">
        <v>0</v>
      </c>
      <c r="U605" s="233">
        <v>3533620</v>
      </c>
      <c r="V605" s="233">
        <v>0</v>
      </c>
      <c r="W605" s="233">
        <v>3532787</v>
      </c>
      <c r="X605" s="233">
        <v>833</v>
      </c>
      <c r="Y605" s="233">
        <v>3532787</v>
      </c>
      <c r="Z605" s="233">
        <v>3532787</v>
      </c>
      <c r="AA605" s="233">
        <v>3532787</v>
      </c>
      <c r="AB605" s="233">
        <v>3532787</v>
      </c>
    </row>
    <row r="606" spans="1:28" ht="15" customHeight="1" x14ac:dyDescent="0.25">
      <c r="A606" s="230" t="s">
        <v>438</v>
      </c>
      <c r="B606" s="231" t="s">
        <v>439</v>
      </c>
      <c r="C606" s="232" t="s">
        <v>361</v>
      </c>
      <c r="D606" s="230" t="s">
        <v>264</v>
      </c>
      <c r="E606" s="230" t="s">
        <v>265</v>
      </c>
      <c r="F606" s="230" t="s">
        <v>265</v>
      </c>
      <c r="G606" s="230" t="s">
        <v>271</v>
      </c>
      <c r="H606" s="230" t="s">
        <v>283</v>
      </c>
      <c r="I606" s="230"/>
      <c r="J606" s="230"/>
      <c r="K606" s="230"/>
      <c r="L606" s="230"/>
      <c r="M606" s="230" t="s">
        <v>266</v>
      </c>
      <c r="N606" s="230" t="s">
        <v>280</v>
      </c>
      <c r="O606" s="230" t="s">
        <v>267</v>
      </c>
      <c r="P606" s="231" t="s">
        <v>362</v>
      </c>
      <c r="Q606" s="231"/>
      <c r="R606" s="233">
        <v>29000000</v>
      </c>
      <c r="S606" s="233">
        <v>0</v>
      </c>
      <c r="T606" s="233">
        <v>0</v>
      </c>
      <c r="U606" s="233">
        <v>29000000</v>
      </c>
      <c r="V606" s="233">
        <v>0</v>
      </c>
      <c r="W606" s="233">
        <v>18971478</v>
      </c>
      <c r="X606" s="233">
        <v>10028522</v>
      </c>
      <c r="Y606" s="233">
        <v>18971478</v>
      </c>
      <c r="Z606" s="233">
        <v>18971478</v>
      </c>
      <c r="AA606" s="233">
        <v>18971478</v>
      </c>
      <c r="AB606" s="233">
        <v>18971478</v>
      </c>
    </row>
    <row r="607" spans="1:28" ht="15" customHeight="1" x14ac:dyDescent="0.25">
      <c r="A607" s="230" t="s">
        <v>438</v>
      </c>
      <c r="B607" s="231" t="s">
        <v>439</v>
      </c>
      <c r="C607" s="232" t="s">
        <v>363</v>
      </c>
      <c r="D607" s="230" t="s">
        <v>264</v>
      </c>
      <c r="E607" s="230" t="s">
        <v>269</v>
      </c>
      <c r="F607" s="230" t="s">
        <v>269</v>
      </c>
      <c r="G607" s="230" t="s">
        <v>269</v>
      </c>
      <c r="H607" s="230" t="s">
        <v>325</v>
      </c>
      <c r="I607" s="230" t="s">
        <v>319</v>
      </c>
      <c r="J607" s="230"/>
      <c r="K607" s="230"/>
      <c r="L607" s="230"/>
      <c r="M607" s="230" t="s">
        <v>273</v>
      </c>
      <c r="N607" s="230" t="s">
        <v>34</v>
      </c>
      <c r="O607" s="230" t="s">
        <v>267</v>
      </c>
      <c r="P607" s="231" t="s">
        <v>364</v>
      </c>
      <c r="Q607" s="231"/>
      <c r="R607" s="233">
        <v>0</v>
      </c>
      <c r="S607" s="233">
        <v>80000</v>
      </c>
      <c r="T607" s="233">
        <v>80000</v>
      </c>
      <c r="U607" s="233">
        <v>0</v>
      </c>
      <c r="V607" s="233">
        <v>0</v>
      </c>
      <c r="W607" s="233">
        <v>0</v>
      </c>
      <c r="X607" s="233">
        <v>0</v>
      </c>
      <c r="Y607" s="233">
        <v>0</v>
      </c>
      <c r="Z607" s="233">
        <v>0</v>
      </c>
      <c r="AA607" s="233">
        <v>0</v>
      </c>
      <c r="AB607" s="233">
        <v>0</v>
      </c>
    </row>
    <row r="608" spans="1:28" ht="15" customHeight="1" x14ac:dyDescent="0.25">
      <c r="A608" s="230" t="s">
        <v>438</v>
      </c>
      <c r="B608" s="231" t="s">
        <v>439</v>
      </c>
      <c r="C608" s="232" t="s">
        <v>365</v>
      </c>
      <c r="D608" s="230" t="s">
        <v>264</v>
      </c>
      <c r="E608" s="230" t="s">
        <v>269</v>
      </c>
      <c r="F608" s="230" t="s">
        <v>269</v>
      </c>
      <c r="G608" s="230" t="s">
        <v>269</v>
      </c>
      <c r="H608" s="230" t="s">
        <v>325</v>
      </c>
      <c r="I608" s="230" t="s">
        <v>331</v>
      </c>
      <c r="J608" s="230"/>
      <c r="K608" s="230"/>
      <c r="L608" s="230"/>
      <c r="M608" s="230" t="s">
        <v>266</v>
      </c>
      <c r="N608" s="230" t="s">
        <v>280</v>
      </c>
      <c r="O608" s="230" t="s">
        <v>267</v>
      </c>
      <c r="P608" s="231" t="s">
        <v>366</v>
      </c>
      <c r="Q608" s="231"/>
      <c r="R608" s="233">
        <v>10300000</v>
      </c>
      <c r="S608" s="233">
        <v>11360000</v>
      </c>
      <c r="T608" s="233">
        <v>0</v>
      </c>
      <c r="U608" s="233">
        <v>21660000</v>
      </c>
      <c r="V608" s="233">
        <v>0</v>
      </c>
      <c r="W608" s="233">
        <v>21660000</v>
      </c>
      <c r="X608" s="233">
        <v>0</v>
      </c>
      <c r="Y608" s="233">
        <v>20319725</v>
      </c>
      <c r="Z608" s="233">
        <v>20319725</v>
      </c>
      <c r="AA608" s="233">
        <v>20319725</v>
      </c>
      <c r="AB608" s="233">
        <v>20319725</v>
      </c>
    </row>
    <row r="609" spans="1:28" ht="15" customHeight="1" x14ac:dyDescent="0.25">
      <c r="A609" s="230" t="s">
        <v>438</v>
      </c>
      <c r="B609" s="231" t="s">
        <v>439</v>
      </c>
      <c r="C609" s="232" t="s">
        <v>383</v>
      </c>
      <c r="D609" s="230" t="s">
        <v>264</v>
      </c>
      <c r="E609" s="230" t="s">
        <v>269</v>
      </c>
      <c r="F609" s="230" t="s">
        <v>269</v>
      </c>
      <c r="G609" s="230" t="s">
        <v>269</v>
      </c>
      <c r="H609" s="230" t="s">
        <v>328</v>
      </c>
      <c r="I609" s="230" t="s">
        <v>283</v>
      </c>
      <c r="J609" s="230"/>
      <c r="K609" s="230"/>
      <c r="L609" s="230"/>
      <c r="M609" s="230" t="s">
        <v>266</v>
      </c>
      <c r="N609" s="230" t="s">
        <v>280</v>
      </c>
      <c r="O609" s="230" t="s">
        <v>267</v>
      </c>
      <c r="P609" s="231" t="s">
        <v>384</v>
      </c>
      <c r="Q609" s="231"/>
      <c r="R609" s="233">
        <v>2600000</v>
      </c>
      <c r="S609" s="233">
        <v>333326</v>
      </c>
      <c r="T609" s="233">
        <v>0</v>
      </c>
      <c r="U609" s="233">
        <v>2933326</v>
      </c>
      <c r="V609" s="233">
        <v>0</v>
      </c>
      <c r="W609" s="233">
        <v>2933326</v>
      </c>
      <c r="X609" s="233">
        <v>0</v>
      </c>
      <c r="Y609" s="233">
        <v>2933326</v>
      </c>
      <c r="Z609" s="233">
        <v>2160000</v>
      </c>
      <c r="AA609" s="233">
        <v>2160000</v>
      </c>
      <c r="AB609" s="233">
        <v>2160000</v>
      </c>
    </row>
    <row r="610" spans="1:28" ht="15" customHeight="1" x14ac:dyDescent="0.25">
      <c r="A610" s="230" t="s">
        <v>438</v>
      </c>
      <c r="B610" s="231" t="s">
        <v>439</v>
      </c>
      <c r="C610" s="232" t="s">
        <v>367</v>
      </c>
      <c r="D610" s="230" t="s">
        <v>264</v>
      </c>
      <c r="E610" s="230" t="s">
        <v>269</v>
      </c>
      <c r="F610" s="230" t="s">
        <v>269</v>
      </c>
      <c r="G610" s="230" t="s">
        <v>269</v>
      </c>
      <c r="H610" s="230" t="s">
        <v>351</v>
      </c>
      <c r="I610" s="230" t="s">
        <v>319</v>
      </c>
      <c r="J610" s="230"/>
      <c r="K610" s="230"/>
      <c r="L610" s="230"/>
      <c r="M610" s="230" t="s">
        <v>266</v>
      </c>
      <c r="N610" s="230" t="s">
        <v>280</v>
      </c>
      <c r="O610" s="230" t="s">
        <v>267</v>
      </c>
      <c r="P610" s="231" t="s">
        <v>368</v>
      </c>
      <c r="Q610" s="231"/>
      <c r="R610" s="233">
        <v>10000000</v>
      </c>
      <c r="S610" s="233">
        <v>0</v>
      </c>
      <c r="T610" s="233">
        <v>9796000</v>
      </c>
      <c r="U610" s="233">
        <v>204000</v>
      </c>
      <c r="V610" s="233">
        <v>0</v>
      </c>
      <c r="W610" s="233">
        <v>101501</v>
      </c>
      <c r="X610" s="233">
        <v>102499</v>
      </c>
      <c r="Y610" s="233">
        <v>101501</v>
      </c>
      <c r="Z610" s="233">
        <v>101501</v>
      </c>
      <c r="AA610" s="233">
        <v>101501</v>
      </c>
      <c r="AB610" s="233">
        <v>101501</v>
      </c>
    </row>
    <row r="611" spans="1:28" ht="15" customHeight="1" x14ac:dyDescent="0.25">
      <c r="A611" s="230" t="s">
        <v>438</v>
      </c>
      <c r="B611" s="231" t="s">
        <v>439</v>
      </c>
      <c r="C611" s="232" t="s">
        <v>369</v>
      </c>
      <c r="D611" s="230" t="s">
        <v>264</v>
      </c>
      <c r="E611" s="230" t="s">
        <v>269</v>
      </c>
      <c r="F611" s="230" t="s">
        <v>269</v>
      </c>
      <c r="G611" s="230" t="s">
        <v>269</v>
      </c>
      <c r="H611" s="230" t="s">
        <v>331</v>
      </c>
      <c r="I611" s="230" t="s">
        <v>319</v>
      </c>
      <c r="J611" s="230"/>
      <c r="K611" s="230"/>
      <c r="L611" s="230"/>
      <c r="M611" s="230" t="s">
        <v>266</v>
      </c>
      <c r="N611" s="230" t="s">
        <v>280</v>
      </c>
      <c r="O611" s="230" t="s">
        <v>267</v>
      </c>
      <c r="P611" s="231" t="s">
        <v>370</v>
      </c>
      <c r="Q611" s="231"/>
      <c r="R611" s="233">
        <v>500000</v>
      </c>
      <c r="S611" s="233">
        <v>536000</v>
      </c>
      <c r="T611" s="233">
        <v>0</v>
      </c>
      <c r="U611" s="233">
        <v>1036000</v>
      </c>
      <c r="V611" s="233">
        <v>0</v>
      </c>
      <c r="W611" s="233">
        <v>1036000</v>
      </c>
      <c r="X611" s="233">
        <v>0</v>
      </c>
      <c r="Y611" s="233">
        <v>972207</v>
      </c>
      <c r="Z611" s="233">
        <v>972207</v>
      </c>
      <c r="AA611" s="233">
        <v>972207</v>
      </c>
      <c r="AB611" s="233">
        <v>972207</v>
      </c>
    </row>
    <row r="612" spans="1:28" ht="15" customHeight="1" x14ac:dyDescent="0.25">
      <c r="A612" s="230" t="s">
        <v>438</v>
      </c>
      <c r="B612" s="231" t="s">
        <v>439</v>
      </c>
      <c r="C612" s="232" t="s">
        <v>371</v>
      </c>
      <c r="D612" s="230" t="s">
        <v>264</v>
      </c>
      <c r="E612" s="230" t="s">
        <v>269</v>
      </c>
      <c r="F612" s="230" t="s">
        <v>269</v>
      </c>
      <c r="G612" s="230" t="s">
        <v>269</v>
      </c>
      <c r="H612" s="230" t="s">
        <v>334</v>
      </c>
      <c r="I612" s="230"/>
      <c r="J612" s="230"/>
      <c r="K612" s="230"/>
      <c r="L612" s="230"/>
      <c r="M612" s="230" t="s">
        <v>266</v>
      </c>
      <c r="N612" s="230" t="s">
        <v>280</v>
      </c>
      <c r="O612" s="230" t="s">
        <v>267</v>
      </c>
      <c r="P612" s="231" t="s">
        <v>372</v>
      </c>
      <c r="Q612" s="231"/>
      <c r="R612" s="233">
        <v>0</v>
      </c>
      <c r="S612" s="233">
        <v>407319</v>
      </c>
      <c r="T612" s="233">
        <v>0</v>
      </c>
      <c r="U612" s="233">
        <v>407319</v>
      </c>
      <c r="V612" s="233">
        <v>0</v>
      </c>
      <c r="W612" s="233">
        <v>407319</v>
      </c>
      <c r="X612" s="233">
        <v>0</v>
      </c>
      <c r="Y612" s="233">
        <v>407319</v>
      </c>
      <c r="Z612" s="233">
        <v>407319</v>
      </c>
      <c r="AA612" s="233">
        <v>407319</v>
      </c>
      <c r="AB612" s="233">
        <v>407319</v>
      </c>
    </row>
    <row r="613" spans="1:28" ht="15" customHeight="1" x14ac:dyDescent="0.25">
      <c r="A613" s="230" t="s">
        <v>438</v>
      </c>
      <c r="B613" s="231" t="s">
        <v>439</v>
      </c>
      <c r="C613" s="232" t="s">
        <v>371</v>
      </c>
      <c r="D613" s="230" t="s">
        <v>264</v>
      </c>
      <c r="E613" s="230" t="s">
        <v>269</v>
      </c>
      <c r="F613" s="230" t="s">
        <v>269</v>
      </c>
      <c r="G613" s="230" t="s">
        <v>269</v>
      </c>
      <c r="H613" s="230" t="s">
        <v>334</v>
      </c>
      <c r="I613" s="230"/>
      <c r="J613" s="230"/>
      <c r="K613" s="230"/>
      <c r="L613" s="230"/>
      <c r="M613" s="230" t="s">
        <v>273</v>
      </c>
      <c r="N613" s="230" t="s">
        <v>34</v>
      </c>
      <c r="O613" s="230" t="s">
        <v>267</v>
      </c>
      <c r="P613" s="231" t="s">
        <v>372</v>
      </c>
      <c r="Q613" s="231"/>
      <c r="R613" s="233">
        <v>0</v>
      </c>
      <c r="S613" s="233">
        <v>256065</v>
      </c>
      <c r="T613" s="233">
        <v>0</v>
      </c>
      <c r="U613" s="233">
        <v>256065</v>
      </c>
      <c r="V613" s="233">
        <v>0</v>
      </c>
      <c r="W613" s="233">
        <v>256065</v>
      </c>
      <c r="X613" s="233">
        <v>0</v>
      </c>
      <c r="Y613" s="233">
        <v>256065</v>
      </c>
      <c r="Z613" s="233">
        <v>256065</v>
      </c>
      <c r="AA613" s="233">
        <v>256065</v>
      </c>
      <c r="AB613" s="233">
        <v>256065</v>
      </c>
    </row>
    <row r="614" spans="1:28" ht="15" customHeight="1" x14ac:dyDescent="0.25">
      <c r="A614" s="230" t="s">
        <v>438</v>
      </c>
      <c r="B614" s="231" t="s">
        <v>439</v>
      </c>
      <c r="C614" s="232" t="s">
        <v>373</v>
      </c>
      <c r="D614" s="230" t="s">
        <v>264</v>
      </c>
      <c r="E614" s="230" t="s">
        <v>271</v>
      </c>
      <c r="F614" s="230" t="s">
        <v>277</v>
      </c>
      <c r="G614" s="230" t="s">
        <v>269</v>
      </c>
      <c r="H614" s="230" t="s">
        <v>278</v>
      </c>
      <c r="I614" s="230" t="s">
        <v>281</v>
      </c>
      <c r="J614" s="230"/>
      <c r="K614" s="230"/>
      <c r="L614" s="230"/>
      <c r="M614" s="230" t="s">
        <v>266</v>
      </c>
      <c r="N614" s="230" t="s">
        <v>280</v>
      </c>
      <c r="O614" s="230" t="s">
        <v>267</v>
      </c>
      <c r="P614" s="231" t="s">
        <v>374</v>
      </c>
      <c r="Q614" s="231"/>
      <c r="R614" s="233">
        <v>0</v>
      </c>
      <c r="S614" s="233">
        <v>5709832</v>
      </c>
      <c r="T614" s="233">
        <v>0</v>
      </c>
      <c r="U614" s="233">
        <v>5709832</v>
      </c>
      <c r="V614" s="233">
        <v>0</v>
      </c>
      <c r="W614" s="233">
        <v>5709832</v>
      </c>
      <c r="X614" s="233">
        <v>0</v>
      </c>
      <c r="Y614" s="233">
        <v>5672832</v>
      </c>
      <c r="Z614" s="233">
        <v>4345062</v>
      </c>
      <c r="AA614" s="233">
        <v>4345062</v>
      </c>
      <c r="AB614" s="233">
        <v>4345062</v>
      </c>
    </row>
    <row r="615" spans="1:28" ht="15" customHeight="1" x14ac:dyDescent="0.25">
      <c r="A615" s="230" t="s">
        <v>438</v>
      </c>
      <c r="B615" s="231" t="s">
        <v>439</v>
      </c>
      <c r="C615" s="232" t="s">
        <v>375</v>
      </c>
      <c r="D615" s="230" t="s">
        <v>264</v>
      </c>
      <c r="E615" s="230" t="s">
        <v>285</v>
      </c>
      <c r="F615" s="230" t="s">
        <v>265</v>
      </c>
      <c r="G615" s="230" t="s">
        <v>269</v>
      </c>
      <c r="H615" s="230" t="s">
        <v>281</v>
      </c>
      <c r="I615" s="230"/>
      <c r="J615" s="230"/>
      <c r="K615" s="230"/>
      <c r="L615" s="230"/>
      <c r="M615" s="230" t="s">
        <v>266</v>
      </c>
      <c r="N615" s="230" t="s">
        <v>280</v>
      </c>
      <c r="O615" s="230" t="s">
        <v>267</v>
      </c>
      <c r="P615" s="231" t="s">
        <v>376</v>
      </c>
      <c r="Q615" s="231"/>
      <c r="R615" s="233">
        <v>0</v>
      </c>
      <c r="S615" s="233">
        <v>12184000</v>
      </c>
      <c r="T615" s="233">
        <v>0</v>
      </c>
      <c r="U615" s="233">
        <v>12184000</v>
      </c>
      <c r="V615" s="233">
        <v>0</v>
      </c>
      <c r="W615" s="233">
        <v>12184000</v>
      </c>
      <c r="X615" s="233">
        <v>0</v>
      </c>
      <c r="Y615" s="233">
        <v>12184000</v>
      </c>
      <c r="Z615" s="233">
        <v>12184000</v>
      </c>
      <c r="AA615" s="233">
        <v>12184000</v>
      </c>
      <c r="AB615" s="233">
        <v>12184000</v>
      </c>
    </row>
    <row r="616" spans="1:28" ht="15" customHeight="1" x14ac:dyDescent="0.25">
      <c r="A616" s="230" t="s">
        <v>438</v>
      </c>
      <c r="B616" s="231" t="s">
        <v>439</v>
      </c>
      <c r="C616" s="232" t="s">
        <v>377</v>
      </c>
      <c r="D616" s="230" t="s">
        <v>264</v>
      </c>
      <c r="E616" s="230" t="s">
        <v>285</v>
      </c>
      <c r="F616" s="230" t="s">
        <v>265</v>
      </c>
      <c r="G616" s="230" t="s">
        <v>269</v>
      </c>
      <c r="H616" s="230" t="s">
        <v>316</v>
      </c>
      <c r="I616" s="230"/>
      <c r="J616" s="230"/>
      <c r="K616" s="230"/>
      <c r="L616" s="230"/>
      <c r="M616" s="230" t="s">
        <v>273</v>
      </c>
      <c r="N616" s="230" t="s">
        <v>34</v>
      </c>
      <c r="O616" s="230" t="s">
        <v>267</v>
      </c>
      <c r="P616" s="231" t="s">
        <v>378</v>
      </c>
      <c r="Q616" s="231"/>
      <c r="R616" s="233">
        <v>0</v>
      </c>
      <c r="S616" s="233">
        <v>826000</v>
      </c>
      <c r="T616" s="233">
        <v>70000</v>
      </c>
      <c r="U616" s="233">
        <v>756000</v>
      </c>
      <c r="V616" s="233">
        <v>0</v>
      </c>
      <c r="W616" s="233">
        <v>756000</v>
      </c>
      <c r="X616" s="233">
        <v>0</v>
      </c>
      <c r="Y616" s="233">
        <v>756000</v>
      </c>
      <c r="Z616" s="233">
        <v>756000</v>
      </c>
      <c r="AA616" s="233">
        <v>756000</v>
      </c>
      <c r="AB616" s="233">
        <v>756000</v>
      </c>
    </row>
    <row r="617" spans="1:28" ht="15" customHeight="1" x14ac:dyDescent="0.25">
      <c r="A617" s="230" t="s">
        <v>10820</v>
      </c>
      <c r="B617" s="231" t="s">
        <v>10821</v>
      </c>
      <c r="C617" s="232" t="s">
        <v>313</v>
      </c>
      <c r="D617" s="230" t="s">
        <v>264</v>
      </c>
      <c r="E617" s="230" t="s">
        <v>265</v>
      </c>
      <c r="F617" s="230" t="s">
        <v>265</v>
      </c>
      <c r="G617" s="230" t="s">
        <v>265</v>
      </c>
      <c r="H617" s="230" t="s">
        <v>281</v>
      </c>
      <c r="I617" s="230" t="s">
        <v>281</v>
      </c>
      <c r="J617" s="230"/>
      <c r="K617" s="230"/>
      <c r="L617" s="230"/>
      <c r="M617" s="230" t="s">
        <v>266</v>
      </c>
      <c r="N617" s="230" t="s">
        <v>280</v>
      </c>
      <c r="O617" s="230" t="s">
        <v>267</v>
      </c>
      <c r="P617" s="231" t="s">
        <v>314</v>
      </c>
      <c r="Q617" s="231"/>
      <c r="R617" s="233">
        <v>937000000</v>
      </c>
      <c r="S617" s="233">
        <v>0</v>
      </c>
      <c r="T617" s="233">
        <v>0</v>
      </c>
      <c r="U617" s="233">
        <v>937000000</v>
      </c>
      <c r="V617" s="233">
        <v>0</v>
      </c>
      <c r="W617" s="233">
        <v>775638806</v>
      </c>
      <c r="X617" s="233">
        <v>161361194</v>
      </c>
      <c r="Y617" s="233">
        <v>775638806</v>
      </c>
      <c r="Z617" s="233">
        <v>775638806</v>
      </c>
      <c r="AA617" s="233">
        <v>775638806</v>
      </c>
      <c r="AB617" s="233">
        <v>775638806</v>
      </c>
    </row>
    <row r="618" spans="1:28" ht="15" customHeight="1" x14ac:dyDescent="0.25">
      <c r="A618" s="230" t="s">
        <v>10820</v>
      </c>
      <c r="B618" s="231" t="s">
        <v>10821</v>
      </c>
      <c r="C618" s="232" t="s">
        <v>318</v>
      </c>
      <c r="D618" s="230" t="s">
        <v>264</v>
      </c>
      <c r="E618" s="230" t="s">
        <v>265</v>
      </c>
      <c r="F618" s="230" t="s">
        <v>265</v>
      </c>
      <c r="G618" s="230" t="s">
        <v>265</v>
      </c>
      <c r="H618" s="230" t="s">
        <v>281</v>
      </c>
      <c r="I618" s="230" t="s">
        <v>319</v>
      </c>
      <c r="J618" s="230"/>
      <c r="K618" s="230"/>
      <c r="L618" s="230"/>
      <c r="M618" s="230" t="s">
        <v>266</v>
      </c>
      <c r="N618" s="230" t="s">
        <v>280</v>
      </c>
      <c r="O618" s="230" t="s">
        <v>267</v>
      </c>
      <c r="P618" s="231" t="s">
        <v>320</v>
      </c>
      <c r="Q618" s="231"/>
      <c r="R618" s="233">
        <v>24900000</v>
      </c>
      <c r="S618" s="233">
        <v>0</v>
      </c>
      <c r="T618" s="233">
        <v>0</v>
      </c>
      <c r="U618" s="233">
        <v>24900000</v>
      </c>
      <c r="V618" s="233">
        <v>0</v>
      </c>
      <c r="W618" s="233">
        <v>18266552</v>
      </c>
      <c r="X618" s="233">
        <v>6633448</v>
      </c>
      <c r="Y618" s="233">
        <v>18266552</v>
      </c>
      <c r="Z618" s="233">
        <v>18266552</v>
      </c>
      <c r="AA618" s="233">
        <v>18266552</v>
      </c>
      <c r="AB618" s="233">
        <v>18266552</v>
      </c>
    </row>
    <row r="619" spans="1:28" ht="15" customHeight="1" x14ac:dyDescent="0.25">
      <c r="A619" s="230" t="s">
        <v>10820</v>
      </c>
      <c r="B619" s="231" t="s">
        <v>10821</v>
      </c>
      <c r="C619" s="232" t="s">
        <v>321</v>
      </c>
      <c r="D619" s="230" t="s">
        <v>264</v>
      </c>
      <c r="E619" s="230" t="s">
        <v>265</v>
      </c>
      <c r="F619" s="230" t="s">
        <v>265</v>
      </c>
      <c r="G619" s="230" t="s">
        <v>265</v>
      </c>
      <c r="H619" s="230" t="s">
        <v>281</v>
      </c>
      <c r="I619" s="230" t="s">
        <v>322</v>
      </c>
      <c r="J619" s="230"/>
      <c r="K619" s="230"/>
      <c r="L619" s="230"/>
      <c r="M619" s="230" t="s">
        <v>266</v>
      </c>
      <c r="N619" s="230" t="s">
        <v>280</v>
      </c>
      <c r="O619" s="230" t="s">
        <v>267</v>
      </c>
      <c r="P619" s="231" t="s">
        <v>323</v>
      </c>
      <c r="Q619" s="231"/>
      <c r="R619" s="233">
        <v>18000000</v>
      </c>
      <c r="S619" s="233">
        <v>6700000</v>
      </c>
      <c r="T619" s="233">
        <v>18000000</v>
      </c>
      <c r="U619" s="233">
        <v>6700000</v>
      </c>
      <c r="V619" s="233">
        <v>0</v>
      </c>
      <c r="W619" s="233">
        <v>4176548</v>
      </c>
      <c r="X619" s="233">
        <v>2523452</v>
      </c>
      <c r="Y619" s="233">
        <v>4176548</v>
      </c>
      <c r="Z619" s="233">
        <v>4176548</v>
      </c>
      <c r="AA619" s="233">
        <v>4176548</v>
      </c>
      <c r="AB619" s="233">
        <v>4176548</v>
      </c>
    </row>
    <row r="620" spans="1:28" ht="15" customHeight="1" x14ac:dyDescent="0.25">
      <c r="A620" s="230" t="s">
        <v>10820</v>
      </c>
      <c r="B620" s="231" t="s">
        <v>10821</v>
      </c>
      <c r="C620" s="232" t="s">
        <v>324</v>
      </c>
      <c r="D620" s="230" t="s">
        <v>264</v>
      </c>
      <c r="E620" s="230" t="s">
        <v>265</v>
      </c>
      <c r="F620" s="230" t="s">
        <v>265</v>
      </c>
      <c r="G620" s="230" t="s">
        <v>265</v>
      </c>
      <c r="H620" s="230" t="s">
        <v>281</v>
      </c>
      <c r="I620" s="230" t="s">
        <v>325</v>
      </c>
      <c r="J620" s="230"/>
      <c r="K620" s="230"/>
      <c r="L620" s="230"/>
      <c r="M620" s="230" t="s">
        <v>266</v>
      </c>
      <c r="N620" s="230" t="s">
        <v>280</v>
      </c>
      <c r="O620" s="230" t="s">
        <v>267</v>
      </c>
      <c r="P620" s="231" t="s">
        <v>326</v>
      </c>
      <c r="Q620" s="231"/>
      <c r="R620" s="233">
        <v>94000000</v>
      </c>
      <c r="S620" s="233">
        <v>5670000</v>
      </c>
      <c r="T620" s="233">
        <v>7124401</v>
      </c>
      <c r="U620" s="233">
        <v>92545599</v>
      </c>
      <c r="V620" s="233">
        <v>0</v>
      </c>
      <c r="W620" s="233">
        <v>92541193</v>
      </c>
      <c r="X620" s="233">
        <v>4406</v>
      </c>
      <c r="Y620" s="233">
        <v>92541193</v>
      </c>
      <c r="Z620" s="233">
        <v>92541193</v>
      </c>
      <c r="AA620" s="233">
        <v>92541193</v>
      </c>
      <c r="AB620" s="233">
        <v>92541193</v>
      </c>
    </row>
    <row r="621" spans="1:28" ht="15" customHeight="1" x14ac:dyDescent="0.25">
      <c r="A621" s="230" t="s">
        <v>10820</v>
      </c>
      <c r="B621" s="231" t="s">
        <v>10821</v>
      </c>
      <c r="C621" s="232" t="s">
        <v>327</v>
      </c>
      <c r="D621" s="230" t="s">
        <v>264</v>
      </c>
      <c r="E621" s="230" t="s">
        <v>265</v>
      </c>
      <c r="F621" s="230" t="s">
        <v>265</v>
      </c>
      <c r="G621" s="230" t="s">
        <v>265</v>
      </c>
      <c r="H621" s="230" t="s">
        <v>281</v>
      </c>
      <c r="I621" s="230" t="s">
        <v>328</v>
      </c>
      <c r="J621" s="230"/>
      <c r="K621" s="230"/>
      <c r="L621" s="230"/>
      <c r="M621" s="230" t="s">
        <v>266</v>
      </c>
      <c r="N621" s="230" t="s">
        <v>280</v>
      </c>
      <c r="O621" s="230" t="s">
        <v>267</v>
      </c>
      <c r="P621" s="231" t="s">
        <v>329</v>
      </c>
      <c r="Q621" s="231"/>
      <c r="R621" s="233">
        <v>37000000</v>
      </c>
      <c r="S621" s="233">
        <v>6000000</v>
      </c>
      <c r="T621" s="233">
        <v>0</v>
      </c>
      <c r="U621" s="233">
        <v>43000000</v>
      </c>
      <c r="V621" s="233">
        <v>0</v>
      </c>
      <c r="W621" s="233">
        <v>34848508</v>
      </c>
      <c r="X621" s="233">
        <v>8151492</v>
      </c>
      <c r="Y621" s="233">
        <v>34848508</v>
      </c>
      <c r="Z621" s="233">
        <v>34846752</v>
      </c>
      <c r="AA621" s="233">
        <v>34846752</v>
      </c>
      <c r="AB621" s="233">
        <v>34846752</v>
      </c>
    </row>
    <row r="622" spans="1:28" ht="15" customHeight="1" x14ac:dyDescent="0.25">
      <c r="A622" s="230" t="s">
        <v>10820</v>
      </c>
      <c r="B622" s="231" t="s">
        <v>10821</v>
      </c>
      <c r="C622" s="232" t="s">
        <v>407</v>
      </c>
      <c r="D622" s="230" t="s">
        <v>264</v>
      </c>
      <c r="E622" s="230" t="s">
        <v>265</v>
      </c>
      <c r="F622" s="230" t="s">
        <v>265</v>
      </c>
      <c r="G622" s="230" t="s">
        <v>265</v>
      </c>
      <c r="H622" s="230" t="s">
        <v>281</v>
      </c>
      <c r="I622" s="230" t="s">
        <v>351</v>
      </c>
      <c r="J622" s="230"/>
      <c r="K622" s="230"/>
      <c r="L622" s="230"/>
      <c r="M622" s="230" t="s">
        <v>266</v>
      </c>
      <c r="N622" s="230" t="s">
        <v>280</v>
      </c>
      <c r="O622" s="230" t="s">
        <v>267</v>
      </c>
      <c r="P622" s="231" t="s">
        <v>408</v>
      </c>
      <c r="Q622" s="231"/>
      <c r="R622" s="233">
        <v>0</v>
      </c>
      <c r="S622" s="233">
        <v>558368</v>
      </c>
      <c r="T622" s="233">
        <v>0</v>
      </c>
      <c r="U622" s="233">
        <v>558368</v>
      </c>
      <c r="V622" s="233">
        <v>0</v>
      </c>
      <c r="W622" s="233">
        <v>58353</v>
      </c>
      <c r="X622" s="233">
        <v>500015</v>
      </c>
      <c r="Y622" s="233">
        <v>58353</v>
      </c>
      <c r="Z622" s="233">
        <v>58353</v>
      </c>
      <c r="AA622" s="233">
        <v>58353</v>
      </c>
      <c r="AB622" s="233">
        <v>58353</v>
      </c>
    </row>
    <row r="623" spans="1:28" ht="15" customHeight="1" x14ac:dyDescent="0.25">
      <c r="A623" s="230" t="s">
        <v>10820</v>
      </c>
      <c r="B623" s="231" t="s">
        <v>10821</v>
      </c>
      <c r="C623" s="232" t="s">
        <v>330</v>
      </c>
      <c r="D623" s="230" t="s">
        <v>264</v>
      </c>
      <c r="E623" s="230" t="s">
        <v>265</v>
      </c>
      <c r="F623" s="230" t="s">
        <v>265</v>
      </c>
      <c r="G623" s="230" t="s">
        <v>265</v>
      </c>
      <c r="H623" s="230" t="s">
        <v>281</v>
      </c>
      <c r="I623" s="230" t="s">
        <v>331</v>
      </c>
      <c r="J623" s="230"/>
      <c r="K623" s="230"/>
      <c r="L623" s="230"/>
      <c r="M623" s="230" t="s">
        <v>266</v>
      </c>
      <c r="N623" s="230" t="s">
        <v>280</v>
      </c>
      <c r="O623" s="230" t="s">
        <v>267</v>
      </c>
      <c r="P623" s="231" t="s">
        <v>332</v>
      </c>
      <c r="Q623" s="231"/>
      <c r="R623" s="233">
        <v>120000000</v>
      </c>
      <c r="S623" s="233">
        <v>0</v>
      </c>
      <c r="T623" s="233">
        <v>0</v>
      </c>
      <c r="U623" s="233">
        <v>120000000</v>
      </c>
      <c r="V623" s="233">
        <v>0</v>
      </c>
      <c r="W623" s="233">
        <v>94995454</v>
      </c>
      <c r="X623" s="233">
        <v>25004546</v>
      </c>
      <c r="Y623" s="233">
        <v>94995454</v>
      </c>
      <c r="Z623" s="233">
        <v>94995454</v>
      </c>
      <c r="AA623" s="233">
        <v>94995454</v>
      </c>
      <c r="AB623" s="233">
        <v>94995454</v>
      </c>
    </row>
    <row r="624" spans="1:28" ht="15" customHeight="1" x14ac:dyDescent="0.25">
      <c r="A624" s="230" t="s">
        <v>10820</v>
      </c>
      <c r="B624" s="231" t="s">
        <v>10821</v>
      </c>
      <c r="C624" s="232" t="s">
        <v>333</v>
      </c>
      <c r="D624" s="230" t="s">
        <v>264</v>
      </c>
      <c r="E624" s="230" t="s">
        <v>265</v>
      </c>
      <c r="F624" s="230" t="s">
        <v>265</v>
      </c>
      <c r="G624" s="230" t="s">
        <v>265</v>
      </c>
      <c r="H624" s="230" t="s">
        <v>281</v>
      </c>
      <c r="I624" s="230" t="s">
        <v>334</v>
      </c>
      <c r="J624" s="230"/>
      <c r="K624" s="230"/>
      <c r="L624" s="230"/>
      <c r="M624" s="230" t="s">
        <v>266</v>
      </c>
      <c r="N624" s="230" t="s">
        <v>280</v>
      </c>
      <c r="O624" s="230" t="s">
        <v>267</v>
      </c>
      <c r="P624" s="231" t="s">
        <v>335</v>
      </c>
      <c r="Q624" s="231"/>
      <c r="R624" s="233">
        <v>72000000</v>
      </c>
      <c r="S624" s="233">
        <v>2500000</v>
      </c>
      <c r="T624" s="233">
        <v>0</v>
      </c>
      <c r="U624" s="233">
        <v>74500000</v>
      </c>
      <c r="V624" s="233">
        <v>0</v>
      </c>
      <c r="W624" s="233">
        <v>58153659</v>
      </c>
      <c r="X624" s="233">
        <v>16346341</v>
      </c>
      <c r="Y624" s="233">
        <v>58153659</v>
      </c>
      <c r="Z624" s="233">
        <v>58149883</v>
      </c>
      <c r="AA624" s="233">
        <v>58149883</v>
      </c>
      <c r="AB624" s="233">
        <v>58149883</v>
      </c>
    </row>
    <row r="625" spans="1:28" ht="15" customHeight="1" x14ac:dyDescent="0.25">
      <c r="A625" s="230" t="s">
        <v>10820</v>
      </c>
      <c r="B625" s="231" t="s">
        <v>10821</v>
      </c>
      <c r="C625" s="232" t="s">
        <v>336</v>
      </c>
      <c r="D625" s="230" t="s">
        <v>264</v>
      </c>
      <c r="E625" s="230" t="s">
        <v>265</v>
      </c>
      <c r="F625" s="230" t="s">
        <v>265</v>
      </c>
      <c r="G625" s="230" t="s">
        <v>265</v>
      </c>
      <c r="H625" s="230" t="s">
        <v>281</v>
      </c>
      <c r="I625" s="230" t="s">
        <v>278</v>
      </c>
      <c r="J625" s="230"/>
      <c r="K625" s="230"/>
      <c r="L625" s="230"/>
      <c r="M625" s="230" t="s">
        <v>266</v>
      </c>
      <c r="N625" s="230" t="s">
        <v>280</v>
      </c>
      <c r="O625" s="230" t="s">
        <v>267</v>
      </c>
      <c r="P625" s="231" t="s">
        <v>337</v>
      </c>
      <c r="Q625" s="231"/>
      <c r="R625" s="233">
        <v>19000000</v>
      </c>
      <c r="S625" s="233">
        <v>5000000</v>
      </c>
      <c r="T625" s="233">
        <v>910125</v>
      </c>
      <c r="U625" s="233">
        <v>23089875</v>
      </c>
      <c r="V625" s="233">
        <v>0</v>
      </c>
      <c r="W625" s="233">
        <v>23089875</v>
      </c>
      <c r="X625" s="233">
        <v>0</v>
      </c>
      <c r="Y625" s="233">
        <v>23089875</v>
      </c>
      <c r="Z625" s="233">
        <v>23089875</v>
      </c>
      <c r="AA625" s="233">
        <v>23089875</v>
      </c>
      <c r="AB625" s="233">
        <v>23089875</v>
      </c>
    </row>
    <row r="626" spans="1:28" ht="15" customHeight="1" x14ac:dyDescent="0.25">
      <c r="A626" s="230" t="s">
        <v>10820</v>
      </c>
      <c r="B626" s="231" t="s">
        <v>10821</v>
      </c>
      <c r="C626" s="232" t="s">
        <v>338</v>
      </c>
      <c r="D626" s="230" t="s">
        <v>264</v>
      </c>
      <c r="E626" s="230" t="s">
        <v>265</v>
      </c>
      <c r="F626" s="230" t="s">
        <v>265</v>
      </c>
      <c r="G626" s="230" t="s">
        <v>269</v>
      </c>
      <c r="H626" s="230" t="s">
        <v>281</v>
      </c>
      <c r="I626" s="230"/>
      <c r="J626" s="230"/>
      <c r="K626" s="230"/>
      <c r="L626" s="230"/>
      <c r="M626" s="230" t="s">
        <v>266</v>
      </c>
      <c r="N626" s="230" t="s">
        <v>280</v>
      </c>
      <c r="O626" s="230" t="s">
        <v>267</v>
      </c>
      <c r="P626" s="231" t="s">
        <v>339</v>
      </c>
      <c r="Q626" s="231"/>
      <c r="R626" s="233">
        <v>127000000</v>
      </c>
      <c r="S626" s="233">
        <v>2000000</v>
      </c>
      <c r="T626" s="233">
        <v>0</v>
      </c>
      <c r="U626" s="233">
        <v>129000000</v>
      </c>
      <c r="V626" s="233">
        <v>0</v>
      </c>
      <c r="W626" s="233">
        <v>106372300</v>
      </c>
      <c r="X626" s="233">
        <v>22627700</v>
      </c>
      <c r="Y626" s="233">
        <v>106372300</v>
      </c>
      <c r="Z626" s="233">
        <v>106372300</v>
      </c>
      <c r="AA626" s="233">
        <v>106372300</v>
      </c>
      <c r="AB626" s="233">
        <v>106372300</v>
      </c>
    </row>
    <row r="627" spans="1:28" ht="15" customHeight="1" x14ac:dyDescent="0.25">
      <c r="A627" s="230" t="s">
        <v>10820</v>
      </c>
      <c r="B627" s="231" t="s">
        <v>10821</v>
      </c>
      <c r="C627" s="232" t="s">
        <v>340</v>
      </c>
      <c r="D627" s="230" t="s">
        <v>264</v>
      </c>
      <c r="E627" s="230" t="s">
        <v>265</v>
      </c>
      <c r="F627" s="230" t="s">
        <v>265</v>
      </c>
      <c r="G627" s="230" t="s">
        <v>269</v>
      </c>
      <c r="H627" s="230" t="s">
        <v>283</v>
      </c>
      <c r="I627" s="230"/>
      <c r="J627" s="230"/>
      <c r="K627" s="230"/>
      <c r="L627" s="230"/>
      <c r="M627" s="230" t="s">
        <v>266</v>
      </c>
      <c r="N627" s="230" t="s">
        <v>280</v>
      </c>
      <c r="O627" s="230" t="s">
        <v>267</v>
      </c>
      <c r="P627" s="231" t="s">
        <v>341</v>
      </c>
      <c r="Q627" s="231"/>
      <c r="R627" s="233">
        <v>88000000</v>
      </c>
      <c r="S627" s="233">
        <v>0</v>
      </c>
      <c r="T627" s="233">
        <v>0</v>
      </c>
      <c r="U627" s="233">
        <v>88000000</v>
      </c>
      <c r="V627" s="233">
        <v>0</v>
      </c>
      <c r="W627" s="233">
        <v>75348200</v>
      </c>
      <c r="X627" s="233">
        <v>12651800</v>
      </c>
      <c r="Y627" s="233">
        <v>75348200</v>
      </c>
      <c r="Z627" s="233">
        <v>75348200</v>
      </c>
      <c r="AA627" s="233">
        <v>75348200</v>
      </c>
      <c r="AB627" s="233">
        <v>75348200</v>
      </c>
    </row>
    <row r="628" spans="1:28" ht="15" customHeight="1" x14ac:dyDescent="0.25">
      <c r="A628" s="230" t="s">
        <v>10820</v>
      </c>
      <c r="B628" s="231" t="s">
        <v>10821</v>
      </c>
      <c r="C628" s="232" t="s">
        <v>342</v>
      </c>
      <c r="D628" s="230" t="s">
        <v>264</v>
      </c>
      <c r="E628" s="230" t="s">
        <v>265</v>
      </c>
      <c r="F628" s="230" t="s">
        <v>265</v>
      </c>
      <c r="G628" s="230" t="s">
        <v>269</v>
      </c>
      <c r="H628" s="230" t="s">
        <v>319</v>
      </c>
      <c r="I628" s="230"/>
      <c r="J628" s="230"/>
      <c r="K628" s="230"/>
      <c r="L628" s="230"/>
      <c r="M628" s="230" t="s">
        <v>266</v>
      </c>
      <c r="N628" s="230" t="s">
        <v>280</v>
      </c>
      <c r="O628" s="230" t="s">
        <v>267</v>
      </c>
      <c r="P628" s="231" t="s">
        <v>343</v>
      </c>
      <c r="Q628" s="231"/>
      <c r="R628" s="233">
        <v>55000000</v>
      </c>
      <c r="S628" s="233">
        <v>400000</v>
      </c>
      <c r="T628" s="233">
        <v>0</v>
      </c>
      <c r="U628" s="233">
        <v>55400000</v>
      </c>
      <c r="V628" s="233">
        <v>0</v>
      </c>
      <c r="W628" s="233">
        <v>46138600</v>
      </c>
      <c r="X628" s="233">
        <v>9261400</v>
      </c>
      <c r="Y628" s="233">
        <v>46138600</v>
      </c>
      <c r="Z628" s="233">
        <v>46138600</v>
      </c>
      <c r="AA628" s="233">
        <v>46138600</v>
      </c>
      <c r="AB628" s="233">
        <v>46138600</v>
      </c>
    </row>
    <row r="629" spans="1:28" ht="15" customHeight="1" x14ac:dyDescent="0.25">
      <c r="A629" s="230" t="s">
        <v>10820</v>
      </c>
      <c r="B629" s="231" t="s">
        <v>10821</v>
      </c>
      <c r="C629" s="232" t="s">
        <v>344</v>
      </c>
      <c r="D629" s="230" t="s">
        <v>264</v>
      </c>
      <c r="E629" s="230" t="s">
        <v>265</v>
      </c>
      <c r="F629" s="230" t="s">
        <v>265</v>
      </c>
      <c r="G629" s="230" t="s">
        <v>269</v>
      </c>
      <c r="H629" s="230" t="s">
        <v>322</v>
      </c>
      <c r="I629" s="230"/>
      <c r="J629" s="230"/>
      <c r="K629" s="230"/>
      <c r="L629" s="230"/>
      <c r="M629" s="230" t="s">
        <v>266</v>
      </c>
      <c r="N629" s="230" t="s">
        <v>280</v>
      </c>
      <c r="O629" s="230" t="s">
        <v>267</v>
      </c>
      <c r="P629" s="231" t="s">
        <v>345</v>
      </c>
      <c r="Q629" s="231"/>
      <c r="R629" s="233">
        <v>16000000</v>
      </c>
      <c r="S629" s="233">
        <v>0</v>
      </c>
      <c r="T629" s="233">
        <v>0</v>
      </c>
      <c r="U629" s="233">
        <v>16000000</v>
      </c>
      <c r="V629" s="233">
        <v>0</v>
      </c>
      <c r="W629" s="233">
        <v>12771800</v>
      </c>
      <c r="X629" s="233">
        <v>3228200</v>
      </c>
      <c r="Y629" s="233">
        <v>12771800</v>
      </c>
      <c r="Z629" s="233">
        <v>12771800</v>
      </c>
      <c r="AA629" s="233">
        <v>12771800</v>
      </c>
      <c r="AB629" s="233">
        <v>12771800</v>
      </c>
    </row>
    <row r="630" spans="1:28" ht="15" customHeight="1" x14ac:dyDescent="0.25">
      <c r="A630" s="230" t="s">
        <v>10820</v>
      </c>
      <c r="B630" s="231" t="s">
        <v>10821</v>
      </c>
      <c r="C630" s="232" t="s">
        <v>346</v>
      </c>
      <c r="D630" s="230" t="s">
        <v>264</v>
      </c>
      <c r="E630" s="230" t="s">
        <v>265</v>
      </c>
      <c r="F630" s="230" t="s">
        <v>265</v>
      </c>
      <c r="G630" s="230" t="s">
        <v>269</v>
      </c>
      <c r="H630" s="230" t="s">
        <v>325</v>
      </c>
      <c r="I630" s="230"/>
      <c r="J630" s="230"/>
      <c r="K630" s="230"/>
      <c r="L630" s="230"/>
      <c r="M630" s="230" t="s">
        <v>266</v>
      </c>
      <c r="N630" s="230" t="s">
        <v>280</v>
      </c>
      <c r="O630" s="230" t="s">
        <v>267</v>
      </c>
      <c r="P630" s="231" t="s">
        <v>347</v>
      </c>
      <c r="Q630" s="231"/>
      <c r="R630" s="233">
        <v>42000000</v>
      </c>
      <c r="S630" s="233">
        <v>0</v>
      </c>
      <c r="T630" s="233">
        <v>0</v>
      </c>
      <c r="U630" s="233">
        <v>42000000</v>
      </c>
      <c r="V630" s="233">
        <v>0</v>
      </c>
      <c r="W630" s="233">
        <v>34613400</v>
      </c>
      <c r="X630" s="233">
        <v>7386600</v>
      </c>
      <c r="Y630" s="233">
        <v>34613400</v>
      </c>
      <c r="Z630" s="233">
        <v>34613400</v>
      </c>
      <c r="AA630" s="233">
        <v>34613400</v>
      </c>
      <c r="AB630" s="233">
        <v>34613400</v>
      </c>
    </row>
    <row r="631" spans="1:28" ht="15" customHeight="1" x14ac:dyDescent="0.25">
      <c r="A631" s="230" t="s">
        <v>10820</v>
      </c>
      <c r="B631" s="231" t="s">
        <v>10821</v>
      </c>
      <c r="C631" s="232" t="s">
        <v>348</v>
      </c>
      <c r="D631" s="230" t="s">
        <v>264</v>
      </c>
      <c r="E631" s="230" t="s">
        <v>265</v>
      </c>
      <c r="F631" s="230" t="s">
        <v>265</v>
      </c>
      <c r="G631" s="230" t="s">
        <v>269</v>
      </c>
      <c r="H631" s="230" t="s">
        <v>328</v>
      </c>
      <c r="I631" s="230"/>
      <c r="J631" s="230"/>
      <c r="K631" s="230"/>
      <c r="L631" s="230"/>
      <c r="M631" s="230" t="s">
        <v>266</v>
      </c>
      <c r="N631" s="230" t="s">
        <v>280</v>
      </c>
      <c r="O631" s="230" t="s">
        <v>267</v>
      </c>
      <c r="P631" s="231" t="s">
        <v>349</v>
      </c>
      <c r="Q631" s="231"/>
      <c r="R631" s="233">
        <v>6000000</v>
      </c>
      <c r="S631" s="233">
        <v>21800000</v>
      </c>
      <c r="T631" s="233">
        <v>0</v>
      </c>
      <c r="U631" s="233">
        <v>27800000</v>
      </c>
      <c r="V631" s="233">
        <v>0</v>
      </c>
      <c r="W631" s="233">
        <v>23082800</v>
      </c>
      <c r="X631" s="233">
        <v>4717200</v>
      </c>
      <c r="Y631" s="233">
        <v>23082800</v>
      </c>
      <c r="Z631" s="233">
        <v>23082800</v>
      </c>
      <c r="AA631" s="233">
        <v>23082800</v>
      </c>
      <c r="AB631" s="233">
        <v>23082800</v>
      </c>
    </row>
    <row r="632" spans="1:28" ht="15" customHeight="1" x14ac:dyDescent="0.25">
      <c r="A632" s="230" t="s">
        <v>10820</v>
      </c>
      <c r="B632" s="231" t="s">
        <v>10821</v>
      </c>
      <c r="C632" s="232" t="s">
        <v>350</v>
      </c>
      <c r="D632" s="230" t="s">
        <v>264</v>
      </c>
      <c r="E632" s="230" t="s">
        <v>265</v>
      </c>
      <c r="F632" s="230" t="s">
        <v>265</v>
      </c>
      <c r="G632" s="230" t="s">
        <v>269</v>
      </c>
      <c r="H632" s="230" t="s">
        <v>351</v>
      </c>
      <c r="I632" s="230"/>
      <c r="J632" s="230"/>
      <c r="K632" s="230"/>
      <c r="L632" s="230"/>
      <c r="M632" s="230" t="s">
        <v>266</v>
      </c>
      <c r="N632" s="230" t="s">
        <v>280</v>
      </c>
      <c r="O632" s="230" t="s">
        <v>267</v>
      </c>
      <c r="P632" s="231" t="s">
        <v>352</v>
      </c>
      <c r="Q632" s="231"/>
      <c r="R632" s="233">
        <v>6000000</v>
      </c>
      <c r="S632" s="233">
        <v>0</v>
      </c>
      <c r="T632" s="233">
        <v>6000000</v>
      </c>
      <c r="U632" s="233">
        <v>0</v>
      </c>
      <c r="V632" s="233">
        <v>0</v>
      </c>
      <c r="W632" s="233">
        <v>0</v>
      </c>
      <c r="X632" s="233">
        <v>0</v>
      </c>
      <c r="Y632" s="233">
        <v>0</v>
      </c>
      <c r="Z632" s="233">
        <v>0</v>
      </c>
      <c r="AA632" s="233">
        <v>0</v>
      </c>
      <c r="AB632" s="233">
        <v>0</v>
      </c>
    </row>
    <row r="633" spans="1:28" ht="15" customHeight="1" x14ac:dyDescent="0.25">
      <c r="A633" s="230" t="s">
        <v>10820</v>
      </c>
      <c r="B633" s="231" t="s">
        <v>10821</v>
      </c>
      <c r="C633" s="232" t="s">
        <v>353</v>
      </c>
      <c r="D633" s="230" t="s">
        <v>264</v>
      </c>
      <c r="E633" s="230" t="s">
        <v>265</v>
      </c>
      <c r="F633" s="230" t="s">
        <v>265</v>
      </c>
      <c r="G633" s="230" t="s">
        <v>269</v>
      </c>
      <c r="H633" s="230" t="s">
        <v>331</v>
      </c>
      <c r="I633" s="230"/>
      <c r="J633" s="230"/>
      <c r="K633" s="230"/>
      <c r="L633" s="230"/>
      <c r="M633" s="230" t="s">
        <v>266</v>
      </c>
      <c r="N633" s="230" t="s">
        <v>280</v>
      </c>
      <c r="O633" s="230" t="s">
        <v>267</v>
      </c>
      <c r="P633" s="231" t="s">
        <v>354</v>
      </c>
      <c r="Q633" s="231"/>
      <c r="R633" s="233">
        <v>12000000</v>
      </c>
      <c r="S633" s="233">
        <v>0</v>
      </c>
      <c r="T633" s="233">
        <v>12000000</v>
      </c>
      <c r="U633" s="233">
        <v>0</v>
      </c>
      <c r="V633" s="233">
        <v>0</v>
      </c>
      <c r="W633" s="233">
        <v>0</v>
      </c>
      <c r="X633" s="233">
        <v>0</v>
      </c>
      <c r="Y633" s="233">
        <v>0</v>
      </c>
      <c r="Z633" s="233">
        <v>0</v>
      </c>
      <c r="AA633" s="233">
        <v>0</v>
      </c>
      <c r="AB633" s="233">
        <v>0</v>
      </c>
    </row>
    <row r="634" spans="1:28" ht="15" customHeight="1" x14ac:dyDescent="0.25">
      <c r="A634" s="230" t="s">
        <v>10820</v>
      </c>
      <c r="B634" s="231" t="s">
        <v>10821</v>
      </c>
      <c r="C634" s="232" t="s">
        <v>355</v>
      </c>
      <c r="D634" s="230" t="s">
        <v>264</v>
      </c>
      <c r="E634" s="230" t="s">
        <v>265</v>
      </c>
      <c r="F634" s="230" t="s">
        <v>265</v>
      </c>
      <c r="G634" s="230" t="s">
        <v>271</v>
      </c>
      <c r="H634" s="230" t="s">
        <v>281</v>
      </c>
      <c r="I634" s="230" t="s">
        <v>281</v>
      </c>
      <c r="J634" s="230"/>
      <c r="K634" s="230"/>
      <c r="L634" s="230"/>
      <c r="M634" s="230" t="s">
        <v>266</v>
      </c>
      <c r="N634" s="230" t="s">
        <v>280</v>
      </c>
      <c r="O634" s="230" t="s">
        <v>267</v>
      </c>
      <c r="P634" s="231" t="s">
        <v>356</v>
      </c>
      <c r="Q634" s="231"/>
      <c r="R634" s="233">
        <v>71000000</v>
      </c>
      <c r="S634" s="233">
        <v>0</v>
      </c>
      <c r="T634" s="233">
        <v>0</v>
      </c>
      <c r="U634" s="233">
        <v>71000000</v>
      </c>
      <c r="V634" s="233">
        <v>0</v>
      </c>
      <c r="W634" s="233">
        <v>48584717</v>
      </c>
      <c r="X634" s="233">
        <v>22415283</v>
      </c>
      <c r="Y634" s="233">
        <v>48584717</v>
      </c>
      <c r="Z634" s="233">
        <v>48584717</v>
      </c>
      <c r="AA634" s="233">
        <v>48584717</v>
      </c>
      <c r="AB634" s="233">
        <v>48584717</v>
      </c>
    </row>
    <row r="635" spans="1:28" ht="15" customHeight="1" x14ac:dyDescent="0.25">
      <c r="A635" s="230" t="s">
        <v>10820</v>
      </c>
      <c r="B635" s="231" t="s">
        <v>10821</v>
      </c>
      <c r="C635" s="232" t="s">
        <v>357</v>
      </c>
      <c r="D635" s="230" t="s">
        <v>264</v>
      </c>
      <c r="E635" s="230" t="s">
        <v>265</v>
      </c>
      <c r="F635" s="230" t="s">
        <v>265</v>
      </c>
      <c r="G635" s="230" t="s">
        <v>271</v>
      </c>
      <c r="H635" s="230" t="s">
        <v>281</v>
      </c>
      <c r="I635" s="230" t="s">
        <v>283</v>
      </c>
      <c r="J635" s="230"/>
      <c r="K635" s="230"/>
      <c r="L635" s="230"/>
      <c r="M635" s="230" t="s">
        <v>266</v>
      </c>
      <c r="N635" s="230" t="s">
        <v>280</v>
      </c>
      <c r="O635" s="230" t="s">
        <v>267</v>
      </c>
      <c r="P635" s="231" t="s">
        <v>358</v>
      </c>
      <c r="Q635" s="231"/>
      <c r="R635" s="233">
        <v>0</v>
      </c>
      <c r="S635" s="233">
        <v>14650000</v>
      </c>
      <c r="T635" s="233">
        <v>0</v>
      </c>
      <c r="U635" s="233">
        <v>14650000</v>
      </c>
      <c r="V635" s="233">
        <v>0</v>
      </c>
      <c r="W635" s="233">
        <v>11505572</v>
      </c>
      <c r="X635" s="233">
        <v>3144428</v>
      </c>
      <c r="Y635" s="233">
        <v>11505572</v>
      </c>
      <c r="Z635" s="233">
        <v>11505572</v>
      </c>
      <c r="AA635" s="233">
        <v>11505572</v>
      </c>
      <c r="AB635" s="233">
        <v>11505572</v>
      </c>
    </row>
    <row r="636" spans="1:28" ht="15" customHeight="1" x14ac:dyDescent="0.25">
      <c r="A636" s="230" t="s">
        <v>10820</v>
      </c>
      <c r="B636" s="231" t="s">
        <v>10821</v>
      </c>
      <c r="C636" s="232" t="s">
        <v>359</v>
      </c>
      <c r="D636" s="230" t="s">
        <v>264</v>
      </c>
      <c r="E636" s="230" t="s">
        <v>265</v>
      </c>
      <c r="F636" s="230" t="s">
        <v>265</v>
      </c>
      <c r="G636" s="230" t="s">
        <v>271</v>
      </c>
      <c r="H636" s="230" t="s">
        <v>281</v>
      </c>
      <c r="I636" s="230" t="s">
        <v>316</v>
      </c>
      <c r="J636" s="230"/>
      <c r="K636" s="230"/>
      <c r="L636" s="230"/>
      <c r="M636" s="230" t="s">
        <v>266</v>
      </c>
      <c r="N636" s="230" t="s">
        <v>280</v>
      </c>
      <c r="O636" s="230" t="s">
        <v>267</v>
      </c>
      <c r="P636" s="231" t="s">
        <v>360</v>
      </c>
      <c r="Q636" s="231"/>
      <c r="R636" s="233">
        <v>6000000</v>
      </c>
      <c r="S636" s="233">
        <v>0</v>
      </c>
      <c r="T636" s="233">
        <v>0</v>
      </c>
      <c r="U636" s="233">
        <v>6000000</v>
      </c>
      <c r="V636" s="233">
        <v>0</v>
      </c>
      <c r="W636" s="233">
        <v>4795181</v>
      </c>
      <c r="X636" s="233">
        <v>1204819</v>
      </c>
      <c r="Y636" s="233">
        <v>4795181</v>
      </c>
      <c r="Z636" s="233">
        <v>4794760</v>
      </c>
      <c r="AA636" s="233">
        <v>4794760</v>
      </c>
      <c r="AB636" s="233">
        <v>4794760</v>
      </c>
    </row>
    <row r="637" spans="1:28" ht="15" customHeight="1" x14ac:dyDescent="0.25">
      <c r="A637" s="230" t="s">
        <v>10820</v>
      </c>
      <c r="B637" s="231" t="s">
        <v>10821</v>
      </c>
      <c r="C637" s="232" t="s">
        <v>363</v>
      </c>
      <c r="D637" s="230" t="s">
        <v>264</v>
      </c>
      <c r="E637" s="230" t="s">
        <v>269</v>
      </c>
      <c r="F637" s="230" t="s">
        <v>269</v>
      </c>
      <c r="G637" s="230" t="s">
        <v>269</v>
      </c>
      <c r="H637" s="230" t="s">
        <v>325</v>
      </c>
      <c r="I637" s="230" t="s">
        <v>319</v>
      </c>
      <c r="J637" s="230"/>
      <c r="K637" s="230"/>
      <c r="L637" s="230"/>
      <c r="M637" s="230" t="s">
        <v>273</v>
      </c>
      <c r="N637" s="230" t="s">
        <v>34</v>
      </c>
      <c r="O637" s="230" t="s">
        <v>267</v>
      </c>
      <c r="P637" s="231" t="s">
        <v>364</v>
      </c>
      <c r="Q637" s="231"/>
      <c r="R637" s="233">
        <v>0</v>
      </c>
      <c r="S637" s="233">
        <v>2229500</v>
      </c>
      <c r="T637" s="233">
        <v>0</v>
      </c>
      <c r="U637" s="233">
        <v>2229500</v>
      </c>
      <c r="V637" s="233">
        <v>0</v>
      </c>
      <c r="W637" s="233">
        <v>2229500</v>
      </c>
      <c r="X637" s="233">
        <v>0</v>
      </c>
      <c r="Y637" s="233">
        <v>2229500</v>
      </c>
      <c r="Z637" s="233">
        <v>2229500</v>
      </c>
      <c r="AA637" s="233">
        <v>2229500</v>
      </c>
      <c r="AB637" s="233">
        <v>2229500</v>
      </c>
    </row>
    <row r="638" spans="1:28" ht="15" customHeight="1" x14ac:dyDescent="0.25">
      <c r="A638" s="230" t="s">
        <v>10820</v>
      </c>
      <c r="B638" s="231" t="s">
        <v>10821</v>
      </c>
      <c r="C638" s="232" t="s">
        <v>365</v>
      </c>
      <c r="D638" s="230" t="s">
        <v>264</v>
      </c>
      <c r="E638" s="230" t="s">
        <v>269</v>
      </c>
      <c r="F638" s="230" t="s">
        <v>269</v>
      </c>
      <c r="G638" s="230" t="s">
        <v>269</v>
      </c>
      <c r="H638" s="230" t="s">
        <v>325</v>
      </c>
      <c r="I638" s="230" t="s">
        <v>331</v>
      </c>
      <c r="J638" s="230"/>
      <c r="K638" s="230"/>
      <c r="L638" s="230"/>
      <c r="M638" s="230" t="s">
        <v>266</v>
      </c>
      <c r="N638" s="230" t="s">
        <v>280</v>
      </c>
      <c r="O638" s="230" t="s">
        <v>267</v>
      </c>
      <c r="P638" s="231" t="s">
        <v>366</v>
      </c>
      <c r="Q638" s="231"/>
      <c r="R638" s="233">
        <v>30500000</v>
      </c>
      <c r="S638" s="233">
        <v>21000000</v>
      </c>
      <c r="T638" s="233">
        <v>0</v>
      </c>
      <c r="U638" s="233">
        <v>51500000</v>
      </c>
      <c r="V638" s="233">
        <v>0</v>
      </c>
      <c r="W638" s="233">
        <v>51500000</v>
      </c>
      <c r="X638" s="233">
        <v>0</v>
      </c>
      <c r="Y638" s="233">
        <v>47561475</v>
      </c>
      <c r="Z638" s="233">
        <v>47561475</v>
      </c>
      <c r="AA638" s="233">
        <v>47561475</v>
      </c>
      <c r="AB638" s="233">
        <v>47561475</v>
      </c>
    </row>
    <row r="639" spans="1:28" ht="15" customHeight="1" x14ac:dyDescent="0.25">
      <c r="A639" s="230" t="s">
        <v>10820</v>
      </c>
      <c r="B639" s="231" t="s">
        <v>10821</v>
      </c>
      <c r="C639" s="232" t="s">
        <v>409</v>
      </c>
      <c r="D639" s="230" t="s">
        <v>264</v>
      </c>
      <c r="E639" s="230" t="s">
        <v>269</v>
      </c>
      <c r="F639" s="230" t="s">
        <v>269</v>
      </c>
      <c r="G639" s="230" t="s">
        <v>269</v>
      </c>
      <c r="H639" s="230" t="s">
        <v>328</v>
      </c>
      <c r="I639" s="230" t="s">
        <v>281</v>
      </c>
      <c r="J639" s="230"/>
      <c r="K639" s="230"/>
      <c r="L639" s="230"/>
      <c r="M639" s="230" t="s">
        <v>266</v>
      </c>
      <c r="N639" s="230" t="s">
        <v>280</v>
      </c>
      <c r="O639" s="230" t="s">
        <v>267</v>
      </c>
      <c r="P639" s="231" t="s">
        <v>410</v>
      </c>
      <c r="Q639" s="231"/>
      <c r="R639" s="233">
        <v>0</v>
      </c>
      <c r="S639" s="233">
        <v>4145.6499999999996</v>
      </c>
      <c r="T639" s="233">
        <v>0</v>
      </c>
      <c r="U639" s="233">
        <v>4145.6499999999996</v>
      </c>
      <c r="V639" s="233">
        <v>0</v>
      </c>
      <c r="W639" s="233">
        <v>4145.6499999999996</v>
      </c>
      <c r="X639" s="233">
        <v>0</v>
      </c>
      <c r="Y639" s="233">
        <v>4145.6499999999996</v>
      </c>
      <c r="Z639" s="233">
        <v>4145.6499999999996</v>
      </c>
      <c r="AA639" s="233">
        <v>4145.6499999999996</v>
      </c>
      <c r="AB639" s="233">
        <v>4145.6499999999996</v>
      </c>
    </row>
    <row r="640" spans="1:28" ht="15" customHeight="1" x14ac:dyDescent="0.25">
      <c r="A640" s="230" t="s">
        <v>10820</v>
      </c>
      <c r="B640" s="231" t="s">
        <v>10821</v>
      </c>
      <c r="C640" s="232" t="s">
        <v>409</v>
      </c>
      <c r="D640" s="230" t="s">
        <v>264</v>
      </c>
      <c r="E640" s="230" t="s">
        <v>269</v>
      </c>
      <c r="F640" s="230" t="s">
        <v>269</v>
      </c>
      <c r="G640" s="230" t="s">
        <v>269</v>
      </c>
      <c r="H640" s="230" t="s">
        <v>328</v>
      </c>
      <c r="I640" s="230" t="s">
        <v>281</v>
      </c>
      <c r="J640" s="230"/>
      <c r="K640" s="230"/>
      <c r="L640" s="230"/>
      <c r="M640" s="230" t="s">
        <v>273</v>
      </c>
      <c r="N640" s="230" t="s">
        <v>34</v>
      </c>
      <c r="O640" s="230" t="s">
        <v>267</v>
      </c>
      <c r="P640" s="231" t="s">
        <v>410</v>
      </c>
      <c r="Q640" s="231"/>
      <c r="R640" s="233">
        <v>0</v>
      </c>
      <c r="S640" s="233">
        <v>15804</v>
      </c>
      <c r="T640" s="233">
        <v>0</v>
      </c>
      <c r="U640" s="233">
        <v>15804</v>
      </c>
      <c r="V640" s="233">
        <v>0</v>
      </c>
      <c r="W640" s="233">
        <v>15804</v>
      </c>
      <c r="X640" s="233">
        <v>0</v>
      </c>
      <c r="Y640" s="233">
        <v>15804</v>
      </c>
      <c r="Z640" s="233">
        <v>15804</v>
      </c>
      <c r="AA640" s="233">
        <v>15804</v>
      </c>
      <c r="AB640" s="233">
        <v>15804</v>
      </c>
    </row>
    <row r="641" spans="1:28" ht="15" customHeight="1" x14ac:dyDescent="0.25">
      <c r="A641" s="230" t="s">
        <v>10820</v>
      </c>
      <c r="B641" s="231" t="s">
        <v>10821</v>
      </c>
      <c r="C641" s="232" t="s">
        <v>383</v>
      </c>
      <c r="D641" s="230" t="s">
        <v>264</v>
      </c>
      <c r="E641" s="230" t="s">
        <v>269</v>
      </c>
      <c r="F641" s="230" t="s">
        <v>269</v>
      </c>
      <c r="G641" s="230" t="s">
        <v>269</v>
      </c>
      <c r="H641" s="230" t="s">
        <v>328</v>
      </c>
      <c r="I641" s="230" t="s">
        <v>283</v>
      </c>
      <c r="J641" s="230"/>
      <c r="K641" s="230"/>
      <c r="L641" s="230"/>
      <c r="M641" s="230" t="s">
        <v>266</v>
      </c>
      <c r="N641" s="230" t="s">
        <v>280</v>
      </c>
      <c r="O641" s="230" t="s">
        <v>267</v>
      </c>
      <c r="P641" s="231" t="s">
        <v>384</v>
      </c>
      <c r="Q641" s="231"/>
      <c r="R641" s="233">
        <v>0</v>
      </c>
      <c r="S641" s="233">
        <v>35306665</v>
      </c>
      <c r="T641" s="233">
        <v>0</v>
      </c>
      <c r="U641" s="233">
        <v>35306665</v>
      </c>
      <c r="V641" s="233">
        <v>0</v>
      </c>
      <c r="W641" s="233">
        <v>35306665</v>
      </c>
      <c r="X641" s="233">
        <v>0</v>
      </c>
      <c r="Y641" s="233">
        <v>35306665</v>
      </c>
      <c r="Z641" s="233">
        <v>31146674</v>
      </c>
      <c r="AA641" s="233">
        <v>31146674</v>
      </c>
      <c r="AB641" s="233">
        <v>31146674</v>
      </c>
    </row>
    <row r="642" spans="1:28" ht="15" customHeight="1" x14ac:dyDescent="0.25">
      <c r="A642" s="230" t="s">
        <v>10820</v>
      </c>
      <c r="B642" s="231" t="s">
        <v>10821</v>
      </c>
      <c r="C642" s="232" t="s">
        <v>367</v>
      </c>
      <c r="D642" s="230" t="s">
        <v>264</v>
      </c>
      <c r="E642" s="230" t="s">
        <v>269</v>
      </c>
      <c r="F642" s="230" t="s">
        <v>269</v>
      </c>
      <c r="G642" s="230" t="s">
        <v>269</v>
      </c>
      <c r="H642" s="230" t="s">
        <v>351</v>
      </c>
      <c r="I642" s="230" t="s">
        <v>319</v>
      </c>
      <c r="J642" s="230"/>
      <c r="K642" s="230"/>
      <c r="L642" s="230"/>
      <c r="M642" s="230" t="s">
        <v>266</v>
      </c>
      <c r="N642" s="230" t="s">
        <v>280</v>
      </c>
      <c r="O642" s="230" t="s">
        <v>267</v>
      </c>
      <c r="P642" s="231" t="s">
        <v>368</v>
      </c>
      <c r="Q642" s="231"/>
      <c r="R642" s="233">
        <v>2000000</v>
      </c>
      <c r="S642" s="233">
        <v>940000</v>
      </c>
      <c r="T642" s="233">
        <v>0</v>
      </c>
      <c r="U642" s="233">
        <v>2940000</v>
      </c>
      <c r="V642" s="233">
        <v>0</v>
      </c>
      <c r="W642" s="233">
        <v>2940000</v>
      </c>
      <c r="X642" s="233">
        <v>0</v>
      </c>
      <c r="Y642" s="233">
        <v>2670229</v>
      </c>
      <c r="Z642" s="233">
        <v>2670229</v>
      </c>
      <c r="AA642" s="233">
        <v>2670229</v>
      </c>
      <c r="AB642" s="233">
        <v>2670229</v>
      </c>
    </row>
    <row r="643" spans="1:28" ht="15" customHeight="1" x14ac:dyDescent="0.25">
      <c r="A643" s="230" t="s">
        <v>10820</v>
      </c>
      <c r="B643" s="231" t="s">
        <v>10821</v>
      </c>
      <c r="C643" s="232" t="s">
        <v>369</v>
      </c>
      <c r="D643" s="230" t="s">
        <v>264</v>
      </c>
      <c r="E643" s="230" t="s">
        <v>269</v>
      </c>
      <c r="F643" s="230" t="s">
        <v>269</v>
      </c>
      <c r="G643" s="230" t="s">
        <v>269</v>
      </c>
      <c r="H643" s="230" t="s">
        <v>331</v>
      </c>
      <c r="I643" s="230" t="s">
        <v>319</v>
      </c>
      <c r="J643" s="230"/>
      <c r="K643" s="230"/>
      <c r="L643" s="230"/>
      <c r="M643" s="230" t="s">
        <v>266</v>
      </c>
      <c r="N643" s="230" t="s">
        <v>280</v>
      </c>
      <c r="O643" s="230" t="s">
        <v>267</v>
      </c>
      <c r="P643" s="231" t="s">
        <v>370</v>
      </c>
      <c r="Q643" s="231"/>
      <c r="R643" s="233">
        <v>1200000</v>
      </c>
      <c r="S643" s="233">
        <v>1600000</v>
      </c>
      <c r="T643" s="233">
        <v>0</v>
      </c>
      <c r="U643" s="233">
        <v>2800000</v>
      </c>
      <c r="V643" s="233">
        <v>0</v>
      </c>
      <c r="W643" s="233">
        <v>2800000</v>
      </c>
      <c r="X643" s="233">
        <v>0</v>
      </c>
      <c r="Y643" s="233">
        <v>2686934</v>
      </c>
      <c r="Z643" s="233">
        <v>2686934</v>
      </c>
      <c r="AA643" s="233">
        <v>2686934</v>
      </c>
      <c r="AB643" s="233">
        <v>2686934</v>
      </c>
    </row>
    <row r="644" spans="1:28" ht="15" customHeight="1" x14ac:dyDescent="0.25">
      <c r="A644" s="230" t="s">
        <v>10820</v>
      </c>
      <c r="B644" s="231" t="s">
        <v>10821</v>
      </c>
      <c r="C644" s="232" t="s">
        <v>371</v>
      </c>
      <c r="D644" s="230" t="s">
        <v>264</v>
      </c>
      <c r="E644" s="230" t="s">
        <v>269</v>
      </c>
      <c r="F644" s="230" t="s">
        <v>269</v>
      </c>
      <c r="G644" s="230" t="s">
        <v>269</v>
      </c>
      <c r="H644" s="230" t="s">
        <v>334</v>
      </c>
      <c r="I644" s="230"/>
      <c r="J644" s="230"/>
      <c r="K644" s="230"/>
      <c r="L644" s="230"/>
      <c r="M644" s="230" t="s">
        <v>266</v>
      </c>
      <c r="N644" s="230" t="s">
        <v>280</v>
      </c>
      <c r="O644" s="230" t="s">
        <v>267</v>
      </c>
      <c r="P644" s="231" t="s">
        <v>372</v>
      </c>
      <c r="Q644" s="231"/>
      <c r="R644" s="233">
        <v>0</v>
      </c>
      <c r="S644" s="233">
        <v>135773</v>
      </c>
      <c r="T644" s="233">
        <v>0</v>
      </c>
      <c r="U644" s="233">
        <v>135773</v>
      </c>
      <c r="V644" s="233">
        <v>0</v>
      </c>
      <c r="W644" s="233">
        <v>135773</v>
      </c>
      <c r="X644" s="233">
        <v>0</v>
      </c>
      <c r="Y644" s="233">
        <v>135773</v>
      </c>
      <c r="Z644" s="233">
        <v>135773</v>
      </c>
      <c r="AA644" s="233">
        <v>135773</v>
      </c>
      <c r="AB644" s="233">
        <v>135773</v>
      </c>
    </row>
    <row r="645" spans="1:28" ht="15" customHeight="1" x14ac:dyDescent="0.25">
      <c r="A645" s="230" t="s">
        <v>10820</v>
      </c>
      <c r="B645" s="231" t="s">
        <v>10821</v>
      </c>
      <c r="C645" s="232" t="s">
        <v>371</v>
      </c>
      <c r="D645" s="230" t="s">
        <v>264</v>
      </c>
      <c r="E645" s="230" t="s">
        <v>269</v>
      </c>
      <c r="F645" s="230" t="s">
        <v>269</v>
      </c>
      <c r="G645" s="230" t="s">
        <v>269</v>
      </c>
      <c r="H645" s="230" t="s">
        <v>334</v>
      </c>
      <c r="I645" s="230"/>
      <c r="J645" s="230"/>
      <c r="K645" s="230"/>
      <c r="L645" s="230"/>
      <c r="M645" s="230" t="s">
        <v>273</v>
      </c>
      <c r="N645" s="230" t="s">
        <v>34</v>
      </c>
      <c r="O645" s="230" t="s">
        <v>267</v>
      </c>
      <c r="P645" s="231" t="s">
        <v>372</v>
      </c>
      <c r="Q645" s="231"/>
      <c r="R645" s="233">
        <v>0</v>
      </c>
      <c r="S645" s="233">
        <v>6840334</v>
      </c>
      <c r="T645" s="233">
        <v>0</v>
      </c>
      <c r="U645" s="233">
        <v>6840334</v>
      </c>
      <c r="V645" s="233">
        <v>0</v>
      </c>
      <c r="W645" s="233">
        <v>6840334</v>
      </c>
      <c r="X645" s="233">
        <v>0</v>
      </c>
      <c r="Y645" s="233">
        <v>6840334</v>
      </c>
      <c r="Z645" s="233">
        <v>6840334</v>
      </c>
      <c r="AA645" s="233">
        <v>6840334</v>
      </c>
      <c r="AB645" s="233">
        <v>6840334</v>
      </c>
    </row>
    <row r="646" spans="1:28" ht="15" customHeight="1" x14ac:dyDescent="0.25">
      <c r="A646" s="230" t="s">
        <v>10820</v>
      </c>
      <c r="B646" s="231" t="s">
        <v>10821</v>
      </c>
      <c r="C646" s="232" t="s">
        <v>373</v>
      </c>
      <c r="D646" s="230" t="s">
        <v>264</v>
      </c>
      <c r="E646" s="230" t="s">
        <v>271</v>
      </c>
      <c r="F646" s="230" t="s">
        <v>277</v>
      </c>
      <c r="G646" s="230" t="s">
        <v>269</v>
      </c>
      <c r="H646" s="230" t="s">
        <v>278</v>
      </c>
      <c r="I646" s="230" t="s">
        <v>281</v>
      </c>
      <c r="J646" s="230"/>
      <c r="K646" s="230"/>
      <c r="L646" s="230"/>
      <c r="M646" s="230" t="s">
        <v>266</v>
      </c>
      <c r="N646" s="230" t="s">
        <v>280</v>
      </c>
      <c r="O646" s="230" t="s">
        <v>267</v>
      </c>
      <c r="P646" s="231" t="s">
        <v>374</v>
      </c>
      <c r="Q646" s="231"/>
      <c r="R646" s="233">
        <v>0</v>
      </c>
      <c r="S646" s="233">
        <v>14460000</v>
      </c>
      <c r="T646" s="233">
        <v>0</v>
      </c>
      <c r="U646" s="233">
        <v>14460000</v>
      </c>
      <c r="V646" s="233">
        <v>0</v>
      </c>
      <c r="W646" s="233">
        <v>11522452</v>
      </c>
      <c r="X646" s="233">
        <v>2937548</v>
      </c>
      <c r="Y646" s="233">
        <v>11522452</v>
      </c>
      <c r="Z646" s="233">
        <v>11280132</v>
      </c>
      <c r="AA646" s="233">
        <v>11280132</v>
      </c>
      <c r="AB646" s="233">
        <v>11280132</v>
      </c>
    </row>
    <row r="647" spans="1:28" ht="15" customHeight="1" x14ac:dyDescent="0.25">
      <c r="A647" s="230" t="s">
        <v>10820</v>
      </c>
      <c r="B647" s="231" t="s">
        <v>10821</v>
      </c>
      <c r="C647" s="232" t="s">
        <v>375</v>
      </c>
      <c r="D647" s="230" t="s">
        <v>264</v>
      </c>
      <c r="E647" s="230" t="s">
        <v>285</v>
      </c>
      <c r="F647" s="230" t="s">
        <v>265</v>
      </c>
      <c r="G647" s="230" t="s">
        <v>269</v>
      </c>
      <c r="H647" s="230" t="s">
        <v>281</v>
      </c>
      <c r="I647" s="230"/>
      <c r="J647" s="230"/>
      <c r="K647" s="230"/>
      <c r="L647" s="230"/>
      <c r="M647" s="230" t="s">
        <v>266</v>
      </c>
      <c r="N647" s="230" t="s">
        <v>280</v>
      </c>
      <c r="O647" s="230" t="s">
        <v>267</v>
      </c>
      <c r="P647" s="231" t="s">
        <v>376</v>
      </c>
      <c r="Q647" s="231"/>
      <c r="R647" s="233">
        <v>0</v>
      </c>
      <c r="S647" s="233">
        <v>29635450</v>
      </c>
      <c r="T647" s="233">
        <v>0</v>
      </c>
      <c r="U647" s="233">
        <v>29635450</v>
      </c>
      <c r="V647" s="233">
        <v>0</v>
      </c>
      <c r="W647" s="233">
        <v>29635450</v>
      </c>
      <c r="X647" s="233">
        <v>0</v>
      </c>
      <c r="Y647" s="233">
        <v>29635450</v>
      </c>
      <c r="Z647" s="233">
        <v>29635450</v>
      </c>
      <c r="AA647" s="233">
        <v>29635450</v>
      </c>
      <c r="AB647" s="233">
        <v>29635450</v>
      </c>
    </row>
    <row r="648" spans="1:28" ht="15" customHeight="1" x14ac:dyDescent="0.25">
      <c r="A648" s="230" t="s">
        <v>10820</v>
      </c>
      <c r="B648" s="231" t="s">
        <v>10821</v>
      </c>
      <c r="C648" s="232" t="s">
        <v>377</v>
      </c>
      <c r="D648" s="230" t="s">
        <v>264</v>
      </c>
      <c r="E648" s="230" t="s">
        <v>285</v>
      </c>
      <c r="F648" s="230" t="s">
        <v>265</v>
      </c>
      <c r="G648" s="230" t="s">
        <v>269</v>
      </c>
      <c r="H648" s="230" t="s">
        <v>316</v>
      </c>
      <c r="I648" s="230"/>
      <c r="J648" s="230"/>
      <c r="K648" s="230"/>
      <c r="L648" s="230"/>
      <c r="M648" s="230" t="s">
        <v>273</v>
      </c>
      <c r="N648" s="230" t="s">
        <v>34</v>
      </c>
      <c r="O648" s="230" t="s">
        <v>267</v>
      </c>
      <c r="P648" s="231" t="s">
        <v>378</v>
      </c>
      <c r="Q648" s="231"/>
      <c r="R648" s="233">
        <v>0</v>
      </c>
      <c r="S648" s="233">
        <v>6200000</v>
      </c>
      <c r="T648" s="233">
        <v>371000</v>
      </c>
      <c r="U648" s="233">
        <v>5829000</v>
      </c>
      <c r="V648" s="233">
        <v>0</v>
      </c>
      <c r="W648" s="233">
        <v>5829000</v>
      </c>
      <c r="X648" s="233">
        <v>0</v>
      </c>
      <c r="Y648" s="233">
        <v>5829000</v>
      </c>
      <c r="Z648" s="233">
        <v>5829000</v>
      </c>
      <c r="AA648" s="233">
        <v>5829000</v>
      </c>
      <c r="AB648" s="233">
        <v>5829000</v>
      </c>
    </row>
    <row r="649" spans="1:28" ht="15" customHeight="1" x14ac:dyDescent="0.25">
      <c r="A649" s="230" t="s">
        <v>440</v>
      </c>
      <c r="B649" s="231" t="s">
        <v>441</v>
      </c>
      <c r="C649" s="232" t="s">
        <v>313</v>
      </c>
      <c r="D649" s="230" t="s">
        <v>264</v>
      </c>
      <c r="E649" s="230" t="s">
        <v>265</v>
      </c>
      <c r="F649" s="230" t="s">
        <v>265</v>
      </c>
      <c r="G649" s="230" t="s">
        <v>265</v>
      </c>
      <c r="H649" s="230" t="s">
        <v>281</v>
      </c>
      <c r="I649" s="230" t="s">
        <v>281</v>
      </c>
      <c r="J649" s="230"/>
      <c r="K649" s="230"/>
      <c r="L649" s="230"/>
      <c r="M649" s="230" t="s">
        <v>266</v>
      </c>
      <c r="N649" s="230" t="s">
        <v>280</v>
      </c>
      <c r="O649" s="230" t="s">
        <v>267</v>
      </c>
      <c r="P649" s="231" t="s">
        <v>314</v>
      </c>
      <c r="Q649" s="231"/>
      <c r="R649" s="233">
        <v>0</v>
      </c>
      <c r="S649" s="233">
        <v>120010000</v>
      </c>
      <c r="T649" s="233">
        <v>0</v>
      </c>
      <c r="U649" s="233">
        <v>120010000</v>
      </c>
      <c r="V649" s="233">
        <v>0</v>
      </c>
      <c r="W649" s="233">
        <v>104659208</v>
      </c>
      <c r="X649" s="233">
        <v>15350792</v>
      </c>
      <c r="Y649" s="233">
        <v>104659208</v>
      </c>
      <c r="Z649" s="233">
        <v>104630610</v>
      </c>
      <c r="AA649" s="233">
        <v>104630610</v>
      </c>
      <c r="AB649" s="233">
        <v>104630610</v>
      </c>
    </row>
    <row r="650" spans="1:28" ht="15" customHeight="1" x14ac:dyDescent="0.25">
      <c r="A650" s="230" t="s">
        <v>440</v>
      </c>
      <c r="B650" s="231" t="s">
        <v>441</v>
      </c>
      <c r="C650" s="232" t="s">
        <v>318</v>
      </c>
      <c r="D650" s="230" t="s">
        <v>264</v>
      </c>
      <c r="E650" s="230" t="s">
        <v>265</v>
      </c>
      <c r="F650" s="230" t="s">
        <v>265</v>
      </c>
      <c r="G650" s="230" t="s">
        <v>265</v>
      </c>
      <c r="H650" s="230" t="s">
        <v>281</v>
      </c>
      <c r="I650" s="230" t="s">
        <v>319</v>
      </c>
      <c r="J650" s="230"/>
      <c r="K650" s="230"/>
      <c r="L650" s="230"/>
      <c r="M650" s="230" t="s">
        <v>266</v>
      </c>
      <c r="N650" s="230" t="s">
        <v>280</v>
      </c>
      <c r="O650" s="230" t="s">
        <v>267</v>
      </c>
      <c r="P650" s="231" t="s">
        <v>320</v>
      </c>
      <c r="Q650" s="231"/>
      <c r="R650" s="233">
        <v>0</v>
      </c>
      <c r="S650" s="233">
        <v>1200000</v>
      </c>
      <c r="T650" s="233">
        <v>0</v>
      </c>
      <c r="U650" s="233">
        <v>1200000</v>
      </c>
      <c r="V650" s="233">
        <v>0</v>
      </c>
      <c r="W650" s="233">
        <v>696872</v>
      </c>
      <c r="X650" s="233">
        <v>503128</v>
      </c>
      <c r="Y650" s="233">
        <v>696872</v>
      </c>
      <c r="Z650" s="233">
        <v>696872</v>
      </c>
      <c r="AA650" s="233">
        <v>696872</v>
      </c>
      <c r="AB650" s="233">
        <v>696872</v>
      </c>
    </row>
    <row r="651" spans="1:28" ht="15" customHeight="1" x14ac:dyDescent="0.25">
      <c r="A651" s="230" t="s">
        <v>440</v>
      </c>
      <c r="B651" s="231" t="s">
        <v>441</v>
      </c>
      <c r="C651" s="232" t="s">
        <v>321</v>
      </c>
      <c r="D651" s="230" t="s">
        <v>264</v>
      </c>
      <c r="E651" s="230" t="s">
        <v>265</v>
      </c>
      <c r="F651" s="230" t="s">
        <v>265</v>
      </c>
      <c r="G651" s="230" t="s">
        <v>265</v>
      </c>
      <c r="H651" s="230" t="s">
        <v>281</v>
      </c>
      <c r="I651" s="230" t="s">
        <v>322</v>
      </c>
      <c r="J651" s="230"/>
      <c r="K651" s="230"/>
      <c r="L651" s="230"/>
      <c r="M651" s="230" t="s">
        <v>266</v>
      </c>
      <c r="N651" s="230" t="s">
        <v>280</v>
      </c>
      <c r="O651" s="230" t="s">
        <v>267</v>
      </c>
      <c r="P651" s="231" t="s">
        <v>323</v>
      </c>
      <c r="Q651" s="231"/>
      <c r="R651" s="233">
        <v>0</v>
      </c>
      <c r="S651" s="233">
        <v>2700000</v>
      </c>
      <c r="T651" s="233">
        <v>2000000</v>
      </c>
      <c r="U651" s="233">
        <v>700000</v>
      </c>
      <c r="V651" s="233">
        <v>0</v>
      </c>
      <c r="W651" s="233">
        <v>415170</v>
      </c>
      <c r="X651" s="233">
        <v>284830</v>
      </c>
      <c r="Y651" s="233">
        <v>415170</v>
      </c>
      <c r="Z651" s="233">
        <v>415170</v>
      </c>
      <c r="AA651" s="233">
        <v>415170</v>
      </c>
      <c r="AB651" s="233">
        <v>415170</v>
      </c>
    </row>
    <row r="652" spans="1:28" ht="15" customHeight="1" x14ac:dyDescent="0.25">
      <c r="A652" s="230" t="s">
        <v>440</v>
      </c>
      <c r="B652" s="231" t="s">
        <v>441</v>
      </c>
      <c r="C652" s="232" t="s">
        <v>324</v>
      </c>
      <c r="D652" s="230" t="s">
        <v>264</v>
      </c>
      <c r="E652" s="230" t="s">
        <v>265</v>
      </c>
      <c r="F652" s="230" t="s">
        <v>265</v>
      </c>
      <c r="G652" s="230" t="s">
        <v>265</v>
      </c>
      <c r="H652" s="230" t="s">
        <v>281</v>
      </c>
      <c r="I652" s="230" t="s">
        <v>325</v>
      </c>
      <c r="J652" s="230"/>
      <c r="K652" s="230"/>
      <c r="L652" s="230"/>
      <c r="M652" s="230" t="s">
        <v>266</v>
      </c>
      <c r="N652" s="230" t="s">
        <v>280</v>
      </c>
      <c r="O652" s="230" t="s">
        <v>267</v>
      </c>
      <c r="P652" s="231" t="s">
        <v>326</v>
      </c>
      <c r="Q652" s="231"/>
      <c r="R652" s="233">
        <v>0</v>
      </c>
      <c r="S652" s="233">
        <v>632640</v>
      </c>
      <c r="T652" s="233">
        <v>0</v>
      </c>
      <c r="U652" s="233">
        <v>632640</v>
      </c>
      <c r="V652" s="233">
        <v>0</v>
      </c>
      <c r="W652" s="233">
        <v>632640</v>
      </c>
      <c r="X652" s="233">
        <v>0</v>
      </c>
      <c r="Y652" s="233">
        <v>632640</v>
      </c>
      <c r="Z652" s="233">
        <v>632640</v>
      </c>
      <c r="AA652" s="233">
        <v>632640</v>
      </c>
      <c r="AB652" s="233">
        <v>632640</v>
      </c>
    </row>
    <row r="653" spans="1:28" ht="15" customHeight="1" x14ac:dyDescent="0.25">
      <c r="A653" s="230" t="s">
        <v>440</v>
      </c>
      <c r="B653" s="231" t="s">
        <v>441</v>
      </c>
      <c r="C653" s="232" t="s">
        <v>327</v>
      </c>
      <c r="D653" s="230" t="s">
        <v>264</v>
      </c>
      <c r="E653" s="230" t="s">
        <v>265</v>
      </c>
      <c r="F653" s="230" t="s">
        <v>265</v>
      </c>
      <c r="G653" s="230" t="s">
        <v>265</v>
      </c>
      <c r="H653" s="230" t="s">
        <v>281</v>
      </c>
      <c r="I653" s="230" t="s">
        <v>328</v>
      </c>
      <c r="J653" s="230"/>
      <c r="K653" s="230"/>
      <c r="L653" s="230"/>
      <c r="M653" s="230" t="s">
        <v>266</v>
      </c>
      <c r="N653" s="230" t="s">
        <v>280</v>
      </c>
      <c r="O653" s="230" t="s">
        <v>267</v>
      </c>
      <c r="P653" s="231" t="s">
        <v>329</v>
      </c>
      <c r="Q653" s="231"/>
      <c r="R653" s="233">
        <v>0</v>
      </c>
      <c r="S653" s="233">
        <v>13200000</v>
      </c>
      <c r="T653" s="233">
        <v>0</v>
      </c>
      <c r="U653" s="233">
        <v>13200000</v>
      </c>
      <c r="V653" s="233">
        <v>0</v>
      </c>
      <c r="W653" s="233">
        <v>4666093</v>
      </c>
      <c r="X653" s="233">
        <v>8533907</v>
      </c>
      <c r="Y653" s="233">
        <v>4666093</v>
      </c>
      <c r="Z653" s="233">
        <v>4666093</v>
      </c>
      <c r="AA653" s="233">
        <v>4666093</v>
      </c>
      <c r="AB653" s="233">
        <v>4666093</v>
      </c>
    </row>
    <row r="654" spans="1:28" ht="15" customHeight="1" x14ac:dyDescent="0.25">
      <c r="A654" s="230" t="s">
        <v>440</v>
      </c>
      <c r="B654" s="231" t="s">
        <v>441</v>
      </c>
      <c r="C654" s="232" t="s">
        <v>330</v>
      </c>
      <c r="D654" s="230" t="s">
        <v>264</v>
      </c>
      <c r="E654" s="230" t="s">
        <v>265</v>
      </c>
      <c r="F654" s="230" t="s">
        <v>265</v>
      </c>
      <c r="G654" s="230" t="s">
        <v>265</v>
      </c>
      <c r="H654" s="230" t="s">
        <v>281</v>
      </c>
      <c r="I654" s="230" t="s">
        <v>331</v>
      </c>
      <c r="J654" s="230"/>
      <c r="K654" s="230"/>
      <c r="L654" s="230"/>
      <c r="M654" s="230" t="s">
        <v>266</v>
      </c>
      <c r="N654" s="230" t="s">
        <v>280</v>
      </c>
      <c r="O654" s="230" t="s">
        <v>267</v>
      </c>
      <c r="P654" s="231" t="s">
        <v>332</v>
      </c>
      <c r="Q654" s="231"/>
      <c r="R654" s="233">
        <v>0</v>
      </c>
      <c r="S654" s="233">
        <v>58714000</v>
      </c>
      <c r="T654" s="233">
        <v>0</v>
      </c>
      <c r="U654" s="233">
        <v>58714000</v>
      </c>
      <c r="V654" s="233">
        <v>0</v>
      </c>
      <c r="W654" s="233">
        <v>25461769</v>
      </c>
      <c r="X654" s="233">
        <v>33252231</v>
      </c>
      <c r="Y654" s="233">
        <v>25461769</v>
      </c>
      <c r="Z654" s="233">
        <v>25461769</v>
      </c>
      <c r="AA654" s="233">
        <v>25461769</v>
      </c>
      <c r="AB654" s="233">
        <v>25461769</v>
      </c>
    </row>
    <row r="655" spans="1:28" ht="15" customHeight="1" x14ac:dyDescent="0.25">
      <c r="A655" s="230" t="s">
        <v>440</v>
      </c>
      <c r="B655" s="231" t="s">
        <v>441</v>
      </c>
      <c r="C655" s="232" t="s">
        <v>333</v>
      </c>
      <c r="D655" s="230" t="s">
        <v>264</v>
      </c>
      <c r="E655" s="230" t="s">
        <v>265</v>
      </c>
      <c r="F655" s="230" t="s">
        <v>265</v>
      </c>
      <c r="G655" s="230" t="s">
        <v>265</v>
      </c>
      <c r="H655" s="230" t="s">
        <v>281</v>
      </c>
      <c r="I655" s="230" t="s">
        <v>334</v>
      </c>
      <c r="J655" s="230"/>
      <c r="K655" s="230"/>
      <c r="L655" s="230"/>
      <c r="M655" s="230" t="s">
        <v>266</v>
      </c>
      <c r="N655" s="230" t="s">
        <v>280</v>
      </c>
      <c r="O655" s="230" t="s">
        <v>267</v>
      </c>
      <c r="P655" s="231" t="s">
        <v>335</v>
      </c>
      <c r="Q655" s="231"/>
      <c r="R655" s="233">
        <v>0</v>
      </c>
      <c r="S655" s="233">
        <v>11000000</v>
      </c>
      <c r="T655" s="233">
        <v>0</v>
      </c>
      <c r="U655" s="233">
        <v>11000000</v>
      </c>
      <c r="V655" s="233">
        <v>0</v>
      </c>
      <c r="W655" s="233">
        <v>6917810</v>
      </c>
      <c r="X655" s="233">
        <v>4082190</v>
      </c>
      <c r="Y655" s="233">
        <v>6917810</v>
      </c>
      <c r="Z655" s="233">
        <v>6917810</v>
      </c>
      <c r="AA655" s="233">
        <v>6917810</v>
      </c>
      <c r="AB655" s="233">
        <v>6917810</v>
      </c>
    </row>
    <row r="656" spans="1:28" ht="15" customHeight="1" x14ac:dyDescent="0.25">
      <c r="A656" s="230" t="s">
        <v>440</v>
      </c>
      <c r="B656" s="231" t="s">
        <v>441</v>
      </c>
      <c r="C656" s="232" t="s">
        <v>336</v>
      </c>
      <c r="D656" s="230" t="s">
        <v>264</v>
      </c>
      <c r="E656" s="230" t="s">
        <v>265</v>
      </c>
      <c r="F656" s="230" t="s">
        <v>265</v>
      </c>
      <c r="G656" s="230" t="s">
        <v>265</v>
      </c>
      <c r="H656" s="230" t="s">
        <v>281</v>
      </c>
      <c r="I656" s="230" t="s">
        <v>278</v>
      </c>
      <c r="J656" s="230"/>
      <c r="K656" s="230"/>
      <c r="L656" s="230"/>
      <c r="M656" s="230" t="s">
        <v>266</v>
      </c>
      <c r="N656" s="230" t="s">
        <v>280</v>
      </c>
      <c r="O656" s="230" t="s">
        <v>267</v>
      </c>
      <c r="P656" s="231" t="s">
        <v>337</v>
      </c>
      <c r="Q656" s="231"/>
      <c r="R656" s="233">
        <v>0</v>
      </c>
      <c r="S656" s="233">
        <v>2200000</v>
      </c>
      <c r="T656" s="233">
        <v>1564824</v>
      </c>
      <c r="U656" s="233">
        <v>635176</v>
      </c>
      <c r="V656" s="233">
        <v>0</v>
      </c>
      <c r="W656" s="233">
        <v>635176</v>
      </c>
      <c r="X656" s="233">
        <v>0</v>
      </c>
      <c r="Y656" s="233">
        <v>635176</v>
      </c>
      <c r="Z656" s="233">
        <v>635176</v>
      </c>
      <c r="AA656" s="233">
        <v>635176</v>
      </c>
      <c r="AB656" s="233">
        <v>635176</v>
      </c>
    </row>
    <row r="657" spans="1:28" ht="15" customHeight="1" x14ac:dyDescent="0.25">
      <c r="A657" s="230" t="s">
        <v>440</v>
      </c>
      <c r="B657" s="231" t="s">
        <v>441</v>
      </c>
      <c r="C657" s="232" t="s">
        <v>338</v>
      </c>
      <c r="D657" s="230" t="s">
        <v>264</v>
      </c>
      <c r="E657" s="230" t="s">
        <v>265</v>
      </c>
      <c r="F657" s="230" t="s">
        <v>265</v>
      </c>
      <c r="G657" s="230" t="s">
        <v>269</v>
      </c>
      <c r="H657" s="230" t="s">
        <v>281</v>
      </c>
      <c r="I657" s="230"/>
      <c r="J657" s="230"/>
      <c r="K657" s="230"/>
      <c r="L657" s="230"/>
      <c r="M657" s="230" t="s">
        <v>266</v>
      </c>
      <c r="N657" s="230" t="s">
        <v>280</v>
      </c>
      <c r="O657" s="230" t="s">
        <v>267</v>
      </c>
      <c r="P657" s="231" t="s">
        <v>339</v>
      </c>
      <c r="Q657" s="231"/>
      <c r="R657" s="233">
        <v>0</v>
      </c>
      <c r="S657" s="233">
        <v>17000000</v>
      </c>
      <c r="T657" s="233">
        <v>0</v>
      </c>
      <c r="U657" s="233">
        <v>17000000</v>
      </c>
      <c r="V657" s="233">
        <v>0</v>
      </c>
      <c r="W657" s="233">
        <v>16316200</v>
      </c>
      <c r="X657" s="233">
        <v>683800</v>
      </c>
      <c r="Y657" s="233">
        <v>13932400</v>
      </c>
      <c r="Z657" s="233">
        <v>13932400</v>
      </c>
      <c r="AA657" s="233">
        <v>13932400</v>
      </c>
      <c r="AB657" s="233">
        <v>13932400</v>
      </c>
    </row>
    <row r="658" spans="1:28" ht="15" customHeight="1" x14ac:dyDescent="0.25">
      <c r="A658" s="230" t="s">
        <v>440</v>
      </c>
      <c r="B658" s="231" t="s">
        <v>441</v>
      </c>
      <c r="C658" s="232" t="s">
        <v>340</v>
      </c>
      <c r="D658" s="230" t="s">
        <v>264</v>
      </c>
      <c r="E658" s="230" t="s">
        <v>265</v>
      </c>
      <c r="F658" s="230" t="s">
        <v>265</v>
      </c>
      <c r="G658" s="230" t="s">
        <v>269</v>
      </c>
      <c r="H658" s="230" t="s">
        <v>283</v>
      </c>
      <c r="I658" s="230"/>
      <c r="J658" s="230"/>
      <c r="K658" s="230"/>
      <c r="L658" s="230"/>
      <c r="M658" s="230" t="s">
        <v>266</v>
      </c>
      <c r="N658" s="230" t="s">
        <v>280</v>
      </c>
      <c r="O658" s="230" t="s">
        <v>267</v>
      </c>
      <c r="P658" s="231" t="s">
        <v>341</v>
      </c>
      <c r="Q658" s="231"/>
      <c r="R658" s="233">
        <v>0</v>
      </c>
      <c r="S658" s="233">
        <v>16000000</v>
      </c>
      <c r="T658" s="233">
        <v>0</v>
      </c>
      <c r="U658" s="233">
        <v>16000000</v>
      </c>
      <c r="V658" s="233">
        <v>0</v>
      </c>
      <c r="W658" s="233">
        <v>11821800</v>
      </c>
      <c r="X658" s="233">
        <v>4178200</v>
      </c>
      <c r="Y658" s="233">
        <v>10133400</v>
      </c>
      <c r="Z658" s="233">
        <v>10133400</v>
      </c>
      <c r="AA658" s="233">
        <v>10133400</v>
      </c>
      <c r="AB658" s="233">
        <v>10133400</v>
      </c>
    </row>
    <row r="659" spans="1:28" ht="15" customHeight="1" x14ac:dyDescent="0.25">
      <c r="A659" s="230" t="s">
        <v>440</v>
      </c>
      <c r="B659" s="231" t="s">
        <v>441</v>
      </c>
      <c r="C659" s="232" t="s">
        <v>342</v>
      </c>
      <c r="D659" s="230" t="s">
        <v>264</v>
      </c>
      <c r="E659" s="230" t="s">
        <v>265</v>
      </c>
      <c r="F659" s="230" t="s">
        <v>265</v>
      </c>
      <c r="G659" s="230" t="s">
        <v>269</v>
      </c>
      <c r="H659" s="230" t="s">
        <v>319</v>
      </c>
      <c r="I659" s="230"/>
      <c r="J659" s="230"/>
      <c r="K659" s="230"/>
      <c r="L659" s="230"/>
      <c r="M659" s="230" t="s">
        <v>266</v>
      </c>
      <c r="N659" s="230" t="s">
        <v>280</v>
      </c>
      <c r="O659" s="230" t="s">
        <v>267</v>
      </c>
      <c r="P659" s="231" t="s">
        <v>343</v>
      </c>
      <c r="Q659" s="231"/>
      <c r="R659" s="233">
        <v>0</v>
      </c>
      <c r="S659" s="233">
        <v>6650000</v>
      </c>
      <c r="T659" s="233">
        <v>800000</v>
      </c>
      <c r="U659" s="233">
        <v>5850000</v>
      </c>
      <c r="V659" s="233">
        <v>0</v>
      </c>
      <c r="W659" s="233">
        <v>5670900</v>
      </c>
      <c r="X659" s="233">
        <v>179100</v>
      </c>
      <c r="Y659" s="233">
        <v>4861900</v>
      </c>
      <c r="Z659" s="233">
        <v>4861900</v>
      </c>
      <c r="AA659" s="233">
        <v>4861900</v>
      </c>
      <c r="AB659" s="233">
        <v>4861900</v>
      </c>
    </row>
    <row r="660" spans="1:28" ht="15" customHeight="1" x14ac:dyDescent="0.25">
      <c r="A660" s="230" t="s">
        <v>440</v>
      </c>
      <c r="B660" s="231" t="s">
        <v>441</v>
      </c>
      <c r="C660" s="232" t="s">
        <v>344</v>
      </c>
      <c r="D660" s="230" t="s">
        <v>264</v>
      </c>
      <c r="E660" s="230" t="s">
        <v>265</v>
      </c>
      <c r="F660" s="230" t="s">
        <v>265</v>
      </c>
      <c r="G660" s="230" t="s">
        <v>269</v>
      </c>
      <c r="H660" s="230" t="s">
        <v>322</v>
      </c>
      <c r="I660" s="230"/>
      <c r="J660" s="230"/>
      <c r="K660" s="230"/>
      <c r="L660" s="230"/>
      <c r="M660" s="230" t="s">
        <v>266</v>
      </c>
      <c r="N660" s="230" t="s">
        <v>280</v>
      </c>
      <c r="O660" s="230" t="s">
        <v>267</v>
      </c>
      <c r="P660" s="231" t="s">
        <v>345</v>
      </c>
      <c r="Q660" s="231"/>
      <c r="R660" s="233">
        <v>0</v>
      </c>
      <c r="S660" s="233">
        <v>5700000</v>
      </c>
      <c r="T660" s="233">
        <v>0</v>
      </c>
      <c r="U660" s="233">
        <v>5700000</v>
      </c>
      <c r="V660" s="233">
        <v>0</v>
      </c>
      <c r="W660" s="233">
        <v>2029600</v>
      </c>
      <c r="X660" s="233">
        <v>3670400</v>
      </c>
      <c r="Y660" s="233">
        <v>1728100</v>
      </c>
      <c r="Z660" s="233">
        <v>1728100</v>
      </c>
      <c r="AA660" s="233">
        <v>1728100</v>
      </c>
      <c r="AB660" s="233">
        <v>1728100</v>
      </c>
    </row>
    <row r="661" spans="1:28" ht="15" customHeight="1" x14ac:dyDescent="0.25">
      <c r="A661" s="230" t="s">
        <v>440</v>
      </c>
      <c r="B661" s="231" t="s">
        <v>441</v>
      </c>
      <c r="C661" s="232" t="s">
        <v>346</v>
      </c>
      <c r="D661" s="230" t="s">
        <v>264</v>
      </c>
      <c r="E661" s="230" t="s">
        <v>265</v>
      </c>
      <c r="F661" s="230" t="s">
        <v>265</v>
      </c>
      <c r="G661" s="230" t="s">
        <v>269</v>
      </c>
      <c r="H661" s="230" t="s">
        <v>325</v>
      </c>
      <c r="I661" s="230"/>
      <c r="J661" s="230"/>
      <c r="K661" s="230"/>
      <c r="L661" s="230"/>
      <c r="M661" s="230" t="s">
        <v>266</v>
      </c>
      <c r="N661" s="230" t="s">
        <v>280</v>
      </c>
      <c r="O661" s="230" t="s">
        <v>267</v>
      </c>
      <c r="P661" s="231" t="s">
        <v>347</v>
      </c>
      <c r="Q661" s="231"/>
      <c r="R661" s="233">
        <v>0</v>
      </c>
      <c r="S661" s="233">
        <v>6400000</v>
      </c>
      <c r="T661" s="233">
        <v>0</v>
      </c>
      <c r="U661" s="233">
        <v>6400000</v>
      </c>
      <c r="V661" s="233">
        <v>0</v>
      </c>
      <c r="W661" s="233">
        <v>4252900</v>
      </c>
      <c r="X661" s="233">
        <v>2147100</v>
      </c>
      <c r="Y661" s="233">
        <v>3646200</v>
      </c>
      <c r="Z661" s="233">
        <v>3646200</v>
      </c>
      <c r="AA661" s="233">
        <v>3646200</v>
      </c>
      <c r="AB661" s="233">
        <v>3646200</v>
      </c>
    </row>
    <row r="662" spans="1:28" ht="15" customHeight="1" x14ac:dyDescent="0.25">
      <c r="A662" s="230" t="s">
        <v>440</v>
      </c>
      <c r="B662" s="231" t="s">
        <v>441</v>
      </c>
      <c r="C662" s="232" t="s">
        <v>348</v>
      </c>
      <c r="D662" s="230" t="s">
        <v>264</v>
      </c>
      <c r="E662" s="230" t="s">
        <v>265</v>
      </c>
      <c r="F662" s="230" t="s">
        <v>265</v>
      </c>
      <c r="G662" s="230" t="s">
        <v>269</v>
      </c>
      <c r="H662" s="230" t="s">
        <v>328</v>
      </c>
      <c r="I662" s="230"/>
      <c r="J662" s="230"/>
      <c r="K662" s="230"/>
      <c r="L662" s="230"/>
      <c r="M662" s="230" t="s">
        <v>266</v>
      </c>
      <c r="N662" s="230" t="s">
        <v>280</v>
      </c>
      <c r="O662" s="230" t="s">
        <v>267</v>
      </c>
      <c r="P662" s="231" t="s">
        <v>349</v>
      </c>
      <c r="Q662" s="231"/>
      <c r="R662" s="233">
        <v>0</v>
      </c>
      <c r="S662" s="233">
        <v>4700000</v>
      </c>
      <c r="T662" s="233">
        <v>0</v>
      </c>
      <c r="U662" s="233">
        <v>4700000</v>
      </c>
      <c r="V662" s="233">
        <v>0</v>
      </c>
      <c r="W662" s="233">
        <v>2836300</v>
      </c>
      <c r="X662" s="233">
        <v>1863700</v>
      </c>
      <c r="Y662" s="233">
        <v>2431700</v>
      </c>
      <c r="Z662" s="233">
        <v>2431700</v>
      </c>
      <c r="AA662" s="233">
        <v>2431700</v>
      </c>
      <c r="AB662" s="233">
        <v>2431700</v>
      </c>
    </row>
    <row r="663" spans="1:28" ht="15" customHeight="1" x14ac:dyDescent="0.25">
      <c r="A663" s="230" t="s">
        <v>440</v>
      </c>
      <c r="B663" s="231" t="s">
        <v>441</v>
      </c>
      <c r="C663" s="232" t="s">
        <v>355</v>
      </c>
      <c r="D663" s="230" t="s">
        <v>264</v>
      </c>
      <c r="E663" s="230" t="s">
        <v>265</v>
      </c>
      <c r="F663" s="230" t="s">
        <v>265</v>
      </c>
      <c r="G663" s="230" t="s">
        <v>271</v>
      </c>
      <c r="H663" s="230" t="s">
        <v>281</v>
      </c>
      <c r="I663" s="230" t="s">
        <v>281</v>
      </c>
      <c r="J663" s="230"/>
      <c r="K663" s="230"/>
      <c r="L663" s="230"/>
      <c r="M663" s="230" t="s">
        <v>266</v>
      </c>
      <c r="N663" s="230" t="s">
        <v>280</v>
      </c>
      <c r="O663" s="230" t="s">
        <v>267</v>
      </c>
      <c r="P663" s="231" t="s">
        <v>356</v>
      </c>
      <c r="Q663" s="231"/>
      <c r="R663" s="233">
        <v>0</v>
      </c>
      <c r="S663" s="233">
        <v>23200000</v>
      </c>
      <c r="T663" s="233">
        <v>0</v>
      </c>
      <c r="U663" s="233">
        <v>23200000</v>
      </c>
      <c r="V663" s="233">
        <v>0</v>
      </c>
      <c r="W663" s="233">
        <v>2150633</v>
      </c>
      <c r="X663" s="233">
        <v>21049367</v>
      </c>
      <c r="Y663" s="233">
        <v>2150633</v>
      </c>
      <c r="Z663" s="233">
        <v>2150633</v>
      </c>
      <c r="AA663" s="233">
        <v>2150633</v>
      </c>
      <c r="AB663" s="233">
        <v>2150633</v>
      </c>
    </row>
    <row r="664" spans="1:28" ht="15" customHeight="1" x14ac:dyDescent="0.25">
      <c r="A664" s="230" t="s">
        <v>440</v>
      </c>
      <c r="B664" s="231" t="s">
        <v>441</v>
      </c>
      <c r="C664" s="232" t="s">
        <v>357</v>
      </c>
      <c r="D664" s="230" t="s">
        <v>264</v>
      </c>
      <c r="E664" s="230" t="s">
        <v>265</v>
      </c>
      <c r="F664" s="230" t="s">
        <v>265</v>
      </c>
      <c r="G664" s="230" t="s">
        <v>271</v>
      </c>
      <c r="H664" s="230" t="s">
        <v>281</v>
      </c>
      <c r="I664" s="230" t="s">
        <v>283</v>
      </c>
      <c r="J664" s="230"/>
      <c r="K664" s="230"/>
      <c r="L664" s="230"/>
      <c r="M664" s="230" t="s">
        <v>266</v>
      </c>
      <c r="N664" s="230" t="s">
        <v>280</v>
      </c>
      <c r="O664" s="230" t="s">
        <v>267</v>
      </c>
      <c r="P664" s="231" t="s">
        <v>358</v>
      </c>
      <c r="Q664" s="231"/>
      <c r="R664" s="233">
        <v>0</v>
      </c>
      <c r="S664" s="233">
        <v>12738000</v>
      </c>
      <c r="T664" s="233">
        <v>0</v>
      </c>
      <c r="U664" s="233">
        <v>12738000</v>
      </c>
      <c r="V664" s="233">
        <v>0</v>
      </c>
      <c r="W664" s="233">
        <v>4512930</v>
      </c>
      <c r="X664" s="233">
        <v>8225070</v>
      </c>
      <c r="Y664" s="233">
        <v>4512930</v>
      </c>
      <c r="Z664" s="233">
        <v>4512930</v>
      </c>
      <c r="AA664" s="233">
        <v>4512930</v>
      </c>
      <c r="AB664" s="233">
        <v>4512930</v>
      </c>
    </row>
    <row r="665" spans="1:28" ht="15" customHeight="1" x14ac:dyDescent="0.25">
      <c r="A665" s="230" t="s">
        <v>440</v>
      </c>
      <c r="B665" s="231" t="s">
        <v>441</v>
      </c>
      <c r="C665" s="232" t="s">
        <v>359</v>
      </c>
      <c r="D665" s="230" t="s">
        <v>264</v>
      </c>
      <c r="E665" s="230" t="s">
        <v>265</v>
      </c>
      <c r="F665" s="230" t="s">
        <v>265</v>
      </c>
      <c r="G665" s="230" t="s">
        <v>271</v>
      </c>
      <c r="H665" s="230" t="s">
        <v>281</v>
      </c>
      <c r="I665" s="230" t="s">
        <v>316</v>
      </c>
      <c r="J665" s="230"/>
      <c r="K665" s="230"/>
      <c r="L665" s="230"/>
      <c r="M665" s="230" t="s">
        <v>266</v>
      </c>
      <c r="N665" s="230" t="s">
        <v>280</v>
      </c>
      <c r="O665" s="230" t="s">
        <v>267</v>
      </c>
      <c r="P665" s="231" t="s">
        <v>360</v>
      </c>
      <c r="Q665" s="231"/>
      <c r="R665" s="233">
        <v>0</v>
      </c>
      <c r="S665" s="233">
        <v>1300000</v>
      </c>
      <c r="T665" s="233">
        <v>0</v>
      </c>
      <c r="U665" s="233">
        <v>1300000</v>
      </c>
      <c r="V665" s="233">
        <v>0</v>
      </c>
      <c r="W665" s="233">
        <v>522032</v>
      </c>
      <c r="X665" s="233">
        <v>777968</v>
      </c>
      <c r="Y665" s="233">
        <v>522032</v>
      </c>
      <c r="Z665" s="233">
        <v>522032</v>
      </c>
      <c r="AA665" s="233">
        <v>522032</v>
      </c>
      <c r="AB665" s="233">
        <v>522032</v>
      </c>
    </row>
    <row r="666" spans="1:28" ht="15" customHeight="1" x14ac:dyDescent="0.25">
      <c r="A666" s="230" t="s">
        <v>440</v>
      </c>
      <c r="B666" s="231" t="s">
        <v>441</v>
      </c>
      <c r="C666" s="232" t="s">
        <v>361</v>
      </c>
      <c r="D666" s="230" t="s">
        <v>264</v>
      </c>
      <c r="E666" s="230" t="s">
        <v>265</v>
      </c>
      <c r="F666" s="230" t="s">
        <v>265</v>
      </c>
      <c r="G666" s="230" t="s">
        <v>271</v>
      </c>
      <c r="H666" s="230" t="s">
        <v>283</v>
      </c>
      <c r="I666" s="230"/>
      <c r="J666" s="230"/>
      <c r="K666" s="230"/>
      <c r="L666" s="230"/>
      <c r="M666" s="230" t="s">
        <v>266</v>
      </c>
      <c r="N666" s="230" t="s">
        <v>280</v>
      </c>
      <c r="O666" s="230" t="s">
        <v>267</v>
      </c>
      <c r="P666" s="231" t="s">
        <v>362</v>
      </c>
      <c r="Q666" s="231"/>
      <c r="R666" s="233">
        <v>0</v>
      </c>
      <c r="S666" s="233">
        <v>10396000</v>
      </c>
      <c r="T666" s="233">
        <v>0</v>
      </c>
      <c r="U666" s="233">
        <v>10396000</v>
      </c>
      <c r="V666" s="233">
        <v>0</v>
      </c>
      <c r="W666" s="233">
        <v>8366809</v>
      </c>
      <c r="X666" s="233">
        <v>2029191</v>
      </c>
      <c r="Y666" s="233">
        <v>8366809</v>
      </c>
      <c r="Z666" s="233">
        <v>8366809</v>
      </c>
      <c r="AA666" s="233">
        <v>8366809</v>
      </c>
      <c r="AB666" s="233">
        <v>8366809</v>
      </c>
    </row>
    <row r="667" spans="1:28" ht="15" customHeight="1" x14ac:dyDescent="0.25">
      <c r="A667" s="230" t="s">
        <v>440</v>
      </c>
      <c r="B667" s="231" t="s">
        <v>441</v>
      </c>
      <c r="C667" s="232" t="s">
        <v>365</v>
      </c>
      <c r="D667" s="230" t="s">
        <v>264</v>
      </c>
      <c r="E667" s="230" t="s">
        <v>269</v>
      </c>
      <c r="F667" s="230" t="s">
        <v>269</v>
      </c>
      <c r="G667" s="230" t="s">
        <v>269</v>
      </c>
      <c r="H667" s="230" t="s">
        <v>325</v>
      </c>
      <c r="I667" s="230" t="s">
        <v>331</v>
      </c>
      <c r="J667" s="230"/>
      <c r="K667" s="230"/>
      <c r="L667" s="230"/>
      <c r="M667" s="230" t="s">
        <v>266</v>
      </c>
      <c r="N667" s="230" t="s">
        <v>280</v>
      </c>
      <c r="O667" s="230" t="s">
        <v>267</v>
      </c>
      <c r="P667" s="231" t="s">
        <v>366</v>
      </c>
      <c r="Q667" s="231"/>
      <c r="R667" s="233">
        <v>0</v>
      </c>
      <c r="S667" s="233">
        <v>21100000</v>
      </c>
      <c r="T667" s="233">
        <v>0</v>
      </c>
      <c r="U667" s="233">
        <v>21100000</v>
      </c>
      <c r="V667" s="233">
        <v>0</v>
      </c>
      <c r="W667" s="233">
        <v>21100000</v>
      </c>
      <c r="X667" s="233">
        <v>0</v>
      </c>
      <c r="Y667" s="233">
        <v>0</v>
      </c>
      <c r="Z667" s="233">
        <v>0</v>
      </c>
      <c r="AA667" s="233">
        <v>0</v>
      </c>
      <c r="AB667" s="233">
        <v>0</v>
      </c>
    </row>
    <row r="668" spans="1:28" ht="15" customHeight="1" x14ac:dyDescent="0.25">
      <c r="A668" s="230" t="s">
        <v>440</v>
      </c>
      <c r="B668" s="231" t="s">
        <v>441</v>
      </c>
      <c r="C668" s="232" t="s">
        <v>442</v>
      </c>
      <c r="D668" s="230" t="s">
        <v>264</v>
      </c>
      <c r="E668" s="230" t="s">
        <v>269</v>
      </c>
      <c r="F668" s="230" t="s">
        <v>269</v>
      </c>
      <c r="G668" s="230" t="s">
        <v>269</v>
      </c>
      <c r="H668" s="230" t="s">
        <v>351</v>
      </c>
      <c r="I668" s="230" t="s">
        <v>316</v>
      </c>
      <c r="J668" s="230"/>
      <c r="K668" s="230"/>
      <c r="L668" s="230"/>
      <c r="M668" s="230" t="s">
        <v>273</v>
      </c>
      <c r="N668" s="230" t="s">
        <v>34</v>
      </c>
      <c r="O668" s="230" t="s">
        <v>267</v>
      </c>
      <c r="P668" s="231" t="s">
        <v>443</v>
      </c>
      <c r="Q668" s="231"/>
      <c r="R668" s="233">
        <v>0</v>
      </c>
      <c r="S668" s="233">
        <v>14687505</v>
      </c>
      <c r="T668" s="233">
        <v>0</v>
      </c>
      <c r="U668" s="233">
        <v>14687505</v>
      </c>
      <c r="V668" s="233">
        <v>0</v>
      </c>
      <c r="W668" s="233">
        <v>14687505</v>
      </c>
      <c r="X668" s="233">
        <v>0</v>
      </c>
      <c r="Y668" s="233">
        <v>14687505</v>
      </c>
      <c r="Z668" s="233">
        <v>9581849</v>
      </c>
      <c r="AA668" s="233">
        <v>8532742</v>
      </c>
      <c r="AB668" s="233">
        <v>8532742</v>
      </c>
    </row>
    <row r="669" spans="1:28" ht="15" customHeight="1" x14ac:dyDescent="0.25">
      <c r="A669" s="230" t="s">
        <v>440</v>
      </c>
      <c r="B669" s="231" t="s">
        <v>441</v>
      </c>
      <c r="C669" s="232" t="s">
        <v>367</v>
      </c>
      <c r="D669" s="230" t="s">
        <v>264</v>
      </c>
      <c r="E669" s="230" t="s">
        <v>269</v>
      </c>
      <c r="F669" s="230" t="s">
        <v>269</v>
      </c>
      <c r="G669" s="230" t="s">
        <v>269</v>
      </c>
      <c r="H669" s="230" t="s">
        <v>351</v>
      </c>
      <c r="I669" s="230" t="s">
        <v>319</v>
      </c>
      <c r="J669" s="230"/>
      <c r="K669" s="230"/>
      <c r="L669" s="230"/>
      <c r="M669" s="230" t="s">
        <v>266</v>
      </c>
      <c r="N669" s="230" t="s">
        <v>280</v>
      </c>
      <c r="O669" s="230" t="s">
        <v>267</v>
      </c>
      <c r="P669" s="231" t="s">
        <v>368</v>
      </c>
      <c r="Q669" s="231"/>
      <c r="R669" s="233">
        <v>0</v>
      </c>
      <c r="S669" s="233">
        <v>1280000</v>
      </c>
      <c r="T669" s="233">
        <v>0</v>
      </c>
      <c r="U669" s="233">
        <v>1280000</v>
      </c>
      <c r="V669" s="233">
        <v>0</v>
      </c>
      <c r="W669" s="233">
        <v>0</v>
      </c>
      <c r="X669" s="233">
        <v>1280000</v>
      </c>
      <c r="Y669" s="233">
        <v>0</v>
      </c>
      <c r="Z669" s="233">
        <v>0</v>
      </c>
      <c r="AA669" s="233">
        <v>0</v>
      </c>
      <c r="AB669" s="233">
        <v>0</v>
      </c>
    </row>
    <row r="670" spans="1:28" ht="15" customHeight="1" x14ac:dyDescent="0.25">
      <c r="A670" s="230" t="s">
        <v>440</v>
      </c>
      <c r="B670" s="231" t="s">
        <v>441</v>
      </c>
      <c r="C670" s="232" t="s">
        <v>434</v>
      </c>
      <c r="D670" s="230" t="s">
        <v>264</v>
      </c>
      <c r="E670" s="230" t="s">
        <v>269</v>
      </c>
      <c r="F670" s="230" t="s">
        <v>269</v>
      </c>
      <c r="G670" s="230" t="s">
        <v>269</v>
      </c>
      <c r="H670" s="230" t="s">
        <v>351</v>
      </c>
      <c r="I670" s="230" t="s">
        <v>322</v>
      </c>
      <c r="J670" s="230"/>
      <c r="K670" s="230"/>
      <c r="L670" s="230"/>
      <c r="M670" s="230" t="s">
        <v>266</v>
      </c>
      <c r="N670" s="230" t="s">
        <v>280</v>
      </c>
      <c r="O670" s="230" t="s">
        <v>267</v>
      </c>
      <c r="P670" s="231" t="s">
        <v>435</v>
      </c>
      <c r="Q670" s="231"/>
      <c r="R670" s="233">
        <v>0</v>
      </c>
      <c r="S670" s="233">
        <v>24997856</v>
      </c>
      <c r="T670" s="233">
        <v>0</v>
      </c>
      <c r="U670" s="233">
        <v>24997856</v>
      </c>
      <c r="V670" s="233">
        <v>0</v>
      </c>
      <c r="W670" s="233">
        <v>24997856</v>
      </c>
      <c r="X670" s="233">
        <v>0</v>
      </c>
      <c r="Y670" s="233">
        <v>0</v>
      </c>
      <c r="Z670" s="233">
        <v>0</v>
      </c>
      <c r="AA670" s="233">
        <v>0</v>
      </c>
      <c r="AB670" s="233">
        <v>0</v>
      </c>
    </row>
    <row r="671" spans="1:28" ht="15" customHeight="1" x14ac:dyDescent="0.25">
      <c r="A671" s="230" t="s">
        <v>440</v>
      </c>
      <c r="B671" s="231" t="s">
        <v>441</v>
      </c>
      <c r="C671" s="232" t="s">
        <v>369</v>
      </c>
      <c r="D671" s="230" t="s">
        <v>264</v>
      </c>
      <c r="E671" s="230" t="s">
        <v>269</v>
      </c>
      <c r="F671" s="230" t="s">
        <v>269</v>
      </c>
      <c r="G671" s="230" t="s">
        <v>269</v>
      </c>
      <c r="H671" s="230" t="s">
        <v>331</v>
      </c>
      <c r="I671" s="230" t="s">
        <v>319</v>
      </c>
      <c r="J671" s="230"/>
      <c r="K671" s="230"/>
      <c r="L671" s="230"/>
      <c r="M671" s="230" t="s">
        <v>266</v>
      </c>
      <c r="N671" s="230" t="s">
        <v>280</v>
      </c>
      <c r="O671" s="230" t="s">
        <v>267</v>
      </c>
      <c r="P671" s="231" t="s">
        <v>370</v>
      </c>
      <c r="Q671" s="231"/>
      <c r="R671" s="233">
        <v>0</v>
      </c>
      <c r="S671" s="233">
        <v>3100000</v>
      </c>
      <c r="T671" s="233">
        <v>0</v>
      </c>
      <c r="U671" s="233">
        <v>3100000</v>
      </c>
      <c r="V671" s="233">
        <v>0</v>
      </c>
      <c r="W671" s="233">
        <v>3100000</v>
      </c>
      <c r="X671" s="233">
        <v>0</v>
      </c>
      <c r="Y671" s="233">
        <v>0</v>
      </c>
      <c r="Z671" s="233">
        <v>0</v>
      </c>
      <c r="AA671" s="233">
        <v>0</v>
      </c>
      <c r="AB671" s="233">
        <v>0</v>
      </c>
    </row>
    <row r="672" spans="1:28" ht="15" customHeight="1" x14ac:dyDescent="0.25">
      <c r="A672" s="230" t="s">
        <v>440</v>
      </c>
      <c r="B672" s="231" t="s">
        <v>441</v>
      </c>
      <c r="C672" s="232" t="s">
        <v>371</v>
      </c>
      <c r="D672" s="230" t="s">
        <v>264</v>
      </c>
      <c r="E672" s="230" t="s">
        <v>269</v>
      </c>
      <c r="F672" s="230" t="s">
        <v>269</v>
      </c>
      <c r="G672" s="230" t="s">
        <v>269</v>
      </c>
      <c r="H672" s="230" t="s">
        <v>334</v>
      </c>
      <c r="I672" s="230"/>
      <c r="J672" s="230"/>
      <c r="K672" s="230"/>
      <c r="L672" s="230"/>
      <c r="M672" s="230" t="s">
        <v>266</v>
      </c>
      <c r="N672" s="230" t="s">
        <v>280</v>
      </c>
      <c r="O672" s="230" t="s">
        <v>267</v>
      </c>
      <c r="P672" s="231" t="s">
        <v>372</v>
      </c>
      <c r="Q672" s="231"/>
      <c r="R672" s="233">
        <v>0</v>
      </c>
      <c r="S672" s="233">
        <v>271546</v>
      </c>
      <c r="T672" s="233">
        <v>0</v>
      </c>
      <c r="U672" s="233">
        <v>271546</v>
      </c>
      <c r="V672" s="233">
        <v>0</v>
      </c>
      <c r="W672" s="233">
        <v>271546</v>
      </c>
      <c r="X672" s="233">
        <v>0</v>
      </c>
      <c r="Y672" s="233">
        <v>271546</v>
      </c>
      <c r="Z672" s="233">
        <v>271546</v>
      </c>
      <c r="AA672" s="233">
        <v>271546</v>
      </c>
      <c r="AB672" s="233">
        <v>271546</v>
      </c>
    </row>
    <row r="673" spans="1:28" ht="15" customHeight="1" x14ac:dyDescent="0.25">
      <c r="A673" s="230" t="s">
        <v>440</v>
      </c>
      <c r="B673" s="231" t="s">
        <v>441</v>
      </c>
      <c r="C673" s="232" t="s">
        <v>373</v>
      </c>
      <c r="D673" s="230" t="s">
        <v>264</v>
      </c>
      <c r="E673" s="230" t="s">
        <v>271</v>
      </c>
      <c r="F673" s="230" t="s">
        <v>277</v>
      </c>
      <c r="G673" s="230" t="s">
        <v>269</v>
      </c>
      <c r="H673" s="230" t="s">
        <v>278</v>
      </c>
      <c r="I673" s="230" t="s">
        <v>281</v>
      </c>
      <c r="J673" s="230"/>
      <c r="K673" s="230"/>
      <c r="L673" s="230"/>
      <c r="M673" s="230" t="s">
        <v>266</v>
      </c>
      <c r="N673" s="230" t="s">
        <v>280</v>
      </c>
      <c r="O673" s="230" t="s">
        <v>267</v>
      </c>
      <c r="P673" s="231" t="s">
        <v>374</v>
      </c>
      <c r="Q673" s="231"/>
      <c r="R673" s="233">
        <v>0</v>
      </c>
      <c r="S673" s="233">
        <v>200000</v>
      </c>
      <c r="T673" s="233">
        <v>0</v>
      </c>
      <c r="U673" s="233">
        <v>200000</v>
      </c>
      <c r="V673" s="233">
        <v>0</v>
      </c>
      <c r="W673" s="233">
        <v>47126</v>
      </c>
      <c r="X673" s="233">
        <v>152874</v>
      </c>
      <c r="Y673" s="233">
        <v>47126</v>
      </c>
      <c r="Z673" s="233">
        <v>0</v>
      </c>
      <c r="AA673" s="233">
        <v>0</v>
      </c>
      <c r="AB673" s="233">
        <v>0</v>
      </c>
    </row>
    <row r="674" spans="1:28" ht="15" customHeight="1" x14ac:dyDescent="0.25">
      <c r="A674" s="230" t="s">
        <v>311</v>
      </c>
      <c r="B674" s="231" t="s">
        <v>312</v>
      </c>
      <c r="C674" s="232" t="s">
        <v>444</v>
      </c>
      <c r="D674" s="230" t="s">
        <v>22</v>
      </c>
      <c r="E674" s="230" t="s">
        <v>289</v>
      </c>
      <c r="F674" s="230" t="s">
        <v>290</v>
      </c>
      <c r="G674" s="230" t="s">
        <v>291</v>
      </c>
      <c r="H674" s="230" t="s">
        <v>445</v>
      </c>
      <c r="I674" s="230" t="s">
        <v>446</v>
      </c>
      <c r="J674" s="230" t="s">
        <v>269</v>
      </c>
      <c r="K674" s="230"/>
      <c r="L674" s="230"/>
      <c r="M674" s="230" t="s">
        <v>266</v>
      </c>
      <c r="N674" s="230" t="s">
        <v>32</v>
      </c>
      <c r="O674" s="230" t="s">
        <v>267</v>
      </c>
      <c r="P674" s="231" t="s">
        <v>56</v>
      </c>
      <c r="Q674" s="231" t="s">
        <v>447</v>
      </c>
      <c r="R674" s="233">
        <v>0</v>
      </c>
      <c r="S674" s="233">
        <v>671450</v>
      </c>
      <c r="T674" s="233">
        <v>0</v>
      </c>
      <c r="U674" s="233">
        <v>671450</v>
      </c>
      <c r="V674" s="233">
        <v>0</v>
      </c>
      <c r="W674" s="233">
        <v>489261</v>
      </c>
      <c r="X674" s="233">
        <v>182189</v>
      </c>
      <c r="Y674" s="233">
        <v>489261</v>
      </c>
      <c r="Z674" s="233">
        <v>489261</v>
      </c>
      <c r="AA674" s="233">
        <v>489261</v>
      </c>
      <c r="AB674" s="233">
        <v>489261</v>
      </c>
    </row>
    <row r="675" spans="1:28" ht="15" customHeight="1" x14ac:dyDescent="0.25">
      <c r="A675" s="230" t="s">
        <v>10820</v>
      </c>
      <c r="B675" s="231" t="s">
        <v>10821</v>
      </c>
      <c r="C675" s="232" t="s">
        <v>444</v>
      </c>
      <c r="D675" s="230" t="s">
        <v>22</v>
      </c>
      <c r="E675" s="230" t="s">
        <v>289</v>
      </c>
      <c r="F675" s="230" t="s">
        <v>290</v>
      </c>
      <c r="G675" s="230" t="s">
        <v>291</v>
      </c>
      <c r="H675" s="230" t="s">
        <v>445</v>
      </c>
      <c r="I675" s="230" t="s">
        <v>446</v>
      </c>
      <c r="J675" s="230" t="s">
        <v>269</v>
      </c>
      <c r="K675" s="230"/>
      <c r="L675" s="230"/>
      <c r="M675" s="230" t="s">
        <v>266</v>
      </c>
      <c r="N675" s="230" t="s">
        <v>32</v>
      </c>
      <c r="O675" s="230" t="s">
        <v>267</v>
      </c>
      <c r="P675" s="231" t="s">
        <v>56</v>
      </c>
      <c r="Q675" s="231" t="s">
        <v>447</v>
      </c>
      <c r="R675" s="233">
        <v>0</v>
      </c>
      <c r="S675" s="233">
        <v>1042773</v>
      </c>
      <c r="T675" s="233">
        <v>0</v>
      </c>
      <c r="U675" s="233">
        <v>1042773</v>
      </c>
      <c r="V675" s="233">
        <v>0</v>
      </c>
      <c r="W675" s="233">
        <v>947773</v>
      </c>
      <c r="X675" s="233">
        <v>95000</v>
      </c>
      <c r="Y675" s="233">
        <v>947773</v>
      </c>
      <c r="Z675" s="233">
        <v>947773</v>
      </c>
      <c r="AA675" s="233">
        <v>947773</v>
      </c>
      <c r="AB675" s="233">
        <v>947773</v>
      </c>
    </row>
    <row r="676" spans="1:28" ht="15" customHeight="1" x14ac:dyDescent="0.25">
      <c r="A676" s="230" t="s">
        <v>381</v>
      </c>
      <c r="B676" s="231" t="s">
        <v>382</v>
      </c>
      <c r="C676" s="232" t="s">
        <v>448</v>
      </c>
      <c r="D676" s="230" t="s">
        <v>22</v>
      </c>
      <c r="E676" s="230" t="s">
        <v>303</v>
      </c>
      <c r="F676" s="230" t="s">
        <v>290</v>
      </c>
      <c r="G676" s="230" t="s">
        <v>306</v>
      </c>
      <c r="H676" s="230" t="s">
        <v>445</v>
      </c>
      <c r="I676" s="230" t="s">
        <v>449</v>
      </c>
      <c r="J676" s="230" t="s">
        <v>269</v>
      </c>
      <c r="K676" s="230"/>
      <c r="L676" s="230"/>
      <c r="M676" s="230" t="s">
        <v>266</v>
      </c>
      <c r="N676" s="230" t="s">
        <v>32</v>
      </c>
      <c r="O676" s="230" t="s">
        <v>267</v>
      </c>
      <c r="P676" s="231" t="s">
        <v>87</v>
      </c>
      <c r="Q676" s="231" t="s">
        <v>450</v>
      </c>
      <c r="R676" s="233">
        <v>0</v>
      </c>
      <c r="S676" s="233">
        <v>2000000</v>
      </c>
      <c r="T676" s="233">
        <v>2000000</v>
      </c>
      <c r="U676" s="233">
        <v>0</v>
      </c>
      <c r="V676" s="233">
        <v>0</v>
      </c>
      <c r="W676" s="233">
        <v>0</v>
      </c>
      <c r="X676" s="233">
        <v>0</v>
      </c>
      <c r="Y676" s="233">
        <v>0</v>
      </c>
      <c r="Z676" s="233">
        <v>0</v>
      </c>
      <c r="AA676" s="233">
        <v>0</v>
      </c>
      <c r="AB676" s="233">
        <v>0</v>
      </c>
    </row>
    <row r="677" spans="1:28" ht="15" customHeight="1" x14ac:dyDescent="0.25">
      <c r="A677" s="230" t="s">
        <v>385</v>
      </c>
      <c r="B677" s="231" t="s">
        <v>386</v>
      </c>
      <c r="C677" s="232" t="s">
        <v>448</v>
      </c>
      <c r="D677" s="230" t="s">
        <v>22</v>
      </c>
      <c r="E677" s="230" t="s">
        <v>303</v>
      </c>
      <c r="F677" s="230" t="s">
        <v>290</v>
      </c>
      <c r="G677" s="230" t="s">
        <v>306</v>
      </c>
      <c r="H677" s="230" t="s">
        <v>445</v>
      </c>
      <c r="I677" s="230" t="s">
        <v>449</v>
      </c>
      <c r="J677" s="230" t="s">
        <v>269</v>
      </c>
      <c r="K677" s="230"/>
      <c r="L677" s="230"/>
      <c r="M677" s="230" t="s">
        <v>266</v>
      </c>
      <c r="N677" s="230" t="s">
        <v>32</v>
      </c>
      <c r="O677" s="230" t="s">
        <v>267</v>
      </c>
      <c r="P677" s="231" t="s">
        <v>87</v>
      </c>
      <c r="Q677" s="231" t="s">
        <v>450</v>
      </c>
      <c r="R677" s="233">
        <v>0</v>
      </c>
      <c r="S677" s="233">
        <v>20000000</v>
      </c>
      <c r="T677" s="233">
        <v>4500000</v>
      </c>
      <c r="U677" s="233">
        <v>15500000</v>
      </c>
      <c r="V677" s="233">
        <v>0</v>
      </c>
      <c r="W677" s="233">
        <v>15500000</v>
      </c>
      <c r="X677" s="233">
        <v>0</v>
      </c>
      <c r="Y677" s="233">
        <v>15500000</v>
      </c>
      <c r="Z677" s="233">
        <v>15500000</v>
      </c>
      <c r="AA677" s="233">
        <v>15500000</v>
      </c>
      <c r="AB677" s="233">
        <v>15500000</v>
      </c>
    </row>
    <row r="678" spans="1:28" ht="15" customHeight="1" x14ac:dyDescent="0.25">
      <c r="A678" s="230" t="s">
        <v>415</v>
      </c>
      <c r="B678" s="231" t="s">
        <v>416</v>
      </c>
      <c r="C678" s="232" t="s">
        <v>448</v>
      </c>
      <c r="D678" s="230" t="s">
        <v>22</v>
      </c>
      <c r="E678" s="230" t="s">
        <v>303</v>
      </c>
      <c r="F678" s="230" t="s">
        <v>290</v>
      </c>
      <c r="G678" s="230" t="s">
        <v>306</v>
      </c>
      <c r="H678" s="230" t="s">
        <v>445</v>
      </c>
      <c r="I678" s="230" t="s">
        <v>449</v>
      </c>
      <c r="J678" s="230" t="s">
        <v>269</v>
      </c>
      <c r="K678" s="230"/>
      <c r="L678" s="230"/>
      <c r="M678" s="230" t="s">
        <v>266</v>
      </c>
      <c r="N678" s="230" t="s">
        <v>32</v>
      </c>
      <c r="O678" s="230" t="s">
        <v>267</v>
      </c>
      <c r="P678" s="231" t="s">
        <v>87</v>
      </c>
      <c r="Q678" s="231" t="s">
        <v>450</v>
      </c>
      <c r="R678" s="233">
        <v>0</v>
      </c>
      <c r="S678" s="233">
        <v>1849000</v>
      </c>
      <c r="T678" s="233">
        <v>150751</v>
      </c>
      <c r="U678" s="233">
        <v>1698249</v>
      </c>
      <c r="V678" s="233">
        <v>0</v>
      </c>
      <c r="W678" s="233">
        <v>1698249</v>
      </c>
      <c r="X678" s="233">
        <v>0</v>
      </c>
      <c r="Y678" s="233">
        <v>1698249</v>
      </c>
      <c r="Z678" s="233">
        <v>1698249</v>
      </c>
      <c r="AA678" s="233">
        <v>1698249</v>
      </c>
      <c r="AB678" s="233">
        <v>1698249</v>
      </c>
    </row>
    <row r="679" spans="1:28" ht="15" customHeight="1" x14ac:dyDescent="0.25">
      <c r="A679" s="230" t="s">
        <v>424</v>
      </c>
      <c r="B679" s="231" t="s">
        <v>425</v>
      </c>
      <c r="C679" s="232" t="s">
        <v>448</v>
      </c>
      <c r="D679" s="230" t="s">
        <v>22</v>
      </c>
      <c r="E679" s="230" t="s">
        <v>303</v>
      </c>
      <c r="F679" s="230" t="s">
        <v>290</v>
      </c>
      <c r="G679" s="230" t="s">
        <v>306</v>
      </c>
      <c r="H679" s="230" t="s">
        <v>445</v>
      </c>
      <c r="I679" s="230" t="s">
        <v>449</v>
      </c>
      <c r="J679" s="230" t="s">
        <v>269</v>
      </c>
      <c r="K679" s="230"/>
      <c r="L679" s="230"/>
      <c r="M679" s="230" t="s">
        <v>266</v>
      </c>
      <c r="N679" s="230" t="s">
        <v>32</v>
      </c>
      <c r="O679" s="230" t="s">
        <v>267</v>
      </c>
      <c r="P679" s="231" t="s">
        <v>87</v>
      </c>
      <c r="Q679" s="231" t="s">
        <v>450</v>
      </c>
      <c r="R679" s="233">
        <v>0</v>
      </c>
      <c r="S679" s="233">
        <v>4600000</v>
      </c>
      <c r="T679" s="233">
        <v>4600000</v>
      </c>
      <c r="U679" s="233">
        <v>0</v>
      </c>
      <c r="V679" s="233">
        <v>0</v>
      </c>
      <c r="W679" s="233">
        <v>0</v>
      </c>
      <c r="X679" s="233">
        <v>0</v>
      </c>
      <c r="Y679" s="233">
        <v>0</v>
      </c>
      <c r="Z679" s="233">
        <v>0</v>
      </c>
      <c r="AA679" s="233">
        <v>0</v>
      </c>
      <c r="AB679" s="233">
        <v>0</v>
      </c>
    </row>
    <row r="680" spans="1:28" ht="15" customHeight="1" x14ac:dyDescent="0.25">
      <c r="A680" s="230" t="s">
        <v>10820</v>
      </c>
      <c r="B680" s="231" t="s">
        <v>10821</v>
      </c>
      <c r="C680" s="232" t="s">
        <v>448</v>
      </c>
      <c r="D680" s="230" t="s">
        <v>22</v>
      </c>
      <c r="E680" s="230" t="s">
        <v>303</v>
      </c>
      <c r="F680" s="230" t="s">
        <v>290</v>
      </c>
      <c r="G680" s="230" t="s">
        <v>306</v>
      </c>
      <c r="H680" s="230" t="s">
        <v>445</v>
      </c>
      <c r="I680" s="230" t="s">
        <v>449</v>
      </c>
      <c r="J680" s="230" t="s">
        <v>269</v>
      </c>
      <c r="K680" s="230"/>
      <c r="L680" s="230"/>
      <c r="M680" s="230" t="s">
        <v>266</v>
      </c>
      <c r="N680" s="230" t="s">
        <v>32</v>
      </c>
      <c r="O680" s="230" t="s">
        <v>267</v>
      </c>
      <c r="P680" s="231" t="s">
        <v>87</v>
      </c>
      <c r="Q680" s="231" t="s">
        <v>450</v>
      </c>
      <c r="R680" s="233">
        <v>0</v>
      </c>
      <c r="S680" s="233">
        <v>25400000</v>
      </c>
      <c r="T680" s="233">
        <v>0</v>
      </c>
      <c r="U680" s="233">
        <v>25400000</v>
      </c>
      <c r="V680" s="233">
        <v>0</v>
      </c>
      <c r="W680" s="233">
        <v>25400000</v>
      </c>
      <c r="X680" s="233">
        <v>0</v>
      </c>
      <c r="Y680" s="233">
        <v>25400000</v>
      </c>
      <c r="Z680" s="233">
        <v>25400000</v>
      </c>
      <c r="AA680" s="233">
        <v>25400000</v>
      </c>
      <c r="AB680" s="233">
        <v>25400000</v>
      </c>
    </row>
    <row r="681" spans="1:28" ht="15" customHeight="1" x14ac:dyDescent="0.25">
      <c r="A681" s="230" t="s">
        <v>381</v>
      </c>
      <c r="B681" s="231" t="s">
        <v>382</v>
      </c>
      <c r="C681" s="232" t="s">
        <v>451</v>
      </c>
      <c r="D681" s="230" t="s">
        <v>22</v>
      </c>
      <c r="E681" s="230" t="s">
        <v>303</v>
      </c>
      <c r="F681" s="230" t="s">
        <v>290</v>
      </c>
      <c r="G681" s="230" t="s">
        <v>306</v>
      </c>
      <c r="H681" s="230" t="s">
        <v>445</v>
      </c>
      <c r="I681" s="230" t="s">
        <v>452</v>
      </c>
      <c r="J681" s="230" t="s">
        <v>269</v>
      </c>
      <c r="K681" s="230"/>
      <c r="L681" s="230"/>
      <c r="M681" s="230" t="s">
        <v>266</v>
      </c>
      <c r="N681" s="230" t="s">
        <v>32</v>
      </c>
      <c r="O681" s="230" t="s">
        <v>267</v>
      </c>
      <c r="P681" s="231" t="s">
        <v>116</v>
      </c>
      <c r="Q681" s="231" t="s">
        <v>450</v>
      </c>
      <c r="R681" s="233">
        <v>0</v>
      </c>
      <c r="S681" s="233">
        <v>40000000</v>
      </c>
      <c r="T681" s="233">
        <v>0</v>
      </c>
      <c r="U681" s="233">
        <v>40000000</v>
      </c>
      <c r="V681" s="233">
        <v>0</v>
      </c>
      <c r="W681" s="233">
        <v>40000000</v>
      </c>
      <c r="X681" s="233">
        <v>0</v>
      </c>
      <c r="Y681" s="233">
        <v>0</v>
      </c>
      <c r="Z681" s="233">
        <v>0</v>
      </c>
      <c r="AA681" s="233">
        <v>0</v>
      </c>
      <c r="AB681" s="233">
        <v>0</v>
      </c>
    </row>
    <row r="682" spans="1:28" ht="15" customHeight="1" x14ac:dyDescent="0.25">
      <c r="A682" s="230" t="s">
        <v>311</v>
      </c>
      <c r="B682" s="231" t="s">
        <v>312</v>
      </c>
      <c r="C682" s="232" t="s">
        <v>453</v>
      </c>
      <c r="D682" s="230" t="s">
        <v>22</v>
      </c>
      <c r="E682" s="230" t="s">
        <v>303</v>
      </c>
      <c r="F682" s="230" t="s">
        <v>290</v>
      </c>
      <c r="G682" s="230" t="s">
        <v>306</v>
      </c>
      <c r="H682" s="230" t="s">
        <v>445</v>
      </c>
      <c r="I682" s="230" t="s">
        <v>454</v>
      </c>
      <c r="J682" s="230" t="s">
        <v>269</v>
      </c>
      <c r="K682" s="230"/>
      <c r="L682" s="230"/>
      <c r="M682" s="230" t="s">
        <v>266</v>
      </c>
      <c r="N682" s="230" t="s">
        <v>32</v>
      </c>
      <c r="O682" s="230" t="s">
        <v>267</v>
      </c>
      <c r="P682" s="231" t="s">
        <v>93</v>
      </c>
      <c r="Q682" s="231" t="s">
        <v>450</v>
      </c>
      <c r="R682" s="233">
        <v>0</v>
      </c>
      <c r="S682" s="233">
        <v>61500000</v>
      </c>
      <c r="T682" s="233">
        <v>30000000</v>
      </c>
      <c r="U682" s="233">
        <v>31500000</v>
      </c>
      <c r="V682" s="233">
        <v>0</v>
      </c>
      <c r="W682" s="233">
        <v>30000000</v>
      </c>
      <c r="X682" s="233">
        <v>1500000</v>
      </c>
      <c r="Y682" s="233">
        <v>20763715</v>
      </c>
      <c r="Z682" s="233">
        <v>0</v>
      </c>
      <c r="AA682" s="233">
        <v>0</v>
      </c>
      <c r="AB682" s="233">
        <v>0</v>
      </c>
    </row>
    <row r="683" spans="1:28" ht="15" customHeight="1" x14ac:dyDescent="0.25">
      <c r="A683" s="230" t="s">
        <v>381</v>
      </c>
      <c r="B683" s="231" t="s">
        <v>382</v>
      </c>
      <c r="C683" s="232" t="s">
        <v>453</v>
      </c>
      <c r="D683" s="230" t="s">
        <v>22</v>
      </c>
      <c r="E683" s="230" t="s">
        <v>303</v>
      </c>
      <c r="F683" s="230" t="s">
        <v>290</v>
      </c>
      <c r="G683" s="230" t="s">
        <v>306</v>
      </c>
      <c r="H683" s="230" t="s">
        <v>445</v>
      </c>
      <c r="I683" s="230" t="s">
        <v>454</v>
      </c>
      <c r="J683" s="230" t="s">
        <v>269</v>
      </c>
      <c r="K683" s="230"/>
      <c r="L683" s="230"/>
      <c r="M683" s="230" t="s">
        <v>266</v>
      </c>
      <c r="N683" s="230" t="s">
        <v>32</v>
      </c>
      <c r="O683" s="230" t="s">
        <v>267</v>
      </c>
      <c r="P683" s="231" t="s">
        <v>93</v>
      </c>
      <c r="Q683" s="231" t="s">
        <v>450</v>
      </c>
      <c r="R683" s="233">
        <v>0</v>
      </c>
      <c r="S683" s="233">
        <v>20765491</v>
      </c>
      <c r="T683" s="233">
        <v>9869116</v>
      </c>
      <c r="U683" s="233">
        <v>10896375</v>
      </c>
      <c r="V683" s="233">
        <v>0</v>
      </c>
      <c r="W683" s="233">
        <v>10896375</v>
      </c>
      <c r="X683" s="233">
        <v>0</v>
      </c>
      <c r="Y683" s="233">
        <v>10896375</v>
      </c>
      <c r="Z683" s="233">
        <v>1008000</v>
      </c>
      <c r="AA683" s="233">
        <v>1008000</v>
      </c>
      <c r="AB683" s="233">
        <v>1008000</v>
      </c>
    </row>
    <row r="684" spans="1:28" ht="15" customHeight="1" x14ac:dyDescent="0.25">
      <c r="A684" s="230" t="s">
        <v>385</v>
      </c>
      <c r="B684" s="231" t="s">
        <v>386</v>
      </c>
      <c r="C684" s="232" t="s">
        <v>453</v>
      </c>
      <c r="D684" s="230" t="s">
        <v>22</v>
      </c>
      <c r="E684" s="230" t="s">
        <v>303</v>
      </c>
      <c r="F684" s="230" t="s">
        <v>290</v>
      </c>
      <c r="G684" s="230" t="s">
        <v>306</v>
      </c>
      <c r="H684" s="230" t="s">
        <v>445</v>
      </c>
      <c r="I684" s="230" t="s">
        <v>454</v>
      </c>
      <c r="J684" s="230" t="s">
        <v>269</v>
      </c>
      <c r="K684" s="230"/>
      <c r="L684" s="230"/>
      <c r="M684" s="230" t="s">
        <v>266</v>
      </c>
      <c r="N684" s="230" t="s">
        <v>32</v>
      </c>
      <c r="O684" s="230" t="s">
        <v>267</v>
      </c>
      <c r="P684" s="231" t="s">
        <v>93</v>
      </c>
      <c r="Q684" s="231" t="s">
        <v>450</v>
      </c>
      <c r="R684" s="233">
        <v>0</v>
      </c>
      <c r="S684" s="233">
        <v>30800000</v>
      </c>
      <c r="T684" s="233">
        <v>2400000</v>
      </c>
      <c r="U684" s="233">
        <v>28400000</v>
      </c>
      <c r="V684" s="233">
        <v>0</v>
      </c>
      <c r="W684" s="233">
        <v>28400000</v>
      </c>
      <c r="X684" s="233">
        <v>0</v>
      </c>
      <c r="Y684" s="233">
        <v>10190000</v>
      </c>
      <c r="Z684" s="233">
        <v>3190000</v>
      </c>
      <c r="AA684" s="233">
        <v>3190000</v>
      </c>
      <c r="AB684" s="233">
        <v>3190000</v>
      </c>
    </row>
    <row r="685" spans="1:28" ht="15" customHeight="1" x14ac:dyDescent="0.25">
      <c r="A685" s="230" t="s">
        <v>385</v>
      </c>
      <c r="B685" s="231" t="s">
        <v>386</v>
      </c>
      <c r="C685" s="232" t="s">
        <v>453</v>
      </c>
      <c r="D685" s="230" t="s">
        <v>22</v>
      </c>
      <c r="E685" s="230" t="s">
        <v>303</v>
      </c>
      <c r="F685" s="230" t="s">
        <v>290</v>
      </c>
      <c r="G685" s="230" t="s">
        <v>306</v>
      </c>
      <c r="H685" s="230" t="s">
        <v>445</v>
      </c>
      <c r="I685" s="230" t="s">
        <v>454</v>
      </c>
      <c r="J685" s="230" t="s">
        <v>269</v>
      </c>
      <c r="K685" s="230"/>
      <c r="L685" s="230"/>
      <c r="M685" s="230" t="s">
        <v>273</v>
      </c>
      <c r="N685" s="230" t="s">
        <v>34</v>
      </c>
      <c r="O685" s="230" t="s">
        <v>267</v>
      </c>
      <c r="P685" s="231" t="s">
        <v>93</v>
      </c>
      <c r="Q685" s="231" t="s">
        <v>450</v>
      </c>
      <c r="R685" s="233">
        <v>0</v>
      </c>
      <c r="S685" s="233">
        <v>1866167</v>
      </c>
      <c r="T685" s="233">
        <v>1866167</v>
      </c>
      <c r="U685" s="233">
        <v>0</v>
      </c>
      <c r="V685" s="233">
        <v>0</v>
      </c>
      <c r="W685" s="233">
        <v>0</v>
      </c>
      <c r="X685" s="233">
        <v>0</v>
      </c>
      <c r="Y685" s="233">
        <v>0</v>
      </c>
      <c r="Z685" s="233">
        <v>0</v>
      </c>
      <c r="AA685" s="233">
        <v>0</v>
      </c>
      <c r="AB685" s="233">
        <v>0</v>
      </c>
    </row>
    <row r="686" spans="1:28" ht="15" customHeight="1" x14ac:dyDescent="0.25">
      <c r="A686" s="230" t="s">
        <v>391</v>
      </c>
      <c r="B686" s="231" t="s">
        <v>392</v>
      </c>
      <c r="C686" s="232" t="s">
        <v>453</v>
      </c>
      <c r="D686" s="230" t="s">
        <v>22</v>
      </c>
      <c r="E686" s="230" t="s">
        <v>303</v>
      </c>
      <c r="F686" s="230" t="s">
        <v>290</v>
      </c>
      <c r="G686" s="230" t="s">
        <v>306</v>
      </c>
      <c r="H686" s="230" t="s">
        <v>445</v>
      </c>
      <c r="I686" s="230" t="s">
        <v>454</v>
      </c>
      <c r="J686" s="230" t="s">
        <v>269</v>
      </c>
      <c r="K686" s="230"/>
      <c r="L686" s="230"/>
      <c r="M686" s="230" t="s">
        <v>266</v>
      </c>
      <c r="N686" s="230" t="s">
        <v>32</v>
      </c>
      <c r="O686" s="230" t="s">
        <v>267</v>
      </c>
      <c r="P686" s="231" t="s">
        <v>93</v>
      </c>
      <c r="Q686" s="231" t="s">
        <v>450</v>
      </c>
      <c r="R686" s="233">
        <v>0</v>
      </c>
      <c r="S686" s="233">
        <v>7000000</v>
      </c>
      <c r="T686" s="233">
        <v>1420000</v>
      </c>
      <c r="U686" s="233">
        <v>5580000</v>
      </c>
      <c r="V686" s="233">
        <v>0</v>
      </c>
      <c r="W686" s="233">
        <v>5580000</v>
      </c>
      <c r="X686" s="233">
        <v>0</v>
      </c>
      <c r="Y686" s="233">
        <v>5580000</v>
      </c>
      <c r="Z686" s="233">
        <v>0</v>
      </c>
      <c r="AA686" s="233">
        <v>0</v>
      </c>
      <c r="AB686" s="233">
        <v>0</v>
      </c>
    </row>
    <row r="687" spans="1:28" ht="15" customHeight="1" x14ac:dyDescent="0.25">
      <c r="A687" s="230" t="s">
        <v>393</v>
      </c>
      <c r="B687" s="231" t="s">
        <v>394</v>
      </c>
      <c r="C687" s="232" t="s">
        <v>453</v>
      </c>
      <c r="D687" s="230" t="s">
        <v>22</v>
      </c>
      <c r="E687" s="230" t="s">
        <v>303</v>
      </c>
      <c r="F687" s="230" t="s">
        <v>290</v>
      </c>
      <c r="G687" s="230" t="s">
        <v>306</v>
      </c>
      <c r="H687" s="230" t="s">
        <v>445</v>
      </c>
      <c r="I687" s="230" t="s">
        <v>454</v>
      </c>
      <c r="J687" s="230" t="s">
        <v>269</v>
      </c>
      <c r="K687" s="230"/>
      <c r="L687" s="230"/>
      <c r="M687" s="230" t="s">
        <v>266</v>
      </c>
      <c r="N687" s="230" t="s">
        <v>32</v>
      </c>
      <c r="O687" s="230" t="s">
        <v>267</v>
      </c>
      <c r="P687" s="231" t="s">
        <v>93</v>
      </c>
      <c r="Q687" s="231" t="s">
        <v>450</v>
      </c>
      <c r="R687" s="233">
        <v>0</v>
      </c>
      <c r="S687" s="233">
        <v>21200000</v>
      </c>
      <c r="T687" s="233">
        <v>600000</v>
      </c>
      <c r="U687" s="233">
        <v>20600000</v>
      </c>
      <c r="V687" s="233">
        <v>0</v>
      </c>
      <c r="W687" s="233">
        <v>20600000</v>
      </c>
      <c r="X687" s="233">
        <v>0</v>
      </c>
      <c r="Y687" s="233">
        <v>0</v>
      </c>
      <c r="Z687" s="233">
        <v>0</v>
      </c>
      <c r="AA687" s="233">
        <v>0</v>
      </c>
      <c r="AB687" s="233">
        <v>0</v>
      </c>
    </row>
    <row r="688" spans="1:28" ht="15" customHeight="1" x14ac:dyDescent="0.25">
      <c r="A688" s="230" t="s">
        <v>397</v>
      </c>
      <c r="B688" s="231" t="s">
        <v>398</v>
      </c>
      <c r="C688" s="232" t="s">
        <v>453</v>
      </c>
      <c r="D688" s="230" t="s">
        <v>22</v>
      </c>
      <c r="E688" s="230" t="s">
        <v>303</v>
      </c>
      <c r="F688" s="230" t="s">
        <v>290</v>
      </c>
      <c r="G688" s="230" t="s">
        <v>306</v>
      </c>
      <c r="H688" s="230" t="s">
        <v>445</v>
      </c>
      <c r="I688" s="230" t="s">
        <v>454</v>
      </c>
      <c r="J688" s="230" t="s">
        <v>269</v>
      </c>
      <c r="K688" s="230"/>
      <c r="L688" s="230"/>
      <c r="M688" s="230" t="s">
        <v>266</v>
      </c>
      <c r="N688" s="230" t="s">
        <v>32</v>
      </c>
      <c r="O688" s="230" t="s">
        <v>267</v>
      </c>
      <c r="P688" s="231" t="s">
        <v>93</v>
      </c>
      <c r="Q688" s="231" t="s">
        <v>450</v>
      </c>
      <c r="R688" s="233">
        <v>0</v>
      </c>
      <c r="S688" s="233">
        <v>7450000</v>
      </c>
      <c r="T688" s="233">
        <v>0</v>
      </c>
      <c r="U688" s="233">
        <v>7450000</v>
      </c>
      <c r="V688" s="233">
        <v>0</v>
      </c>
      <c r="W688" s="233">
        <v>7450000</v>
      </c>
      <c r="X688" s="233">
        <v>0</v>
      </c>
      <c r="Y688" s="233">
        <v>0</v>
      </c>
      <c r="Z688" s="233">
        <v>0</v>
      </c>
      <c r="AA688" s="233">
        <v>0</v>
      </c>
      <c r="AB688" s="233">
        <v>0</v>
      </c>
    </row>
    <row r="689" spans="1:28" ht="15" customHeight="1" x14ac:dyDescent="0.25">
      <c r="A689" s="230" t="s">
        <v>397</v>
      </c>
      <c r="B689" s="231" t="s">
        <v>398</v>
      </c>
      <c r="C689" s="232" t="s">
        <v>453</v>
      </c>
      <c r="D689" s="230" t="s">
        <v>22</v>
      </c>
      <c r="E689" s="230" t="s">
        <v>303</v>
      </c>
      <c r="F689" s="230" t="s">
        <v>290</v>
      </c>
      <c r="G689" s="230" t="s">
        <v>306</v>
      </c>
      <c r="H689" s="230" t="s">
        <v>445</v>
      </c>
      <c r="I689" s="230" t="s">
        <v>454</v>
      </c>
      <c r="J689" s="230" t="s">
        <v>269</v>
      </c>
      <c r="K689" s="230"/>
      <c r="L689" s="230"/>
      <c r="M689" s="230" t="s">
        <v>273</v>
      </c>
      <c r="N689" s="230" t="s">
        <v>34</v>
      </c>
      <c r="O689" s="230" t="s">
        <v>267</v>
      </c>
      <c r="P689" s="231" t="s">
        <v>93</v>
      </c>
      <c r="Q689" s="231" t="s">
        <v>450</v>
      </c>
      <c r="R689" s="233">
        <v>0</v>
      </c>
      <c r="S689" s="233">
        <v>6600000</v>
      </c>
      <c r="T689" s="233">
        <v>6600000</v>
      </c>
      <c r="U689" s="233">
        <v>0</v>
      </c>
      <c r="V689" s="233">
        <v>0</v>
      </c>
      <c r="W689" s="233">
        <v>0</v>
      </c>
      <c r="X689" s="233">
        <v>0</v>
      </c>
      <c r="Y689" s="233">
        <v>0</v>
      </c>
      <c r="Z689" s="233">
        <v>0</v>
      </c>
      <c r="AA689" s="233">
        <v>0</v>
      </c>
      <c r="AB689" s="233">
        <v>0</v>
      </c>
    </row>
    <row r="690" spans="1:28" ht="15" customHeight="1" x14ac:dyDescent="0.25">
      <c r="A690" s="230" t="s">
        <v>401</v>
      </c>
      <c r="B690" s="231" t="s">
        <v>402</v>
      </c>
      <c r="C690" s="232" t="s">
        <v>453</v>
      </c>
      <c r="D690" s="230" t="s">
        <v>22</v>
      </c>
      <c r="E690" s="230" t="s">
        <v>303</v>
      </c>
      <c r="F690" s="230" t="s">
        <v>290</v>
      </c>
      <c r="G690" s="230" t="s">
        <v>306</v>
      </c>
      <c r="H690" s="230" t="s">
        <v>445</v>
      </c>
      <c r="I690" s="230" t="s">
        <v>454</v>
      </c>
      <c r="J690" s="230" t="s">
        <v>269</v>
      </c>
      <c r="K690" s="230"/>
      <c r="L690" s="230"/>
      <c r="M690" s="230" t="s">
        <v>266</v>
      </c>
      <c r="N690" s="230" t="s">
        <v>32</v>
      </c>
      <c r="O690" s="230" t="s">
        <v>267</v>
      </c>
      <c r="P690" s="231" t="s">
        <v>93</v>
      </c>
      <c r="Q690" s="231" t="s">
        <v>450</v>
      </c>
      <c r="R690" s="233">
        <v>0</v>
      </c>
      <c r="S690" s="233">
        <v>10073548</v>
      </c>
      <c r="T690" s="233">
        <v>5171938</v>
      </c>
      <c r="U690" s="233">
        <v>4901610</v>
      </c>
      <c r="V690" s="233">
        <v>0</v>
      </c>
      <c r="W690" s="233">
        <v>4901610</v>
      </c>
      <c r="X690" s="233">
        <v>0</v>
      </c>
      <c r="Y690" s="233">
        <v>4901610</v>
      </c>
      <c r="Z690" s="233">
        <v>3318910</v>
      </c>
      <c r="AA690" s="233">
        <v>3318910</v>
      </c>
      <c r="AB690" s="233">
        <v>3318910</v>
      </c>
    </row>
    <row r="691" spans="1:28" ht="15" customHeight="1" x14ac:dyDescent="0.25">
      <c r="A691" s="230" t="s">
        <v>411</v>
      </c>
      <c r="B691" s="231" t="s">
        <v>412</v>
      </c>
      <c r="C691" s="232" t="s">
        <v>453</v>
      </c>
      <c r="D691" s="230" t="s">
        <v>22</v>
      </c>
      <c r="E691" s="230" t="s">
        <v>303</v>
      </c>
      <c r="F691" s="230" t="s">
        <v>290</v>
      </c>
      <c r="G691" s="230" t="s">
        <v>306</v>
      </c>
      <c r="H691" s="230" t="s">
        <v>445</v>
      </c>
      <c r="I691" s="230" t="s">
        <v>454</v>
      </c>
      <c r="J691" s="230" t="s">
        <v>269</v>
      </c>
      <c r="K691" s="230"/>
      <c r="L691" s="230"/>
      <c r="M691" s="230" t="s">
        <v>266</v>
      </c>
      <c r="N691" s="230" t="s">
        <v>32</v>
      </c>
      <c r="O691" s="230" t="s">
        <v>267</v>
      </c>
      <c r="P691" s="231" t="s">
        <v>93</v>
      </c>
      <c r="Q691" s="231" t="s">
        <v>450</v>
      </c>
      <c r="R691" s="233">
        <v>0</v>
      </c>
      <c r="S691" s="233">
        <v>41701745</v>
      </c>
      <c r="T691" s="233">
        <v>13166745</v>
      </c>
      <c r="U691" s="233">
        <v>28535000</v>
      </c>
      <c r="V691" s="233">
        <v>0</v>
      </c>
      <c r="W691" s="233">
        <v>28535000</v>
      </c>
      <c r="X691" s="233">
        <v>0</v>
      </c>
      <c r="Y691" s="233">
        <v>26894000</v>
      </c>
      <c r="Z691" s="233">
        <v>26894000</v>
      </c>
      <c r="AA691" s="233">
        <v>26894000</v>
      </c>
      <c r="AB691" s="233">
        <v>26894000</v>
      </c>
    </row>
    <row r="692" spans="1:28" ht="15" customHeight="1" x14ac:dyDescent="0.25">
      <c r="A692" s="230" t="s">
        <v>413</v>
      </c>
      <c r="B692" s="231" t="s">
        <v>414</v>
      </c>
      <c r="C692" s="232" t="s">
        <v>453</v>
      </c>
      <c r="D692" s="230" t="s">
        <v>22</v>
      </c>
      <c r="E692" s="230" t="s">
        <v>303</v>
      </c>
      <c r="F692" s="230" t="s">
        <v>290</v>
      </c>
      <c r="G692" s="230" t="s">
        <v>306</v>
      </c>
      <c r="H692" s="230" t="s">
        <v>445</v>
      </c>
      <c r="I692" s="230" t="s">
        <v>454</v>
      </c>
      <c r="J692" s="230" t="s">
        <v>269</v>
      </c>
      <c r="K692" s="230"/>
      <c r="L692" s="230"/>
      <c r="M692" s="230" t="s">
        <v>266</v>
      </c>
      <c r="N692" s="230" t="s">
        <v>32</v>
      </c>
      <c r="O692" s="230" t="s">
        <v>267</v>
      </c>
      <c r="P692" s="231" t="s">
        <v>93</v>
      </c>
      <c r="Q692" s="231" t="s">
        <v>450</v>
      </c>
      <c r="R692" s="233">
        <v>0</v>
      </c>
      <c r="S692" s="233">
        <v>1000000</v>
      </c>
      <c r="T692" s="233">
        <v>0</v>
      </c>
      <c r="U692" s="233">
        <v>1000000</v>
      </c>
      <c r="V692" s="233">
        <v>0</v>
      </c>
      <c r="W692" s="233">
        <v>0</v>
      </c>
      <c r="X692" s="233">
        <v>1000000</v>
      </c>
      <c r="Y692" s="233">
        <v>0</v>
      </c>
      <c r="Z692" s="233">
        <v>0</v>
      </c>
      <c r="AA692" s="233">
        <v>0</v>
      </c>
      <c r="AB692" s="233">
        <v>0</v>
      </c>
    </row>
    <row r="693" spans="1:28" ht="15" customHeight="1" x14ac:dyDescent="0.25">
      <c r="A693" s="230" t="s">
        <v>420</v>
      </c>
      <c r="B693" s="231" t="s">
        <v>421</v>
      </c>
      <c r="C693" s="232" t="s">
        <v>453</v>
      </c>
      <c r="D693" s="230" t="s">
        <v>22</v>
      </c>
      <c r="E693" s="230" t="s">
        <v>303</v>
      </c>
      <c r="F693" s="230" t="s">
        <v>290</v>
      </c>
      <c r="G693" s="230" t="s">
        <v>306</v>
      </c>
      <c r="H693" s="230" t="s">
        <v>445</v>
      </c>
      <c r="I693" s="230" t="s">
        <v>454</v>
      </c>
      <c r="J693" s="230" t="s">
        <v>269</v>
      </c>
      <c r="K693" s="230"/>
      <c r="L693" s="230"/>
      <c r="M693" s="230" t="s">
        <v>266</v>
      </c>
      <c r="N693" s="230" t="s">
        <v>32</v>
      </c>
      <c r="O693" s="230" t="s">
        <v>267</v>
      </c>
      <c r="P693" s="231" t="s">
        <v>93</v>
      </c>
      <c r="Q693" s="231" t="s">
        <v>450</v>
      </c>
      <c r="R693" s="233">
        <v>0</v>
      </c>
      <c r="S693" s="233">
        <v>11315000</v>
      </c>
      <c r="T693" s="233">
        <v>0</v>
      </c>
      <c r="U693" s="233">
        <v>11315000</v>
      </c>
      <c r="V693" s="233">
        <v>0</v>
      </c>
      <c r="W693" s="233">
        <v>11315000</v>
      </c>
      <c r="X693" s="233">
        <v>0</v>
      </c>
      <c r="Y693" s="233">
        <v>0</v>
      </c>
      <c r="Z693" s="233">
        <v>0</v>
      </c>
      <c r="AA693" s="233">
        <v>0</v>
      </c>
      <c r="AB693" s="233">
        <v>0</v>
      </c>
    </row>
    <row r="694" spans="1:28" ht="15" customHeight="1" x14ac:dyDescent="0.25">
      <c r="A694" s="230" t="s">
        <v>422</v>
      </c>
      <c r="B694" s="231" t="s">
        <v>423</v>
      </c>
      <c r="C694" s="232" t="s">
        <v>453</v>
      </c>
      <c r="D694" s="230" t="s">
        <v>22</v>
      </c>
      <c r="E694" s="230" t="s">
        <v>303</v>
      </c>
      <c r="F694" s="230" t="s">
        <v>290</v>
      </c>
      <c r="G694" s="230" t="s">
        <v>306</v>
      </c>
      <c r="H694" s="230" t="s">
        <v>445</v>
      </c>
      <c r="I694" s="230" t="s">
        <v>454</v>
      </c>
      <c r="J694" s="230" t="s">
        <v>269</v>
      </c>
      <c r="K694" s="230"/>
      <c r="L694" s="230"/>
      <c r="M694" s="230" t="s">
        <v>266</v>
      </c>
      <c r="N694" s="230" t="s">
        <v>32</v>
      </c>
      <c r="O694" s="230" t="s">
        <v>267</v>
      </c>
      <c r="P694" s="231" t="s">
        <v>93</v>
      </c>
      <c r="Q694" s="231" t="s">
        <v>450</v>
      </c>
      <c r="R694" s="233">
        <v>0</v>
      </c>
      <c r="S694" s="233">
        <v>32090000</v>
      </c>
      <c r="T694" s="233">
        <v>350000</v>
      </c>
      <c r="U694" s="233">
        <v>31740000</v>
      </c>
      <c r="V694" s="233">
        <v>0</v>
      </c>
      <c r="W694" s="233">
        <v>31740000</v>
      </c>
      <c r="X694" s="233">
        <v>0</v>
      </c>
      <c r="Y694" s="233">
        <v>0</v>
      </c>
      <c r="Z694" s="233">
        <v>0</v>
      </c>
      <c r="AA694" s="233">
        <v>0</v>
      </c>
      <c r="AB694" s="233">
        <v>0</v>
      </c>
    </row>
    <row r="695" spans="1:28" ht="15" customHeight="1" x14ac:dyDescent="0.25">
      <c r="A695" s="230" t="s">
        <v>424</v>
      </c>
      <c r="B695" s="231" t="s">
        <v>425</v>
      </c>
      <c r="C695" s="232" t="s">
        <v>453</v>
      </c>
      <c r="D695" s="230" t="s">
        <v>22</v>
      </c>
      <c r="E695" s="230" t="s">
        <v>303</v>
      </c>
      <c r="F695" s="230" t="s">
        <v>290</v>
      </c>
      <c r="G695" s="230" t="s">
        <v>306</v>
      </c>
      <c r="H695" s="230" t="s">
        <v>445</v>
      </c>
      <c r="I695" s="230" t="s">
        <v>454</v>
      </c>
      <c r="J695" s="230" t="s">
        <v>269</v>
      </c>
      <c r="K695" s="230"/>
      <c r="L695" s="230"/>
      <c r="M695" s="230" t="s">
        <v>266</v>
      </c>
      <c r="N695" s="230" t="s">
        <v>32</v>
      </c>
      <c r="O695" s="230" t="s">
        <v>267</v>
      </c>
      <c r="P695" s="231" t="s">
        <v>93</v>
      </c>
      <c r="Q695" s="231" t="s">
        <v>450</v>
      </c>
      <c r="R695" s="233">
        <v>0</v>
      </c>
      <c r="S695" s="233">
        <v>4000000</v>
      </c>
      <c r="T695" s="233">
        <v>511000</v>
      </c>
      <c r="U695" s="233">
        <v>3489000</v>
      </c>
      <c r="V695" s="233">
        <v>0</v>
      </c>
      <c r="W695" s="233">
        <v>3489000</v>
      </c>
      <c r="X695" s="233">
        <v>0</v>
      </c>
      <c r="Y695" s="233">
        <v>3489000</v>
      </c>
      <c r="Z695" s="233">
        <v>3489000</v>
      </c>
      <c r="AA695" s="233">
        <v>3489000</v>
      </c>
      <c r="AB695" s="233">
        <v>3489000</v>
      </c>
    </row>
    <row r="696" spans="1:28" ht="15" customHeight="1" x14ac:dyDescent="0.25">
      <c r="A696" s="230" t="s">
        <v>430</v>
      </c>
      <c r="B696" s="231" t="s">
        <v>431</v>
      </c>
      <c r="C696" s="232" t="s">
        <v>453</v>
      </c>
      <c r="D696" s="230" t="s">
        <v>22</v>
      </c>
      <c r="E696" s="230" t="s">
        <v>303</v>
      </c>
      <c r="F696" s="230" t="s">
        <v>290</v>
      </c>
      <c r="G696" s="230" t="s">
        <v>306</v>
      </c>
      <c r="H696" s="230" t="s">
        <v>445</v>
      </c>
      <c r="I696" s="230" t="s">
        <v>454</v>
      </c>
      <c r="J696" s="230" t="s">
        <v>269</v>
      </c>
      <c r="K696" s="230"/>
      <c r="L696" s="230"/>
      <c r="M696" s="230" t="s">
        <v>266</v>
      </c>
      <c r="N696" s="230" t="s">
        <v>32</v>
      </c>
      <c r="O696" s="230" t="s">
        <v>267</v>
      </c>
      <c r="P696" s="231" t="s">
        <v>93</v>
      </c>
      <c r="Q696" s="231" t="s">
        <v>450</v>
      </c>
      <c r="R696" s="233">
        <v>0</v>
      </c>
      <c r="S696" s="233">
        <v>1600000</v>
      </c>
      <c r="T696" s="233">
        <v>0</v>
      </c>
      <c r="U696" s="233">
        <v>1600000</v>
      </c>
      <c r="V696" s="233">
        <v>0</v>
      </c>
      <c r="W696" s="233">
        <v>1600000</v>
      </c>
      <c r="X696" s="233">
        <v>0</v>
      </c>
      <c r="Y696" s="233">
        <v>0</v>
      </c>
      <c r="Z696" s="233">
        <v>0</v>
      </c>
      <c r="AA696" s="233">
        <v>0</v>
      </c>
      <c r="AB696" s="233">
        <v>0</v>
      </c>
    </row>
    <row r="697" spans="1:28" ht="15" customHeight="1" x14ac:dyDescent="0.25">
      <c r="A697" s="230" t="s">
        <v>432</v>
      </c>
      <c r="B697" s="231" t="s">
        <v>433</v>
      </c>
      <c r="C697" s="232" t="s">
        <v>453</v>
      </c>
      <c r="D697" s="230" t="s">
        <v>22</v>
      </c>
      <c r="E697" s="230" t="s">
        <v>303</v>
      </c>
      <c r="F697" s="230" t="s">
        <v>290</v>
      </c>
      <c r="G697" s="230" t="s">
        <v>306</v>
      </c>
      <c r="H697" s="230" t="s">
        <v>445</v>
      </c>
      <c r="I697" s="230" t="s">
        <v>454</v>
      </c>
      <c r="J697" s="230" t="s">
        <v>269</v>
      </c>
      <c r="K697" s="230"/>
      <c r="L697" s="230"/>
      <c r="M697" s="230" t="s">
        <v>266</v>
      </c>
      <c r="N697" s="230" t="s">
        <v>32</v>
      </c>
      <c r="O697" s="230" t="s">
        <v>267</v>
      </c>
      <c r="P697" s="231" t="s">
        <v>93</v>
      </c>
      <c r="Q697" s="231" t="s">
        <v>450</v>
      </c>
      <c r="R697" s="233">
        <v>0</v>
      </c>
      <c r="S697" s="233">
        <v>8600000</v>
      </c>
      <c r="T697" s="233">
        <v>0</v>
      </c>
      <c r="U697" s="233">
        <v>8600000</v>
      </c>
      <c r="V697" s="233">
        <v>0</v>
      </c>
      <c r="W697" s="233">
        <v>8600000</v>
      </c>
      <c r="X697" s="233">
        <v>0</v>
      </c>
      <c r="Y697" s="233">
        <v>8590200</v>
      </c>
      <c r="Z697" s="233">
        <v>5000000</v>
      </c>
      <c r="AA697" s="233">
        <v>5000000</v>
      </c>
      <c r="AB697" s="233">
        <v>5000000</v>
      </c>
    </row>
    <row r="698" spans="1:28" ht="15" customHeight="1" x14ac:dyDescent="0.25">
      <c r="A698" s="230" t="s">
        <v>438</v>
      </c>
      <c r="B698" s="231" t="s">
        <v>439</v>
      </c>
      <c r="C698" s="232" t="s">
        <v>453</v>
      </c>
      <c r="D698" s="230" t="s">
        <v>22</v>
      </c>
      <c r="E698" s="230" t="s">
        <v>303</v>
      </c>
      <c r="F698" s="230" t="s">
        <v>290</v>
      </c>
      <c r="G698" s="230" t="s">
        <v>306</v>
      </c>
      <c r="H698" s="230" t="s">
        <v>445</v>
      </c>
      <c r="I698" s="230" t="s">
        <v>454</v>
      </c>
      <c r="J698" s="230" t="s">
        <v>269</v>
      </c>
      <c r="K698" s="230"/>
      <c r="L698" s="230"/>
      <c r="M698" s="230" t="s">
        <v>266</v>
      </c>
      <c r="N698" s="230" t="s">
        <v>32</v>
      </c>
      <c r="O698" s="230" t="s">
        <v>267</v>
      </c>
      <c r="P698" s="231" t="s">
        <v>93</v>
      </c>
      <c r="Q698" s="231" t="s">
        <v>450</v>
      </c>
      <c r="R698" s="233">
        <v>0</v>
      </c>
      <c r="S698" s="233">
        <v>41500000</v>
      </c>
      <c r="T698" s="233">
        <v>0</v>
      </c>
      <c r="U698" s="233">
        <v>41500000</v>
      </c>
      <c r="V698" s="233">
        <v>0</v>
      </c>
      <c r="W698" s="233">
        <v>41500000</v>
      </c>
      <c r="X698" s="233">
        <v>0</v>
      </c>
      <c r="Y698" s="233">
        <v>0</v>
      </c>
      <c r="Z698" s="233">
        <v>0</v>
      </c>
      <c r="AA698" s="233">
        <v>0</v>
      </c>
      <c r="AB698" s="233">
        <v>0</v>
      </c>
    </row>
    <row r="699" spans="1:28" ht="15" customHeight="1" x14ac:dyDescent="0.25">
      <c r="A699" s="230" t="s">
        <v>10820</v>
      </c>
      <c r="B699" s="231" t="s">
        <v>10821</v>
      </c>
      <c r="C699" s="232" t="s">
        <v>453</v>
      </c>
      <c r="D699" s="230" t="s">
        <v>22</v>
      </c>
      <c r="E699" s="230" t="s">
        <v>303</v>
      </c>
      <c r="F699" s="230" t="s">
        <v>290</v>
      </c>
      <c r="G699" s="230" t="s">
        <v>306</v>
      </c>
      <c r="H699" s="230" t="s">
        <v>445</v>
      </c>
      <c r="I699" s="230" t="s">
        <v>454</v>
      </c>
      <c r="J699" s="230" t="s">
        <v>269</v>
      </c>
      <c r="K699" s="230"/>
      <c r="L699" s="230"/>
      <c r="M699" s="230" t="s">
        <v>266</v>
      </c>
      <c r="N699" s="230" t="s">
        <v>32</v>
      </c>
      <c r="O699" s="230" t="s">
        <v>267</v>
      </c>
      <c r="P699" s="231" t="s">
        <v>93</v>
      </c>
      <c r="Q699" s="231" t="s">
        <v>450</v>
      </c>
      <c r="R699" s="233">
        <v>0</v>
      </c>
      <c r="S699" s="233">
        <v>40700000</v>
      </c>
      <c r="T699" s="233">
        <v>50000</v>
      </c>
      <c r="U699" s="233">
        <v>40650000</v>
      </c>
      <c r="V699" s="233">
        <v>0</v>
      </c>
      <c r="W699" s="233">
        <v>40650000</v>
      </c>
      <c r="X699" s="233">
        <v>0</v>
      </c>
      <c r="Y699" s="233">
        <v>24802206</v>
      </c>
      <c r="Z699" s="233">
        <v>650000</v>
      </c>
      <c r="AA699" s="233">
        <v>650000</v>
      </c>
      <c r="AB699" s="233">
        <v>650000</v>
      </c>
    </row>
    <row r="700" spans="1:28" ht="15" customHeight="1" x14ac:dyDescent="0.25">
      <c r="A700" s="230" t="s">
        <v>440</v>
      </c>
      <c r="B700" s="231" t="s">
        <v>441</v>
      </c>
      <c r="C700" s="232" t="s">
        <v>453</v>
      </c>
      <c r="D700" s="230" t="s">
        <v>22</v>
      </c>
      <c r="E700" s="230" t="s">
        <v>303</v>
      </c>
      <c r="F700" s="230" t="s">
        <v>290</v>
      </c>
      <c r="G700" s="230" t="s">
        <v>306</v>
      </c>
      <c r="H700" s="230" t="s">
        <v>445</v>
      </c>
      <c r="I700" s="230" t="s">
        <v>454</v>
      </c>
      <c r="J700" s="230" t="s">
        <v>269</v>
      </c>
      <c r="K700" s="230"/>
      <c r="L700" s="230"/>
      <c r="M700" s="230" t="s">
        <v>266</v>
      </c>
      <c r="N700" s="230" t="s">
        <v>32</v>
      </c>
      <c r="O700" s="230" t="s">
        <v>267</v>
      </c>
      <c r="P700" s="231" t="s">
        <v>93</v>
      </c>
      <c r="Q700" s="231" t="s">
        <v>450</v>
      </c>
      <c r="R700" s="233">
        <v>0</v>
      </c>
      <c r="S700" s="233">
        <v>74000000</v>
      </c>
      <c r="T700" s="233">
        <v>0</v>
      </c>
      <c r="U700" s="233">
        <v>74000000</v>
      </c>
      <c r="V700" s="233">
        <v>0</v>
      </c>
      <c r="W700" s="233">
        <v>74000000</v>
      </c>
      <c r="X700" s="233">
        <v>0</v>
      </c>
      <c r="Y700" s="233">
        <v>0</v>
      </c>
      <c r="Z700" s="233">
        <v>0</v>
      </c>
      <c r="AA700" s="233">
        <v>0</v>
      </c>
      <c r="AB700" s="233">
        <v>0</v>
      </c>
    </row>
    <row r="701" spans="1:28" ht="15" customHeight="1" x14ac:dyDescent="0.25">
      <c r="A701" s="230" t="s">
        <v>385</v>
      </c>
      <c r="B701" s="231" t="s">
        <v>386</v>
      </c>
      <c r="C701" s="232" t="s">
        <v>455</v>
      </c>
      <c r="D701" s="230" t="s">
        <v>22</v>
      </c>
      <c r="E701" s="230" t="s">
        <v>298</v>
      </c>
      <c r="F701" s="230" t="s">
        <v>290</v>
      </c>
      <c r="G701" s="230" t="s">
        <v>296</v>
      </c>
      <c r="H701" s="230" t="s">
        <v>445</v>
      </c>
      <c r="I701" s="230" t="s">
        <v>456</v>
      </c>
      <c r="J701" s="230" t="s">
        <v>269</v>
      </c>
      <c r="K701" s="230"/>
      <c r="L701" s="230"/>
      <c r="M701" s="230" t="s">
        <v>273</v>
      </c>
      <c r="N701" s="230" t="s">
        <v>34</v>
      </c>
      <c r="O701" s="230" t="s">
        <v>267</v>
      </c>
      <c r="P701" s="231" t="s">
        <v>99</v>
      </c>
      <c r="Q701" s="231" t="s">
        <v>457</v>
      </c>
      <c r="R701" s="233">
        <v>0</v>
      </c>
      <c r="S701" s="233">
        <v>23500000</v>
      </c>
      <c r="T701" s="233">
        <v>0</v>
      </c>
      <c r="U701" s="233">
        <v>23500000</v>
      </c>
      <c r="V701" s="233">
        <v>0</v>
      </c>
      <c r="W701" s="233">
        <v>23500000</v>
      </c>
      <c r="X701" s="233">
        <v>0</v>
      </c>
      <c r="Y701" s="233">
        <v>20139490</v>
      </c>
      <c r="Z701" s="233">
        <v>8209703</v>
      </c>
      <c r="AA701" s="233">
        <v>8209703</v>
      </c>
      <c r="AB701" s="233">
        <v>8209703</v>
      </c>
    </row>
    <row r="702" spans="1:28" ht="15" customHeight="1" x14ac:dyDescent="0.25">
      <c r="A702" s="230" t="s">
        <v>389</v>
      </c>
      <c r="B702" s="231" t="s">
        <v>390</v>
      </c>
      <c r="C702" s="232" t="s">
        <v>455</v>
      </c>
      <c r="D702" s="230" t="s">
        <v>22</v>
      </c>
      <c r="E702" s="230" t="s">
        <v>298</v>
      </c>
      <c r="F702" s="230" t="s">
        <v>290</v>
      </c>
      <c r="G702" s="230" t="s">
        <v>296</v>
      </c>
      <c r="H702" s="230" t="s">
        <v>445</v>
      </c>
      <c r="I702" s="230" t="s">
        <v>456</v>
      </c>
      <c r="J702" s="230" t="s">
        <v>269</v>
      </c>
      <c r="K702" s="230"/>
      <c r="L702" s="230"/>
      <c r="M702" s="230" t="s">
        <v>273</v>
      </c>
      <c r="N702" s="230" t="s">
        <v>34</v>
      </c>
      <c r="O702" s="230" t="s">
        <v>267</v>
      </c>
      <c r="P702" s="231" t="s">
        <v>99</v>
      </c>
      <c r="Q702" s="231" t="s">
        <v>457</v>
      </c>
      <c r="R702" s="233">
        <v>0</v>
      </c>
      <c r="S702" s="233">
        <v>55280472</v>
      </c>
      <c r="T702" s="233">
        <v>0</v>
      </c>
      <c r="U702" s="233">
        <v>55280472</v>
      </c>
      <c r="V702" s="233">
        <v>0</v>
      </c>
      <c r="W702" s="233">
        <v>40000000</v>
      </c>
      <c r="X702" s="233">
        <v>15280472</v>
      </c>
      <c r="Y702" s="233">
        <v>40000000</v>
      </c>
      <c r="Z702" s="233">
        <v>39329378</v>
      </c>
      <c r="AA702" s="233">
        <v>39329378</v>
      </c>
      <c r="AB702" s="233">
        <v>39329378</v>
      </c>
    </row>
    <row r="703" spans="1:28" ht="15" customHeight="1" x14ac:dyDescent="0.25">
      <c r="A703" s="230" t="s">
        <v>391</v>
      </c>
      <c r="B703" s="231" t="s">
        <v>392</v>
      </c>
      <c r="C703" s="232" t="s">
        <v>455</v>
      </c>
      <c r="D703" s="230" t="s">
        <v>22</v>
      </c>
      <c r="E703" s="230" t="s">
        <v>298</v>
      </c>
      <c r="F703" s="230" t="s">
        <v>290</v>
      </c>
      <c r="G703" s="230" t="s">
        <v>296</v>
      </c>
      <c r="H703" s="230" t="s">
        <v>445</v>
      </c>
      <c r="I703" s="230" t="s">
        <v>456</v>
      </c>
      <c r="J703" s="230" t="s">
        <v>269</v>
      </c>
      <c r="K703" s="230"/>
      <c r="L703" s="230"/>
      <c r="M703" s="230" t="s">
        <v>273</v>
      </c>
      <c r="N703" s="230" t="s">
        <v>34</v>
      </c>
      <c r="O703" s="230" t="s">
        <v>267</v>
      </c>
      <c r="P703" s="231" t="s">
        <v>99</v>
      </c>
      <c r="Q703" s="231" t="s">
        <v>457</v>
      </c>
      <c r="R703" s="233">
        <v>0</v>
      </c>
      <c r="S703" s="233">
        <v>20000000</v>
      </c>
      <c r="T703" s="233">
        <v>0</v>
      </c>
      <c r="U703" s="233">
        <v>20000000</v>
      </c>
      <c r="V703" s="233">
        <v>0</v>
      </c>
      <c r="W703" s="233">
        <v>20000000</v>
      </c>
      <c r="X703" s="233">
        <v>0</v>
      </c>
      <c r="Y703" s="233">
        <v>20000000</v>
      </c>
      <c r="Z703" s="233">
        <v>2477319</v>
      </c>
      <c r="AA703" s="233">
        <v>2477319</v>
      </c>
      <c r="AB703" s="233">
        <v>2477319</v>
      </c>
    </row>
    <row r="704" spans="1:28" ht="15" customHeight="1" x14ac:dyDescent="0.25">
      <c r="A704" s="230" t="s">
        <v>393</v>
      </c>
      <c r="B704" s="231" t="s">
        <v>394</v>
      </c>
      <c r="C704" s="232" t="s">
        <v>455</v>
      </c>
      <c r="D704" s="230" t="s">
        <v>22</v>
      </c>
      <c r="E704" s="230" t="s">
        <v>298</v>
      </c>
      <c r="F704" s="230" t="s">
        <v>290</v>
      </c>
      <c r="G704" s="230" t="s">
        <v>296</v>
      </c>
      <c r="H704" s="230" t="s">
        <v>445</v>
      </c>
      <c r="I704" s="230" t="s">
        <v>456</v>
      </c>
      <c r="J704" s="230" t="s">
        <v>269</v>
      </c>
      <c r="K704" s="230"/>
      <c r="L704" s="230"/>
      <c r="M704" s="230" t="s">
        <v>273</v>
      </c>
      <c r="N704" s="230" t="s">
        <v>34</v>
      </c>
      <c r="O704" s="230" t="s">
        <v>267</v>
      </c>
      <c r="P704" s="231" t="s">
        <v>99</v>
      </c>
      <c r="Q704" s="231" t="s">
        <v>457</v>
      </c>
      <c r="R704" s="233">
        <v>0</v>
      </c>
      <c r="S704" s="233">
        <v>140852776</v>
      </c>
      <c r="T704" s="233">
        <v>0</v>
      </c>
      <c r="U704" s="233">
        <v>140852776</v>
      </c>
      <c r="V704" s="233">
        <v>0</v>
      </c>
      <c r="W704" s="233">
        <v>134826722</v>
      </c>
      <c r="X704" s="233">
        <v>6026054</v>
      </c>
      <c r="Y704" s="233">
        <v>108570081</v>
      </c>
      <c r="Z704" s="233">
        <v>38779401</v>
      </c>
      <c r="AA704" s="233">
        <v>38779401</v>
      </c>
      <c r="AB704" s="233">
        <v>38779401</v>
      </c>
    </row>
    <row r="705" spans="1:28" ht="15" customHeight="1" x14ac:dyDescent="0.25">
      <c r="A705" s="230" t="s">
        <v>397</v>
      </c>
      <c r="B705" s="231" t="s">
        <v>398</v>
      </c>
      <c r="C705" s="232" t="s">
        <v>455</v>
      </c>
      <c r="D705" s="230" t="s">
        <v>22</v>
      </c>
      <c r="E705" s="230" t="s">
        <v>298</v>
      </c>
      <c r="F705" s="230" t="s">
        <v>290</v>
      </c>
      <c r="G705" s="230" t="s">
        <v>296</v>
      </c>
      <c r="H705" s="230" t="s">
        <v>445</v>
      </c>
      <c r="I705" s="230" t="s">
        <v>456</v>
      </c>
      <c r="J705" s="230" t="s">
        <v>269</v>
      </c>
      <c r="K705" s="230"/>
      <c r="L705" s="230"/>
      <c r="M705" s="230" t="s">
        <v>273</v>
      </c>
      <c r="N705" s="230" t="s">
        <v>34</v>
      </c>
      <c r="O705" s="230" t="s">
        <v>267</v>
      </c>
      <c r="P705" s="231" t="s">
        <v>99</v>
      </c>
      <c r="Q705" s="231" t="s">
        <v>457</v>
      </c>
      <c r="R705" s="233">
        <v>0</v>
      </c>
      <c r="S705" s="233">
        <v>160208000</v>
      </c>
      <c r="T705" s="233">
        <v>0</v>
      </c>
      <c r="U705" s="233">
        <v>160208000</v>
      </c>
      <c r="V705" s="233">
        <v>0</v>
      </c>
      <c r="W705" s="233">
        <v>160208000</v>
      </c>
      <c r="X705" s="233">
        <v>0</v>
      </c>
      <c r="Y705" s="233">
        <v>157174448</v>
      </c>
      <c r="Z705" s="233">
        <v>111820802</v>
      </c>
      <c r="AA705" s="233">
        <v>111820802</v>
      </c>
      <c r="AB705" s="233">
        <v>111820802</v>
      </c>
    </row>
    <row r="706" spans="1:28" ht="15" customHeight="1" x14ac:dyDescent="0.25">
      <c r="A706" s="230" t="s">
        <v>401</v>
      </c>
      <c r="B706" s="231" t="s">
        <v>402</v>
      </c>
      <c r="C706" s="232" t="s">
        <v>455</v>
      </c>
      <c r="D706" s="230" t="s">
        <v>22</v>
      </c>
      <c r="E706" s="230" t="s">
        <v>298</v>
      </c>
      <c r="F706" s="230" t="s">
        <v>290</v>
      </c>
      <c r="G706" s="230" t="s">
        <v>296</v>
      </c>
      <c r="H706" s="230" t="s">
        <v>445</v>
      </c>
      <c r="I706" s="230" t="s">
        <v>456</v>
      </c>
      <c r="J706" s="230" t="s">
        <v>269</v>
      </c>
      <c r="K706" s="230"/>
      <c r="L706" s="230"/>
      <c r="M706" s="230" t="s">
        <v>273</v>
      </c>
      <c r="N706" s="230" t="s">
        <v>34</v>
      </c>
      <c r="O706" s="230" t="s">
        <v>267</v>
      </c>
      <c r="P706" s="231" t="s">
        <v>99</v>
      </c>
      <c r="Q706" s="231" t="s">
        <v>457</v>
      </c>
      <c r="R706" s="233">
        <v>0</v>
      </c>
      <c r="S706" s="233">
        <v>40000000</v>
      </c>
      <c r="T706" s="233">
        <v>0</v>
      </c>
      <c r="U706" s="233">
        <v>40000000</v>
      </c>
      <c r="V706" s="233">
        <v>0</v>
      </c>
      <c r="W706" s="233">
        <v>39402300</v>
      </c>
      <c r="X706" s="233">
        <v>597700</v>
      </c>
      <c r="Y706" s="233">
        <v>39157800</v>
      </c>
      <c r="Z706" s="233">
        <v>29814588</v>
      </c>
      <c r="AA706" s="233">
        <v>29814588</v>
      </c>
      <c r="AB706" s="233">
        <v>29814588</v>
      </c>
    </row>
    <row r="707" spans="1:28" ht="15" customHeight="1" x14ac:dyDescent="0.25">
      <c r="A707" s="230" t="s">
        <v>405</v>
      </c>
      <c r="B707" s="231" t="s">
        <v>406</v>
      </c>
      <c r="C707" s="232" t="s">
        <v>455</v>
      </c>
      <c r="D707" s="230" t="s">
        <v>22</v>
      </c>
      <c r="E707" s="230" t="s">
        <v>298</v>
      </c>
      <c r="F707" s="230" t="s">
        <v>290</v>
      </c>
      <c r="G707" s="230" t="s">
        <v>296</v>
      </c>
      <c r="H707" s="230" t="s">
        <v>445</v>
      </c>
      <c r="I707" s="230" t="s">
        <v>456</v>
      </c>
      <c r="J707" s="230" t="s">
        <v>269</v>
      </c>
      <c r="K707" s="230"/>
      <c r="L707" s="230"/>
      <c r="M707" s="230" t="s">
        <v>273</v>
      </c>
      <c r="N707" s="230" t="s">
        <v>34</v>
      </c>
      <c r="O707" s="230" t="s">
        <v>267</v>
      </c>
      <c r="P707" s="231" t="s">
        <v>99</v>
      </c>
      <c r="Q707" s="231" t="s">
        <v>457</v>
      </c>
      <c r="R707" s="233">
        <v>0</v>
      </c>
      <c r="S707" s="233">
        <v>40000000</v>
      </c>
      <c r="T707" s="233">
        <v>0</v>
      </c>
      <c r="U707" s="233">
        <v>40000000</v>
      </c>
      <c r="V707" s="233">
        <v>0</v>
      </c>
      <c r="W707" s="233">
        <v>40000000</v>
      </c>
      <c r="X707" s="233">
        <v>0</v>
      </c>
      <c r="Y707" s="233">
        <v>40000000</v>
      </c>
      <c r="Z707" s="233">
        <v>0</v>
      </c>
      <c r="AA707" s="233">
        <v>0</v>
      </c>
      <c r="AB707" s="233">
        <v>0</v>
      </c>
    </row>
    <row r="708" spans="1:28" ht="15" customHeight="1" x14ac:dyDescent="0.25">
      <c r="A708" s="230" t="s">
        <v>415</v>
      </c>
      <c r="B708" s="231" t="s">
        <v>416</v>
      </c>
      <c r="C708" s="232" t="s">
        <v>455</v>
      </c>
      <c r="D708" s="230" t="s">
        <v>22</v>
      </c>
      <c r="E708" s="230" t="s">
        <v>298</v>
      </c>
      <c r="F708" s="230" t="s">
        <v>290</v>
      </c>
      <c r="G708" s="230" t="s">
        <v>296</v>
      </c>
      <c r="H708" s="230" t="s">
        <v>445</v>
      </c>
      <c r="I708" s="230" t="s">
        <v>456</v>
      </c>
      <c r="J708" s="230" t="s">
        <v>269</v>
      </c>
      <c r="K708" s="230"/>
      <c r="L708" s="230"/>
      <c r="M708" s="230" t="s">
        <v>273</v>
      </c>
      <c r="N708" s="230" t="s">
        <v>34</v>
      </c>
      <c r="O708" s="230" t="s">
        <v>267</v>
      </c>
      <c r="P708" s="231" t="s">
        <v>99</v>
      </c>
      <c r="Q708" s="231" t="s">
        <v>457</v>
      </c>
      <c r="R708" s="233">
        <v>0</v>
      </c>
      <c r="S708" s="233">
        <v>79708000</v>
      </c>
      <c r="T708" s="233">
        <v>0</v>
      </c>
      <c r="U708" s="233">
        <v>79708000</v>
      </c>
      <c r="V708" s="233">
        <v>0</v>
      </c>
      <c r="W708" s="233">
        <v>61571630</v>
      </c>
      <c r="X708" s="233">
        <v>18136370</v>
      </c>
      <c r="Y708" s="233">
        <v>60695502</v>
      </c>
      <c r="Z708" s="233">
        <v>52875574</v>
      </c>
      <c r="AA708" s="233">
        <v>52875574</v>
      </c>
      <c r="AB708" s="233">
        <v>52875574</v>
      </c>
    </row>
    <row r="709" spans="1:28" ht="15" customHeight="1" x14ac:dyDescent="0.25">
      <c r="A709" s="230" t="s">
        <v>420</v>
      </c>
      <c r="B709" s="231" t="s">
        <v>421</v>
      </c>
      <c r="C709" s="232" t="s">
        <v>455</v>
      </c>
      <c r="D709" s="230" t="s">
        <v>22</v>
      </c>
      <c r="E709" s="230" t="s">
        <v>298</v>
      </c>
      <c r="F709" s="230" t="s">
        <v>290</v>
      </c>
      <c r="G709" s="230" t="s">
        <v>296</v>
      </c>
      <c r="H709" s="230" t="s">
        <v>445</v>
      </c>
      <c r="I709" s="230" t="s">
        <v>456</v>
      </c>
      <c r="J709" s="230" t="s">
        <v>269</v>
      </c>
      <c r="K709" s="230"/>
      <c r="L709" s="230"/>
      <c r="M709" s="230" t="s">
        <v>273</v>
      </c>
      <c r="N709" s="230" t="s">
        <v>34</v>
      </c>
      <c r="O709" s="230" t="s">
        <v>267</v>
      </c>
      <c r="P709" s="231" t="s">
        <v>99</v>
      </c>
      <c r="Q709" s="231" t="s">
        <v>457</v>
      </c>
      <c r="R709" s="233">
        <v>0</v>
      </c>
      <c r="S709" s="233">
        <v>43715353</v>
      </c>
      <c r="T709" s="233">
        <v>0</v>
      </c>
      <c r="U709" s="233">
        <v>43715353</v>
      </c>
      <c r="V709" s="233">
        <v>0</v>
      </c>
      <c r="W709" s="233">
        <v>42439756</v>
      </c>
      <c r="X709" s="233">
        <v>1275597</v>
      </c>
      <c r="Y709" s="233">
        <v>33204856</v>
      </c>
      <c r="Z709" s="233">
        <v>24878280</v>
      </c>
      <c r="AA709" s="233">
        <v>24878280</v>
      </c>
      <c r="AB709" s="233">
        <v>24878280</v>
      </c>
    </row>
    <row r="710" spans="1:28" ht="15" customHeight="1" x14ac:dyDescent="0.25">
      <c r="A710" s="230" t="s">
        <v>422</v>
      </c>
      <c r="B710" s="231" t="s">
        <v>423</v>
      </c>
      <c r="C710" s="232" t="s">
        <v>455</v>
      </c>
      <c r="D710" s="230" t="s">
        <v>22</v>
      </c>
      <c r="E710" s="230" t="s">
        <v>298</v>
      </c>
      <c r="F710" s="230" t="s">
        <v>290</v>
      </c>
      <c r="G710" s="230" t="s">
        <v>296</v>
      </c>
      <c r="H710" s="230" t="s">
        <v>445</v>
      </c>
      <c r="I710" s="230" t="s">
        <v>456</v>
      </c>
      <c r="J710" s="230" t="s">
        <v>269</v>
      </c>
      <c r="K710" s="230"/>
      <c r="L710" s="230"/>
      <c r="M710" s="230" t="s">
        <v>273</v>
      </c>
      <c r="N710" s="230" t="s">
        <v>34</v>
      </c>
      <c r="O710" s="230" t="s">
        <v>267</v>
      </c>
      <c r="P710" s="231" t="s">
        <v>99</v>
      </c>
      <c r="Q710" s="231" t="s">
        <v>457</v>
      </c>
      <c r="R710" s="233">
        <v>0</v>
      </c>
      <c r="S710" s="233">
        <v>99708000</v>
      </c>
      <c r="T710" s="233">
        <v>15000000</v>
      </c>
      <c r="U710" s="233">
        <v>84708000</v>
      </c>
      <c r="V710" s="233">
        <v>0</v>
      </c>
      <c r="W710" s="233">
        <v>84708000</v>
      </c>
      <c r="X710" s="233">
        <v>0</v>
      </c>
      <c r="Y710" s="233">
        <v>80523129</v>
      </c>
      <c r="Z710" s="233">
        <v>37930406</v>
      </c>
      <c r="AA710" s="233">
        <v>37930406</v>
      </c>
      <c r="AB710" s="233">
        <v>37930406</v>
      </c>
    </row>
    <row r="711" spans="1:28" ht="15" customHeight="1" x14ac:dyDescent="0.25">
      <c r="A711" s="230" t="s">
        <v>424</v>
      </c>
      <c r="B711" s="231" t="s">
        <v>425</v>
      </c>
      <c r="C711" s="232" t="s">
        <v>455</v>
      </c>
      <c r="D711" s="230" t="s">
        <v>22</v>
      </c>
      <c r="E711" s="230" t="s">
        <v>298</v>
      </c>
      <c r="F711" s="230" t="s">
        <v>290</v>
      </c>
      <c r="G711" s="230" t="s">
        <v>296</v>
      </c>
      <c r="H711" s="230" t="s">
        <v>445</v>
      </c>
      <c r="I711" s="230" t="s">
        <v>456</v>
      </c>
      <c r="J711" s="230" t="s">
        <v>269</v>
      </c>
      <c r="K711" s="230"/>
      <c r="L711" s="230"/>
      <c r="M711" s="230" t="s">
        <v>273</v>
      </c>
      <c r="N711" s="230" t="s">
        <v>34</v>
      </c>
      <c r="O711" s="230" t="s">
        <v>267</v>
      </c>
      <c r="P711" s="231" t="s">
        <v>99</v>
      </c>
      <c r="Q711" s="231" t="s">
        <v>457</v>
      </c>
      <c r="R711" s="233">
        <v>0</v>
      </c>
      <c r="S711" s="233">
        <v>23500000</v>
      </c>
      <c r="T711" s="233">
        <v>0</v>
      </c>
      <c r="U711" s="233">
        <v>23500000</v>
      </c>
      <c r="V711" s="233">
        <v>0</v>
      </c>
      <c r="W711" s="233">
        <v>5298820</v>
      </c>
      <c r="X711" s="233">
        <v>18201180</v>
      </c>
      <c r="Y711" s="233">
        <v>4679635</v>
      </c>
      <c r="Z711" s="233">
        <v>4679635</v>
      </c>
      <c r="AA711" s="233">
        <v>4679635</v>
      </c>
      <c r="AB711" s="233">
        <v>4679635</v>
      </c>
    </row>
    <row r="712" spans="1:28" ht="15" customHeight="1" x14ac:dyDescent="0.25">
      <c r="A712" s="230" t="s">
        <v>426</v>
      </c>
      <c r="B712" s="231" t="s">
        <v>427</v>
      </c>
      <c r="C712" s="232" t="s">
        <v>455</v>
      </c>
      <c r="D712" s="230" t="s">
        <v>22</v>
      </c>
      <c r="E712" s="230" t="s">
        <v>298</v>
      </c>
      <c r="F712" s="230" t="s">
        <v>290</v>
      </c>
      <c r="G712" s="230" t="s">
        <v>296</v>
      </c>
      <c r="H712" s="230" t="s">
        <v>445</v>
      </c>
      <c r="I712" s="230" t="s">
        <v>456</v>
      </c>
      <c r="J712" s="230" t="s">
        <v>269</v>
      </c>
      <c r="K712" s="230"/>
      <c r="L712" s="230"/>
      <c r="M712" s="230" t="s">
        <v>273</v>
      </c>
      <c r="N712" s="230" t="s">
        <v>34</v>
      </c>
      <c r="O712" s="230" t="s">
        <v>267</v>
      </c>
      <c r="P712" s="231" t="s">
        <v>99</v>
      </c>
      <c r="Q712" s="231" t="s">
        <v>457</v>
      </c>
      <c r="R712" s="233">
        <v>0</v>
      </c>
      <c r="S712" s="233">
        <v>3500000</v>
      </c>
      <c r="T712" s="233">
        <v>0</v>
      </c>
      <c r="U712" s="233">
        <v>3500000</v>
      </c>
      <c r="V712" s="233">
        <v>0</v>
      </c>
      <c r="W712" s="233">
        <v>3500000</v>
      </c>
      <c r="X712" s="233">
        <v>0</v>
      </c>
      <c r="Y712" s="233">
        <v>1822466</v>
      </c>
      <c r="Z712" s="233">
        <v>1207486</v>
      </c>
      <c r="AA712" s="233">
        <v>1207486</v>
      </c>
      <c r="AB712" s="233">
        <v>1207486</v>
      </c>
    </row>
    <row r="713" spans="1:28" ht="15" customHeight="1" x14ac:dyDescent="0.25">
      <c r="A713" s="230" t="s">
        <v>428</v>
      </c>
      <c r="B713" s="231" t="s">
        <v>429</v>
      </c>
      <c r="C713" s="232" t="s">
        <v>455</v>
      </c>
      <c r="D713" s="230" t="s">
        <v>22</v>
      </c>
      <c r="E713" s="230" t="s">
        <v>298</v>
      </c>
      <c r="F713" s="230" t="s">
        <v>290</v>
      </c>
      <c r="G713" s="230" t="s">
        <v>296</v>
      </c>
      <c r="H713" s="230" t="s">
        <v>445</v>
      </c>
      <c r="I713" s="230" t="s">
        <v>456</v>
      </c>
      <c r="J713" s="230" t="s">
        <v>269</v>
      </c>
      <c r="K713" s="230"/>
      <c r="L713" s="230"/>
      <c r="M713" s="230" t="s">
        <v>273</v>
      </c>
      <c r="N713" s="230" t="s">
        <v>34</v>
      </c>
      <c r="O713" s="230" t="s">
        <v>267</v>
      </c>
      <c r="P713" s="231" t="s">
        <v>99</v>
      </c>
      <c r="Q713" s="231" t="s">
        <v>457</v>
      </c>
      <c r="R713" s="233">
        <v>0</v>
      </c>
      <c r="S713" s="233">
        <v>33500000</v>
      </c>
      <c r="T713" s="233">
        <v>0</v>
      </c>
      <c r="U713" s="233">
        <v>33500000</v>
      </c>
      <c r="V713" s="233">
        <v>0</v>
      </c>
      <c r="W713" s="233">
        <v>33500000</v>
      </c>
      <c r="X713" s="233">
        <v>0</v>
      </c>
      <c r="Y713" s="233">
        <v>30000000</v>
      </c>
      <c r="Z713" s="233">
        <v>20764113</v>
      </c>
      <c r="AA713" s="233">
        <v>20764113</v>
      </c>
      <c r="AB713" s="233">
        <v>20764113</v>
      </c>
    </row>
    <row r="714" spans="1:28" ht="15" customHeight="1" x14ac:dyDescent="0.25">
      <c r="A714" s="230" t="s">
        <v>430</v>
      </c>
      <c r="B714" s="231" t="s">
        <v>431</v>
      </c>
      <c r="C714" s="232" t="s">
        <v>455</v>
      </c>
      <c r="D714" s="230" t="s">
        <v>22</v>
      </c>
      <c r="E714" s="230" t="s">
        <v>298</v>
      </c>
      <c r="F714" s="230" t="s">
        <v>290</v>
      </c>
      <c r="G714" s="230" t="s">
        <v>296</v>
      </c>
      <c r="H714" s="230" t="s">
        <v>445</v>
      </c>
      <c r="I714" s="230" t="s">
        <v>456</v>
      </c>
      <c r="J714" s="230" t="s">
        <v>269</v>
      </c>
      <c r="K714" s="230"/>
      <c r="L714" s="230"/>
      <c r="M714" s="230" t="s">
        <v>273</v>
      </c>
      <c r="N714" s="230" t="s">
        <v>34</v>
      </c>
      <c r="O714" s="230" t="s">
        <v>267</v>
      </c>
      <c r="P714" s="231" t="s">
        <v>99</v>
      </c>
      <c r="Q714" s="231" t="s">
        <v>457</v>
      </c>
      <c r="R714" s="233">
        <v>0</v>
      </c>
      <c r="S714" s="233">
        <v>60361000</v>
      </c>
      <c r="T714" s="233">
        <v>10000000</v>
      </c>
      <c r="U714" s="233">
        <v>50361000</v>
      </c>
      <c r="V714" s="233">
        <v>0</v>
      </c>
      <c r="W714" s="233">
        <v>33738234</v>
      </c>
      <c r="X714" s="233">
        <v>16622766</v>
      </c>
      <c r="Y714" s="233">
        <v>30186337</v>
      </c>
      <c r="Z714" s="233">
        <v>9713757</v>
      </c>
      <c r="AA714" s="233">
        <v>9713757</v>
      </c>
      <c r="AB714" s="233">
        <v>9713757</v>
      </c>
    </row>
    <row r="715" spans="1:28" ht="15" customHeight="1" x14ac:dyDescent="0.25">
      <c r="A715" s="230" t="s">
        <v>432</v>
      </c>
      <c r="B715" s="231" t="s">
        <v>433</v>
      </c>
      <c r="C715" s="232" t="s">
        <v>455</v>
      </c>
      <c r="D715" s="230" t="s">
        <v>22</v>
      </c>
      <c r="E715" s="230" t="s">
        <v>298</v>
      </c>
      <c r="F715" s="230" t="s">
        <v>290</v>
      </c>
      <c r="G715" s="230" t="s">
        <v>296</v>
      </c>
      <c r="H715" s="230" t="s">
        <v>445</v>
      </c>
      <c r="I715" s="230" t="s">
        <v>456</v>
      </c>
      <c r="J715" s="230" t="s">
        <v>269</v>
      </c>
      <c r="K715" s="230"/>
      <c r="L715" s="230"/>
      <c r="M715" s="230" t="s">
        <v>273</v>
      </c>
      <c r="N715" s="230" t="s">
        <v>34</v>
      </c>
      <c r="O715" s="230" t="s">
        <v>267</v>
      </c>
      <c r="P715" s="231" t="s">
        <v>99</v>
      </c>
      <c r="Q715" s="231" t="s">
        <v>457</v>
      </c>
      <c r="R715" s="233">
        <v>0</v>
      </c>
      <c r="S715" s="233">
        <v>40000000</v>
      </c>
      <c r="T715" s="233">
        <v>0</v>
      </c>
      <c r="U715" s="233">
        <v>40000000</v>
      </c>
      <c r="V715" s="233">
        <v>0</v>
      </c>
      <c r="W715" s="233">
        <v>40000000</v>
      </c>
      <c r="X715" s="233">
        <v>0</v>
      </c>
      <c r="Y715" s="233">
        <v>38294110</v>
      </c>
      <c r="Z715" s="233">
        <v>35017898</v>
      </c>
      <c r="AA715" s="233">
        <v>35017898</v>
      </c>
      <c r="AB715" s="233">
        <v>35017898</v>
      </c>
    </row>
    <row r="716" spans="1:28" ht="15" customHeight="1" x14ac:dyDescent="0.25">
      <c r="A716" s="230" t="s">
        <v>438</v>
      </c>
      <c r="B716" s="231" t="s">
        <v>439</v>
      </c>
      <c r="C716" s="232" t="s">
        <v>455</v>
      </c>
      <c r="D716" s="230" t="s">
        <v>22</v>
      </c>
      <c r="E716" s="230" t="s">
        <v>298</v>
      </c>
      <c r="F716" s="230" t="s">
        <v>290</v>
      </c>
      <c r="G716" s="230" t="s">
        <v>296</v>
      </c>
      <c r="H716" s="230" t="s">
        <v>445</v>
      </c>
      <c r="I716" s="230" t="s">
        <v>456</v>
      </c>
      <c r="J716" s="230" t="s">
        <v>269</v>
      </c>
      <c r="K716" s="230"/>
      <c r="L716" s="230"/>
      <c r="M716" s="230" t="s">
        <v>273</v>
      </c>
      <c r="N716" s="230" t="s">
        <v>34</v>
      </c>
      <c r="O716" s="230" t="s">
        <v>267</v>
      </c>
      <c r="P716" s="231" t="s">
        <v>99</v>
      </c>
      <c r="Q716" s="231" t="s">
        <v>457</v>
      </c>
      <c r="R716" s="233">
        <v>0</v>
      </c>
      <c r="S716" s="233">
        <v>43000000</v>
      </c>
      <c r="T716" s="233">
        <v>0</v>
      </c>
      <c r="U716" s="233">
        <v>43000000</v>
      </c>
      <c r="V716" s="233">
        <v>0</v>
      </c>
      <c r="W716" s="233">
        <v>43000000</v>
      </c>
      <c r="X716" s="233">
        <v>0</v>
      </c>
      <c r="Y716" s="233">
        <v>41384053</v>
      </c>
      <c r="Z716" s="233">
        <v>37137111</v>
      </c>
      <c r="AA716" s="233">
        <v>37137111</v>
      </c>
      <c r="AB716" s="233">
        <v>37137111</v>
      </c>
    </row>
    <row r="717" spans="1:28" ht="15" customHeight="1" x14ac:dyDescent="0.25">
      <c r="A717" s="230" t="s">
        <v>10820</v>
      </c>
      <c r="B717" s="231" t="s">
        <v>10821</v>
      </c>
      <c r="C717" s="232" t="s">
        <v>455</v>
      </c>
      <c r="D717" s="230" t="s">
        <v>22</v>
      </c>
      <c r="E717" s="230" t="s">
        <v>298</v>
      </c>
      <c r="F717" s="230" t="s">
        <v>290</v>
      </c>
      <c r="G717" s="230" t="s">
        <v>296</v>
      </c>
      <c r="H717" s="230" t="s">
        <v>445</v>
      </c>
      <c r="I717" s="230" t="s">
        <v>456</v>
      </c>
      <c r="J717" s="230" t="s">
        <v>269</v>
      </c>
      <c r="K717" s="230"/>
      <c r="L717" s="230"/>
      <c r="M717" s="230" t="s">
        <v>273</v>
      </c>
      <c r="N717" s="230" t="s">
        <v>34</v>
      </c>
      <c r="O717" s="230" t="s">
        <v>267</v>
      </c>
      <c r="P717" s="231" t="s">
        <v>99</v>
      </c>
      <c r="Q717" s="231" t="s">
        <v>457</v>
      </c>
      <c r="R717" s="233">
        <v>0</v>
      </c>
      <c r="S717" s="233">
        <v>40000000</v>
      </c>
      <c r="T717" s="233">
        <v>26695064</v>
      </c>
      <c r="U717" s="233">
        <v>13304936</v>
      </c>
      <c r="V717" s="233">
        <v>0</v>
      </c>
      <c r="W717" s="233">
        <v>13304936</v>
      </c>
      <c r="X717" s="233">
        <v>0</v>
      </c>
      <c r="Y717" s="233">
        <v>13304936</v>
      </c>
      <c r="Z717" s="233">
        <v>10912943</v>
      </c>
      <c r="AA717" s="233">
        <v>10912943</v>
      </c>
      <c r="AB717" s="233">
        <v>10912943</v>
      </c>
    </row>
    <row r="718" spans="1:28" ht="15" customHeight="1" x14ac:dyDescent="0.25">
      <c r="A718" s="230" t="s">
        <v>420</v>
      </c>
      <c r="B718" s="231" t="s">
        <v>421</v>
      </c>
      <c r="C718" s="232" t="s">
        <v>458</v>
      </c>
      <c r="D718" s="230" t="s">
        <v>22</v>
      </c>
      <c r="E718" s="230" t="s">
        <v>289</v>
      </c>
      <c r="F718" s="230" t="s">
        <v>290</v>
      </c>
      <c r="G718" s="230" t="s">
        <v>293</v>
      </c>
      <c r="H718" s="230" t="s">
        <v>445</v>
      </c>
      <c r="I718" s="230" t="s">
        <v>459</v>
      </c>
      <c r="J718" s="230" t="s">
        <v>269</v>
      </c>
      <c r="K718" s="230"/>
      <c r="L718" s="230"/>
      <c r="M718" s="230" t="s">
        <v>266</v>
      </c>
      <c r="N718" s="230" t="s">
        <v>32</v>
      </c>
      <c r="O718" s="230" t="s">
        <v>267</v>
      </c>
      <c r="P718" s="231" t="s">
        <v>108</v>
      </c>
      <c r="Q718" s="231" t="s">
        <v>460</v>
      </c>
      <c r="R718" s="233">
        <v>0</v>
      </c>
      <c r="S718" s="233">
        <v>4080150</v>
      </c>
      <c r="T718" s="233">
        <v>534766</v>
      </c>
      <c r="U718" s="233">
        <v>3545384</v>
      </c>
      <c r="V718" s="233">
        <v>0</v>
      </c>
      <c r="W718" s="233">
        <v>3545384</v>
      </c>
      <c r="X718" s="233">
        <v>0</v>
      </c>
      <c r="Y718" s="233">
        <v>3545384</v>
      </c>
      <c r="Z718" s="233">
        <v>3545384</v>
      </c>
      <c r="AA718" s="233">
        <v>3545384</v>
      </c>
      <c r="AB718" s="233">
        <v>3545384</v>
      </c>
    </row>
    <row r="719" spans="1:28" ht="15" customHeight="1" x14ac:dyDescent="0.25">
      <c r="A719" s="230" t="s">
        <v>430</v>
      </c>
      <c r="B719" s="231" t="s">
        <v>431</v>
      </c>
      <c r="C719" s="232" t="s">
        <v>458</v>
      </c>
      <c r="D719" s="230" t="s">
        <v>22</v>
      </c>
      <c r="E719" s="230" t="s">
        <v>289</v>
      </c>
      <c r="F719" s="230" t="s">
        <v>290</v>
      </c>
      <c r="G719" s="230" t="s">
        <v>293</v>
      </c>
      <c r="H719" s="230" t="s">
        <v>445</v>
      </c>
      <c r="I719" s="230" t="s">
        <v>459</v>
      </c>
      <c r="J719" s="230" t="s">
        <v>269</v>
      </c>
      <c r="K719" s="230"/>
      <c r="L719" s="230"/>
      <c r="M719" s="230" t="s">
        <v>266</v>
      </c>
      <c r="N719" s="230" t="s">
        <v>32</v>
      </c>
      <c r="O719" s="230" t="s">
        <v>267</v>
      </c>
      <c r="P719" s="231" t="s">
        <v>108</v>
      </c>
      <c r="Q719" s="231" t="s">
        <v>460</v>
      </c>
      <c r="R719" s="233">
        <v>0</v>
      </c>
      <c r="S719" s="233">
        <v>6235653</v>
      </c>
      <c r="T719" s="233">
        <v>694594</v>
      </c>
      <c r="U719" s="233">
        <v>5541059</v>
      </c>
      <c r="V719" s="233">
        <v>0</v>
      </c>
      <c r="W719" s="233">
        <v>5541059</v>
      </c>
      <c r="X719" s="233">
        <v>0</v>
      </c>
      <c r="Y719" s="233">
        <v>5541059</v>
      </c>
      <c r="Z719" s="233">
        <v>5541059</v>
      </c>
      <c r="AA719" s="233">
        <v>5541059</v>
      </c>
      <c r="AB719" s="233">
        <v>5541059</v>
      </c>
    </row>
    <row r="720" spans="1:28" ht="15" customHeight="1" x14ac:dyDescent="0.25">
      <c r="A720" s="230" t="s">
        <v>430</v>
      </c>
      <c r="B720" s="231" t="s">
        <v>431</v>
      </c>
      <c r="C720" s="232" t="s">
        <v>458</v>
      </c>
      <c r="D720" s="230" t="s">
        <v>22</v>
      </c>
      <c r="E720" s="230" t="s">
        <v>289</v>
      </c>
      <c r="F720" s="230" t="s">
        <v>290</v>
      </c>
      <c r="G720" s="230" t="s">
        <v>293</v>
      </c>
      <c r="H720" s="230" t="s">
        <v>445</v>
      </c>
      <c r="I720" s="230" t="s">
        <v>459</v>
      </c>
      <c r="J720" s="230" t="s">
        <v>269</v>
      </c>
      <c r="K720" s="230"/>
      <c r="L720" s="230"/>
      <c r="M720" s="230" t="s">
        <v>273</v>
      </c>
      <c r="N720" s="230" t="s">
        <v>34</v>
      </c>
      <c r="O720" s="230" t="s">
        <v>267</v>
      </c>
      <c r="P720" s="231" t="s">
        <v>108</v>
      </c>
      <c r="Q720" s="231" t="s">
        <v>460</v>
      </c>
      <c r="R720" s="233">
        <v>0</v>
      </c>
      <c r="S720" s="233">
        <v>6235653</v>
      </c>
      <c r="T720" s="233">
        <v>6235653</v>
      </c>
      <c r="U720" s="233">
        <v>0</v>
      </c>
      <c r="V720" s="233">
        <v>0</v>
      </c>
      <c r="W720" s="233">
        <v>0</v>
      </c>
      <c r="X720" s="233">
        <v>0</v>
      </c>
      <c r="Y720" s="233">
        <v>0</v>
      </c>
      <c r="Z720" s="233">
        <v>0</v>
      </c>
      <c r="AA720" s="233">
        <v>0</v>
      </c>
      <c r="AB720" s="233">
        <v>0</v>
      </c>
    </row>
    <row r="721" spans="1:28" ht="15" customHeight="1" x14ac:dyDescent="0.25">
      <c r="A721" s="230" t="s">
        <v>311</v>
      </c>
      <c r="B721" s="231" t="s">
        <v>312</v>
      </c>
      <c r="C721" s="232" t="s">
        <v>461</v>
      </c>
      <c r="D721" s="230" t="s">
        <v>22</v>
      </c>
      <c r="E721" s="230" t="s">
        <v>298</v>
      </c>
      <c r="F721" s="230" t="s">
        <v>290</v>
      </c>
      <c r="G721" s="230" t="s">
        <v>296</v>
      </c>
      <c r="H721" s="230" t="s">
        <v>445</v>
      </c>
      <c r="I721" s="230" t="s">
        <v>462</v>
      </c>
      <c r="J721" s="230" t="s">
        <v>269</v>
      </c>
      <c r="K721" s="230"/>
      <c r="L721" s="230"/>
      <c r="M721" s="230" t="s">
        <v>266</v>
      </c>
      <c r="N721" s="230" t="s">
        <v>32</v>
      </c>
      <c r="O721" s="230" t="s">
        <v>267</v>
      </c>
      <c r="P721" s="231" t="s">
        <v>115</v>
      </c>
      <c r="Q721" s="231" t="s">
        <v>457</v>
      </c>
      <c r="R721" s="233">
        <v>0</v>
      </c>
      <c r="S721" s="233">
        <v>108883287</v>
      </c>
      <c r="T721" s="233">
        <v>0</v>
      </c>
      <c r="U721" s="233">
        <v>108883287</v>
      </c>
      <c r="V721" s="233">
        <v>0</v>
      </c>
      <c r="W721" s="233">
        <v>108876356</v>
      </c>
      <c r="X721" s="233">
        <v>6931</v>
      </c>
      <c r="Y721" s="233">
        <v>108876353</v>
      </c>
      <c r="Z721" s="233">
        <v>108876353</v>
      </c>
      <c r="AA721" s="233">
        <v>108876353</v>
      </c>
      <c r="AB721" s="233">
        <v>108876353</v>
      </c>
    </row>
    <row r="722" spans="1:28" ht="15" customHeight="1" x14ac:dyDescent="0.25">
      <c r="A722" s="230" t="s">
        <v>311</v>
      </c>
      <c r="B722" s="231" t="s">
        <v>312</v>
      </c>
      <c r="C722" s="232" t="s">
        <v>461</v>
      </c>
      <c r="D722" s="230" t="s">
        <v>22</v>
      </c>
      <c r="E722" s="230" t="s">
        <v>298</v>
      </c>
      <c r="F722" s="230" t="s">
        <v>290</v>
      </c>
      <c r="G722" s="230" t="s">
        <v>296</v>
      </c>
      <c r="H722" s="230" t="s">
        <v>445</v>
      </c>
      <c r="I722" s="230" t="s">
        <v>462</v>
      </c>
      <c r="J722" s="230" t="s">
        <v>269</v>
      </c>
      <c r="K722" s="230"/>
      <c r="L722" s="230"/>
      <c r="M722" s="230" t="s">
        <v>273</v>
      </c>
      <c r="N722" s="230" t="s">
        <v>34</v>
      </c>
      <c r="O722" s="230" t="s">
        <v>267</v>
      </c>
      <c r="P722" s="231" t="s">
        <v>115</v>
      </c>
      <c r="Q722" s="231" t="s">
        <v>457</v>
      </c>
      <c r="R722" s="233">
        <v>0</v>
      </c>
      <c r="S722" s="233">
        <v>164771870</v>
      </c>
      <c r="T722" s="233">
        <v>0</v>
      </c>
      <c r="U722" s="233">
        <v>164771870</v>
      </c>
      <c r="V722" s="233">
        <v>0</v>
      </c>
      <c r="W722" s="233">
        <v>157470975</v>
      </c>
      <c r="X722" s="233">
        <v>7300895</v>
      </c>
      <c r="Y722" s="233">
        <v>136851584</v>
      </c>
      <c r="Z722" s="233">
        <v>47920677</v>
      </c>
      <c r="AA722" s="233">
        <v>47920677</v>
      </c>
      <c r="AB722" s="233">
        <v>47920677</v>
      </c>
    </row>
    <row r="723" spans="1:28" ht="15" customHeight="1" x14ac:dyDescent="0.25">
      <c r="A723" s="230" t="s">
        <v>381</v>
      </c>
      <c r="B723" s="231" t="s">
        <v>382</v>
      </c>
      <c r="C723" s="232" t="s">
        <v>461</v>
      </c>
      <c r="D723" s="230" t="s">
        <v>22</v>
      </c>
      <c r="E723" s="230" t="s">
        <v>298</v>
      </c>
      <c r="F723" s="230" t="s">
        <v>290</v>
      </c>
      <c r="G723" s="230" t="s">
        <v>296</v>
      </c>
      <c r="H723" s="230" t="s">
        <v>445</v>
      </c>
      <c r="I723" s="230" t="s">
        <v>462</v>
      </c>
      <c r="J723" s="230" t="s">
        <v>269</v>
      </c>
      <c r="K723" s="230"/>
      <c r="L723" s="230"/>
      <c r="M723" s="230" t="s">
        <v>266</v>
      </c>
      <c r="N723" s="230" t="s">
        <v>32</v>
      </c>
      <c r="O723" s="230" t="s">
        <v>267</v>
      </c>
      <c r="P723" s="231" t="s">
        <v>115</v>
      </c>
      <c r="Q723" s="231" t="s">
        <v>457</v>
      </c>
      <c r="R723" s="233">
        <v>0</v>
      </c>
      <c r="S723" s="233">
        <v>243033060</v>
      </c>
      <c r="T723" s="233">
        <v>0</v>
      </c>
      <c r="U723" s="233">
        <v>243033060</v>
      </c>
      <c r="V723" s="233">
        <v>0</v>
      </c>
      <c r="W723" s="233">
        <v>240208316</v>
      </c>
      <c r="X723" s="233">
        <v>2824744</v>
      </c>
      <c r="Y723" s="233">
        <v>226278615</v>
      </c>
      <c r="Z723" s="233">
        <v>216249594</v>
      </c>
      <c r="AA723" s="233">
        <v>216249594</v>
      </c>
      <c r="AB723" s="233">
        <v>216249594</v>
      </c>
    </row>
    <row r="724" spans="1:28" ht="15" customHeight="1" x14ac:dyDescent="0.25">
      <c r="A724" s="230" t="s">
        <v>381</v>
      </c>
      <c r="B724" s="231" t="s">
        <v>382</v>
      </c>
      <c r="C724" s="232" t="s">
        <v>461</v>
      </c>
      <c r="D724" s="230" t="s">
        <v>22</v>
      </c>
      <c r="E724" s="230" t="s">
        <v>298</v>
      </c>
      <c r="F724" s="230" t="s">
        <v>290</v>
      </c>
      <c r="G724" s="230" t="s">
        <v>296</v>
      </c>
      <c r="H724" s="230" t="s">
        <v>445</v>
      </c>
      <c r="I724" s="230" t="s">
        <v>462</v>
      </c>
      <c r="J724" s="230" t="s">
        <v>269</v>
      </c>
      <c r="K724" s="230"/>
      <c r="L724" s="230"/>
      <c r="M724" s="230" t="s">
        <v>273</v>
      </c>
      <c r="N724" s="230" t="s">
        <v>34</v>
      </c>
      <c r="O724" s="230" t="s">
        <v>267</v>
      </c>
      <c r="P724" s="231" t="s">
        <v>115</v>
      </c>
      <c r="Q724" s="231" t="s">
        <v>457</v>
      </c>
      <c r="R724" s="233">
        <v>0</v>
      </c>
      <c r="S724" s="233">
        <v>369016351</v>
      </c>
      <c r="T724" s="233">
        <v>0</v>
      </c>
      <c r="U724" s="233">
        <v>369016351</v>
      </c>
      <c r="V724" s="233">
        <v>0</v>
      </c>
      <c r="W724" s="233">
        <v>347298602.98000002</v>
      </c>
      <c r="X724" s="233">
        <v>21717748.02</v>
      </c>
      <c r="Y724" s="233">
        <v>330161019.83999997</v>
      </c>
      <c r="Z724" s="233">
        <v>147583334</v>
      </c>
      <c r="AA724" s="233">
        <v>147583334</v>
      </c>
      <c r="AB724" s="233">
        <v>147583334</v>
      </c>
    </row>
    <row r="725" spans="1:28" ht="15" customHeight="1" x14ac:dyDescent="0.25">
      <c r="A725" s="230" t="s">
        <v>385</v>
      </c>
      <c r="B725" s="231" t="s">
        <v>386</v>
      </c>
      <c r="C725" s="232" t="s">
        <v>461</v>
      </c>
      <c r="D725" s="230" t="s">
        <v>22</v>
      </c>
      <c r="E725" s="230" t="s">
        <v>298</v>
      </c>
      <c r="F725" s="230" t="s">
        <v>290</v>
      </c>
      <c r="G725" s="230" t="s">
        <v>296</v>
      </c>
      <c r="H725" s="230" t="s">
        <v>445</v>
      </c>
      <c r="I725" s="230" t="s">
        <v>462</v>
      </c>
      <c r="J725" s="230" t="s">
        <v>269</v>
      </c>
      <c r="K725" s="230"/>
      <c r="L725" s="230"/>
      <c r="M725" s="230" t="s">
        <v>266</v>
      </c>
      <c r="N725" s="230" t="s">
        <v>32</v>
      </c>
      <c r="O725" s="230" t="s">
        <v>267</v>
      </c>
      <c r="P725" s="231" t="s">
        <v>115</v>
      </c>
      <c r="Q725" s="231" t="s">
        <v>457</v>
      </c>
      <c r="R725" s="233">
        <v>0</v>
      </c>
      <c r="S725" s="233">
        <v>315513105</v>
      </c>
      <c r="T725" s="233">
        <v>0</v>
      </c>
      <c r="U725" s="233">
        <v>315513105</v>
      </c>
      <c r="V725" s="233">
        <v>0</v>
      </c>
      <c r="W725" s="233">
        <v>315513105</v>
      </c>
      <c r="X725" s="233">
        <v>0</v>
      </c>
      <c r="Y725" s="233">
        <v>311620748</v>
      </c>
      <c r="Z725" s="233">
        <v>254277823</v>
      </c>
      <c r="AA725" s="233">
        <v>254277823</v>
      </c>
      <c r="AB725" s="233">
        <v>254277823</v>
      </c>
    </row>
    <row r="726" spans="1:28" ht="15" customHeight="1" x14ac:dyDescent="0.25">
      <c r="A726" s="230" t="s">
        <v>385</v>
      </c>
      <c r="B726" s="231" t="s">
        <v>386</v>
      </c>
      <c r="C726" s="232" t="s">
        <v>461</v>
      </c>
      <c r="D726" s="230" t="s">
        <v>22</v>
      </c>
      <c r="E726" s="230" t="s">
        <v>298</v>
      </c>
      <c r="F726" s="230" t="s">
        <v>290</v>
      </c>
      <c r="G726" s="230" t="s">
        <v>296</v>
      </c>
      <c r="H726" s="230" t="s">
        <v>445</v>
      </c>
      <c r="I726" s="230" t="s">
        <v>462</v>
      </c>
      <c r="J726" s="230" t="s">
        <v>269</v>
      </c>
      <c r="K726" s="230"/>
      <c r="L726" s="230"/>
      <c r="M726" s="230" t="s">
        <v>273</v>
      </c>
      <c r="N726" s="230" t="s">
        <v>34</v>
      </c>
      <c r="O726" s="230" t="s">
        <v>267</v>
      </c>
      <c r="P726" s="231" t="s">
        <v>115</v>
      </c>
      <c r="Q726" s="231" t="s">
        <v>457</v>
      </c>
      <c r="R726" s="233">
        <v>0</v>
      </c>
      <c r="S726" s="233">
        <v>43337732</v>
      </c>
      <c r="T726" s="233">
        <v>0</v>
      </c>
      <c r="U726" s="233">
        <v>43337732</v>
      </c>
      <c r="V726" s="233">
        <v>0</v>
      </c>
      <c r="W726" s="233">
        <v>41750132</v>
      </c>
      <c r="X726" s="233">
        <v>1587600</v>
      </c>
      <c r="Y726" s="233">
        <v>27061035</v>
      </c>
      <c r="Z726" s="233">
        <v>8645244.8499999996</v>
      </c>
      <c r="AA726" s="233">
        <v>8645244.8499999996</v>
      </c>
      <c r="AB726" s="233">
        <v>8645244.8499999996</v>
      </c>
    </row>
    <row r="727" spans="1:28" ht="15" customHeight="1" x14ac:dyDescent="0.25">
      <c r="A727" s="230" t="s">
        <v>389</v>
      </c>
      <c r="B727" s="231" t="s">
        <v>390</v>
      </c>
      <c r="C727" s="232" t="s">
        <v>461</v>
      </c>
      <c r="D727" s="230" t="s">
        <v>22</v>
      </c>
      <c r="E727" s="230" t="s">
        <v>298</v>
      </c>
      <c r="F727" s="230" t="s">
        <v>290</v>
      </c>
      <c r="G727" s="230" t="s">
        <v>296</v>
      </c>
      <c r="H727" s="230" t="s">
        <v>445</v>
      </c>
      <c r="I727" s="230" t="s">
        <v>462</v>
      </c>
      <c r="J727" s="230" t="s">
        <v>269</v>
      </c>
      <c r="K727" s="230"/>
      <c r="L727" s="230"/>
      <c r="M727" s="230" t="s">
        <v>266</v>
      </c>
      <c r="N727" s="230" t="s">
        <v>32</v>
      </c>
      <c r="O727" s="230" t="s">
        <v>267</v>
      </c>
      <c r="P727" s="231" t="s">
        <v>115</v>
      </c>
      <c r="Q727" s="231" t="s">
        <v>457</v>
      </c>
      <c r="R727" s="233">
        <v>0</v>
      </c>
      <c r="S727" s="233">
        <v>370266902</v>
      </c>
      <c r="T727" s="233">
        <v>1466578</v>
      </c>
      <c r="U727" s="233">
        <v>368800324</v>
      </c>
      <c r="V727" s="233">
        <v>0</v>
      </c>
      <c r="W727" s="233">
        <v>355838773</v>
      </c>
      <c r="X727" s="233">
        <v>12961551</v>
      </c>
      <c r="Y727" s="233">
        <v>354395180</v>
      </c>
      <c r="Z727" s="233">
        <v>311858196</v>
      </c>
      <c r="AA727" s="233">
        <v>311858196</v>
      </c>
      <c r="AB727" s="233">
        <v>311858196</v>
      </c>
    </row>
    <row r="728" spans="1:28" ht="22.5" x14ac:dyDescent="0.25">
      <c r="A728" s="230" t="s">
        <v>389</v>
      </c>
      <c r="B728" s="231" t="s">
        <v>390</v>
      </c>
      <c r="C728" s="232" t="s">
        <v>461</v>
      </c>
      <c r="D728" s="230" t="s">
        <v>22</v>
      </c>
      <c r="E728" s="230" t="s">
        <v>298</v>
      </c>
      <c r="F728" s="230" t="s">
        <v>290</v>
      </c>
      <c r="G728" s="230" t="s">
        <v>296</v>
      </c>
      <c r="H728" s="230" t="s">
        <v>445</v>
      </c>
      <c r="I728" s="230" t="s">
        <v>462</v>
      </c>
      <c r="J728" s="230" t="s">
        <v>269</v>
      </c>
      <c r="K728" s="230"/>
      <c r="L728" s="230"/>
      <c r="M728" s="230" t="s">
        <v>273</v>
      </c>
      <c r="N728" s="230" t="s">
        <v>34</v>
      </c>
      <c r="O728" s="230" t="s">
        <v>267</v>
      </c>
      <c r="P728" s="231" t="s">
        <v>115</v>
      </c>
      <c r="Q728" s="231" t="s">
        <v>457</v>
      </c>
      <c r="R728" s="233">
        <v>0</v>
      </c>
      <c r="S728" s="233">
        <v>174808001</v>
      </c>
      <c r="T728" s="233">
        <v>15311187</v>
      </c>
      <c r="U728" s="233">
        <v>159496814</v>
      </c>
      <c r="V728" s="233">
        <v>0</v>
      </c>
      <c r="W728" s="233">
        <v>121975148</v>
      </c>
      <c r="X728" s="233">
        <v>37521666</v>
      </c>
      <c r="Y728" s="233">
        <v>111464205</v>
      </c>
      <c r="Z728" s="233">
        <v>75507157</v>
      </c>
      <c r="AA728" s="233">
        <v>75507157</v>
      </c>
      <c r="AB728" s="233">
        <v>75507157</v>
      </c>
    </row>
    <row r="729" spans="1:28" ht="22.5" x14ac:dyDescent="0.25">
      <c r="A729" s="230" t="s">
        <v>391</v>
      </c>
      <c r="B729" s="231" t="s">
        <v>392</v>
      </c>
      <c r="C729" s="232" t="s">
        <v>461</v>
      </c>
      <c r="D729" s="230" t="s">
        <v>22</v>
      </c>
      <c r="E729" s="230" t="s">
        <v>298</v>
      </c>
      <c r="F729" s="230" t="s">
        <v>290</v>
      </c>
      <c r="G729" s="230" t="s">
        <v>296</v>
      </c>
      <c r="H729" s="230" t="s">
        <v>445</v>
      </c>
      <c r="I729" s="230" t="s">
        <v>462</v>
      </c>
      <c r="J729" s="230" t="s">
        <v>269</v>
      </c>
      <c r="K729" s="230"/>
      <c r="L729" s="230"/>
      <c r="M729" s="230" t="s">
        <v>266</v>
      </c>
      <c r="N729" s="230" t="s">
        <v>32</v>
      </c>
      <c r="O729" s="230" t="s">
        <v>267</v>
      </c>
      <c r="P729" s="231" t="s">
        <v>115</v>
      </c>
      <c r="Q729" s="231" t="s">
        <v>457</v>
      </c>
      <c r="R729" s="233">
        <v>0</v>
      </c>
      <c r="S729" s="233">
        <v>92978385</v>
      </c>
      <c r="T729" s="233">
        <v>0</v>
      </c>
      <c r="U729" s="233">
        <v>92978385</v>
      </c>
      <c r="V729" s="233">
        <v>0</v>
      </c>
      <c r="W729" s="233">
        <v>92231769</v>
      </c>
      <c r="X729" s="233">
        <v>746616</v>
      </c>
      <c r="Y729" s="233">
        <v>92231769</v>
      </c>
      <c r="Z729" s="233">
        <v>81317492</v>
      </c>
      <c r="AA729" s="233">
        <v>81317492</v>
      </c>
      <c r="AB729" s="233">
        <v>81317492</v>
      </c>
    </row>
    <row r="730" spans="1:28" ht="22.5" x14ac:dyDescent="0.25">
      <c r="A730" s="230" t="s">
        <v>391</v>
      </c>
      <c r="B730" s="231" t="s">
        <v>392</v>
      </c>
      <c r="C730" s="232" t="s">
        <v>461</v>
      </c>
      <c r="D730" s="230" t="s">
        <v>22</v>
      </c>
      <c r="E730" s="230" t="s">
        <v>298</v>
      </c>
      <c r="F730" s="230" t="s">
        <v>290</v>
      </c>
      <c r="G730" s="230" t="s">
        <v>296</v>
      </c>
      <c r="H730" s="230" t="s">
        <v>445</v>
      </c>
      <c r="I730" s="230" t="s">
        <v>462</v>
      </c>
      <c r="J730" s="230" t="s">
        <v>269</v>
      </c>
      <c r="K730" s="230"/>
      <c r="L730" s="230"/>
      <c r="M730" s="230" t="s">
        <v>273</v>
      </c>
      <c r="N730" s="230" t="s">
        <v>34</v>
      </c>
      <c r="O730" s="230" t="s">
        <v>267</v>
      </c>
      <c r="P730" s="231" t="s">
        <v>115</v>
      </c>
      <c r="Q730" s="231" t="s">
        <v>457</v>
      </c>
      <c r="R730" s="233">
        <v>0</v>
      </c>
      <c r="S730" s="233">
        <v>26071906</v>
      </c>
      <c r="T730" s="233">
        <v>0</v>
      </c>
      <c r="U730" s="233">
        <v>26071906</v>
      </c>
      <c r="V730" s="233">
        <v>0</v>
      </c>
      <c r="W730" s="233">
        <v>26071906</v>
      </c>
      <c r="X730" s="233">
        <v>0</v>
      </c>
      <c r="Y730" s="233">
        <v>26071906</v>
      </c>
      <c r="Z730" s="233">
        <v>15863848</v>
      </c>
      <c r="AA730" s="233">
        <v>15863848</v>
      </c>
      <c r="AB730" s="233">
        <v>15863848</v>
      </c>
    </row>
    <row r="731" spans="1:28" ht="22.5" x14ac:dyDescent="0.25">
      <c r="A731" s="230" t="s">
        <v>393</v>
      </c>
      <c r="B731" s="231" t="s">
        <v>394</v>
      </c>
      <c r="C731" s="232" t="s">
        <v>461</v>
      </c>
      <c r="D731" s="230" t="s">
        <v>22</v>
      </c>
      <c r="E731" s="230" t="s">
        <v>298</v>
      </c>
      <c r="F731" s="230" t="s">
        <v>290</v>
      </c>
      <c r="G731" s="230" t="s">
        <v>296</v>
      </c>
      <c r="H731" s="230" t="s">
        <v>445</v>
      </c>
      <c r="I731" s="230" t="s">
        <v>462</v>
      </c>
      <c r="J731" s="230" t="s">
        <v>269</v>
      </c>
      <c r="K731" s="230"/>
      <c r="L731" s="230"/>
      <c r="M731" s="230" t="s">
        <v>266</v>
      </c>
      <c r="N731" s="230" t="s">
        <v>32</v>
      </c>
      <c r="O731" s="230" t="s">
        <v>267</v>
      </c>
      <c r="P731" s="231" t="s">
        <v>115</v>
      </c>
      <c r="Q731" s="231" t="s">
        <v>457</v>
      </c>
      <c r="R731" s="233">
        <v>0</v>
      </c>
      <c r="S731" s="233">
        <v>126800457</v>
      </c>
      <c r="T731" s="233">
        <v>0</v>
      </c>
      <c r="U731" s="233">
        <v>126800457</v>
      </c>
      <c r="V731" s="233">
        <v>0</v>
      </c>
      <c r="W731" s="233">
        <v>126800457</v>
      </c>
      <c r="X731" s="233">
        <v>0</v>
      </c>
      <c r="Y731" s="233">
        <v>126511571</v>
      </c>
      <c r="Z731" s="233">
        <v>116073573</v>
      </c>
      <c r="AA731" s="233">
        <v>116073573</v>
      </c>
      <c r="AB731" s="233">
        <v>116073573</v>
      </c>
    </row>
    <row r="732" spans="1:28" ht="22.5" x14ac:dyDescent="0.25">
      <c r="A732" s="230" t="s">
        <v>393</v>
      </c>
      <c r="B732" s="231" t="s">
        <v>394</v>
      </c>
      <c r="C732" s="232" t="s">
        <v>461</v>
      </c>
      <c r="D732" s="230" t="s">
        <v>22</v>
      </c>
      <c r="E732" s="230" t="s">
        <v>298</v>
      </c>
      <c r="F732" s="230" t="s">
        <v>290</v>
      </c>
      <c r="G732" s="230" t="s">
        <v>296</v>
      </c>
      <c r="H732" s="230" t="s">
        <v>445</v>
      </c>
      <c r="I732" s="230" t="s">
        <v>462</v>
      </c>
      <c r="J732" s="230" t="s">
        <v>269</v>
      </c>
      <c r="K732" s="230"/>
      <c r="L732" s="230"/>
      <c r="M732" s="230" t="s">
        <v>273</v>
      </c>
      <c r="N732" s="230" t="s">
        <v>34</v>
      </c>
      <c r="O732" s="230" t="s">
        <v>267</v>
      </c>
      <c r="P732" s="231" t="s">
        <v>115</v>
      </c>
      <c r="Q732" s="231" t="s">
        <v>457</v>
      </c>
      <c r="R732" s="233">
        <v>0</v>
      </c>
      <c r="S732" s="233">
        <v>3562820471</v>
      </c>
      <c r="T732" s="233">
        <v>8246700</v>
      </c>
      <c r="U732" s="233">
        <v>3554573771</v>
      </c>
      <c r="V732" s="233">
        <v>0</v>
      </c>
      <c r="W732" s="233">
        <v>3539242529</v>
      </c>
      <c r="X732" s="233">
        <v>15331242</v>
      </c>
      <c r="Y732" s="233">
        <v>3115096537</v>
      </c>
      <c r="Z732" s="233">
        <v>2188160232</v>
      </c>
      <c r="AA732" s="233">
        <v>2188160232</v>
      </c>
      <c r="AB732" s="233">
        <v>2188160232</v>
      </c>
    </row>
    <row r="733" spans="1:28" ht="22.5" x14ac:dyDescent="0.25">
      <c r="A733" s="230" t="s">
        <v>397</v>
      </c>
      <c r="B733" s="231" t="s">
        <v>398</v>
      </c>
      <c r="C733" s="232" t="s">
        <v>461</v>
      </c>
      <c r="D733" s="230" t="s">
        <v>22</v>
      </c>
      <c r="E733" s="230" t="s">
        <v>298</v>
      </c>
      <c r="F733" s="230" t="s">
        <v>290</v>
      </c>
      <c r="G733" s="230" t="s">
        <v>296</v>
      </c>
      <c r="H733" s="230" t="s">
        <v>445</v>
      </c>
      <c r="I733" s="230" t="s">
        <v>462</v>
      </c>
      <c r="J733" s="230" t="s">
        <v>269</v>
      </c>
      <c r="K733" s="230"/>
      <c r="L733" s="230"/>
      <c r="M733" s="230" t="s">
        <v>266</v>
      </c>
      <c r="N733" s="230" t="s">
        <v>32</v>
      </c>
      <c r="O733" s="230" t="s">
        <v>267</v>
      </c>
      <c r="P733" s="231" t="s">
        <v>115</v>
      </c>
      <c r="Q733" s="231" t="s">
        <v>457</v>
      </c>
      <c r="R733" s="233">
        <v>0</v>
      </c>
      <c r="S733" s="233">
        <v>225930867</v>
      </c>
      <c r="T733" s="233">
        <v>0</v>
      </c>
      <c r="U733" s="233">
        <v>225930867</v>
      </c>
      <c r="V733" s="233">
        <v>0</v>
      </c>
      <c r="W733" s="233">
        <v>225930867</v>
      </c>
      <c r="X733" s="233">
        <v>0</v>
      </c>
      <c r="Y733" s="233">
        <v>225277666</v>
      </c>
      <c r="Z733" s="233">
        <v>195643270</v>
      </c>
      <c r="AA733" s="233">
        <v>195643270</v>
      </c>
      <c r="AB733" s="233">
        <v>195643270</v>
      </c>
    </row>
    <row r="734" spans="1:28" ht="22.5" x14ac:dyDescent="0.25">
      <c r="A734" s="230" t="s">
        <v>397</v>
      </c>
      <c r="B734" s="231" t="s">
        <v>398</v>
      </c>
      <c r="C734" s="232" t="s">
        <v>461</v>
      </c>
      <c r="D734" s="230" t="s">
        <v>22</v>
      </c>
      <c r="E734" s="230" t="s">
        <v>298</v>
      </c>
      <c r="F734" s="230" t="s">
        <v>290</v>
      </c>
      <c r="G734" s="230" t="s">
        <v>296</v>
      </c>
      <c r="H734" s="230" t="s">
        <v>445</v>
      </c>
      <c r="I734" s="230" t="s">
        <v>462</v>
      </c>
      <c r="J734" s="230" t="s">
        <v>269</v>
      </c>
      <c r="K734" s="230"/>
      <c r="L734" s="230"/>
      <c r="M734" s="230" t="s">
        <v>273</v>
      </c>
      <c r="N734" s="230" t="s">
        <v>34</v>
      </c>
      <c r="O734" s="230" t="s">
        <v>267</v>
      </c>
      <c r="P734" s="231" t="s">
        <v>115</v>
      </c>
      <c r="Q734" s="231" t="s">
        <v>457</v>
      </c>
      <c r="R734" s="233">
        <v>0</v>
      </c>
      <c r="S734" s="233">
        <v>139804198</v>
      </c>
      <c r="T734" s="233">
        <v>0</v>
      </c>
      <c r="U734" s="233">
        <v>139804198</v>
      </c>
      <c r="V734" s="233">
        <v>0</v>
      </c>
      <c r="W734" s="233">
        <v>139804198</v>
      </c>
      <c r="X734" s="233">
        <v>0</v>
      </c>
      <c r="Y734" s="233">
        <v>113114992</v>
      </c>
      <c r="Z734" s="233">
        <v>76733985</v>
      </c>
      <c r="AA734" s="233">
        <v>76733985</v>
      </c>
      <c r="AB734" s="233">
        <v>76733985</v>
      </c>
    </row>
    <row r="735" spans="1:28" ht="22.5" x14ac:dyDescent="0.25">
      <c r="A735" s="230" t="s">
        <v>401</v>
      </c>
      <c r="B735" s="231" t="s">
        <v>402</v>
      </c>
      <c r="C735" s="232" t="s">
        <v>461</v>
      </c>
      <c r="D735" s="230" t="s">
        <v>22</v>
      </c>
      <c r="E735" s="230" t="s">
        <v>298</v>
      </c>
      <c r="F735" s="230" t="s">
        <v>290</v>
      </c>
      <c r="G735" s="230" t="s">
        <v>296</v>
      </c>
      <c r="H735" s="230" t="s">
        <v>445</v>
      </c>
      <c r="I735" s="230" t="s">
        <v>462</v>
      </c>
      <c r="J735" s="230" t="s">
        <v>269</v>
      </c>
      <c r="K735" s="230"/>
      <c r="L735" s="230"/>
      <c r="M735" s="230" t="s">
        <v>266</v>
      </c>
      <c r="N735" s="230" t="s">
        <v>32</v>
      </c>
      <c r="O735" s="230" t="s">
        <v>267</v>
      </c>
      <c r="P735" s="231" t="s">
        <v>115</v>
      </c>
      <c r="Q735" s="231" t="s">
        <v>457</v>
      </c>
      <c r="R735" s="233">
        <v>0</v>
      </c>
      <c r="S735" s="233">
        <v>196022424</v>
      </c>
      <c r="T735" s="233">
        <v>0</v>
      </c>
      <c r="U735" s="233">
        <v>196022424</v>
      </c>
      <c r="V735" s="233">
        <v>0</v>
      </c>
      <c r="W735" s="233">
        <v>195424974</v>
      </c>
      <c r="X735" s="233">
        <v>597450</v>
      </c>
      <c r="Y735" s="233">
        <v>193566540</v>
      </c>
      <c r="Z735" s="233">
        <v>167866812</v>
      </c>
      <c r="AA735" s="233">
        <v>167866812</v>
      </c>
      <c r="AB735" s="233">
        <v>167866812</v>
      </c>
    </row>
    <row r="736" spans="1:28" ht="22.5" x14ac:dyDescent="0.25">
      <c r="A736" s="230" t="s">
        <v>401</v>
      </c>
      <c r="B736" s="231" t="s">
        <v>402</v>
      </c>
      <c r="C736" s="232" t="s">
        <v>461</v>
      </c>
      <c r="D736" s="230" t="s">
        <v>22</v>
      </c>
      <c r="E736" s="230" t="s">
        <v>298</v>
      </c>
      <c r="F736" s="230" t="s">
        <v>290</v>
      </c>
      <c r="G736" s="230" t="s">
        <v>296</v>
      </c>
      <c r="H736" s="230" t="s">
        <v>445</v>
      </c>
      <c r="I736" s="230" t="s">
        <v>462</v>
      </c>
      <c r="J736" s="230" t="s">
        <v>269</v>
      </c>
      <c r="K736" s="230"/>
      <c r="L736" s="230"/>
      <c r="M736" s="230" t="s">
        <v>273</v>
      </c>
      <c r="N736" s="230" t="s">
        <v>34</v>
      </c>
      <c r="O736" s="230" t="s">
        <v>267</v>
      </c>
      <c r="P736" s="231" t="s">
        <v>115</v>
      </c>
      <c r="Q736" s="231" t="s">
        <v>457</v>
      </c>
      <c r="R736" s="233">
        <v>0</v>
      </c>
      <c r="S736" s="233">
        <v>36561010</v>
      </c>
      <c r="T736" s="233">
        <v>0</v>
      </c>
      <c r="U736" s="233">
        <v>36561010</v>
      </c>
      <c r="V736" s="233">
        <v>0</v>
      </c>
      <c r="W736" s="233">
        <v>35287836</v>
      </c>
      <c r="X736" s="233">
        <v>1273174</v>
      </c>
      <c r="Y736" s="233">
        <v>33678905</v>
      </c>
      <c r="Z736" s="233">
        <v>22638105</v>
      </c>
      <c r="AA736" s="233">
        <v>20936862</v>
      </c>
      <c r="AB736" s="233">
        <v>20936862</v>
      </c>
    </row>
    <row r="737" spans="1:28" ht="22.5" x14ac:dyDescent="0.25">
      <c r="A737" s="230" t="s">
        <v>405</v>
      </c>
      <c r="B737" s="231" t="s">
        <v>406</v>
      </c>
      <c r="C737" s="232" t="s">
        <v>461</v>
      </c>
      <c r="D737" s="230" t="s">
        <v>22</v>
      </c>
      <c r="E737" s="230" t="s">
        <v>298</v>
      </c>
      <c r="F737" s="230" t="s">
        <v>290</v>
      </c>
      <c r="G737" s="230" t="s">
        <v>296</v>
      </c>
      <c r="H737" s="230" t="s">
        <v>445</v>
      </c>
      <c r="I737" s="230" t="s">
        <v>462</v>
      </c>
      <c r="J737" s="230" t="s">
        <v>269</v>
      </c>
      <c r="K737" s="230"/>
      <c r="L737" s="230"/>
      <c r="M737" s="230" t="s">
        <v>266</v>
      </c>
      <c r="N737" s="230" t="s">
        <v>32</v>
      </c>
      <c r="O737" s="230" t="s">
        <v>267</v>
      </c>
      <c r="P737" s="231" t="s">
        <v>115</v>
      </c>
      <c r="Q737" s="231" t="s">
        <v>457</v>
      </c>
      <c r="R737" s="233">
        <v>0</v>
      </c>
      <c r="S737" s="233">
        <v>794692164</v>
      </c>
      <c r="T737" s="233">
        <v>0</v>
      </c>
      <c r="U737" s="233">
        <v>794692164</v>
      </c>
      <c r="V737" s="233">
        <v>0</v>
      </c>
      <c r="W737" s="233">
        <v>794692164</v>
      </c>
      <c r="X737" s="233">
        <v>0</v>
      </c>
      <c r="Y737" s="233">
        <v>720531950</v>
      </c>
      <c r="Z737" s="233">
        <v>634276692</v>
      </c>
      <c r="AA737" s="233">
        <v>634276692</v>
      </c>
      <c r="AB737" s="233">
        <v>634276692</v>
      </c>
    </row>
    <row r="738" spans="1:28" ht="22.5" x14ac:dyDescent="0.25">
      <c r="A738" s="230" t="s">
        <v>405</v>
      </c>
      <c r="B738" s="231" t="s">
        <v>406</v>
      </c>
      <c r="C738" s="232" t="s">
        <v>461</v>
      </c>
      <c r="D738" s="230" t="s">
        <v>22</v>
      </c>
      <c r="E738" s="230" t="s">
        <v>298</v>
      </c>
      <c r="F738" s="230" t="s">
        <v>290</v>
      </c>
      <c r="G738" s="230" t="s">
        <v>296</v>
      </c>
      <c r="H738" s="230" t="s">
        <v>445</v>
      </c>
      <c r="I738" s="230" t="s">
        <v>462</v>
      </c>
      <c r="J738" s="230" t="s">
        <v>269</v>
      </c>
      <c r="K738" s="230"/>
      <c r="L738" s="230"/>
      <c r="M738" s="230" t="s">
        <v>273</v>
      </c>
      <c r="N738" s="230" t="s">
        <v>34</v>
      </c>
      <c r="O738" s="230" t="s">
        <v>267</v>
      </c>
      <c r="P738" s="231" t="s">
        <v>115</v>
      </c>
      <c r="Q738" s="231" t="s">
        <v>457</v>
      </c>
      <c r="R738" s="233">
        <v>0</v>
      </c>
      <c r="S738" s="233">
        <v>966770907</v>
      </c>
      <c r="T738" s="233">
        <v>0</v>
      </c>
      <c r="U738" s="233">
        <v>966770907</v>
      </c>
      <c r="V738" s="233">
        <v>0</v>
      </c>
      <c r="W738" s="233">
        <v>966770907</v>
      </c>
      <c r="X738" s="233">
        <v>0</v>
      </c>
      <c r="Y738" s="233">
        <v>783933120</v>
      </c>
      <c r="Z738" s="233">
        <v>425194679</v>
      </c>
      <c r="AA738" s="233">
        <v>425194679</v>
      </c>
      <c r="AB738" s="233">
        <v>425194679</v>
      </c>
    </row>
    <row r="739" spans="1:28" ht="22.5" x14ac:dyDescent="0.25">
      <c r="A739" s="230" t="s">
        <v>411</v>
      </c>
      <c r="B739" s="231" t="s">
        <v>412</v>
      </c>
      <c r="C739" s="232" t="s">
        <v>461</v>
      </c>
      <c r="D739" s="230" t="s">
        <v>22</v>
      </c>
      <c r="E739" s="230" t="s">
        <v>298</v>
      </c>
      <c r="F739" s="230" t="s">
        <v>290</v>
      </c>
      <c r="G739" s="230" t="s">
        <v>296</v>
      </c>
      <c r="H739" s="230" t="s">
        <v>445</v>
      </c>
      <c r="I739" s="230" t="s">
        <v>462</v>
      </c>
      <c r="J739" s="230" t="s">
        <v>269</v>
      </c>
      <c r="K739" s="230"/>
      <c r="L739" s="230"/>
      <c r="M739" s="230" t="s">
        <v>266</v>
      </c>
      <c r="N739" s="230" t="s">
        <v>32</v>
      </c>
      <c r="O739" s="230" t="s">
        <v>267</v>
      </c>
      <c r="P739" s="231" t="s">
        <v>115</v>
      </c>
      <c r="Q739" s="231" t="s">
        <v>457</v>
      </c>
      <c r="R739" s="233">
        <v>0</v>
      </c>
      <c r="S739" s="233">
        <v>125884367</v>
      </c>
      <c r="T739" s="233">
        <v>0</v>
      </c>
      <c r="U739" s="233">
        <v>125884367</v>
      </c>
      <c r="V739" s="233">
        <v>0</v>
      </c>
      <c r="W739" s="233">
        <v>125872346</v>
      </c>
      <c r="X739" s="233">
        <v>12021</v>
      </c>
      <c r="Y739" s="233">
        <v>124808228</v>
      </c>
      <c r="Z739" s="233">
        <v>113432010</v>
      </c>
      <c r="AA739" s="233">
        <v>113432010</v>
      </c>
      <c r="AB739" s="233">
        <v>113432010</v>
      </c>
    </row>
    <row r="740" spans="1:28" ht="22.5" x14ac:dyDescent="0.25">
      <c r="A740" s="230" t="s">
        <v>411</v>
      </c>
      <c r="B740" s="231" t="s">
        <v>412</v>
      </c>
      <c r="C740" s="232" t="s">
        <v>461</v>
      </c>
      <c r="D740" s="230" t="s">
        <v>22</v>
      </c>
      <c r="E740" s="230" t="s">
        <v>298</v>
      </c>
      <c r="F740" s="230" t="s">
        <v>290</v>
      </c>
      <c r="G740" s="230" t="s">
        <v>296</v>
      </c>
      <c r="H740" s="230" t="s">
        <v>445</v>
      </c>
      <c r="I740" s="230" t="s">
        <v>462</v>
      </c>
      <c r="J740" s="230" t="s">
        <v>269</v>
      </c>
      <c r="K740" s="230"/>
      <c r="L740" s="230"/>
      <c r="M740" s="230" t="s">
        <v>273</v>
      </c>
      <c r="N740" s="230" t="s">
        <v>34</v>
      </c>
      <c r="O740" s="230" t="s">
        <v>267</v>
      </c>
      <c r="P740" s="231" t="s">
        <v>115</v>
      </c>
      <c r="Q740" s="231" t="s">
        <v>457</v>
      </c>
      <c r="R740" s="233">
        <v>0</v>
      </c>
      <c r="S740" s="233">
        <v>145600664</v>
      </c>
      <c r="T740" s="233">
        <v>0</v>
      </c>
      <c r="U740" s="233">
        <v>145600664</v>
      </c>
      <c r="V740" s="233">
        <v>0</v>
      </c>
      <c r="W740" s="233">
        <v>109423680</v>
      </c>
      <c r="X740" s="233">
        <v>36176984</v>
      </c>
      <c r="Y740" s="233">
        <v>105795413</v>
      </c>
      <c r="Z740" s="233">
        <v>42598603</v>
      </c>
      <c r="AA740" s="233">
        <v>42598603</v>
      </c>
      <c r="AB740" s="233">
        <v>42598603</v>
      </c>
    </row>
    <row r="741" spans="1:28" ht="22.5" x14ac:dyDescent="0.25">
      <c r="A741" s="230" t="s">
        <v>413</v>
      </c>
      <c r="B741" s="231" t="s">
        <v>414</v>
      </c>
      <c r="C741" s="232" t="s">
        <v>461</v>
      </c>
      <c r="D741" s="230" t="s">
        <v>22</v>
      </c>
      <c r="E741" s="230" t="s">
        <v>298</v>
      </c>
      <c r="F741" s="230" t="s">
        <v>290</v>
      </c>
      <c r="G741" s="230" t="s">
        <v>296</v>
      </c>
      <c r="H741" s="230" t="s">
        <v>445</v>
      </c>
      <c r="I741" s="230" t="s">
        <v>462</v>
      </c>
      <c r="J741" s="230" t="s">
        <v>269</v>
      </c>
      <c r="K741" s="230"/>
      <c r="L741" s="230"/>
      <c r="M741" s="230" t="s">
        <v>266</v>
      </c>
      <c r="N741" s="230" t="s">
        <v>32</v>
      </c>
      <c r="O741" s="230" t="s">
        <v>267</v>
      </c>
      <c r="P741" s="231" t="s">
        <v>115</v>
      </c>
      <c r="Q741" s="231" t="s">
        <v>457</v>
      </c>
      <c r="R741" s="233">
        <v>0</v>
      </c>
      <c r="S741" s="233">
        <v>139661991</v>
      </c>
      <c r="T741" s="233">
        <v>0</v>
      </c>
      <c r="U741" s="233">
        <v>139661991</v>
      </c>
      <c r="V741" s="233">
        <v>0</v>
      </c>
      <c r="W741" s="233">
        <v>139460589</v>
      </c>
      <c r="X741" s="233">
        <v>201402</v>
      </c>
      <c r="Y741" s="233">
        <v>132039789</v>
      </c>
      <c r="Z741" s="233">
        <v>121364511</v>
      </c>
      <c r="AA741" s="233">
        <v>121364511</v>
      </c>
      <c r="AB741" s="233">
        <v>121364511</v>
      </c>
    </row>
    <row r="742" spans="1:28" ht="22.5" x14ac:dyDescent="0.25">
      <c r="A742" s="230" t="s">
        <v>413</v>
      </c>
      <c r="B742" s="231" t="s">
        <v>414</v>
      </c>
      <c r="C742" s="232" t="s">
        <v>461</v>
      </c>
      <c r="D742" s="230" t="s">
        <v>22</v>
      </c>
      <c r="E742" s="230" t="s">
        <v>298</v>
      </c>
      <c r="F742" s="230" t="s">
        <v>290</v>
      </c>
      <c r="G742" s="230" t="s">
        <v>296</v>
      </c>
      <c r="H742" s="230" t="s">
        <v>445</v>
      </c>
      <c r="I742" s="230" t="s">
        <v>462</v>
      </c>
      <c r="J742" s="230" t="s">
        <v>269</v>
      </c>
      <c r="K742" s="230"/>
      <c r="L742" s="230"/>
      <c r="M742" s="230" t="s">
        <v>273</v>
      </c>
      <c r="N742" s="230" t="s">
        <v>34</v>
      </c>
      <c r="O742" s="230" t="s">
        <v>267</v>
      </c>
      <c r="P742" s="231" t="s">
        <v>115</v>
      </c>
      <c r="Q742" s="231" t="s">
        <v>457</v>
      </c>
      <c r="R742" s="233">
        <v>0</v>
      </c>
      <c r="S742" s="233">
        <v>175442275</v>
      </c>
      <c r="T742" s="233">
        <v>0</v>
      </c>
      <c r="U742" s="233">
        <v>175442275</v>
      </c>
      <c r="V742" s="233">
        <v>0</v>
      </c>
      <c r="W742" s="233">
        <v>175442275</v>
      </c>
      <c r="X742" s="233">
        <v>0</v>
      </c>
      <c r="Y742" s="233">
        <v>75337323</v>
      </c>
      <c r="Z742" s="233">
        <v>30036716</v>
      </c>
      <c r="AA742" s="233">
        <v>30036716</v>
      </c>
      <c r="AB742" s="233">
        <v>30036716</v>
      </c>
    </row>
    <row r="743" spans="1:28" ht="22.5" x14ac:dyDescent="0.25">
      <c r="A743" s="230" t="s">
        <v>415</v>
      </c>
      <c r="B743" s="231" t="s">
        <v>416</v>
      </c>
      <c r="C743" s="232" t="s">
        <v>461</v>
      </c>
      <c r="D743" s="230" t="s">
        <v>22</v>
      </c>
      <c r="E743" s="230" t="s">
        <v>298</v>
      </c>
      <c r="F743" s="230" t="s">
        <v>290</v>
      </c>
      <c r="G743" s="230" t="s">
        <v>296</v>
      </c>
      <c r="H743" s="230" t="s">
        <v>445</v>
      </c>
      <c r="I743" s="230" t="s">
        <v>462</v>
      </c>
      <c r="J743" s="230" t="s">
        <v>269</v>
      </c>
      <c r="K743" s="230"/>
      <c r="L743" s="230"/>
      <c r="M743" s="230" t="s">
        <v>266</v>
      </c>
      <c r="N743" s="230" t="s">
        <v>32</v>
      </c>
      <c r="O743" s="230" t="s">
        <v>267</v>
      </c>
      <c r="P743" s="231" t="s">
        <v>115</v>
      </c>
      <c r="Q743" s="231" t="s">
        <v>457</v>
      </c>
      <c r="R743" s="233">
        <v>0</v>
      </c>
      <c r="S743" s="233">
        <v>147098946</v>
      </c>
      <c r="T743" s="233">
        <v>0</v>
      </c>
      <c r="U743" s="233">
        <v>147098946</v>
      </c>
      <c r="V743" s="233">
        <v>0</v>
      </c>
      <c r="W743" s="233">
        <v>140475194</v>
      </c>
      <c r="X743" s="233">
        <v>6623752</v>
      </c>
      <c r="Y743" s="233">
        <v>139602122</v>
      </c>
      <c r="Z743" s="233">
        <v>129692858</v>
      </c>
      <c r="AA743" s="233">
        <v>129692858</v>
      </c>
      <c r="AB743" s="233">
        <v>129692858</v>
      </c>
    </row>
    <row r="744" spans="1:28" ht="22.5" x14ac:dyDescent="0.25">
      <c r="A744" s="230" t="s">
        <v>415</v>
      </c>
      <c r="B744" s="231" t="s">
        <v>416</v>
      </c>
      <c r="C744" s="232" t="s">
        <v>461</v>
      </c>
      <c r="D744" s="230" t="s">
        <v>22</v>
      </c>
      <c r="E744" s="230" t="s">
        <v>298</v>
      </c>
      <c r="F744" s="230" t="s">
        <v>290</v>
      </c>
      <c r="G744" s="230" t="s">
        <v>296</v>
      </c>
      <c r="H744" s="230" t="s">
        <v>445</v>
      </c>
      <c r="I744" s="230" t="s">
        <v>462</v>
      </c>
      <c r="J744" s="230" t="s">
        <v>269</v>
      </c>
      <c r="K744" s="230"/>
      <c r="L744" s="230"/>
      <c r="M744" s="230" t="s">
        <v>273</v>
      </c>
      <c r="N744" s="230" t="s">
        <v>34</v>
      </c>
      <c r="O744" s="230" t="s">
        <v>267</v>
      </c>
      <c r="P744" s="231" t="s">
        <v>115</v>
      </c>
      <c r="Q744" s="231" t="s">
        <v>457</v>
      </c>
      <c r="R744" s="233">
        <v>0</v>
      </c>
      <c r="S744" s="233">
        <v>138004045</v>
      </c>
      <c r="T744" s="233">
        <v>0</v>
      </c>
      <c r="U744" s="233">
        <v>138004045</v>
      </c>
      <c r="V744" s="233">
        <v>0</v>
      </c>
      <c r="W744" s="233">
        <v>136445765</v>
      </c>
      <c r="X744" s="233">
        <v>1558280</v>
      </c>
      <c r="Y744" s="233">
        <v>126716525</v>
      </c>
      <c r="Z744" s="233">
        <v>93735386</v>
      </c>
      <c r="AA744" s="233">
        <v>93735386</v>
      </c>
      <c r="AB744" s="233">
        <v>93735386</v>
      </c>
    </row>
    <row r="745" spans="1:28" ht="22.5" x14ac:dyDescent="0.25">
      <c r="A745" s="230" t="s">
        <v>420</v>
      </c>
      <c r="B745" s="231" t="s">
        <v>421</v>
      </c>
      <c r="C745" s="232" t="s">
        <v>461</v>
      </c>
      <c r="D745" s="230" t="s">
        <v>22</v>
      </c>
      <c r="E745" s="230" t="s">
        <v>298</v>
      </c>
      <c r="F745" s="230" t="s">
        <v>290</v>
      </c>
      <c r="G745" s="230" t="s">
        <v>296</v>
      </c>
      <c r="H745" s="230" t="s">
        <v>445</v>
      </c>
      <c r="I745" s="230" t="s">
        <v>462</v>
      </c>
      <c r="J745" s="230" t="s">
        <v>269</v>
      </c>
      <c r="K745" s="230"/>
      <c r="L745" s="230"/>
      <c r="M745" s="230" t="s">
        <v>266</v>
      </c>
      <c r="N745" s="230" t="s">
        <v>32</v>
      </c>
      <c r="O745" s="230" t="s">
        <v>267</v>
      </c>
      <c r="P745" s="231" t="s">
        <v>115</v>
      </c>
      <c r="Q745" s="231" t="s">
        <v>457</v>
      </c>
      <c r="R745" s="233">
        <v>0</v>
      </c>
      <c r="S745" s="233">
        <v>406076475</v>
      </c>
      <c r="T745" s="233">
        <v>0</v>
      </c>
      <c r="U745" s="233">
        <v>406076475</v>
      </c>
      <c r="V745" s="233">
        <v>0</v>
      </c>
      <c r="W745" s="233">
        <v>406076475</v>
      </c>
      <c r="X745" s="233">
        <v>0</v>
      </c>
      <c r="Y745" s="233">
        <v>388130997</v>
      </c>
      <c r="Z745" s="233">
        <v>314858874</v>
      </c>
      <c r="AA745" s="233">
        <v>314858874</v>
      </c>
      <c r="AB745" s="233">
        <v>314858874</v>
      </c>
    </row>
    <row r="746" spans="1:28" ht="22.5" x14ac:dyDescent="0.25">
      <c r="A746" s="230" t="s">
        <v>420</v>
      </c>
      <c r="B746" s="231" t="s">
        <v>421</v>
      </c>
      <c r="C746" s="232" t="s">
        <v>461</v>
      </c>
      <c r="D746" s="230" t="s">
        <v>22</v>
      </c>
      <c r="E746" s="230" t="s">
        <v>298</v>
      </c>
      <c r="F746" s="230" t="s">
        <v>290</v>
      </c>
      <c r="G746" s="230" t="s">
        <v>296</v>
      </c>
      <c r="H746" s="230" t="s">
        <v>445</v>
      </c>
      <c r="I746" s="230" t="s">
        <v>462</v>
      </c>
      <c r="J746" s="230" t="s">
        <v>269</v>
      </c>
      <c r="K746" s="230"/>
      <c r="L746" s="230"/>
      <c r="M746" s="230" t="s">
        <v>273</v>
      </c>
      <c r="N746" s="230" t="s">
        <v>34</v>
      </c>
      <c r="O746" s="230" t="s">
        <v>267</v>
      </c>
      <c r="P746" s="231" t="s">
        <v>115</v>
      </c>
      <c r="Q746" s="231" t="s">
        <v>457</v>
      </c>
      <c r="R746" s="233">
        <v>0</v>
      </c>
      <c r="S746" s="233">
        <v>2529595202</v>
      </c>
      <c r="T746" s="233">
        <v>223000000</v>
      </c>
      <c r="U746" s="233">
        <v>2306595202</v>
      </c>
      <c r="V746" s="233">
        <v>0</v>
      </c>
      <c r="W746" s="233">
        <v>2306595202</v>
      </c>
      <c r="X746" s="233">
        <v>0</v>
      </c>
      <c r="Y746" s="233">
        <v>2299716916.9400001</v>
      </c>
      <c r="Z746" s="233">
        <v>2127765162.9400001</v>
      </c>
      <c r="AA746" s="233">
        <v>2127093500.9400001</v>
      </c>
      <c r="AB746" s="233">
        <v>2127093500.9400001</v>
      </c>
    </row>
    <row r="747" spans="1:28" ht="22.5" x14ac:dyDescent="0.25">
      <c r="A747" s="230" t="s">
        <v>422</v>
      </c>
      <c r="B747" s="231" t="s">
        <v>423</v>
      </c>
      <c r="C747" s="232" t="s">
        <v>461</v>
      </c>
      <c r="D747" s="230" t="s">
        <v>22</v>
      </c>
      <c r="E747" s="230" t="s">
        <v>298</v>
      </c>
      <c r="F747" s="230" t="s">
        <v>290</v>
      </c>
      <c r="G747" s="230" t="s">
        <v>296</v>
      </c>
      <c r="H747" s="230" t="s">
        <v>445</v>
      </c>
      <c r="I747" s="230" t="s">
        <v>462</v>
      </c>
      <c r="J747" s="230" t="s">
        <v>269</v>
      </c>
      <c r="K747" s="230"/>
      <c r="L747" s="230"/>
      <c r="M747" s="230" t="s">
        <v>266</v>
      </c>
      <c r="N747" s="230" t="s">
        <v>32</v>
      </c>
      <c r="O747" s="230" t="s">
        <v>267</v>
      </c>
      <c r="P747" s="231" t="s">
        <v>115</v>
      </c>
      <c r="Q747" s="231" t="s">
        <v>457</v>
      </c>
      <c r="R747" s="233">
        <v>0</v>
      </c>
      <c r="S747" s="233">
        <v>324063743</v>
      </c>
      <c r="T747" s="233">
        <v>0</v>
      </c>
      <c r="U747" s="233">
        <v>324063743</v>
      </c>
      <c r="V747" s="233">
        <v>0</v>
      </c>
      <c r="W747" s="233">
        <v>324063743</v>
      </c>
      <c r="X747" s="233">
        <v>0</v>
      </c>
      <c r="Y747" s="233">
        <v>320732425</v>
      </c>
      <c r="Z747" s="233">
        <v>247301765</v>
      </c>
      <c r="AA747" s="233">
        <v>247301765</v>
      </c>
      <c r="AB747" s="233">
        <v>247301765</v>
      </c>
    </row>
    <row r="748" spans="1:28" ht="22.5" x14ac:dyDescent="0.25">
      <c r="A748" s="230" t="s">
        <v>422</v>
      </c>
      <c r="B748" s="231" t="s">
        <v>423</v>
      </c>
      <c r="C748" s="232" t="s">
        <v>461</v>
      </c>
      <c r="D748" s="230" t="s">
        <v>22</v>
      </c>
      <c r="E748" s="230" t="s">
        <v>298</v>
      </c>
      <c r="F748" s="230" t="s">
        <v>290</v>
      </c>
      <c r="G748" s="230" t="s">
        <v>296</v>
      </c>
      <c r="H748" s="230" t="s">
        <v>445</v>
      </c>
      <c r="I748" s="230" t="s">
        <v>462</v>
      </c>
      <c r="J748" s="230" t="s">
        <v>269</v>
      </c>
      <c r="K748" s="230"/>
      <c r="L748" s="230"/>
      <c r="M748" s="230" t="s">
        <v>273</v>
      </c>
      <c r="N748" s="230" t="s">
        <v>34</v>
      </c>
      <c r="O748" s="230" t="s">
        <v>267</v>
      </c>
      <c r="P748" s="231" t="s">
        <v>115</v>
      </c>
      <c r="Q748" s="231" t="s">
        <v>457</v>
      </c>
      <c r="R748" s="233">
        <v>0</v>
      </c>
      <c r="S748" s="233">
        <v>214520452</v>
      </c>
      <c r="T748" s="233">
        <v>7000000</v>
      </c>
      <c r="U748" s="233">
        <v>207520452</v>
      </c>
      <c r="V748" s="233">
        <v>0</v>
      </c>
      <c r="W748" s="233">
        <v>207520452</v>
      </c>
      <c r="X748" s="233">
        <v>0</v>
      </c>
      <c r="Y748" s="233">
        <v>205950069</v>
      </c>
      <c r="Z748" s="233">
        <v>188149187</v>
      </c>
      <c r="AA748" s="233">
        <v>188149187</v>
      </c>
      <c r="AB748" s="233">
        <v>188149187</v>
      </c>
    </row>
    <row r="749" spans="1:28" ht="22.5" x14ac:dyDescent="0.25">
      <c r="A749" s="230" t="s">
        <v>424</v>
      </c>
      <c r="B749" s="231" t="s">
        <v>425</v>
      </c>
      <c r="C749" s="232" t="s">
        <v>461</v>
      </c>
      <c r="D749" s="230" t="s">
        <v>22</v>
      </c>
      <c r="E749" s="230" t="s">
        <v>298</v>
      </c>
      <c r="F749" s="230" t="s">
        <v>290</v>
      </c>
      <c r="G749" s="230" t="s">
        <v>296</v>
      </c>
      <c r="H749" s="230" t="s">
        <v>445</v>
      </c>
      <c r="I749" s="230" t="s">
        <v>462</v>
      </c>
      <c r="J749" s="230" t="s">
        <v>269</v>
      </c>
      <c r="K749" s="230"/>
      <c r="L749" s="230"/>
      <c r="M749" s="230" t="s">
        <v>266</v>
      </c>
      <c r="N749" s="230" t="s">
        <v>32</v>
      </c>
      <c r="O749" s="230" t="s">
        <v>267</v>
      </c>
      <c r="P749" s="231" t="s">
        <v>115</v>
      </c>
      <c r="Q749" s="231" t="s">
        <v>457</v>
      </c>
      <c r="R749" s="233">
        <v>0</v>
      </c>
      <c r="S749" s="233">
        <v>203075276</v>
      </c>
      <c r="T749" s="233">
        <v>0</v>
      </c>
      <c r="U749" s="233">
        <v>203075276</v>
      </c>
      <c r="V749" s="233">
        <v>0</v>
      </c>
      <c r="W749" s="233">
        <v>203075276</v>
      </c>
      <c r="X749" s="233">
        <v>0</v>
      </c>
      <c r="Y749" s="233">
        <v>197339152.53</v>
      </c>
      <c r="Z749" s="233">
        <v>171515630.19999999</v>
      </c>
      <c r="AA749" s="233">
        <v>171515630.19999999</v>
      </c>
      <c r="AB749" s="233">
        <v>171515630.19999999</v>
      </c>
    </row>
    <row r="750" spans="1:28" ht="22.5" x14ac:dyDescent="0.25">
      <c r="A750" s="230" t="s">
        <v>424</v>
      </c>
      <c r="B750" s="231" t="s">
        <v>425</v>
      </c>
      <c r="C750" s="232" t="s">
        <v>461</v>
      </c>
      <c r="D750" s="230" t="s">
        <v>22</v>
      </c>
      <c r="E750" s="230" t="s">
        <v>298</v>
      </c>
      <c r="F750" s="230" t="s">
        <v>290</v>
      </c>
      <c r="G750" s="230" t="s">
        <v>296</v>
      </c>
      <c r="H750" s="230" t="s">
        <v>445</v>
      </c>
      <c r="I750" s="230" t="s">
        <v>462</v>
      </c>
      <c r="J750" s="230" t="s">
        <v>269</v>
      </c>
      <c r="K750" s="230"/>
      <c r="L750" s="230"/>
      <c r="M750" s="230" t="s">
        <v>273</v>
      </c>
      <c r="N750" s="230" t="s">
        <v>34</v>
      </c>
      <c r="O750" s="230" t="s">
        <v>267</v>
      </c>
      <c r="P750" s="231" t="s">
        <v>115</v>
      </c>
      <c r="Q750" s="231" t="s">
        <v>457</v>
      </c>
      <c r="R750" s="233">
        <v>0</v>
      </c>
      <c r="S750" s="233">
        <v>192111115</v>
      </c>
      <c r="T750" s="233">
        <v>0</v>
      </c>
      <c r="U750" s="233">
        <v>192111115</v>
      </c>
      <c r="V750" s="233">
        <v>0</v>
      </c>
      <c r="W750" s="233">
        <v>192041700</v>
      </c>
      <c r="X750" s="233">
        <v>69415</v>
      </c>
      <c r="Y750" s="233">
        <v>184994945</v>
      </c>
      <c r="Z750" s="233">
        <v>171136461</v>
      </c>
      <c r="AA750" s="233">
        <v>171136461</v>
      </c>
      <c r="AB750" s="233">
        <v>171136461</v>
      </c>
    </row>
    <row r="751" spans="1:28" ht="22.5" x14ac:dyDescent="0.25">
      <c r="A751" s="230" t="s">
        <v>426</v>
      </c>
      <c r="B751" s="231" t="s">
        <v>427</v>
      </c>
      <c r="C751" s="232" t="s">
        <v>461</v>
      </c>
      <c r="D751" s="230" t="s">
        <v>22</v>
      </c>
      <c r="E751" s="230" t="s">
        <v>298</v>
      </c>
      <c r="F751" s="230" t="s">
        <v>290</v>
      </c>
      <c r="G751" s="230" t="s">
        <v>296</v>
      </c>
      <c r="H751" s="230" t="s">
        <v>445</v>
      </c>
      <c r="I751" s="230" t="s">
        <v>462</v>
      </c>
      <c r="J751" s="230" t="s">
        <v>269</v>
      </c>
      <c r="K751" s="230"/>
      <c r="L751" s="230"/>
      <c r="M751" s="230" t="s">
        <v>266</v>
      </c>
      <c r="N751" s="230" t="s">
        <v>32</v>
      </c>
      <c r="O751" s="230" t="s">
        <v>267</v>
      </c>
      <c r="P751" s="231" t="s">
        <v>115</v>
      </c>
      <c r="Q751" s="231" t="s">
        <v>457</v>
      </c>
      <c r="R751" s="233">
        <v>0</v>
      </c>
      <c r="S751" s="233">
        <v>103272672</v>
      </c>
      <c r="T751" s="233">
        <v>0</v>
      </c>
      <c r="U751" s="233">
        <v>103272672</v>
      </c>
      <c r="V751" s="233">
        <v>0</v>
      </c>
      <c r="W751" s="233">
        <v>103272672</v>
      </c>
      <c r="X751" s="233">
        <v>0</v>
      </c>
      <c r="Y751" s="233">
        <v>103084741</v>
      </c>
      <c r="Z751" s="233">
        <v>91008842</v>
      </c>
      <c r="AA751" s="233">
        <v>91008842</v>
      </c>
      <c r="AB751" s="233">
        <v>91008842</v>
      </c>
    </row>
    <row r="752" spans="1:28" ht="22.5" x14ac:dyDescent="0.25">
      <c r="A752" s="230" t="s">
        <v>426</v>
      </c>
      <c r="B752" s="231" t="s">
        <v>427</v>
      </c>
      <c r="C752" s="232" t="s">
        <v>461</v>
      </c>
      <c r="D752" s="230" t="s">
        <v>22</v>
      </c>
      <c r="E752" s="230" t="s">
        <v>298</v>
      </c>
      <c r="F752" s="230" t="s">
        <v>290</v>
      </c>
      <c r="G752" s="230" t="s">
        <v>296</v>
      </c>
      <c r="H752" s="230" t="s">
        <v>445</v>
      </c>
      <c r="I752" s="230" t="s">
        <v>462</v>
      </c>
      <c r="J752" s="230" t="s">
        <v>269</v>
      </c>
      <c r="K752" s="230"/>
      <c r="L752" s="230"/>
      <c r="M752" s="230" t="s">
        <v>273</v>
      </c>
      <c r="N752" s="230" t="s">
        <v>34</v>
      </c>
      <c r="O752" s="230" t="s">
        <v>267</v>
      </c>
      <c r="P752" s="231" t="s">
        <v>115</v>
      </c>
      <c r="Q752" s="231" t="s">
        <v>457</v>
      </c>
      <c r="R752" s="233">
        <v>0</v>
      </c>
      <c r="S752" s="233">
        <v>19280329</v>
      </c>
      <c r="T752" s="233">
        <v>0</v>
      </c>
      <c r="U752" s="233">
        <v>19280329</v>
      </c>
      <c r="V752" s="233">
        <v>0</v>
      </c>
      <c r="W752" s="233">
        <v>18835082</v>
      </c>
      <c r="X752" s="233">
        <v>445247</v>
      </c>
      <c r="Y752" s="233">
        <v>18835082</v>
      </c>
      <c r="Z752" s="233">
        <v>15273105</v>
      </c>
      <c r="AA752" s="233">
        <v>15273105</v>
      </c>
      <c r="AB752" s="233">
        <v>15273105</v>
      </c>
    </row>
    <row r="753" spans="1:28" ht="22.5" x14ac:dyDescent="0.25">
      <c r="A753" s="230" t="s">
        <v>428</v>
      </c>
      <c r="B753" s="231" t="s">
        <v>429</v>
      </c>
      <c r="C753" s="232" t="s">
        <v>461</v>
      </c>
      <c r="D753" s="230" t="s">
        <v>22</v>
      </c>
      <c r="E753" s="230" t="s">
        <v>298</v>
      </c>
      <c r="F753" s="230" t="s">
        <v>290</v>
      </c>
      <c r="G753" s="230" t="s">
        <v>296</v>
      </c>
      <c r="H753" s="230" t="s">
        <v>445</v>
      </c>
      <c r="I753" s="230" t="s">
        <v>462</v>
      </c>
      <c r="J753" s="230" t="s">
        <v>269</v>
      </c>
      <c r="K753" s="230"/>
      <c r="L753" s="230"/>
      <c r="M753" s="230" t="s">
        <v>266</v>
      </c>
      <c r="N753" s="230" t="s">
        <v>32</v>
      </c>
      <c r="O753" s="230" t="s">
        <v>267</v>
      </c>
      <c r="P753" s="231" t="s">
        <v>115</v>
      </c>
      <c r="Q753" s="231" t="s">
        <v>457</v>
      </c>
      <c r="R753" s="233">
        <v>0</v>
      </c>
      <c r="S753" s="233">
        <v>279402949</v>
      </c>
      <c r="T753" s="233">
        <v>75502770</v>
      </c>
      <c r="U753" s="233">
        <v>203900179</v>
      </c>
      <c r="V753" s="233">
        <v>0</v>
      </c>
      <c r="W753" s="233">
        <v>203900179</v>
      </c>
      <c r="X753" s="233">
        <v>0</v>
      </c>
      <c r="Y753" s="233">
        <v>128704788</v>
      </c>
      <c r="Z753" s="233">
        <v>123030255</v>
      </c>
      <c r="AA753" s="233">
        <v>123030255</v>
      </c>
      <c r="AB753" s="233">
        <v>123030255</v>
      </c>
    </row>
    <row r="754" spans="1:28" ht="22.5" x14ac:dyDescent="0.25">
      <c r="A754" s="230" t="s">
        <v>428</v>
      </c>
      <c r="B754" s="231" t="s">
        <v>429</v>
      </c>
      <c r="C754" s="232" t="s">
        <v>461</v>
      </c>
      <c r="D754" s="230" t="s">
        <v>22</v>
      </c>
      <c r="E754" s="230" t="s">
        <v>298</v>
      </c>
      <c r="F754" s="230" t="s">
        <v>290</v>
      </c>
      <c r="G754" s="230" t="s">
        <v>296</v>
      </c>
      <c r="H754" s="230" t="s">
        <v>445</v>
      </c>
      <c r="I754" s="230" t="s">
        <v>462</v>
      </c>
      <c r="J754" s="230" t="s">
        <v>269</v>
      </c>
      <c r="K754" s="230"/>
      <c r="L754" s="230"/>
      <c r="M754" s="230" t="s">
        <v>273</v>
      </c>
      <c r="N754" s="230" t="s">
        <v>34</v>
      </c>
      <c r="O754" s="230" t="s">
        <v>267</v>
      </c>
      <c r="P754" s="231" t="s">
        <v>115</v>
      </c>
      <c r="Q754" s="231" t="s">
        <v>457</v>
      </c>
      <c r="R754" s="233">
        <v>0</v>
      </c>
      <c r="S754" s="233">
        <v>131244383</v>
      </c>
      <c r="T754" s="233">
        <v>0</v>
      </c>
      <c r="U754" s="233">
        <v>131244383</v>
      </c>
      <c r="V754" s="233">
        <v>0</v>
      </c>
      <c r="W754" s="233">
        <v>131244383</v>
      </c>
      <c r="X754" s="233">
        <v>0</v>
      </c>
      <c r="Y754" s="233">
        <v>100881657</v>
      </c>
      <c r="Z754" s="233">
        <v>71597964</v>
      </c>
      <c r="AA754" s="233">
        <v>71597964</v>
      </c>
      <c r="AB754" s="233">
        <v>71597964</v>
      </c>
    </row>
    <row r="755" spans="1:28" ht="22.5" x14ac:dyDescent="0.25">
      <c r="A755" s="230" t="s">
        <v>430</v>
      </c>
      <c r="B755" s="231" t="s">
        <v>431</v>
      </c>
      <c r="C755" s="232" t="s">
        <v>461</v>
      </c>
      <c r="D755" s="230" t="s">
        <v>22</v>
      </c>
      <c r="E755" s="230" t="s">
        <v>298</v>
      </c>
      <c r="F755" s="230" t="s">
        <v>290</v>
      </c>
      <c r="G755" s="230" t="s">
        <v>296</v>
      </c>
      <c r="H755" s="230" t="s">
        <v>445</v>
      </c>
      <c r="I755" s="230" t="s">
        <v>462</v>
      </c>
      <c r="J755" s="230" t="s">
        <v>269</v>
      </c>
      <c r="K755" s="230"/>
      <c r="L755" s="230"/>
      <c r="M755" s="230" t="s">
        <v>266</v>
      </c>
      <c r="N755" s="230" t="s">
        <v>32</v>
      </c>
      <c r="O755" s="230" t="s">
        <v>267</v>
      </c>
      <c r="P755" s="231" t="s">
        <v>115</v>
      </c>
      <c r="Q755" s="231" t="s">
        <v>457</v>
      </c>
      <c r="R755" s="233">
        <v>0</v>
      </c>
      <c r="S755" s="233">
        <v>351322427</v>
      </c>
      <c r="T755" s="233">
        <v>0</v>
      </c>
      <c r="U755" s="233">
        <v>351322427</v>
      </c>
      <c r="V755" s="233">
        <v>0</v>
      </c>
      <c r="W755" s="233">
        <v>343943314</v>
      </c>
      <c r="X755" s="233">
        <v>7379113</v>
      </c>
      <c r="Y755" s="233">
        <v>341580260</v>
      </c>
      <c r="Z755" s="233">
        <v>289830128</v>
      </c>
      <c r="AA755" s="233">
        <v>289830128</v>
      </c>
      <c r="AB755" s="233">
        <v>289830128</v>
      </c>
    </row>
    <row r="756" spans="1:28" ht="22.5" x14ac:dyDescent="0.25">
      <c r="A756" s="230" t="s">
        <v>430</v>
      </c>
      <c r="B756" s="231" t="s">
        <v>431</v>
      </c>
      <c r="C756" s="232" t="s">
        <v>461</v>
      </c>
      <c r="D756" s="230" t="s">
        <v>22</v>
      </c>
      <c r="E756" s="230" t="s">
        <v>298</v>
      </c>
      <c r="F756" s="230" t="s">
        <v>290</v>
      </c>
      <c r="G756" s="230" t="s">
        <v>296</v>
      </c>
      <c r="H756" s="230" t="s">
        <v>445</v>
      </c>
      <c r="I756" s="230" t="s">
        <v>462</v>
      </c>
      <c r="J756" s="230" t="s">
        <v>269</v>
      </c>
      <c r="K756" s="230"/>
      <c r="L756" s="230"/>
      <c r="M756" s="230" t="s">
        <v>273</v>
      </c>
      <c r="N756" s="230" t="s">
        <v>34</v>
      </c>
      <c r="O756" s="230" t="s">
        <v>267</v>
      </c>
      <c r="P756" s="231" t="s">
        <v>115</v>
      </c>
      <c r="Q756" s="231" t="s">
        <v>457</v>
      </c>
      <c r="R756" s="233">
        <v>0</v>
      </c>
      <c r="S756" s="233">
        <v>34000000</v>
      </c>
      <c r="T756" s="233">
        <v>0</v>
      </c>
      <c r="U756" s="233">
        <v>34000000</v>
      </c>
      <c r="V756" s="233">
        <v>0</v>
      </c>
      <c r="W756" s="233">
        <v>34000000</v>
      </c>
      <c r="X756" s="233">
        <v>0</v>
      </c>
      <c r="Y756" s="233">
        <v>9988674</v>
      </c>
      <c r="Z756" s="233">
        <v>9988674</v>
      </c>
      <c r="AA756" s="233">
        <v>9988674</v>
      </c>
      <c r="AB756" s="233">
        <v>9988674</v>
      </c>
    </row>
    <row r="757" spans="1:28" ht="22.5" x14ac:dyDescent="0.25">
      <c r="A757" s="230" t="s">
        <v>432</v>
      </c>
      <c r="B757" s="231" t="s">
        <v>433</v>
      </c>
      <c r="C757" s="232" t="s">
        <v>461</v>
      </c>
      <c r="D757" s="230" t="s">
        <v>22</v>
      </c>
      <c r="E757" s="230" t="s">
        <v>298</v>
      </c>
      <c r="F757" s="230" t="s">
        <v>290</v>
      </c>
      <c r="G757" s="230" t="s">
        <v>296</v>
      </c>
      <c r="H757" s="230" t="s">
        <v>445</v>
      </c>
      <c r="I757" s="230" t="s">
        <v>462</v>
      </c>
      <c r="J757" s="230" t="s">
        <v>269</v>
      </c>
      <c r="K757" s="230"/>
      <c r="L757" s="230"/>
      <c r="M757" s="230" t="s">
        <v>266</v>
      </c>
      <c r="N757" s="230" t="s">
        <v>32</v>
      </c>
      <c r="O757" s="230" t="s">
        <v>267</v>
      </c>
      <c r="P757" s="231" t="s">
        <v>115</v>
      </c>
      <c r="Q757" s="231" t="s">
        <v>457</v>
      </c>
      <c r="R757" s="233">
        <v>0</v>
      </c>
      <c r="S757" s="233">
        <v>124699902</v>
      </c>
      <c r="T757" s="233">
        <v>0</v>
      </c>
      <c r="U757" s="233">
        <v>124699902</v>
      </c>
      <c r="V757" s="233">
        <v>0</v>
      </c>
      <c r="W757" s="233">
        <v>124699902</v>
      </c>
      <c r="X757" s="233">
        <v>0</v>
      </c>
      <c r="Y757" s="233">
        <v>124091784</v>
      </c>
      <c r="Z757" s="233">
        <v>112550637</v>
      </c>
      <c r="AA757" s="233">
        <v>112550637</v>
      </c>
      <c r="AB757" s="233">
        <v>112550637</v>
      </c>
    </row>
    <row r="758" spans="1:28" ht="22.5" x14ac:dyDescent="0.25">
      <c r="A758" s="230" t="s">
        <v>432</v>
      </c>
      <c r="B758" s="231" t="s">
        <v>433</v>
      </c>
      <c r="C758" s="232" t="s">
        <v>461</v>
      </c>
      <c r="D758" s="230" t="s">
        <v>22</v>
      </c>
      <c r="E758" s="230" t="s">
        <v>298</v>
      </c>
      <c r="F758" s="230" t="s">
        <v>290</v>
      </c>
      <c r="G758" s="230" t="s">
        <v>296</v>
      </c>
      <c r="H758" s="230" t="s">
        <v>445</v>
      </c>
      <c r="I758" s="230" t="s">
        <v>462</v>
      </c>
      <c r="J758" s="230" t="s">
        <v>269</v>
      </c>
      <c r="K758" s="230"/>
      <c r="L758" s="230"/>
      <c r="M758" s="230" t="s">
        <v>273</v>
      </c>
      <c r="N758" s="230" t="s">
        <v>34</v>
      </c>
      <c r="O758" s="230" t="s">
        <v>267</v>
      </c>
      <c r="P758" s="231" t="s">
        <v>115</v>
      </c>
      <c r="Q758" s="231" t="s">
        <v>457</v>
      </c>
      <c r="R758" s="233">
        <v>0</v>
      </c>
      <c r="S758" s="233">
        <v>95446576</v>
      </c>
      <c r="T758" s="233">
        <v>0</v>
      </c>
      <c r="U758" s="233">
        <v>95446576</v>
      </c>
      <c r="V758" s="233">
        <v>0</v>
      </c>
      <c r="W758" s="233">
        <v>95446576</v>
      </c>
      <c r="X758" s="233">
        <v>0</v>
      </c>
      <c r="Y758" s="233">
        <v>87199088</v>
      </c>
      <c r="Z758" s="233">
        <v>60740496</v>
      </c>
      <c r="AA758" s="233">
        <v>60740496</v>
      </c>
      <c r="AB758" s="233">
        <v>60740496</v>
      </c>
    </row>
    <row r="759" spans="1:28" ht="22.5" x14ac:dyDescent="0.25">
      <c r="A759" s="230" t="s">
        <v>438</v>
      </c>
      <c r="B759" s="231" t="s">
        <v>439</v>
      </c>
      <c r="C759" s="232" t="s">
        <v>461</v>
      </c>
      <c r="D759" s="230" t="s">
        <v>22</v>
      </c>
      <c r="E759" s="230" t="s">
        <v>298</v>
      </c>
      <c r="F759" s="230" t="s">
        <v>290</v>
      </c>
      <c r="G759" s="230" t="s">
        <v>296</v>
      </c>
      <c r="H759" s="230" t="s">
        <v>445</v>
      </c>
      <c r="I759" s="230" t="s">
        <v>462</v>
      </c>
      <c r="J759" s="230" t="s">
        <v>269</v>
      </c>
      <c r="K759" s="230"/>
      <c r="L759" s="230"/>
      <c r="M759" s="230" t="s">
        <v>266</v>
      </c>
      <c r="N759" s="230" t="s">
        <v>32</v>
      </c>
      <c r="O759" s="230" t="s">
        <v>267</v>
      </c>
      <c r="P759" s="231" t="s">
        <v>115</v>
      </c>
      <c r="Q759" s="231" t="s">
        <v>457</v>
      </c>
      <c r="R759" s="233">
        <v>0</v>
      </c>
      <c r="S759" s="233">
        <v>460197273</v>
      </c>
      <c r="T759" s="233">
        <v>0</v>
      </c>
      <c r="U759" s="233">
        <v>460197273</v>
      </c>
      <c r="V759" s="233">
        <v>0</v>
      </c>
      <c r="W759" s="233">
        <v>460197273</v>
      </c>
      <c r="X759" s="233">
        <v>0</v>
      </c>
      <c r="Y759" s="233">
        <v>452702559</v>
      </c>
      <c r="Z759" s="233">
        <v>381421281</v>
      </c>
      <c r="AA759" s="233">
        <v>381421281</v>
      </c>
      <c r="AB759" s="233">
        <v>381421281</v>
      </c>
    </row>
    <row r="760" spans="1:28" ht="22.5" x14ac:dyDescent="0.25">
      <c r="A760" s="230" t="s">
        <v>438</v>
      </c>
      <c r="B760" s="231" t="s">
        <v>439</v>
      </c>
      <c r="C760" s="232" t="s">
        <v>461</v>
      </c>
      <c r="D760" s="230" t="s">
        <v>22</v>
      </c>
      <c r="E760" s="230" t="s">
        <v>298</v>
      </c>
      <c r="F760" s="230" t="s">
        <v>290</v>
      </c>
      <c r="G760" s="230" t="s">
        <v>296</v>
      </c>
      <c r="H760" s="230" t="s">
        <v>445</v>
      </c>
      <c r="I760" s="230" t="s">
        <v>462</v>
      </c>
      <c r="J760" s="230" t="s">
        <v>269</v>
      </c>
      <c r="K760" s="230"/>
      <c r="L760" s="230"/>
      <c r="M760" s="230" t="s">
        <v>273</v>
      </c>
      <c r="N760" s="230" t="s">
        <v>34</v>
      </c>
      <c r="O760" s="230" t="s">
        <v>267</v>
      </c>
      <c r="P760" s="231" t="s">
        <v>115</v>
      </c>
      <c r="Q760" s="231" t="s">
        <v>457</v>
      </c>
      <c r="R760" s="233">
        <v>0</v>
      </c>
      <c r="S760" s="233">
        <v>152666677</v>
      </c>
      <c r="T760" s="233">
        <v>0</v>
      </c>
      <c r="U760" s="233">
        <v>152666677</v>
      </c>
      <c r="V760" s="233">
        <v>0</v>
      </c>
      <c r="W760" s="233">
        <v>124985543</v>
      </c>
      <c r="X760" s="233">
        <v>27681134</v>
      </c>
      <c r="Y760" s="233">
        <v>121738217</v>
      </c>
      <c r="Z760" s="233">
        <v>80617292</v>
      </c>
      <c r="AA760" s="233">
        <v>80617292</v>
      </c>
      <c r="AB760" s="233">
        <v>80617292</v>
      </c>
    </row>
    <row r="761" spans="1:28" ht="22.5" x14ac:dyDescent="0.25">
      <c r="A761" s="230" t="s">
        <v>10820</v>
      </c>
      <c r="B761" s="231" t="s">
        <v>10821</v>
      </c>
      <c r="C761" s="232" t="s">
        <v>461</v>
      </c>
      <c r="D761" s="230" t="s">
        <v>22</v>
      </c>
      <c r="E761" s="230" t="s">
        <v>298</v>
      </c>
      <c r="F761" s="230" t="s">
        <v>290</v>
      </c>
      <c r="G761" s="230" t="s">
        <v>296</v>
      </c>
      <c r="H761" s="230" t="s">
        <v>445</v>
      </c>
      <c r="I761" s="230" t="s">
        <v>462</v>
      </c>
      <c r="J761" s="230" t="s">
        <v>269</v>
      </c>
      <c r="K761" s="230"/>
      <c r="L761" s="230"/>
      <c r="M761" s="230" t="s">
        <v>266</v>
      </c>
      <c r="N761" s="230" t="s">
        <v>32</v>
      </c>
      <c r="O761" s="230" t="s">
        <v>267</v>
      </c>
      <c r="P761" s="231" t="s">
        <v>115</v>
      </c>
      <c r="Q761" s="231" t="s">
        <v>457</v>
      </c>
      <c r="R761" s="233">
        <v>0</v>
      </c>
      <c r="S761" s="233">
        <v>225680870</v>
      </c>
      <c r="T761" s="233">
        <v>0</v>
      </c>
      <c r="U761" s="233">
        <v>225680870</v>
      </c>
      <c r="V761" s="233">
        <v>0</v>
      </c>
      <c r="W761" s="233">
        <v>225340580</v>
      </c>
      <c r="X761" s="233">
        <v>340290</v>
      </c>
      <c r="Y761" s="233">
        <v>222689267</v>
      </c>
      <c r="Z761" s="233">
        <v>192541857</v>
      </c>
      <c r="AA761" s="233">
        <v>192541857</v>
      </c>
      <c r="AB761" s="233">
        <v>192541857</v>
      </c>
    </row>
    <row r="762" spans="1:28" ht="22.5" x14ac:dyDescent="0.25">
      <c r="A762" s="230" t="s">
        <v>10820</v>
      </c>
      <c r="B762" s="231" t="s">
        <v>10821</v>
      </c>
      <c r="C762" s="232" t="s">
        <v>461</v>
      </c>
      <c r="D762" s="230" t="s">
        <v>22</v>
      </c>
      <c r="E762" s="230" t="s">
        <v>298</v>
      </c>
      <c r="F762" s="230" t="s">
        <v>290</v>
      </c>
      <c r="G762" s="230" t="s">
        <v>296</v>
      </c>
      <c r="H762" s="230" t="s">
        <v>445</v>
      </c>
      <c r="I762" s="230" t="s">
        <v>462</v>
      </c>
      <c r="J762" s="230" t="s">
        <v>269</v>
      </c>
      <c r="K762" s="230"/>
      <c r="L762" s="230"/>
      <c r="M762" s="230" t="s">
        <v>273</v>
      </c>
      <c r="N762" s="230" t="s">
        <v>34</v>
      </c>
      <c r="O762" s="230" t="s">
        <v>267</v>
      </c>
      <c r="P762" s="231" t="s">
        <v>115</v>
      </c>
      <c r="Q762" s="231" t="s">
        <v>457</v>
      </c>
      <c r="R762" s="233">
        <v>0</v>
      </c>
      <c r="S762" s="233">
        <v>83952838</v>
      </c>
      <c r="T762" s="233">
        <v>0</v>
      </c>
      <c r="U762" s="233">
        <v>83952838</v>
      </c>
      <c r="V762" s="233">
        <v>0</v>
      </c>
      <c r="W762" s="233">
        <v>64649259</v>
      </c>
      <c r="X762" s="233">
        <v>19303579</v>
      </c>
      <c r="Y762" s="233">
        <v>64649259</v>
      </c>
      <c r="Z762" s="233">
        <v>54577829</v>
      </c>
      <c r="AA762" s="233">
        <v>54577829</v>
      </c>
      <c r="AB762" s="233">
        <v>54577829</v>
      </c>
    </row>
    <row r="763" spans="1:28" ht="22.5" x14ac:dyDescent="0.25">
      <c r="A763" s="230" t="s">
        <v>440</v>
      </c>
      <c r="B763" s="231" t="s">
        <v>441</v>
      </c>
      <c r="C763" s="232" t="s">
        <v>461</v>
      </c>
      <c r="D763" s="230" t="s">
        <v>22</v>
      </c>
      <c r="E763" s="230" t="s">
        <v>298</v>
      </c>
      <c r="F763" s="230" t="s">
        <v>290</v>
      </c>
      <c r="G763" s="230" t="s">
        <v>296</v>
      </c>
      <c r="H763" s="230" t="s">
        <v>445</v>
      </c>
      <c r="I763" s="230" t="s">
        <v>462</v>
      </c>
      <c r="J763" s="230" t="s">
        <v>269</v>
      </c>
      <c r="K763" s="230"/>
      <c r="L763" s="230"/>
      <c r="M763" s="230" t="s">
        <v>273</v>
      </c>
      <c r="N763" s="230" t="s">
        <v>34</v>
      </c>
      <c r="O763" s="230" t="s">
        <v>267</v>
      </c>
      <c r="P763" s="231" t="s">
        <v>115</v>
      </c>
      <c r="Q763" s="231" t="s">
        <v>457</v>
      </c>
      <c r="R763" s="233">
        <v>0</v>
      </c>
      <c r="S763" s="233">
        <v>41298000</v>
      </c>
      <c r="T763" s="233">
        <v>0</v>
      </c>
      <c r="U763" s="233">
        <v>41298000</v>
      </c>
      <c r="V763" s="233">
        <v>0</v>
      </c>
      <c r="W763" s="233">
        <v>41298000</v>
      </c>
      <c r="X763" s="233">
        <v>0</v>
      </c>
      <c r="Y763" s="233">
        <v>9913750</v>
      </c>
      <c r="Z763" s="233">
        <v>1510667</v>
      </c>
      <c r="AA763" s="233">
        <v>1510667</v>
      </c>
      <c r="AB763" s="233">
        <v>1510667</v>
      </c>
    </row>
    <row r="764" spans="1:28" ht="45" x14ac:dyDescent="0.25">
      <c r="A764" s="230" t="s">
        <v>385</v>
      </c>
      <c r="B764" s="231" t="s">
        <v>386</v>
      </c>
      <c r="C764" s="232" t="s">
        <v>463</v>
      </c>
      <c r="D764" s="230" t="s">
        <v>22</v>
      </c>
      <c r="E764" s="230" t="s">
        <v>289</v>
      </c>
      <c r="F764" s="230" t="s">
        <v>290</v>
      </c>
      <c r="G764" s="230" t="s">
        <v>293</v>
      </c>
      <c r="H764" s="230" t="s">
        <v>445</v>
      </c>
      <c r="I764" s="230" t="s">
        <v>464</v>
      </c>
      <c r="J764" s="230" t="s">
        <v>269</v>
      </c>
      <c r="K764" s="230"/>
      <c r="L764" s="230"/>
      <c r="M764" s="230" t="s">
        <v>273</v>
      </c>
      <c r="N764" s="230" t="s">
        <v>34</v>
      </c>
      <c r="O764" s="230" t="s">
        <v>267</v>
      </c>
      <c r="P764" s="231" t="s">
        <v>120</v>
      </c>
      <c r="Q764" s="231" t="s">
        <v>460</v>
      </c>
      <c r="R764" s="233">
        <v>0</v>
      </c>
      <c r="S764" s="233">
        <v>1866167</v>
      </c>
      <c r="T764" s="233">
        <v>0</v>
      </c>
      <c r="U764" s="233">
        <v>1866167</v>
      </c>
      <c r="V764" s="233">
        <v>0</v>
      </c>
      <c r="W764" s="233">
        <v>0</v>
      </c>
      <c r="X764" s="233">
        <v>1866167</v>
      </c>
      <c r="Y764" s="233">
        <v>0</v>
      </c>
      <c r="Z764" s="233">
        <v>0</v>
      </c>
      <c r="AA764" s="233">
        <v>0</v>
      </c>
      <c r="AB764" s="233">
        <v>0</v>
      </c>
    </row>
    <row r="765" spans="1:28" ht="33.75" x14ac:dyDescent="0.25">
      <c r="A765" s="230" t="s">
        <v>440</v>
      </c>
      <c r="B765" s="231" t="s">
        <v>441</v>
      </c>
      <c r="C765" s="232" t="s">
        <v>465</v>
      </c>
      <c r="D765" s="230" t="s">
        <v>22</v>
      </c>
      <c r="E765" s="230" t="s">
        <v>303</v>
      </c>
      <c r="F765" s="230" t="s">
        <v>290</v>
      </c>
      <c r="G765" s="230" t="s">
        <v>304</v>
      </c>
      <c r="H765" s="230" t="s">
        <v>445</v>
      </c>
      <c r="I765" s="230" t="s">
        <v>466</v>
      </c>
      <c r="J765" s="230" t="s">
        <v>269</v>
      </c>
      <c r="K765" s="230"/>
      <c r="L765" s="230"/>
      <c r="M765" s="230" t="s">
        <v>266</v>
      </c>
      <c r="N765" s="230" t="s">
        <v>32</v>
      </c>
      <c r="O765" s="230" t="s">
        <v>267</v>
      </c>
      <c r="P765" s="231" t="s">
        <v>124</v>
      </c>
      <c r="Q765" s="231" t="s">
        <v>467</v>
      </c>
      <c r="R765" s="233">
        <v>0</v>
      </c>
      <c r="S765" s="233">
        <v>29121888</v>
      </c>
      <c r="T765" s="233">
        <v>3640236</v>
      </c>
      <c r="U765" s="233">
        <v>25481652</v>
      </c>
      <c r="V765" s="233">
        <v>0</v>
      </c>
      <c r="W765" s="233">
        <v>25481652</v>
      </c>
      <c r="X765" s="233">
        <v>0</v>
      </c>
      <c r="Y765" s="233">
        <v>25481652</v>
      </c>
      <c r="Z765" s="233">
        <v>16745086</v>
      </c>
      <c r="AA765" s="233">
        <v>16745086</v>
      </c>
      <c r="AB765" s="233">
        <v>16745086</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26" activePane="bottomRight" state="frozen"/>
      <selection pane="topRight" activeCell="C1" sqref="C1"/>
      <selection pane="bottomLeft" activeCell="A3" sqref="A3"/>
      <selection pane="bottomRight" activeCell="A26" sqref="A26"/>
    </sheetView>
  </sheetViews>
  <sheetFormatPr baseColWidth="10" defaultColWidth="11" defaultRowHeight="15.75" x14ac:dyDescent="0.2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x14ac:dyDescent="0.25">
      <c r="A2" t="s">
        <v>468</v>
      </c>
      <c r="B2" t="s">
        <v>469</v>
      </c>
      <c r="C2" t="s">
        <v>470</v>
      </c>
      <c r="D2" t="s">
        <v>471</v>
      </c>
      <c r="E2" t="s">
        <v>472</v>
      </c>
      <c r="F2" t="s">
        <v>473</v>
      </c>
      <c r="G2" t="s">
        <v>474</v>
      </c>
      <c r="H2" t="s">
        <v>475</v>
      </c>
      <c r="I2" t="s">
        <v>476</v>
      </c>
      <c r="J2" t="s">
        <v>477</v>
      </c>
      <c r="K2" t="s">
        <v>478</v>
      </c>
      <c r="L2" t="s">
        <v>479</v>
      </c>
      <c r="M2" t="s">
        <v>480</v>
      </c>
      <c r="N2" t="s">
        <v>481</v>
      </c>
      <c r="O2" t="s">
        <v>482</v>
      </c>
      <c r="P2" t="s">
        <v>483</v>
      </c>
      <c r="Q2" t="s">
        <v>484</v>
      </c>
      <c r="R2" t="s">
        <v>485</v>
      </c>
      <c r="S2" t="s">
        <v>486</v>
      </c>
    </row>
    <row r="3" spans="1:19" x14ac:dyDescent="0.25">
      <c r="A3" t="s">
        <v>487</v>
      </c>
      <c r="B3" s="4" t="s">
        <v>488</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x14ac:dyDescent="0.25">
      <c r="A4" s="4" t="s">
        <v>489</v>
      </c>
      <c r="B4" s="4" t="s">
        <v>489</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x14ac:dyDescent="0.25">
      <c r="A5" s="4" t="s">
        <v>490</v>
      </c>
      <c r="B5" s="4" t="s">
        <v>490</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x14ac:dyDescent="0.25">
      <c r="A6" s="4" t="s">
        <v>491</v>
      </c>
      <c r="B6" s="4" t="s">
        <v>491</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x14ac:dyDescent="0.25">
      <c r="A7" s="4" t="s">
        <v>492</v>
      </c>
      <c r="B7" s="4" t="s">
        <v>492</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x14ac:dyDescent="0.25">
      <c r="A8" s="4" t="s">
        <v>493</v>
      </c>
      <c r="B8" s="4" t="s">
        <v>493</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x14ac:dyDescent="0.25">
      <c r="A9" s="4" t="s">
        <v>494</v>
      </c>
      <c r="B9" s="4" t="s">
        <v>494</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x14ac:dyDescent="0.25">
      <c r="A10" s="4" t="s">
        <v>495</v>
      </c>
      <c r="B10" s="4" t="s">
        <v>495</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x14ac:dyDescent="0.25">
      <c r="A11" s="4" t="s">
        <v>496</v>
      </c>
      <c r="B11" s="4" t="s">
        <v>496</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x14ac:dyDescent="0.25">
      <c r="A12" s="4" t="s">
        <v>497</v>
      </c>
      <c r="B12" s="4" t="s">
        <v>497</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x14ac:dyDescent="0.25">
      <c r="A13" s="4" t="s">
        <v>498</v>
      </c>
      <c r="B13" s="4" t="s">
        <v>498</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x14ac:dyDescent="0.25">
      <c r="A14" s="4" t="s">
        <v>499</v>
      </c>
      <c r="B14" s="4" t="s">
        <v>499</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x14ac:dyDescent="0.25">
      <c r="A15" s="4" t="s">
        <v>500</v>
      </c>
      <c r="B15" s="4" t="s">
        <v>500</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x14ac:dyDescent="0.25">
      <c r="A16" s="4" t="s">
        <v>501</v>
      </c>
      <c r="B16" s="4" t="s">
        <v>501</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x14ac:dyDescent="0.25">
      <c r="A17" s="4" t="s">
        <v>502</v>
      </c>
      <c r="B17" s="4" t="s">
        <v>502</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x14ac:dyDescent="0.25">
      <c r="A18" s="4" t="s">
        <v>503</v>
      </c>
      <c r="B18" s="4" t="s">
        <v>503</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x14ac:dyDescent="0.25">
      <c r="A19" s="4" t="s">
        <v>504</v>
      </c>
      <c r="B19" s="4" t="s">
        <v>504</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x14ac:dyDescent="0.25">
      <c r="A20" s="4" t="s">
        <v>505</v>
      </c>
      <c r="B20" s="4" t="s">
        <v>505</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x14ac:dyDescent="0.25">
      <c r="A21" s="4" t="s">
        <v>506</v>
      </c>
      <c r="B21" s="4" t="s">
        <v>506</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x14ac:dyDescent="0.25">
      <c r="A22" s="4" t="s">
        <v>507</v>
      </c>
      <c r="B22" s="4" t="s">
        <v>507</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x14ac:dyDescent="0.25">
      <c r="A23" s="4" t="s">
        <v>508</v>
      </c>
      <c r="B23" s="4" t="s">
        <v>508</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x14ac:dyDescent="0.25">
      <c r="A24" s="4" t="s">
        <v>509</v>
      </c>
      <c r="B24" s="4" t="s">
        <v>509</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x14ac:dyDescent="0.25">
      <c r="A25" s="4" t="s">
        <v>510</v>
      </c>
      <c r="B25" s="4" t="s">
        <v>510</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x14ac:dyDescent="0.25">
      <c r="B26" s="4" t="s">
        <v>511</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x14ac:dyDescent="0.25">
      <c r="A29" t="s">
        <v>468</v>
      </c>
      <c r="B29" t="s">
        <v>469</v>
      </c>
      <c r="C29" t="s">
        <v>470</v>
      </c>
      <c r="D29" t="s">
        <v>471</v>
      </c>
      <c r="E29" s="88" t="s">
        <v>472</v>
      </c>
      <c r="F29" s="88" t="s">
        <v>473</v>
      </c>
      <c r="G29" s="88" t="s">
        <v>474</v>
      </c>
      <c r="H29" s="88" t="s">
        <v>475</v>
      </c>
      <c r="I29" s="88" t="s">
        <v>476</v>
      </c>
      <c r="J29" s="88" t="s">
        <v>477</v>
      </c>
      <c r="K29" s="88" t="s">
        <v>478</v>
      </c>
      <c r="L29" s="88" t="s">
        <v>479</v>
      </c>
      <c r="M29" s="88" t="s">
        <v>480</v>
      </c>
      <c r="N29" s="88" t="s">
        <v>481</v>
      </c>
      <c r="O29" s="88" t="s">
        <v>482</v>
      </c>
      <c r="P29" s="88" t="s">
        <v>483</v>
      </c>
      <c r="Q29" s="88" t="s">
        <v>484</v>
      </c>
      <c r="R29" s="88" t="s">
        <v>485</v>
      </c>
      <c r="S29" s="88" t="s">
        <v>486</v>
      </c>
    </row>
    <row r="30" spans="1:19" x14ac:dyDescent="0.25">
      <c r="A30" t="s">
        <v>487</v>
      </c>
      <c r="B30" s="4" t="s">
        <v>488</v>
      </c>
      <c r="C30" s="4">
        <v>9085614818</v>
      </c>
      <c r="D30" s="4">
        <f t="shared" ref="D30:D52" si="9">F30+I30+M30+Q30</f>
        <v>0</v>
      </c>
      <c r="E30" s="89">
        <f>D30/C30</f>
        <v>0</v>
      </c>
      <c r="F30" s="90">
        <v>0</v>
      </c>
      <c r="G30" s="89">
        <f t="shared" ref="G30:G53" si="10">F30/C30</f>
        <v>0</v>
      </c>
      <c r="H30" s="90"/>
      <c r="I30" s="90"/>
      <c r="J30" s="89">
        <f>IFERROR(I30/H30,0)</f>
        <v>0</v>
      </c>
      <c r="K30" s="89">
        <f>(I30+F30)/C30</f>
        <v>0</v>
      </c>
      <c r="L30" s="90"/>
      <c r="M30" s="90"/>
      <c r="N30" s="89">
        <f>IFERROR(M30/L30,0)</f>
        <v>0</v>
      </c>
      <c r="O30" s="89">
        <f>(I30+F30+M30)/C30</f>
        <v>0</v>
      </c>
      <c r="P30" s="90"/>
      <c r="Q30" s="90"/>
      <c r="R30" s="89">
        <f>IFERROR(Q30/P30,0)</f>
        <v>0</v>
      </c>
      <c r="S30" s="89">
        <f>(I30+F30+M30+Q30)/C30</f>
        <v>0</v>
      </c>
    </row>
    <row r="31" spans="1:19" x14ac:dyDescent="0.25">
      <c r="A31" s="4" t="s">
        <v>489</v>
      </c>
      <c r="B31" s="4" t="s">
        <v>489</v>
      </c>
      <c r="C31" s="4">
        <v>67477545</v>
      </c>
      <c r="D31" s="4">
        <f t="shared" si="9"/>
        <v>0</v>
      </c>
      <c r="E31" s="89">
        <f t="shared" ref="E31:E53" si="11">D31/C31</f>
        <v>0</v>
      </c>
      <c r="F31" s="90">
        <v>0</v>
      </c>
      <c r="G31" s="89">
        <f t="shared" si="10"/>
        <v>0</v>
      </c>
      <c r="H31" s="90"/>
      <c r="I31" s="90"/>
      <c r="J31" s="89">
        <f t="shared" ref="J31:J53" si="12">IFERROR(I31/H31,0)</f>
        <v>0</v>
      </c>
      <c r="K31" s="89">
        <f t="shared" ref="K31:K53" si="13">(I31+F31)/C31</f>
        <v>0</v>
      </c>
      <c r="L31" s="90"/>
      <c r="M31" s="90"/>
      <c r="N31" s="89">
        <f t="shared" ref="N31:N53" si="14">IFERROR(M31/L31,0)</f>
        <v>0</v>
      </c>
      <c r="O31" s="89">
        <f t="shared" ref="O31:O53" si="15">(I31+F31+M31)/C31</f>
        <v>0</v>
      </c>
      <c r="P31" s="90"/>
      <c r="Q31" s="90"/>
      <c r="R31" s="89">
        <f t="shared" ref="R31:R53" si="16">IFERROR(Q31/P31,0)</f>
        <v>0</v>
      </c>
      <c r="S31" s="89">
        <f t="shared" ref="S31:S53" si="17">(I31+F31+M31+Q31)/C31</f>
        <v>0</v>
      </c>
    </row>
    <row r="32" spans="1:19" x14ac:dyDescent="0.25">
      <c r="A32" s="4" t="s">
        <v>490</v>
      </c>
      <c r="B32" s="4" t="s">
        <v>490</v>
      </c>
      <c r="C32" s="4">
        <v>121098146</v>
      </c>
      <c r="D32" s="4">
        <f t="shared" si="9"/>
        <v>0</v>
      </c>
      <c r="E32" s="89">
        <f t="shared" si="11"/>
        <v>0</v>
      </c>
      <c r="F32" s="90">
        <v>0</v>
      </c>
      <c r="G32" s="89">
        <f t="shared" si="10"/>
        <v>0</v>
      </c>
      <c r="H32" s="90"/>
      <c r="I32" s="90"/>
      <c r="J32" s="89">
        <f t="shared" si="12"/>
        <v>0</v>
      </c>
      <c r="K32" s="89">
        <f t="shared" si="13"/>
        <v>0</v>
      </c>
      <c r="L32" s="90"/>
      <c r="M32" s="90"/>
      <c r="N32" s="89">
        <f t="shared" si="14"/>
        <v>0</v>
      </c>
      <c r="O32" s="89">
        <f t="shared" si="15"/>
        <v>0</v>
      </c>
      <c r="P32" s="90"/>
      <c r="Q32" s="90"/>
      <c r="R32" s="89">
        <f t="shared" si="16"/>
        <v>0</v>
      </c>
      <c r="S32" s="89">
        <f t="shared" si="17"/>
        <v>0</v>
      </c>
    </row>
    <row r="33" spans="1:19" x14ac:dyDescent="0.25">
      <c r="A33" s="4" t="s">
        <v>491</v>
      </c>
      <c r="B33" s="4" t="s">
        <v>491</v>
      </c>
      <c r="C33" s="4">
        <v>191940996</v>
      </c>
      <c r="D33" s="4">
        <f t="shared" si="9"/>
        <v>0</v>
      </c>
      <c r="E33" s="89">
        <f t="shared" si="11"/>
        <v>0</v>
      </c>
      <c r="F33" s="90">
        <v>0</v>
      </c>
      <c r="G33" s="89">
        <f t="shared" si="10"/>
        <v>0</v>
      </c>
      <c r="H33" s="90"/>
      <c r="I33" s="90"/>
      <c r="J33" s="89">
        <f t="shared" si="12"/>
        <v>0</v>
      </c>
      <c r="K33" s="89">
        <f t="shared" si="13"/>
        <v>0</v>
      </c>
      <c r="L33" s="90"/>
      <c r="M33" s="90"/>
      <c r="N33" s="89">
        <f t="shared" si="14"/>
        <v>0</v>
      </c>
      <c r="O33" s="89">
        <f t="shared" si="15"/>
        <v>0</v>
      </c>
      <c r="P33" s="90"/>
      <c r="Q33" s="90"/>
      <c r="R33" s="89">
        <f t="shared" si="16"/>
        <v>0</v>
      </c>
      <c r="S33" s="89">
        <f t="shared" si="17"/>
        <v>0</v>
      </c>
    </row>
    <row r="34" spans="1:19" x14ac:dyDescent="0.25">
      <c r="A34" s="4" t="s">
        <v>492</v>
      </c>
      <c r="B34" s="4" t="s">
        <v>492</v>
      </c>
      <c r="C34" s="4">
        <v>71488726</v>
      </c>
      <c r="D34" s="4">
        <f t="shared" si="9"/>
        <v>0</v>
      </c>
      <c r="E34" s="89">
        <f t="shared" si="11"/>
        <v>0</v>
      </c>
      <c r="F34" s="90">
        <v>0</v>
      </c>
      <c r="G34" s="89">
        <f t="shared" si="10"/>
        <v>0</v>
      </c>
      <c r="H34" s="90"/>
      <c r="I34" s="90"/>
      <c r="J34" s="89">
        <f t="shared" si="12"/>
        <v>0</v>
      </c>
      <c r="K34" s="89">
        <f t="shared" si="13"/>
        <v>0</v>
      </c>
      <c r="L34" s="90"/>
      <c r="M34" s="90"/>
      <c r="N34" s="89">
        <f t="shared" si="14"/>
        <v>0</v>
      </c>
      <c r="O34" s="89">
        <f t="shared" si="15"/>
        <v>0</v>
      </c>
      <c r="P34" s="90"/>
      <c r="Q34" s="90"/>
      <c r="R34" s="89">
        <f t="shared" si="16"/>
        <v>0</v>
      </c>
      <c r="S34" s="89">
        <f t="shared" si="17"/>
        <v>0</v>
      </c>
    </row>
    <row r="35" spans="1:19" x14ac:dyDescent="0.25">
      <c r="A35" s="4" t="s">
        <v>493</v>
      </c>
      <c r="B35" s="4" t="s">
        <v>493</v>
      </c>
      <c r="C35" s="4">
        <v>36308463</v>
      </c>
      <c r="D35" s="4">
        <f t="shared" si="9"/>
        <v>0</v>
      </c>
      <c r="E35" s="89">
        <f t="shared" si="11"/>
        <v>0</v>
      </c>
      <c r="F35" s="90">
        <v>0</v>
      </c>
      <c r="G35" s="89">
        <f t="shared" si="10"/>
        <v>0</v>
      </c>
      <c r="H35" s="90"/>
      <c r="I35" s="90"/>
      <c r="J35" s="89">
        <f t="shared" si="12"/>
        <v>0</v>
      </c>
      <c r="K35" s="89">
        <f t="shared" si="13"/>
        <v>0</v>
      </c>
      <c r="L35" s="90"/>
      <c r="M35" s="90"/>
      <c r="N35" s="89">
        <f t="shared" si="14"/>
        <v>0</v>
      </c>
      <c r="O35" s="89">
        <f t="shared" si="15"/>
        <v>0</v>
      </c>
      <c r="P35" s="90"/>
      <c r="Q35" s="90"/>
      <c r="R35" s="89">
        <f t="shared" si="16"/>
        <v>0</v>
      </c>
      <c r="S35" s="89">
        <f t="shared" si="17"/>
        <v>0</v>
      </c>
    </row>
    <row r="36" spans="1:19" x14ac:dyDescent="0.25">
      <c r="A36" s="4" t="s">
        <v>494</v>
      </c>
      <c r="B36" s="4" t="s">
        <v>494</v>
      </c>
      <c r="C36" s="4">
        <v>166197838</v>
      </c>
      <c r="D36" s="4">
        <f t="shared" si="9"/>
        <v>0</v>
      </c>
      <c r="E36" s="89">
        <f t="shared" si="11"/>
        <v>0</v>
      </c>
      <c r="F36" s="90">
        <v>0</v>
      </c>
      <c r="G36" s="89">
        <f t="shared" si="10"/>
        <v>0</v>
      </c>
      <c r="H36" s="90"/>
      <c r="I36" s="90"/>
      <c r="J36" s="89">
        <f t="shared" si="12"/>
        <v>0</v>
      </c>
      <c r="K36" s="89">
        <f t="shared" si="13"/>
        <v>0</v>
      </c>
      <c r="L36" s="90"/>
      <c r="M36" s="90"/>
      <c r="N36" s="89">
        <f t="shared" si="14"/>
        <v>0</v>
      </c>
      <c r="O36" s="89">
        <f t="shared" si="15"/>
        <v>0</v>
      </c>
      <c r="P36" s="90"/>
      <c r="Q36" s="90"/>
      <c r="R36" s="89">
        <f t="shared" si="16"/>
        <v>0</v>
      </c>
      <c r="S36" s="89">
        <f t="shared" si="17"/>
        <v>0</v>
      </c>
    </row>
    <row r="37" spans="1:19" x14ac:dyDescent="0.25">
      <c r="A37" s="4" t="s">
        <v>495</v>
      </c>
      <c r="B37" s="4" t="s">
        <v>495</v>
      </c>
      <c r="C37" s="4">
        <v>57880178</v>
      </c>
      <c r="D37" s="4">
        <f t="shared" si="9"/>
        <v>0</v>
      </c>
      <c r="E37" s="89">
        <f t="shared" si="11"/>
        <v>0</v>
      </c>
      <c r="F37" s="90">
        <v>0</v>
      </c>
      <c r="G37" s="89">
        <f t="shared" si="10"/>
        <v>0</v>
      </c>
      <c r="H37" s="90"/>
      <c r="I37" s="90"/>
      <c r="J37" s="89">
        <f t="shared" si="12"/>
        <v>0</v>
      </c>
      <c r="K37" s="89">
        <f t="shared" si="13"/>
        <v>0</v>
      </c>
      <c r="L37" s="90"/>
      <c r="M37" s="90"/>
      <c r="N37" s="89">
        <f t="shared" si="14"/>
        <v>0</v>
      </c>
      <c r="O37" s="89">
        <f t="shared" si="15"/>
        <v>0</v>
      </c>
      <c r="P37" s="90"/>
      <c r="Q37" s="90"/>
      <c r="R37" s="89">
        <f t="shared" si="16"/>
        <v>0</v>
      </c>
      <c r="S37" s="89">
        <f t="shared" si="17"/>
        <v>0</v>
      </c>
    </row>
    <row r="38" spans="1:19" x14ac:dyDescent="0.25">
      <c r="A38" s="4" t="s">
        <v>496</v>
      </c>
      <c r="B38" s="4" t="s">
        <v>496</v>
      </c>
      <c r="C38" s="4">
        <v>104539530</v>
      </c>
      <c r="D38" s="4">
        <f t="shared" si="9"/>
        <v>0</v>
      </c>
      <c r="E38" s="89">
        <f t="shared" si="11"/>
        <v>0</v>
      </c>
      <c r="F38" s="90">
        <v>0</v>
      </c>
      <c r="G38" s="89">
        <f t="shared" si="10"/>
        <v>0</v>
      </c>
      <c r="H38" s="90"/>
      <c r="I38" s="90"/>
      <c r="J38" s="89">
        <f t="shared" si="12"/>
        <v>0</v>
      </c>
      <c r="K38" s="89">
        <f t="shared" si="13"/>
        <v>0</v>
      </c>
      <c r="L38" s="90"/>
      <c r="M38" s="90"/>
      <c r="N38" s="89">
        <f t="shared" si="14"/>
        <v>0</v>
      </c>
      <c r="O38" s="89">
        <f t="shared" si="15"/>
        <v>0</v>
      </c>
      <c r="P38" s="90"/>
      <c r="Q38" s="90"/>
      <c r="R38" s="89">
        <f t="shared" si="16"/>
        <v>0</v>
      </c>
      <c r="S38" s="89">
        <f t="shared" si="17"/>
        <v>0</v>
      </c>
    </row>
    <row r="39" spans="1:19" x14ac:dyDescent="0.25">
      <c r="A39" s="4" t="s">
        <v>497</v>
      </c>
      <c r="B39" s="4" t="s">
        <v>497</v>
      </c>
      <c r="C39" s="4">
        <v>74850085</v>
      </c>
      <c r="D39" s="4">
        <f t="shared" si="9"/>
        <v>0</v>
      </c>
      <c r="E39" s="89">
        <f t="shared" si="11"/>
        <v>0</v>
      </c>
      <c r="F39" s="90">
        <v>0</v>
      </c>
      <c r="G39" s="89">
        <f t="shared" si="10"/>
        <v>0</v>
      </c>
      <c r="H39" s="90"/>
      <c r="I39" s="90"/>
      <c r="J39" s="89">
        <f t="shared" si="12"/>
        <v>0</v>
      </c>
      <c r="K39" s="89">
        <f t="shared" si="13"/>
        <v>0</v>
      </c>
      <c r="L39" s="90"/>
      <c r="M39" s="90"/>
      <c r="N39" s="89">
        <f t="shared" si="14"/>
        <v>0</v>
      </c>
      <c r="O39" s="89">
        <f t="shared" si="15"/>
        <v>0</v>
      </c>
      <c r="P39" s="90"/>
      <c r="Q39" s="90"/>
      <c r="R39" s="89">
        <f t="shared" si="16"/>
        <v>0</v>
      </c>
      <c r="S39" s="89">
        <f t="shared" si="17"/>
        <v>0</v>
      </c>
    </row>
    <row r="40" spans="1:19" x14ac:dyDescent="0.25">
      <c r="A40" s="4" t="s">
        <v>498</v>
      </c>
      <c r="B40" s="4" t="s">
        <v>498</v>
      </c>
      <c r="C40" s="4">
        <v>98774444</v>
      </c>
      <c r="D40" s="4">
        <f t="shared" si="9"/>
        <v>0</v>
      </c>
      <c r="E40" s="89">
        <f t="shared" si="11"/>
        <v>0</v>
      </c>
      <c r="F40" s="90">
        <v>0</v>
      </c>
      <c r="G40" s="89">
        <f t="shared" si="10"/>
        <v>0</v>
      </c>
      <c r="H40" s="90"/>
      <c r="I40" s="90"/>
      <c r="J40" s="89">
        <f t="shared" si="12"/>
        <v>0</v>
      </c>
      <c r="K40" s="89">
        <f t="shared" si="13"/>
        <v>0</v>
      </c>
      <c r="L40" s="90"/>
      <c r="M40" s="90"/>
      <c r="N40" s="89">
        <f t="shared" si="14"/>
        <v>0</v>
      </c>
      <c r="O40" s="89">
        <f t="shared" si="15"/>
        <v>0</v>
      </c>
      <c r="P40" s="90"/>
      <c r="Q40" s="90"/>
      <c r="R40" s="89">
        <f t="shared" si="16"/>
        <v>0</v>
      </c>
      <c r="S40" s="89">
        <f t="shared" si="17"/>
        <v>0</v>
      </c>
    </row>
    <row r="41" spans="1:19" x14ac:dyDescent="0.25">
      <c r="A41" s="4" t="s">
        <v>499</v>
      </c>
      <c r="B41" s="4" t="s">
        <v>499</v>
      </c>
      <c r="C41" s="4">
        <v>283222759</v>
      </c>
      <c r="D41" s="4">
        <f t="shared" si="9"/>
        <v>0</v>
      </c>
      <c r="E41" s="89">
        <f t="shared" si="11"/>
        <v>0</v>
      </c>
      <c r="F41" s="90">
        <v>0</v>
      </c>
      <c r="G41" s="89">
        <f t="shared" si="10"/>
        <v>0</v>
      </c>
      <c r="H41" s="90"/>
      <c r="I41" s="90"/>
      <c r="J41" s="89">
        <f t="shared" si="12"/>
        <v>0</v>
      </c>
      <c r="K41" s="89">
        <f t="shared" si="13"/>
        <v>0</v>
      </c>
      <c r="L41" s="90"/>
      <c r="M41" s="90"/>
      <c r="N41" s="89">
        <f t="shared" si="14"/>
        <v>0</v>
      </c>
      <c r="O41" s="89">
        <f t="shared" si="15"/>
        <v>0</v>
      </c>
      <c r="P41" s="90"/>
      <c r="Q41" s="90"/>
      <c r="R41" s="89">
        <f t="shared" si="16"/>
        <v>0</v>
      </c>
      <c r="S41" s="89">
        <f t="shared" si="17"/>
        <v>0</v>
      </c>
    </row>
    <row r="42" spans="1:19" x14ac:dyDescent="0.25">
      <c r="A42" s="4" t="s">
        <v>500</v>
      </c>
      <c r="B42" s="4" t="s">
        <v>500</v>
      </c>
      <c r="C42" s="4">
        <v>36310655</v>
      </c>
      <c r="D42" s="4">
        <f t="shared" si="9"/>
        <v>0</v>
      </c>
      <c r="E42" s="89">
        <f t="shared" si="11"/>
        <v>0</v>
      </c>
      <c r="F42" s="90">
        <v>0</v>
      </c>
      <c r="G42" s="89">
        <f t="shared" si="10"/>
        <v>0</v>
      </c>
      <c r="H42" s="90"/>
      <c r="I42" s="90"/>
      <c r="J42" s="89">
        <f t="shared" si="12"/>
        <v>0</v>
      </c>
      <c r="K42" s="89">
        <f t="shared" si="13"/>
        <v>0</v>
      </c>
      <c r="L42" s="90"/>
      <c r="M42" s="90"/>
      <c r="N42" s="89">
        <f t="shared" si="14"/>
        <v>0</v>
      </c>
      <c r="O42" s="89">
        <f t="shared" si="15"/>
        <v>0</v>
      </c>
      <c r="P42" s="90"/>
      <c r="Q42" s="90"/>
      <c r="R42" s="89">
        <f t="shared" si="16"/>
        <v>0</v>
      </c>
      <c r="S42" s="89">
        <f t="shared" si="17"/>
        <v>0</v>
      </c>
    </row>
    <row r="43" spans="1:19" x14ac:dyDescent="0.25">
      <c r="A43" s="4" t="s">
        <v>501</v>
      </c>
      <c r="B43" s="4" t="s">
        <v>501</v>
      </c>
      <c r="C43" s="4">
        <v>92031118</v>
      </c>
      <c r="D43" s="4">
        <f t="shared" si="9"/>
        <v>0</v>
      </c>
      <c r="E43" s="89">
        <f t="shared" si="11"/>
        <v>0</v>
      </c>
      <c r="F43" s="90">
        <v>0</v>
      </c>
      <c r="G43" s="89">
        <f t="shared" si="10"/>
        <v>0</v>
      </c>
      <c r="H43" s="90"/>
      <c r="I43" s="90"/>
      <c r="J43" s="89">
        <f t="shared" si="12"/>
        <v>0</v>
      </c>
      <c r="K43" s="89">
        <f t="shared" si="13"/>
        <v>0</v>
      </c>
      <c r="L43" s="90"/>
      <c r="M43" s="90"/>
      <c r="N43" s="89">
        <f t="shared" si="14"/>
        <v>0</v>
      </c>
      <c r="O43" s="89">
        <f t="shared" si="15"/>
        <v>0</v>
      </c>
      <c r="P43" s="90"/>
      <c r="Q43" s="90"/>
      <c r="R43" s="89">
        <f t="shared" si="16"/>
        <v>0</v>
      </c>
      <c r="S43" s="89">
        <f t="shared" si="17"/>
        <v>0</v>
      </c>
    </row>
    <row r="44" spans="1:19" x14ac:dyDescent="0.25">
      <c r="A44" s="4" t="s">
        <v>502</v>
      </c>
      <c r="B44" s="4" t="s">
        <v>502</v>
      </c>
      <c r="C44" s="4">
        <v>89137175</v>
      </c>
      <c r="D44" s="4">
        <f t="shared" si="9"/>
        <v>0</v>
      </c>
      <c r="E44" s="89">
        <f t="shared" si="11"/>
        <v>0</v>
      </c>
      <c r="F44" s="90">
        <v>0</v>
      </c>
      <c r="G44" s="89">
        <f t="shared" si="10"/>
        <v>0</v>
      </c>
      <c r="H44" s="90"/>
      <c r="I44" s="90"/>
      <c r="J44" s="89">
        <f t="shared" si="12"/>
        <v>0</v>
      </c>
      <c r="K44" s="89">
        <f t="shared" si="13"/>
        <v>0</v>
      </c>
      <c r="L44" s="90"/>
      <c r="M44" s="90"/>
      <c r="N44" s="89">
        <f t="shared" si="14"/>
        <v>0</v>
      </c>
      <c r="O44" s="89">
        <f t="shared" si="15"/>
        <v>0</v>
      </c>
      <c r="P44" s="90"/>
      <c r="Q44" s="90"/>
      <c r="R44" s="89">
        <f t="shared" si="16"/>
        <v>0</v>
      </c>
      <c r="S44" s="89">
        <f t="shared" si="17"/>
        <v>0</v>
      </c>
    </row>
    <row r="45" spans="1:19" x14ac:dyDescent="0.25">
      <c r="A45" s="4" t="s">
        <v>503</v>
      </c>
      <c r="B45" s="4" t="s">
        <v>503</v>
      </c>
      <c r="C45" s="4">
        <v>97003000</v>
      </c>
      <c r="D45" s="4">
        <f t="shared" si="9"/>
        <v>0</v>
      </c>
      <c r="E45" s="89">
        <f t="shared" si="11"/>
        <v>0</v>
      </c>
      <c r="F45" s="90">
        <v>0</v>
      </c>
      <c r="G45" s="89">
        <f t="shared" si="10"/>
        <v>0</v>
      </c>
      <c r="H45" s="90"/>
      <c r="I45" s="90"/>
      <c r="J45" s="89">
        <f t="shared" si="12"/>
        <v>0</v>
      </c>
      <c r="K45" s="89">
        <f t="shared" si="13"/>
        <v>0</v>
      </c>
      <c r="L45" s="90"/>
      <c r="M45" s="90"/>
      <c r="N45" s="89">
        <f t="shared" si="14"/>
        <v>0</v>
      </c>
      <c r="O45" s="89">
        <f t="shared" si="15"/>
        <v>0</v>
      </c>
      <c r="P45" s="90"/>
      <c r="Q45" s="90"/>
      <c r="R45" s="89">
        <f t="shared" si="16"/>
        <v>0</v>
      </c>
      <c r="S45" s="89">
        <f t="shared" si="17"/>
        <v>0</v>
      </c>
    </row>
    <row r="46" spans="1:19" x14ac:dyDescent="0.25">
      <c r="A46" s="4" t="s">
        <v>504</v>
      </c>
      <c r="B46" s="4" t="s">
        <v>504</v>
      </c>
      <c r="C46" s="4">
        <v>148370710</v>
      </c>
      <c r="D46" s="4">
        <f t="shared" si="9"/>
        <v>0</v>
      </c>
      <c r="E46" s="89">
        <f t="shared" si="11"/>
        <v>0</v>
      </c>
      <c r="F46" s="90">
        <v>0</v>
      </c>
      <c r="G46" s="89">
        <f t="shared" si="10"/>
        <v>0</v>
      </c>
      <c r="H46" s="90"/>
      <c r="I46" s="90"/>
      <c r="J46" s="89">
        <f t="shared" si="12"/>
        <v>0</v>
      </c>
      <c r="K46" s="89">
        <f t="shared" si="13"/>
        <v>0</v>
      </c>
      <c r="L46" s="90"/>
      <c r="M46" s="90"/>
      <c r="N46" s="89">
        <f t="shared" si="14"/>
        <v>0</v>
      </c>
      <c r="O46" s="89">
        <f t="shared" si="15"/>
        <v>0</v>
      </c>
      <c r="P46" s="90"/>
      <c r="Q46" s="90"/>
      <c r="R46" s="89">
        <f t="shared" si="16"/>
        <v>0</v>
      </c>
      <c r="S46" s="89">
        <f t="shared" si="17"/>
        <v>0</v>
      </c>
    </row>
    <row r="47" spans="1:19" x14ac:dyDescent="0.25">
      <c r="A47" s="4" t="s">
        <v>505</v>
      </c>
      <c r="B47" s="4" t="s">
        <v>505</v>
      </c>
      <c r="C47" s="4">
        <v>110547531</v>
      </c>
      <c r="D47" s="4">
        <f t="shared" si="9"/>
        <v>0</v>
      </c>
      <c r="E47" s="89">
        <f t="shared" si="11"/>
        <v>0</v>
      </c>
      <c r="F47" s="90">
        <v>0</v>
      </c>
      <c r="G47" s="89">
        <f t="shared" si="10"/>
        <v>0</v>
      </c>
      <c r="H47" s="90"/>
      <c r="I47" s="90"/>
      <c r="J47" s="89">
        <f t="shared" si="12"/>
        <v>0</v>
      </c>
      <c r="K47" s="89">
        <f t="shared" si="13"/>
        <v>0</v>
      </c>
      <c r="L47" s="90"/>
      <c r="M47" s="90"/>
      <c r="N47" s="89">
        <f t="shared" si="14"/>
        <v>0</v>
      </c>
      <c r="O47" s="89">
        <f t="shared" si="15"/>
        <v>0</v>
      </c>
      <c r="P47" s="90"/>
      <c r="Q47" s="90"/>
      <c r="R47" s="89">
        <f t="shared" si="16"/>
        <v>0</v>
      </c>
      <c r="S47" s="89">
        <f t="shared" si="17"/>
        <v>0</v>
      </c>
    </row>
    <row r="48" spans="1:19" x14ac:dyDescent="0.25">
      <c r="A48" s="4" t="s">
        <v>506</v>
      </c>
      <c r="B48" s="4" t="s">
        <v>506</v>
      </c>
      <c r="C48" s="4">
        <v>49616216</v>
      </c>
      <c r="D48" s="4">
        <f t="shared" si="9"/>
        <v>0</v>
      </c>
      <c r="E48" s="89">
        <f t="shared" si="11"/>
        <v>0</v>
      </c>
      <c r="F48" s="90">
        <v>0</v>
      </c>
      <c r="G48" s="89">
        <f t="shared" si="10"/>
        <v>0</v>
      </c>
      <c r="H48" s="90"/>
      <c r="I48" s="90"/>
      <c r="J48" s="89">
        <f t="shared" si="12"/>
        <v>0</v>
      </c>
      <c r="K48" s="89">
        <f t="shared" si="13"/>
        <v>0</v>
      </c>
      <c r="L48" s="90"/>
      <c r="M48" s="90"/>
      <c r="N48" s="89">
        <f t="shared" si="14"/>
        <v>0</v>
      </c>
      <c r="O48" s="89">
        <f t="shared" si="15"/>
        <v>0</v>
      </c>
      <c r="P48" s="90"/>
      <c r="Q48" s="90"/>
      <c r="R48" s="89">
        <f t="shared" si="16"/>
        <v>0</v>
      </c>
      <c r="S48" s="89">
        <f t="shared" si="17"/>
        <v>0</v>
      </c>
    </row>
    <row r="49" spans="1:21" x14ac:dyDescent="0.25">
      <c r="A49" s="4" t="s">
        <v>507</v>
      </c>
      <c r="B49" s="4" t="s">
        <v>507</v>
      </c>
      <c r="C49" s="4">
        <v>90944355</v>
      </c>
      <c r="D49" s="4">
        <f t="shared" si="9"/>
        <v>0</v>
      </c>
      <c r="E49" s="89">
        <f t="shared" si="11"/>
        <v>0</v>
      </c>
      <c r="F49" s="90">
        <v>0</v>
      </c>
      <c r="G49" s="89">
        <f t="shared" si="10"/>
        <v>0</v>
      </c>
      <c r="H49" s="90"/>
      <c r="I49" s="90"/>
      <c r="J49" s="89">
        <f t="shared" si="12"/>
        <v>0</v>
      </c>
      <c r="K49" s="89">
        <f t="shared" si="13"/>
        <v>0</v>
      </c>
      <c r="L49" s="90"/>
      <c r="M49" s="90"/>
      <c r="N49" s="89">
        <f t="shared" si="14"/>
        <v>0</v>
      </c>
      <c r="O49" s="89">
        <f t="shared" si="15"/>
        <v>0</v>
      </c>
      <c r="P49" s="90"/>
      <c r="Q49" s="90"/>
      <c r="R49" s="89">
        <f t="shared" si="16"/>
        <v>0</v>
      </c>
      <c r="S49" s="89">
        <f t="shared" si="17"/>
        <v>0</v>
      </c>
    </row>
    <row r="50" spans="1:21" x14ac:dyDescent="0.25">
      <c r="A50" s="4" t="s">
        <v>508</v>
      </c>
      <c r="B50" s="4" t="s">
        <v>508</v>
      </c>
      <c r="C50" s="4">
        <v>173714197</v>
      </c>
      <c r="D50" s="4">
        <f t="shared" si="9"/>
        <v>0</v>
      </c>
      <c r="E50" s="89">
        <f t="shared" si="11"/>
        <v>0</v>
      </c>
      <c r="F50" s="90">
        <v>0</v>
      </c>
      <c r="G50" s="89">
        <f t="shared" si="10"/>
        <v>0</v>
      </c>
      <c r="H50" s="90"/>
      <c r="I50" s="90"/>
      <c r="J50" s="89">
        <f t="shared" si="12"/>
        <v>0</v>
      </c>
      <c r="K50" s="89">
        <f t="shared" si="13"/>
        <v>0</v>
      </c>
      <c r="L50" s="90"/>
      <c r="M50" s="90"/>
      <c r="N50" s="89">
        <f t="shared" si="14"/>
        <v>0</v>
      </c>
      <c r="O50" s="89">
        <f t="shared" si="15"/>
        <v>0</v>
      </c>
      <c r="P50" s="90"/>
      <c r="Q50" s="90"/>
      <c r="R50" s="89">
        <f t="shared" si="16"/>
        <v>0</v>
      </c>
      <c r="S50" s="89">
        <f t="shared" si="17"/>
        <v>0</v>
      </c>
    </row>
    <row r="51" spans="1:21" x14ac:dyDescent="0.25">
      <c r="A51" s="4" t="s">
        <v>509</v>
      </c>
      <c r="B51" s="4" t="s">
        <v>509</v>
      </c>
      <c r="C51" s="4">
        <v>56657706</v>
      </c>
      <c r="D51" s="4">
        <f t="shared" si="9"/>
        <v>0</v>
      </c>
      <c r="E51" s="89">
        <f t="shared" si="11"/>
        <v>0</v>
      </c>
      <c r="F51" s="90">
        <v>0</v>
      </c>
      <c r="G51" s="89">
        <f t="shared" si="10"/>
        <v>0</v>
      </c>
      <c r="H51" s="90"/>
      <c r="I51" s="90"/>
      <c r="J51" s="89">
        <f t="shared" si="12"/>
        <v>0</v>
      </c>
      <c r="K51" s="89">
        <f t="shared" si="13"/>
        <v>0</v>
      </c>
      <c r="L51" s="90"/>
      <c r="M51" s="90"/>
      <c r="N51" s="89">
        <f t="shared" si="14"/>
        <v>0</v>
      </c>
      <c r="O51" s="89">
        <f t="shared" si="15"/>
        <v>0</v>
      </c>
      <c r="P51" s="90"/>
      <c r="Q51" s="90"/>
      <c r="R51" s="89">
        <f t="shared" si="16"/>
        <v>0</v>
      </c>
      <c r="S51" s="89">
        <f t="shared" si="17"/>
        <v>0</v>
      </c>
    </row>
    <row r="52" spans="1:21" x14ac:dyDescent="0.25">
      <c r="A52" s="4" t="s">
        <v>510</v>
      </c>
      <c r="B52" s="4" t="s">
        <v>510</v>
      </c>
      <c r="C52" s="4">
        <v>128273809</v>
      </c>
      <c r="D52" s="4">
        <f t="shared" si="9"/>
        <v>0</v>
      </c>
      <c r="E52" s="89">
        <f t="shared" si="11"/>
        <v>0</v>
      </c>
      <c r="F52" s="90">
        <v>0</v>
      </c>
      <c r="G52" s="89">
        <f t="shared" si="10"/>
        <v>0</v>
      </c>
      <c r="H52" s="90"/>
      <c r="I52" s="90"/>
      <c r="J52" s="89">
        <f t="shared" si="12"/>
        <v>0</v>
      </c>
      <c r="K52" s="89">
        <f t="shared" si="13"/>
        <v>0</v>
      </c>
      <c r="L52" s="90"/>
      <c r="M52" s="90"/>
      <c r="N52" s="89">
        <f t="shared" si="14"/>
        <v>0</v>
      </c>
      <c r="O52" s="89">
        <f t="shared" si="15"/>
        <v>0</v>
      </c>
      <c r="P52" s="90"/>
      <c r="Q52" s="90"/>
      <c r="R52" s="89">
        <f t="shared" si="16"/>
        <v>0</v>
      </c>
      <c r="S52" s="89">
        <f t="shared" si="17"/>
        <v>0</v>
      </c>
    </row>
    <row r="53" spans="1:21" x14ac:dyDescent="0.25">
      <c r="B53" s="4" t="s">
        <v>511</v>
      </c>
      <c r="C53" s="4">
        <f>SUM(C30:C52)</f>
        <v>11432000000</v>
      </c>
      <c r="D53" s="4">
        <f>SUM(D30:D52)</f>
        <v>0</v>
      </c>
      <c r="E53" s="89">
        <f t="shared" si="11"/>
        <v>0</v>
      </c>
      <c r="F53" s="90">
        <f>SUM(F30:F52)</f>
        <v>0</v>
      </c>
      <c r="G53" s="89">
        <f t="shared" si="10"/>
        <v>0</v>
      </c>
      <c r="H53" s="90">
        <f>SUM(H30:H52)</f>
        <v>0</v>
      </c>
      <c r="I53" s="90">
        <f>SUM(I30:I52)</f>
        <v>0</v>
      </c>
      <c r="J53" s="89">
        <f t="shared" si="12"/>
        <v>0</v>
      </c>
      <c r="K53" s="89">
        <f t="shared" si="13"/>
        <v>0</v>
      </c>
      <c r="L53" s="90">
        <f>SUM(L30:L52)</f>
        <v>0</v>
      </c>
      <c r="M53" s="90">
        <f>SUM(M30:M52)</f>
        <v>0</v>
      </c>
      <c r="N53" s="89">
        <f t="shared" si="14"/>
        <v>0</v>
      </c>
      <c r="O53" s="89">
        <f t="shared" si="15"/>
        <v>0</v>
      </c>
      <c r="P53" s="90">
        <f>SUM(P30:P52)</f>
        <v>0</v>
      </c>
      <c r="Q53" s="90">
        <f>SUM(Q30:Q52)</f>
        <v>0</v>
      </c>
      <c r="R53" s="89">
        <f t="shared" si="16"/>
        <v>0</v>
      </c>
      <c r="S53" s="89">
        <f t="shared" si="17"/>
        <v>0</v>
      </c>
    </row>
    <row r="55" spans="1:21" x14ac:dyDescent="0.25">
      <c r="B55" t="s">
        <v>512</v>
      </c>
      <c r="C55" t="s">
        <v>470</v>
      </c>
      <c r="D55" t="s">
        <v>513</v>
      </c>
      <c r="E55" t="s">
        <v>514</v>
      </c>
      <c r="F55" t="s">
        <v>515</v>
      </c>
      <c r="G55" s="88" t="s">
        <v>472</v>
      </c>
      <c r="H55" s="88" t="s">
        <v>473</v>
      </c>
      <c r="I55" s="88" t="s">
        <v>474</v>
      </c>
      <c r="J55" s="88" t="s">
        <v>475</v>
      </c>
      <c r="K55" s="88" t="s">
        <v>476</v>
      </c>
      <c r="L55" s="88" t="s">
        <v>477</v>
      </c>
      <c r="M55" s="88" t="s">
        <v>478</v>
      </c>
      <c r="N55" s="88" t="s">
        <v>479</v>
      </c>
      <c r="O55" s="88" t="s">
        <v>480</v>
      </c>
      <c r="P55" s="88" t="s">
        <v>481</v>
      </c>
      <c r="Q55" s="88" t="s">
        <v>482</v>
      </c>
      <c r="R55" s="88" t="s">
        <v>483</v>
      </c>
      <c r="S55" s="88" t="s">
        <v>484</v>
      </c>
      <c r="T55" s="88" t="s">
        <v>485</v>
      </c>
      <c r="U55" s="88" t="s">
        <v>486</v>
      </c>
    </row>
    <row r="56" spans="1:21" x14ac:dyDescent="0.25">
      <c r="B56" t="s">
        <v>516</v>
      </c>
      <c r="C56" s="4"/>
      <c r="D56" s="4"/>
      <c r="E56" s="4"/>
      <c r="F56" s="4">
        <f t="shared" ref="F56:F59" si="18">H56+K56+O56+S56</f>
        <v>0</v>
      </c>
      <c r="G56" s="89" t="e">
        <f>F56/C56</f>
        <v>#DIV/0!</v>
      </c>
      <c r="H56" s="90"/>
      <c r="I56" s="89" t="e">
        <f>H56/C56</f>
        <v>#DIV/0!</v>
      </c>
      <c r="J56" s="90"/>
      <c r="K56" s="90"/>
      <c r="L56" s="89">
        <f t="shared" ref="L56:L60" si="19">IFERROR(K56/J56,0)</f>
        <v>0</v>
      </c>
      <c r="M56" s="89" t="e">
        <f>(K56+H56)/C56</f>
        <v>#DIV/0!</v>
      </c>
      <c r="N56" s="90"/>
      <c r="O56" s="90"/>
      <c r="P56" s="89">
        <f t="shared" ref="P56:P60" si="20">IFERROR(O56/N56,0)</f>
        <v>0</v>
      </c>
      <c r="Q56" s="89" t="e">
        <f>(K56+H56+O56)/C56</f>
        <v>#DIV/0!</v>
      </c>
      <c r="R56" s="90"/>
      <c r="S56" s="90"/>
      <c r="T56" s="89">
        <f t="shared" ref="T56:T60" si="21">IFERROR(S56/R56,0)</f>
        <v>0</v>
      </c>
      <c r="U56" s="89" t="e">
        <f>(K56+H56+O56+S56)/C56</f>
        <v>#DIV/0!</v>
      </c>
    </row>
    <row r="57" spans="1:21" x14ac:dyDescent="0.25">
      <c r="B57" t="s">
        <v>29</v>
      </c>
      <c r="C57" s="4"/>
      <c r="D57" s="4"/>
      <c r="E57" s="4"/>
      <c r="F57" s="4">
        <f t="shared" si="18"/>
        <v>0</v>
      </c>
      <c r="G57" s="89" t="e">
        <f>F57/C57</f>
        <v>#DIV/0!</v>
      </c>
      <c r="H57" s="90"/>
      <c r="I57" s="89" t="e">
        <f>H57/C57</f>
        <v>#DIV/0!</v>
      </c>
      <c r="J57" s="90"/>
      <c r="K57" s="90"/>
      <c r="L57" s="89">
        <f t="shared" si="19"/>
        <v>0</v>
      </c>
      <c r="M57" s="89" t="e">
        <f>(K57+H57)/C57</f>
        <v>#DIV/0!</v>
      </c>
      <c r="N57" s="90"/>
      <c r="O57" s="90"/>
      <c r="P57" s="89">
        <f t="shared" si="20"/>
        <v>0</v>
      </c>
      <c r="Q57" s="89" t="e">
        <f>(K57+H57+O57)/C57</f>
        <v>#DIV/0!</v>
      </c>
      <c r="R57" s="90"/>
      <c r="S57" s="90"/>
      <c r="T57" s="89">
        <f t="shared" si="21"/>
        <v>0</v>
      </c>
      <c r="U57" s="89" t="e">
        <f>(K57+H57+O57+S57)/C57</f>
        <v>#DIV/0!</v>
      </c>
    </row>
    <row r="58" spans="1:21" x14ac:dyDescent="0.25">
      <c r="B58" t="s">
        <v>517</v>
      </c>
      <c r="C58" s="4"/>
      <c r="D58" s="4"/>
      <c r="E58" s="4"/>
      <c r="F58" s="4">
        <f t="shared" si="18"/>
        <v>0</v>
      </c>
      <c r="G58" s="89" t="e">
        <f>F58/C58</f>
        <v>#DIV/0!</v>
      </c>
      <c r="H58" s="90"/>
      <c r="I58" s="89" t="e">
        <f>H58/C58</f>
        <v>#DIV/0!</v>
      </c>
      <c r="J58" s="90"/>
      <c r="K58" s="90"/>
      <c r="L58" s="89">
        <f t="shared" si="19"/>
        <v>0</v>
      </c>
      <c r="M58" s="89" t="e">
        <f>(K58+H58)/C58</f>
        <v>#DIV/0!</v>
      </c>
      <c r="N58" s="90"/>
      <c r="O58" s="90"/>
      <c r="P58" s="89">
        <f t="shared" si="20"/>
        <v>0</v>
      </c>
      <c r="Q58" s="89" t="e">
        <f>(K58+H58+O58)/C58</f>
        <v>#DIV/0!</v>
      </c>
      <c r="R58" s="90"/>
      <c r="S58" s="90"/>
      <c r="T58" s="89">
        <f t="shared" si="21"/>
        <v>0</v>
      </c>
      <c r="U58" s="89" t="e">
        <f>(K58+H58+O58+S58)/C58</f>
        <v>#DIV/0!</v>
      </c>
    </row>
    <row r="59" spans="1:21" x14ac:dyDescent="0.25">
      <c r="B59" t="s">
        <v>105</v>
      </c>
      <c r="C59" s="4"/>
      <c r="D59" s="4"/>
      <c r="E59" s="4"/>
      <c r="F59" s="4">
        <f t="shared" si="18"/>
        <v>0</v>
      </c>
      <c r="G59" s="89" t="e">
        <f>F59/C59</f>
        <v>#DIV/0!</v>
      </c>
      <c r="H59" s="90"/>
      <c r="I59" s="89" t="e">
        <f>H59/C59</f>
        <v>#DIV/0!</v>
      </c>
      <c r="J59" s="90"/>
      <c r="K59" s="90"/>
      <c r="L59" s="89">
        <f t="shared" si="19"/>
        <v>0</v>
      </c>
      <c r="M59" s="89" t="e">
        <f>(K59+H59)/C59</f>
        <v>#DIV/0!</v>
      </c>
      <c r="N59" s="90"/>
      <c r="O59" s="90"/>
      <c r="P59" s="89">
        <f t="shared" si="20"/>
        <v>0</v>
      </c>
      <c r="Q59" s="89" t="e">
        <f>(K59+H59+O59)/C59</f>
        <v>#DIV/0!</v>
      </c>
      <c r="R59" s="90"/>
      <c r="S59" s="90"/>
      <c r="T59" s="89">
        <f t="shared" si="21"/>
        <v>0</v>
      </c>
      <c r="U59" s="89" t="e">
        <f>(K59+H59+O59+S59)/C59</f>
        <v>#DIV/0!</v>
      </c>
    </row>
    <row r="60" spans="1:21" x14ac:dyDescent="0.25">
      <c r="B60" t="s">
        <v>518</v>
      </c>
      <c r="C60" s="4">
        <v>11432000000</v>
      </c>
      <c r="D60" s="4">
        <v>231577600</v>
      </c>
      <c r="E60" s="4">
        <v>7014234349</v>
      </c>
      <c r="F60" s="4">
        <v>7245811949</v>
      </c>
      <c r="G60" s="89">
        <f>F60/C60</f>
        <v>0.63381840001749479</v>
      </c>
      <c r="H60" s="4">
        <f>SUM(H56:H59)</f>
        <v>0</v>
      </c>
      <c r="I60" s="89">
        <f>H60/C60</f>
        <v>0</v>
      </c>
      <c r="J60" s="4">
        <f>SUM(J56:J59)</f>
        <v>0</v>
      </c>
      <c r="K60" s="4">
        <f>SUM(K56:K59)</f>
        <v>0</v>
      </c>
      <c r="L60" s="89">
        <f t="shared" si="19"/>
        <v>0</v>
      </c>
      <c r="M60" s="89">
        <f>(K60+H60)/C60</f>
        <v>0</v>
      </c>
      <c r="N60" s="4">
        <f>SUM(N56:N59)</f>
        <v>0</v>
      </c>
      <c r="O60" s="4">
        <f>SUM(O56:O59)</f>
        <v>0</v>
      </c>
      <c r="P60" s="89">
        <f t="shared" si="20"/>
        <v>0</v>
      </c>
      <c r="Q60" s="89">
        <f>(K60+H60+O60)/C60</f>
        <v>0</v>
      </c>
      <c r="R60" s="4">
        <f>SUM(R56:R59)</f>
        <v>0</v>
      </c>
      <c r="S60" s="4">
        <f>SUM(S56:S59)</f>
        <v>0</v>
      </c>
      <c r="T60" s="89">
        <f t="shared" si="21"/>
        <v>0</v>
      </c>
      <c r="U60" s="89">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6"/>
  <sheetViews>
    <sheetView topLeftCell="O1048553" workbookViewId="0">
      <selection activeCell="A5" sqref="A5"/>
    </sheetView>
  </sheetViews>
  <sheetFormatPr baseColWidth="10" defaultColWidth="11" defaultRowHeight="15.75" x14ac:dyDescent="0.25"/>
  <cols>
    <col min="19" max="19" width="13.875" bestFit="1" customWidth="1"/>
    <col min="20" max="20" width="11.875" bestFit="1" customWidth="1"/>
  </cols>
  <sheetData>
    <row r="1" spans="1:28" ht="15" customHeight="1" x14ac:dyDescent="0.25">
      <c r="A1" s="42" t="s">
        <v>229</v>
      </c>
      <c r="B1" s="42">
        <v>2020</v>
      </c>
      <c r="C1" s="43" t="s">
        <v>230</v>
      </c>
      <c r="D1" s="43" t="s">
        <v>230</v>
      </c>
      <c r="E1" s="43" t="s">
        <v>230</v>
      </c>
      <c r="F1" s="43" t="s">
        <v>230</v>
      </c>
      <c r="G1" s="43" t="s">
        <v>230</v>
      </c>
      <c r="H1" s="43" t="s">
        <v>230</v>
      </c>
      <c r="I1" s="43" t="s">
        <v>230</v>
      </c>
      <c r="J1" s="43" t="s">
        <v>230</v>
      </c>
      <c r="K1" s="43" t="s">
        <v>230</v>
      </c>
      <c r="L1" s="43" t="s">
        <v>230</v>
      </c>
      <c r="M1" s="43" t="s">
        <v>230</v>
      </c>
      <c r="N1" s="43" t="s">
        <v>230</v>
      </c>
      <c r="O1" s="43" t="s">
        <v>230</v>
      </c>
      <c r="P1" s="43" t="s">
        <v>230</v>
      </c>
      <c r="Q1" s="43"/>
      <c r="R1" s="43" t="s">
        <v>230</v>
      </c>
      <c r="S1" s="43" t="s">
        <v>230</v>
      </c>
      <c r="T1" s="43" t="s">
        <v>230</v>
      </c>
      <c r="U1" s="43" t="s">
        <v>230</v>
      </c>
      <c r="V1" s="43" t="s">
        <v>230</v>
      </c>
      <c r="W1" s="43" t="s">
        <v>230</v>
      </c>
      <c r="X1" s="43" t="s">
        <v>230</v>
      </c>
      <c r="Y1" s="43" t="s">
        <v>230</v>
      </c>
      <c r="Z1" s="43" t="s">
        <v>230</v>
      </c>
      <c r="AA1" s="43" t="s">
        <v>230</v>
      </c>
      <c r="AB1" s="43" t="s">
        <v>230</v>
      </c>
    </row>
    <row r="2" spans="1:28" ht="15" customHeight="1" x14ac:dyDescent="0.25">
      <c r="A2" s="42" t="s">
        <v>231</v>
      </c>
      <c r="B2" s="42" t="s">
        <v>232</v>
      </c>
      <c r="C2" s="43" t="s">
        <v>230</v>
      </c>
      <c r="D2" s="43" t="s">
        <v>230</v>
      </c>
      <c r="E2" s="43" t="s">
        <v>230</v>
      </c>
      <c r="F2" s="43" t="s">
        <v>230</v>
      </c>
      <c r="G2" s="43" t="s">
        <v>230</v>
      </c>
      <c r="H2" s="43" t="s">
        <v>230</v>
      </c>
      <c r="I2" s="43" t="s">
        <v>230</v>
      </c>
      <c r="J2" s="43" t="s">
        <v>230</v>
      </c>
      <c r="K2" s="43" t="s">
        <v>230</v>
      </c>
      <c r="L2" s="43" t="s">
        <v>230</v>
      </c>
      <c r="M2" s="43" t="s">
        <v>230</v>
      </c>
      <c r="N2" s="43" t="s">
        <v>230</v>
      </c>
      <c r="O2" s="43" t="s">
        <v>230</v>
      </c>
      <c r="P2" s="43" t="s">
        <v>230</v>
      </c>
      <c r="Q2" s="43"/>
      <c r="R2" s="43" t="s">
        <v>230</v>
      </c>
      <c r="S2" s="43" t="s">
        <v>230</v>
      </c>
      <c r="T2" s="43" t="s">
        <v>230</v>
      </c>
      <c r="U2" s="43" t="s">
        <v>230</v>
      </c>
      <c r="V2" s="43" t="s">
        <v>230</v>
      </c>
      <c r="W2" s="43" t="s">
        <v>230</v>
      </c>
      <c r="X2" s="43" t="s">
        <v>230</v>
      </c>
      <c r="Y2" s="43" t="s">
        <v>230</v>
      </c>
      <c r="Z2" s="43" t="s">
        <v>230</v>
      </c>
      <c r="AA2" s="43" t="s">
        <v>230</v>
      </c>
      <c r="AB2" s="43" t="s">
        <v>230</v>
      </c>
    </row>
    <row r="3" spans="1:28" ht="15" customHeight="1" x14ac:dyDescent="0.25">
      <c r="A3" s="42" t="s">
        <v>233</v>
      </c>
      <c r="B3" s="42" t="s">
        <v>309</v>
      </c>
      <c r="C3" s="43" t="s">
        <v>230</v>
      </c>
      <c r="D3" s="43" t="s">
        <v>230</v>
      </c>
      <c r="E3" s="43" t="s">
        <v>230</v>
      </c>
      <c r="F3" s="43" t="s">
        <v>230</v>
      </c>
      <c r="G3" s="43" t="s">
        <v>230</v>
      </c>
      <c r="H3" s="43" t="s">
        <v>230</v>
      </c>
      <c r="I3" s="43" t="s">
        <v>230</v>
      </c>
      <c r="J3" s="43" t="s">
        <v>230</v>
      </c>
      <c r="K3" s="43" t="s">
        <v>230</v>
      </c>
      <c r="L3" s="43" t="s">
        <v>230</v>
      </c>
      <c r="M3" s="43" t="s">
        <v>230</v>
      </c>
      <c r="N3" s="43" t="s">
        <v>230</v>
      </c>
      <c r="O3" s="43" t="s">
        <v>230</v>
      </c>
      <c r="P3" s="43" t="s">
        <v>230</v>
      </c>
      <c r="Q3" s="43"/>
      <c r="R3" s="43" t="s">
        <v>230</v>
      </c>
      <c r="S3" s="43" t="s">
        <v>230</v>
      </c>
      <c r="T3" s="43" t="s">
        <v>230</v>
      </c>
      <c r="U3" s="43" t="s">
        <v>230</v>
      </c>
      <c r="V3" s="43" t="s">
        <v>230</v>
      </c>
      <c r="W3" s="43" t="s">
        <v>230</v>
      </c>
      <c r="X3" s="43" t="s">
        <v>230</v>
      </c>
      <c r="Y3" s="43" t="s">
        <v>230</v>
      </c>
      <c r="Z3" s="43" t="s">
        <v>230</v>
      </c>
      <c r="AA3" s="43" t="s">
        <v>230</v>
      </c>
      <c r="AB3" s="43" t="s">
        <v>230</v>
      </c>
    </row>
    <row r="4" spans="1:28" ht="15" customHeight="1" x14ac:dyDescent="0.25">
      <c r="A4" s="1" t="s">
        <v>235</v>
      </c>
      <c r="B4" s="42" t="s">
        <v>236</v>
      </c>
      <c r="C4" s="42" t="s">
        <v>237</v>
      </c>
      <c r="D4" s="42" t="s">
        <v>20</v>
      </c>
      <c r="E4" s="42" t="s">
        <v>238</v>
      </c>
      <c r="F4" s="42" t="s">
        <v>239</v>
      </c>
      <c r="G4" s="42" t="s">
        <v>240</v>
      </c>
      <c r="H4" s="42" t="s">
        <v>241</v>
      </c>
      <c r="I4" s="42" t="s">
        <v>242</v>
      </c>
      <c r="J4" s="42" t="s">
        <v>243</v>
      </c>
      <c r="K4" s="42" t="s">
        <v>244</v>
      </c>
      <c r="L4" s="42" t="s">
        <v>245</v>
      </c>
      <c r="M4" s="42" t="s">
        <v>246</v>
      </c>
      <c r="N4" s="42" t="s">
        <v>42</v>
      </c>
      <c r="O4" s="42" t="s">
        <v>247</v>
      </c>
      <c r="P4" s="42" t="s">
        <v>248</v>
      </c>
      <c r="Q4" s="42" t="s">
        <v>10</v>
      </c>
      <c r="R4" s="42" t="s">
        <v>519</v>
      </c>
      <c r="S4" s="42" t="s">
        <v>520</v>
      </c>
      <c r="T4" s="42" t="s">
        <v>521</v>
      </c>
      <c r="U4" s="42" t="s">
        <v>522</v>
      </c>
      <c r="V4" s="42" t="s">
        <v>253</v>
      </c>
      <c r="W4" s="42" t="s">
        <v>254</v>
      </c>
      <c r="X4" s="42" t="s">
        <v>523</v>
      </c>
      <c r="Y4" s="42" t="s">
        <v>256</v>
      </c>
      <c r="Z4" s="42" t="s">
        <v>257</v>
      </c>
      <c r="AA4" s="42" t="s">
        <v>258</v>
      </c>
      <c r="AB4" s="42" t="s">
        <v>259</v>
      </c>
    </row>
    <row r="5" spans="1:28" ht="15" customHeight="1" x14ac:dyDescent="0.25">
      <c r="A5" s="230" t="s">
        <v>261</v>
      </c>
      <c r="B5" s="231" t="s">
        <v>262</v>
      </c>
      <c r="C5" s="232" t="s">
        <v>444</v>
      </c>
      <c r="D5" s="230" t="s">
        <v>22</v>
      </c>
      <c r="E5" s="230" t="s">
        <v>289</v>
      </c>
      <c r="F5" s="230" t="s">
        <v>290</v>
      </c>
      <c r="G5" s="230" t="s">
        <v>291</v>
      </c>
      <c r="H5" s="230" t="s">
        <v>445</v>
      </c>
      <c r="I5" s="230" t="s">
        <v>446</v>
      </c>
      <c r="J5" s="230" t="s">
        <v>269</v>
      </c>
      <c r="K5" s="230"/>
      <c r="L5" s="230"/>
      <c r="M5" s="230" t="s">
        <v>266</v>
      </c>
      <c r="N5" s="230" t="s">
        <v>32</v>
      </c>
      <c r="O5" s="230" t="s">
        <v>267</v>
      </c>
      <c r="P5" s="231" t="s">
        <v>56</v>
      </c>
      <c r="Q5" s="231" t="s">
        <v>447</v>
      </c>
      <c r="R5" s="233">
        <v>453084318</v>
      </c>
      <c r="S5" s="233">
        <v>52933064</v>
      </c>
      <c r="T5" s="233">
        <v>0</v>
      </c>
      <c r="U5" s="233">
        <v>506017382</v>
      </c>
      <c r="V5" s="233">
        <v>0</v>
      </c>
      <c r="W5" s="233">
        <v>505740193</v>
      </c>
      <c r="X5" s="233">
        <v>277189</v>
      </c>
      <c r="Y5" s="233">
        <v>483990284</v>
      </c>
      <c r="Z5" s="233">
        <v>432257297</v>
      </c>
      <c r="AA5" s="233">
        <v>432257297</v>
      </c>
      <c r="AB5" s="233">
        <v>403446299</v>
      </c>
    </row>
    <row r="6" spans="1:28" ht="15" customHeight="1" x14ac:dyDescent="0.25">
      <c r="A6" s="230" t="s">
        <v>261</v>
      </c>
      <c r="B6" s="231" t="s">
        <v>262</v>
      </c>
      <c r="C6" s="232" t="s">
        <v>524</v>
      </c>
      <c r="D6" s="230" t="s">
        <v>22</v>
      </c>
      <c r="E6" s="230" t="s">
        <v>289</v>
      </c>
      <c r="F6" s="230" t="s">
        <v>290</v>
      </c>
      <c r="G6" s="230" t="s">
        <v>291</v>
      </c>
      <c r="H6" s="230" t="s">
        <v>445</v>
      </c>
      <c r="I6" s="230" t="s">
        <v>525</v>
      </c>
      <c r="J6" s="230" t="s">
        <v>269</v>
      </c>
      <c r="K6" s="230"/>
      <c r="L6" s="230"/>
      <c r="M6" s="230" t="s">
        <v>266</v>
      </c>
      <c r="N6" s="230" t="s">
        <v>32</v>
      </c>
      <c r="O6" s="230" t="s">
        <v>267</v>
      </c>
      <c r="P6" s="231" t="s">
        <v>73</v>
      </c>
      <c r="Q6" s="231" t="s">
        <v>447</v>
      </c>
      <c r="R6" s="233">
        <v>447057930</v>
      </c>
      <c r="S6" s="233">
        <v>0</v>
      </c>
      <c r="T6" s="233">
        <v>52933064</v>
      </c>
      <c r="U6" s="233">
        <v>394124866</v>
      </c>
      <c r="V6" s="233">
        <v>0</v>
      </c>
      <c r="W6" s="233">
        <v>394124866</v>
      </c>
      <c r="X6" s="233">
        <v>0</v>
      </c>
      <c r="Y6" s="233">
        <v>394124865</v>
      </c>
      <c r="Z6" s="233">
        <v>342498835</v>
      </c>
      <c r="AA6" s="233">
        <v>342498835</v>
      </c>
      <c r="AB6" s="233">
        <v>339557055</v>
      </c>
    </row>
    <row r="7" spans="1:28" ht="15" customHeight="1" x14ac:dyDescent="0.25">
      <c r="A7" s="230" t="s">
        <v>261</v>
      </c>
      <c r="B7" s="231" t="s">
        <v>262</v>
      </c>
      <c r="C7" s="232" t="s">
        <v>524</v>
      </c>
      <c r="D7" s="230" t="s">
        <v>22</v>
      </c>
      <c r="E7" s="230" t="s">
        <v>289</v>
      </c>
      <c r="F7" s="230" t="s">
        <v>290</v>
      </c>
      <c r="G7" s="230" t="s">
        <v>291</v>
      </c>
      <c r="H7" s="230" t="s">
        <v>445</v>
      </c>
      <c r="I7" s="230" t="s">
        <v>525</v>
      </c>
      <c r="J7" s="230" t="s">
        <v>269</v>
      </c>
      <c r="K7" s="230"/>
      <c r="L7" s="230"/>
      <c r="M7" s="230" t="s">
        <v>273</v>
      </c>
      <c r="N7" s="230" t="s">
        <v>34</v>
      </c>
      <c r="O7" s="230" t="s">
        <v>267</v>
      </c>
      <c r="P7" s="231" t="s">
        <v>73</v>
      </c>
      <c r="Q7" s="231" t="s">
        <v>447</v>
      </c>
      <c r="R7" s="233">
        <v>211049421</v>
      </c>
      <c r="S7" s="233">
        <v>74243100</v>
      </c>
      <c r="T7" s="233">
        <v>0</v>
      </c>
      <c r="U7" s="233">
        <v>285292521</v>
      </c>
      <c r="V7" s="233">
        <v>0</v>
      </c>
      <c r="W7" s="233">
        <v>267563729</v>
      </c>
      <c r="X7" s="233">
        <v>17728792</v>
      </c>
      <c r="Y7" s="233">
        <v>244037465</v>
      </c>
      <c r="Z7" s="233">
        <v>218029382</v>
      </c>
      <c r="AA7" s="233">
        <v>209744636</v>
      </c>
      <c r="AB7" s="233">
        <v>209744636</v>
      </c>
    </row>
    <row r="8" spans="1:28" ht="15" customHeight="1" x14ac:dyDescent="0.25">
      <c r="A8" s="230" t="s">
        <v>261</v>
      </c>
      <c r="B8" s="231" t="s">
        <v>262</v>
      </c>
      <c r="C8" s="232" t="s">
        <v>526</v>
      </c>
      <c r="D8" s="230" t="s">
        <v>22</v>
      </c>
      <c r="E8" s="230" t="s">
        <v>303</v>
      </c>
      <c r="F8" s="230" t="s">
        <v>290</v>
      </c>
      <c r="G8" s="230" t="s">
        <v>293</v>
      </c>
      <c r="H8" s="230" t="s">
        <v>445</v>
      </c>
      <c r="I8" s="230" t="s">
        <v>527</v>
      </c>
      <c r="J8" s="230" t="s">
        <v>269</v>
      </c>
      <c r="K8" s="230"/>
      <c r="L8" s="230"/>
      <c r="M8" s="230" t="s">
        <v>273</v>
      </c>
      <c r="N8" s="230" t="s">
        <v>34</v>
      </c>
      <c r="O8" s="230" t="s">
        <v>267</v>
      </c>
      <c r="P8" s="231" t="s">
        <v>80</v>
      </c>
      <c r="Q8" s="231" t="s">
        <v>528</v>
      </c>
      <c r="R8" s="233">
        <v>218688738</v>
      </c>
      <c r="S8" s="233">
        <v>0</v>
      </c>
      <c r="T8" s="233">
        <v>44507276</v>
      </c>
      <c r="U8" s="233">
        <v>174181462</v>
      </c>
      <c r="V8" s="233">
        <v>0</v>
      </c>
      <c r="W8" s="233">
        <v>162016224</v>
      </c>
      <c r="X8" s="233">
        <v>12165238</v>
      </c>
      <c r="Y8" s="233">
        <v>161985860</v>
      </c>
      <c r="Z8" s="233">
        <v>124478799</v>
      </c>
      <c r="AA8" s="233">
        <v>121537019</v>
      </c>
      <c r="AB8" s="233">
        <v>121537019</v>
      </c>
    </row>
    <row r="9" spans="1:28" ht="15" customHeight="1" x14ac:dyDescent="0.25">
      <c r="A9" s="230" t="s">
        <v>261</v>
      </c>
      <c r="B9" s="231" t="s">
        <v>262</v>
      </c>
      <c r="C9" s="232" t="s">
        <v>529</v>
      </c>
      <c r="D9" s="230" t="s">
        <v>22</v>
      </c>
      <c r="E9" s="230" t="s">
        <v>303</v>
      </c>
      <c r="F9" s="230" t="s">
        <v>290</v>
      </c>
      <c r="G9" s="230" t="s">
        <v>304</v>
      </c>
      <c r="H9" s="230" t="s">
        <v>445</v>
      </c>
      <c r="I9" s="230" t="s">
        <v>530</v>
      </c>
      <c r="J9" s="230" t="s">
        <v>269</v>
      </c>
      <c r="K9" s="230"/>
      <c r="L9" s="230"/>
      <c r="M9" s="230" t="s">
        <v>266</v>
      </c>
      <c r="N9" s="230" t="s">
        <v>32</v>
      </c>
      <c r="O9" s="230" t="s">
        <v>267</v>
      </c>
      <c r="P9" s="231" t="s">
        <v>88</v>
      </c>
      <c r="Q9" s="231" t="s">
        <v>467</v>
      </c>
      <c r="R9" s="233">
        <v>621613733</v>
      </c>
      <c r="S9" s="233">
        <v>0</v>
      </c>
      <c r="T9" s="233">
        <v>96253788</v>
      </c>
      <c r="U9" s="233">
        <v>525359945</v>
      </c>
      <c r="V9" s="233">
        <v>0</v>
      </c>
      <c r="W9" s="233">
        <v>525359945</v>
      </c>
      <c r="X9" s="233">
        <v>0</v>
      </c>
      <c r="Y9" s="233">
        <v>525359945</v>
      </c>
      <c r="Z9" s="233">
        <v>450654040</v>
      </c>
      <c r="AA9" s="233">
        <v>450654040</v>
      </c>
      <c r="AB9" s="233">
        <v>398668924</v>
      </c>
    </row>
    <row r="10" spans="1:28" ht="15" customHeight="1" x14ac:dyDescent="0.25">
      <c r="A10" s="230" t="s">
        <v>261</v>
      </c>
      <c r="B10" s="231" t="s">
        <v>262</v>
      </c>
      <c r="C10" s="232" t="s">
        <v>529</v>
      </c>
      <c r="D10" s="230" t="s">
        <v>22</v>
      </c>
      <c r="E10" s="230" t="s">
        <v>303</v>
      </c>
      <c r="F10" s="230" t="s">
        <v>290</v>
      </c>
      <c r="G10" s="230" t="s">
        <v>304</v>
      </c>
      <c r="H10" s="230" t="s">
        <v>445</v>
      </c>
      <c r="I10" s="230" t="s">
        <v>530</v>
      </c>
      <c r="J10" s="230" t="s">
        <v>269</v>
      </c>
      <c r="K10" s="230"/>
      <c r="L10" s="230"/>
      <c r="M10" s="230" t="s">
        <v>273</v>
      </c>
      <c r="N10" s="230" t="s">
        <v>34</v>
      </c>
      <c r="O10" s="230" t="s">
        <v>267</v>
      </c>
      <c r="P10" s="231" t="s">
        <v>88</v>
      </c>
      <c r="Q10" s="231" t="s">
        <v>467</v>
      </c>
      <c r="R10" s="233">
        <v>673765907</v>
      </c>
      <c r="S10" s="233">
        <v>0</v>
      </c>
      <c r="T10" s="233">
        <v>63629798</v>
      </c>
      <c r="U10" s="233">
        <v>610136109</v>
      </c>
      <c r="V10" s="233">
        <v>0</v>
      </c>
      <c r="W10" s="233">
        <v>609532873</v>
      </c>
      <c r="X10" s="233">
        <v>603236</v>
      </c>
      <c r="Y10" s="233">
        <v>609532873</v>
      </c>
      <c r="Z10" s="233">
        <v>521544797</v>
      </c>
      <c r="AA10" s="233">
        <v>514861343</v>
      </c>
      <c r="AB10" s="233">
        <v>514861343</v>
      </c>
    </row>
    <row r="11" spans="1:28" ht="15" customHeight="1" x14ac:dyDescent="0.25">
      <c r="A11" s="230" t="s">
        <v>261</v>
      </c>
      <c r="B11" s="231" t="s">
        <v>262</v>
      </c>
      <c r="C11" s="232" t="s">
        <v>531</v>
      </c>
      <c r="D11" s="230" t="s">
        <v>22</v>
      </c>
      <c r="E11" s="230" t="s">
        <v>300</v>
      </c>
      <c r="F11" s="230" t="s">
        <v>290</v>
      </c>
      <c r="G11" s="230" t="s">
        <v>301</v>
      </c>
      <c r="H11" s="230" t="s">
        <v>445</v>
      </c>
      <c r="I11" s="230" t="s">
        <v>532</v>
      </c>
      <c r="J11" s="230" t="s">
        <v>269</v>
      </c>
      <c r="K11" s="230"/>
      <c r="L11" s="230"/>
      <c r="M11" s="230" t="s">
        <v>273</v>
      </c>
      <c r="N11" s="230" t="s">
        <v>34</v>
      </c>
      <c r="O11" s="230" t="s">
        <v>267</v>
      </c>
      <c r="P11" s="231" t="s">
        <v>94</v>
      </c>
      <c r="Q11" s="231" t="s">
        <v>533</v>
      </c>
      <c r="R11" s="233">
        <v>800000000</v>
      </c>
      <c r="S11" s="233">
        <v>0</v>
      </c>
      <c r="T11" s="233">
        <v>800000000</v>
      </c>
      <c r="U11" s="233">
        <v>0</v>
      </c>
      <c r="V11" s="233">
        <v>0</v>
      </c>
      <c r="W11" s="233">
        <v>0</v>
      </c>
      <c r="X11" s="233">
        <v>0</v>
      </c>
      <c r="Y11" s="233">
        <v>0</v>
      </c>
      <c r="Z11" s="233">
        <v>0</v>
      </c>
      <c r="AA11" s="233">
        <v>0</v>
      </c>
      <c r="AB11" s="233">
        <v>0</v>
      </c>
    </row>
    <row r="12" spans="1:28" ht="15" customHeight="1" x14ac:dyDescent="0.25">
      <c r="A12" s="230" t="s">
        <v>261</v>
      </c>
      <c r="B12" s="231" t="s">
        <v>262</v>
      </c>
      <c r="C12" s="232" t="s">
        <v>534</v>
      </c>
      <c r="D12" s="230" t="s">
        <v>22</v>
      </c>
      <c r="E12" s="230" t="s">
        <v>303</v>
      </c>
      <c r="F12" s="230" t="s">
        <v>290</v>
      </c>
      <c r="G12" s="230" t="s">
        <v>306</v>
      </c>
      <c r="H12" s="230" t="s">
        <v>445</v>
      </c>
      <c r="I12" s="230" t="s">
        <v>535</v>
      </c>
      <c r="J12" s="230" t="s">
        <v>269</v>
      </c>
      <c r="K12" s="230"/>
      <c r="L12" s="230"/>
      <c r="M12" s="230" t="s">
        <v>266</v>
      </c>
      <c r="N12" s="230" t="s">
        <v>32</v>
      </c>
      <c r="O12" s="230" t="s">
        <v>267</v>
      </c>
      <c r="P12" s="231" t="s">
        <v>100</v>
      </c>
      <c r="Q12" s="231" t="s">
        <v>450</v>
      </c>
      <c r="R12" s="233">
        <v>408543885</v>
      </c>
      <c r="S12" s="233">
        <v>136950885</v>
      </c>
      <c r="T12" s="233">
        <v>545494770</v>
      </c>
      <c r="U12" s="233">
        <v>0</v>
      </c>
      <c r="V12" s="233">
        <v>0</v>
      </c>
      <c r="W12" s="233">
        <v>0</v>
      </c>
      <c r="X12" s="233">
        <v>0</v>
      </c>
      <c r="Y12" s="233">
        <v>0</v>
      </c>
      <c r="Z12" s="233">
        <v>0</v>
      </c>
      <c r="AA12" s="233">
        <v>0</v>
      </c>
      <c r="AB12" s="233">
        <v>0</v>
      </c>
    </row>
    <row r="13" spans="1:28" ht="15" customHeight="1" x14ac:dyDescent="0.25">
      <c r="A13" s="230" t="s">
        <v>261</v>
      </c>
      <c r="B13" s="231" t="s">
        <v>262</v>
      </c>
      <c r="C13" s="232" t="s">
        <v>534</v>
      </c>
      <c r="D13" s="230" t="s">
        <v>22</v>
      </c>
      <c r="E13" s="230" t="s">
        <v>303</v>
      </c>
      <c r="F13" s="230" t="s">
        <v>290</v>
      </c>
      <c r="G13" s="230" t="s">
        <v>306</v>
      </c>
      <c r="H13" s="230" t="s">
        <v>445</v>
      </c>
      <c r="I13" s="230" t="s">
        <v>535</v>
      </c>
      <c r="J13" s="230" t="s">
        <v>269</v>
      </c>
      <c r="K13" s="230"/>
      <c r="L13" s="230"/>
      <c r="M13" s="230" t="s">
        <v>273</v>
      </c>
      <c r="N13" s="230" t="s">
        <v>34</v>
      </c>
      <c r="O13" s="230" t="s">
        <v>267</v>
      </c>
      <c r="P13" s="231" t="s">
        <v>100</v>
      </c>
      <c r="Q13" s="231" t="s">
        <v>450</v>
      </c>
      <c r="R13" s="233">
        <v>723085527</v>
      </c>
      <c r="S13" s="233">
        <v>0</v>
      </c>
      <c r="T13" s="233">
        <v>723085527</v>
      </c>
      <c r="U13" s="233">
        <v>0</v>
      </c>
      <c r="V13" s="233">
        <v>0</v>
      </c>
      <c r="W13" s="233">
        <v>0</v>
      </c>
      <c r="X13" s="233">
        <v>0</v>
      </c>
      <c r="Y13" s="233">
        <v>0</v>
      </c>
      <c r="Z13" s="233">
        <v>0</v>
      </c>
      <c r="AA13" s="233">
        <v>0</v>
      </c>
      <c r="AB13" s="233">
        <v>0</v>
      </c>
    </row>
    <row r="14" spans="1:28" ht="15" customHeight="1" x14ac:dyDescent="0.25">
      <c r="A14" s="230" t="s">
        <v>261</v>
      </c>
      <c r="B14" s="231" t="s">
        <v>262</v>
      </c>
      <c r="C14" s="232" t="s">
        <v>448</v>
      </c>
      <c r="D14" s="230" t="s">
        <v>22</v>
      </c>
      <c r="E14" s="230" t="s">
        <v>303</v>
      </c>
      <c r="F14" s="230" t="s">
        <v>290</v>
      </c>
      <c r="G14" s="230" t="s">
        <v>306</v>
      </c>
      <c r="H14" s="230" t="s">
        <v>445</v>
      </c>
      <c r="I14" s="230" t="s">
        <v>449</v>
      </c>
      <c r="J14" s="230" t="s">
        <v>269</v>
      </c>
      <c r="K14" s="230"/>
      <c r="L14" s="230"/>
      <c r="M14" s="230" t="s">
        <v>266</v>
      </c>
      <c r="N14" s="230" t="s">
        <v>32</v>
      </c>
      <c r="O14" s="230" t="s">
        <v>267</v>
      </c>
      <c r="P14" s="231" t="s">
        <v>87</v>
      </c>
      <c r="Q14" s="231" t="s">
        <v>450</v>
      </c>
      <c r="R14" s="233">
        <v>210862852</v>
      </c>
      <c r="S14" s="233">
        <v>0</v>
      </c>
      <c r="T14" s="233">
        <v>82455852</v>
      </c>
      <c r="U14" s="233">
        <v>128407000</v>
      </c>
      <c r="V14" s="233">
        <v>0</v>
      </c>
      <c r="W14" s="233">
        <v>119156249</v>
      </c>
      <c r="X14" s="233">
        <v>9250751</v>
      </c>
      <c r="Y14" s="233">
        <v>119156249</v>
      </c>
      <c r="Z14" s="233">
        <v>86866249</v>
      </c>
      <c r="AA14" s="233">
        <v>86866249</v>
      </c>
      <c r="AB14" s="233">
        <v>86866249</v>
      </c>
    </row>
    <row r="15" spans="1:28" ht="15" customHeight="1" x14ac:dyDescent="0.25">
      <c r="A15" s="230" t="s">
        <v>261</v>
      </c>
      <c r="B15" s="231" t="s">
        <v>262</v>
      </c>
      <c r="C15" s="232" t="s">
        <v>448</v>
      </c>
      <c r="D15" s="230" t="s">
        <v>22</v>
      </c>
      <c r="E15" s="230" t="s">
        <v>303</v>
      </c>
      <c r="F15" s="230" t="s">
        <v>290</v>
      </c>
      <c r="G15" s="230" t="s">
        <v>306</v>
      </c>
      <c r="H15" s="230" t="s">
        <v>445</v>
      </c>
      <c r="I15" s="230" t="s">
        <v>449</v>
      </c>
      <c r="J15" s="230" t="s">
        <v>269</v>
      </c>
      <c r="K15" s="230"/>
      <c r="L15" s="230"/>
      <c r="M15" s="230" t="s">
        <v>273</v>
      </c>
      <c r="N15" s="230" t="s">
        <v>34</v>
      </c>
      <c r="O15" s="230" t="s">
        <v>267</v>
      </c>
      <c r="P15" s="231" t="s">
        <v>87</v>
      </c>
      <c r="Q15" s="231" t="s">
        <v>450</v>
      </c>
      <c r="R15" s="233">
        <v>58625546</v>
      </c>
      <c r="S15" s="233">
        <v>267668195</v>
      </c>
      <c r="T15" s="233">
        <v>0</v>
      </c>
      <c r="U15" s="233">
        <v>326293741</v>
      </c>
      <c r="V15" s="233">
        <v>0</v>
      </c>
      <c r="W15" s="233">
        <v>85758000</v>
      </c>
      <c r="X15" s="233">
        <v>240535741</v>
      </c>
      <c r="Y15" s="233">
        <v>85758000</v>
      </c>
      <c r="Z15" s="233">
        <v>73780000</v>
      </c>
      <c r="AA15" s="233">
        <v>73780000</v>
      </c>
      <c r="AB15" s="233">
        <v>73780000</v>
      </c>
    </row>
    <row r="16" spans="1:28" ht="15" customHeight="1" x14ac:dyDescent="0.25">
      <c r="A16" s="230" t="s">
        <v>261</v>
      </c>
      <c r="B16" s="231" t="s">
        <v>262</v>
      </c>
      <c r="C16" s="232" t="s">
        <v>451</v>
      </c>
      <c r="D16" s="230" t="s">
        <v>22</v>
      </c>
      <c r="E16" s="230" t="s">
        <v>303</v>
      </c>
      <c r="F16" s="230" t="s">
        <v>290</v>
      </c>
      <c r="G16" s="230" t="s">
        <v>306</v>
      </c>
      <c r="H16" s="230" t="s">
        <v>445</v>
      </c>
      <c r="I16" s="230" t="s">
        <v>452</v>
      </c>
      <c r="J16" s="230" t="s">
        <v>269</v>
      </c>
      <c r="K16" s="230"/>
      <c r="L16" s="230"/>
      <c r="M16" s="230" t="s">
        <v>266</v>
      </c>
      <c r="N16" s="230" t="s">
        <v>32</v>
      </c>
      <c r="O16" s="230" t="s">
        <v>267</v>
      </c>
      <c r="P16" s="231" t="s">
        <v>116</v>
      </c>
      <c r="Q16" s="231" t="s">
        <v>450</v>
      </c>
      <c r="R16" s="233">
        <v>380593263</v>
      </c>
      <c r="S16" s="233">
        <v>219406737</v>
      </c>
      <c r="T16" s="233">
        <v>560000000</v>
      </c>
      <c r="U16" s="233">
        <v>40000000</v>
      </c>
      <c r="V16" s="233">
        <v>0</v>
      </c>
      <c r="W16" s="233">
        <v>40000000</v>
      </c>
      <c r="X16" s="233">
        <v>0</v>
      </c>
      <c r="Y16" s="233">
        <v>0</v>
      </c>
      <c r="Z16" s="233">
        <v>0</v>
      </c>
      <c r="AA16" s="233">
        <v>0</v>
      </c>
      <c r="AB16" s="233">
        <v>0</v>
      </c>
    </row>
    <row r="17" spans="1:28" ht="15" customHeight="1" x14ac:dyDescent="0.25">
      <c r="A17" s="230" t="s">
        <v>261</v>
      </c>
      <c r="B17" s="231" t="s">
        <v>262</v>
      </c>
      <c r="C17" s="232" t="s">
        <v>451</v>
      </c>
      <c r="D17" s="230" t="s">
        <v>22</v>
      </c>
      <c r="E17" s="230" t="s">
        <v>303</v>
      </c>
      <c r="F17" s="230" t="s">
        <v>290</v>
      </c>
      <c r="G17" s="230" t="s">
        <v>306</v>
      </c>
      <c r="H17" s="230" t="s">
        <v>445</v>
      </c>
      <c r="I17" s="230" t="s">
        <v>452</v>
      </c>
      <c r="J17" s="230" t="s">
        <v>269</v>
      </c>
      <c r="K17" s="230"/>
      <c r="L17" s="230"/>
      <c r="M17" s="230" t="s">
        <v>273</v>
      </c>
      <c r="N17" s="230" t="s">
        <v>34</v>
      </c>
      <c r="O17" s="230" t="s">
        <v>267</v>
      </c>
      <c r="P17" s="231" t="s">
        <v>116</v>
      </c>
      <c r="Q17" s="231" t="s">
        <v>450</v>
      </c>
      <c r="R17" s="233">
        <v>11819668</v>
      </c>
      <c r="S17" s="233">
        <v>148180332</v>
      </c>
      <c r="T17" s="233">
        <v>0</v>
      </c>
      <c r="U17" s="233">
        <v>160000000</v>
      </c>
      <c r="V17" s="233">
        <v>0</v>
      </c>
      <c r="W17" s="233">
        <v>0</v>
      </c>
      <c r="X17" s="233">
        <v>160000000</v>
      </c>
      <c r="Y17" s="233">
        <v>0</v>
      </c>
      <c r="Z17" s="233">
        <v>0</v>
      </c>
      <c r="AA17" s="233">
        <v>0</v>
      </c>
      <c r="AB17" s="233">
        <v>0</v>
      </c>
    </row>
    <row r="18" spans="1:28" ht="15" customHeight="1" x14ac:dyDescent="0.25">
      <c r="A18" s="230" t="s">
        <v>261</v>
      </c>
      <c r="B18" s="231" t="s">
        <v>262</v>
      </c>
      <c r="C18" s="232" t="s">
        <v>453</v>
      </c>
      <c r="D18" s="230" t="s">
        <v>22</v>
      </c>
      <c r="E18" s="230" t="s">
        <v>303</v>
      </c>
      <c r="F18" s="230" t="s">
        <v>290</v>
      </c>
      <c r="G18" s="230" t="s">
        <v>306</v>
      </c>
      <c r="H18" s="230" t="s">
        <v>445</v>
      </c>
      <c r="I18" s="230" t="s">
        <v>454</v>
      </c>
      <c r="J18" s="230" t="s">
        <v>269</v>
      </c>
      <c r="K18" s="230"/>
      <c r="L18" s="230"/>
      <c r="M18" s="230" t="s">
        <v>266</v>
      </c>
      <c r="N18" s="230" t="s">
        <v>32</v>
      </c>
      <c r="O18" s="230" t="s">
        <v>267</v>
      </c>
      <c r="P18" s="231" t="s">
        <v>93</v>
      </c>
      <c r="Q18" s="231" t="s">
        <v>450</v>
      </c>
      <c r="R18" s="233">
        <v>271593000</v>
      </c>
      <c r="S18" s="233">
        <v>560000000</v>
      </c>
      <c r="T18" s="233">
        <v>0</v>
      </c>
      <c r="U18" s="233">
        <v>831593000</v>
      </c>
      <c r="V18" s="233">
        <v>0</v>
      </c>
      <c r="W18" s="233">
        <v>776026754.40999997</v>
      </c>
      <c r="X18" s="233">
        <v>55566245.590000004</v>
      </c>
      <c r="Y18" s="233">
        <v>320262947.94</v>
      </c>
      <c r="Z18" s="233">
        <v>142346945</v>
      </c>
      <c r="AA18" s="233">
        <v>142346945</v>
      </c>
      <c r="AB18" s="233">
        <v>135016579</v>
      </c>
    </row>
    <row r="19" spans="1:28" ht="15" customHeight="1" x14ac:dyDescent="0.25">
      <c r="A19" s="230" t="s">
        <v>261</v>
      </c>
      <c r="B19" s="231" t="s">
        <v>262</v>
      </c>
      <c r="C19" s="232" t="s">
        <v>453</v>
      </c>
      <c r="D19" s="230" t="s">
        <v>22</v>
      </c>
      <c r="E19" s="230" t="s">
        <v>303</v>
      </c>
      <c r="F19" s="230" t="s">
        <v>290</v>
      </c>
      <c r="G19" s="230" t="s">
        <v>306</v>
      </c>
      <c r="H19" s="230" t="s">
        <v>445</v>
      </c>
      <c r="I19" s="230" t="s">
        <v>454</v>
      </c>
      <c r="J19" s="230" t="s">
        <v>269</v>
      </c>
      <c r="K19" s="230"/>
      <c r="L19" s="230"/>
      <c r="M19" s="230" t="s">
        <v>273</v>
      </c>
      <c r="N19" s="230" t="s">
        <v>34</v>
      </c>
      <c r="O19" s="230" t="s">
        <v>267</v>
      </c>
      <c r="P19" s="231" t="s">
        <v>93</v>
      </c>
      <c r="Q19" s="231" t="s">
        <v>450</v>
      </c>
      <c r="R19" s="233">
        <v>307237000</v>
      </c>
      <c r="S19" s="233">
        <v>0</v>
      </c>
      <c r="T19" s="233">
        <v>0</v>
      </c>
      <c r="U19" s="233">
        <v>307237000</v>
      </c>
      <c r="V19" s="233">
        <v>0</v>
      </c>
      <c r="W19" s="233">
        <v>18329600</v>
      </c>
      <c r="X19" s="233">
        <v>288907400</v>
      </c>
      <c r="Y19" s="233">
        <v>18329600</v>
      </c>
      <c r="Z19" s="233">
        <v>9798903.8699999992</v>
      </c>
      <c r="AA19" s="233">
        <v>9798903.8699999992</v>
      </c>
      <c r="AB19" s="233">
        <v>9798903.8699999992</v>
      </c>
    </row>
    <row r="20" spans="1:28" ht="15" customHeight="1" x14ac:dyDescent="0.25">
      <c r="A20" s="230" t="s">
        <v>261</v>
      </c>
      <c r="B20" s="231" t="s">
        <v>262</v>
      </c>
      <c r="C20" s="232" t="s">
        <v>536</v>
      </c>
      <c r="D20" s="230" t="s">
        <v>22</v>
      </c>
      <c r="E20" s="230" t="s">
        <v>295</v>
      </c>
      <c r="F20" s="230" t="s">
        <v>290</v>
      </c>
      <c r="G20" s="230" t="s">
        <v>296</v>
      </c>
      <c r="H20" s="230" t="s">
        <v>445</v>
      </c>
      <c r="I20" s="230" t="s">
        <v>537</v>
      </c>
      <c r="J20" s="230" t="s">
        <v>269</v>
      </c>
      <c r="K20" s="230"/>
      <c r="L20" s="230"/>
      <c r="M20" s="230" t="s">
        <v>266</v>
      </c>
      <c r="N20" s="230" t="s">
        <v>32</v>
      </c>
      <c r="O20" s="230" t="s">
        <v>267</v>
      </c>
      <c r="P20" s="231" t="s">
        <v>125</v>
      </c>
      <c r="Q20" s="231" t="s">
        <v>538</v>
      </c>
      <c r="R20" s="233">
        <v>248862633</v>
      </c>
      <c r="S20" s="233">
        <v>0</v>
      </c>
      <c r="T20" s="233">
        <v>0</v>
      </c>
      <c r="U20" s="233">
        <v>248862633</v>
      </c>
      <c r="V20" s="233">
        <v>0</v>
      </c>
      <c r="W20" s="233">
        <v>248413202</v>
      </c>
      <c r="X20" s="233">
        <v>449431</v>
      </c>
      <c r="Y20" s="233">
        <v>248413201</v>
      </c>
      <c r="Z20" s="233">
        <v>232188034</v>
      </c>
      <c r="AA20" s="233">
        <v>232188034</v>
      </c>
      <c r="AB20" s="233">
        <v>232188034</v>
      </c>
    </row>
    <row r="21" spans="1:28" ht="15" customHeight="1" x14ac:dyDescent="0.25">
      <c r="A21" s="230" t="s">
        <v>261</v>
      </c>
      <c r="B21" s="231" t="s">
        <v>262</v>
      </c>
      <c r="C21" s="232" t="s">
        <v>536</v>
      </c>
      <c r="D21" s="230" t="s">
        <v>22</v>
      </c>
      <c r="E21" s="230" t="s">
        <v>295</v>
      </c>
      <c r="F21" s="230" t="s">
        <v>290</v>
      </c>
      <c r="G21" s="230" t="s">
        <v>296</v>
      </c>
      <c r="H21" s="230" t="s">
        <v>445</v>
      </c>
      <c r="I21" s="230" t="s">
        <v>537</v>
      </c>
      <c r="J21" s="230" t="s">
        <v>269</v>
      </c>
      <c r="K21" s="230"/>
      <c r="L21" s="230"/>
      <c r="M21" s="230" t="s">
        <v>273</v>
      </c>
      <c r="N21" s="230" t="s">
        <v>34</v>
      </c>
      <c r="O21" s="230" t="s">
        <v>267</v>
      </c>
      <c r="P21" s="231" t="s">
        <v>125</v>
      </c>
      <c r="Q21" s="231" t="s">
        <v>538</v>
      </c>
      <c r="R21" s="233">
        <v>9216091434</v>
      </c>
      <c r="S21" s="233">
        <v>0</v>
      </c>
      <c r="T21" s="233">
        <v>0</v>
      </c>
      <c r="U21" s="233">
        <v>9216091434</v>
      </c>
      <c r="V21" s="233">
        <v>0</v>
      </c>
      <c r="W21" s="233">
        <v>710755105</v>
      </c>
      <c r="X21" s="233">
        <v>8505336329</v>
      </c>
      <c r="Y21" s="233">
        <v>95425251</v>
      </c>
      <c r="Z21" s="233">
        <v>17707050</v>
      </c>
      <c r="AA21" s="233">
        <v>7966351</v>
      </c>
      <c r="AB21" s="233">
        <v>7966351</v>
      </c>
    </row>
    <row r="22" spans="1:28" ht="15" customHeight="1" x14ac:dyDescent="0.25">
      <c r="A22" s="230" t="s">
        <v>261</v>
      </c>
      <c r="B22" s="231" t="s">
        <v>262</v>
      </c>
      <c r="C22" s="232" t="s">
        <v>539</v>
      </c>
      <c r="D22" s="230" t="s">
        <v>22</v>
      </c>
      <c r="E22" s="230" t="s">
        <v>300</v>
      </c>
      <c r="F22" s="230" t="s">
        <v>290</v>
      </c>
      <c r="G22" s="230" t="s">
        <v>301</v>
      </c>
      <c r="H22" s="230" t="s">
        <v>445</v>
      </c>
      <c r="I22" s="230" t="s">
        <v>540</v>
      </c>
      <c r="J22" s="230" t="s">
        <v>269</v>
      </c>
      <c r="K22" s="230"/>
      <c r="L22" s="230"/>
      <c r="M22" s="230" t="s">
        <v>266</v>
      </c>
      <c r="N22" s="230" t="s">
        <v>32</v>
      </c>
      <c r="O22" s="230" t="s">
        <v>267</v>
      </c>
      <c r="P22" s="231" t="s">
        <v>133</v>
      </c>
      <c r="Q22" s="231" t="s">
        <v>533</v>
      </c>
      <c r="R22" s="233">
        <v>117931087</v>
      </c>
      <c r="S22" s="233">
        <v>0</v>
      </c>
      <c r="T22" s="233">
        <v>0</v>
      </c>
      <c r="U22" s="233">
        <v>117931087</v>
      </c>
      <c r="V22" s="233">
        <v>0</v>
      </c>
      <c r="W22" s="233">
        <v>117774174</v>
      </c>
      <c r="X22" s="233">
        <v>156913</v>
      </c>
      <c r="Y22" s="233">
        <v>117774174</v>
      </c>
      <c r="Z22" s="233">
        <v>117529828</v>
      </c>
      <c r="AA22" s="233">
        <v>117529828</v>
      </c>
      <c r="AB22" s="233">
        <v>117529828</v>
      </c>
    </row>
    <row r="23" spans="1:28" ht="15" customHeight="1" x14ac:dyDescent="0.25">
      <c r="A23" s="230" t="s">
        <v>261</v>
      </c>
      <c r="B23" s="231" t="s">
        <v>262</v>
      </c>
      <c r="C23" s="232" t="s">
        <v>539</v>
      </c>
      <c r="D23" s="230" t="s">
        <v>22</v>
      </c>
      <c r="E23" s="230" t="s">
        <v>300</v>
      </c>
      <c r="F23" s="230" t="s">
        <v>290</v>
      </c>
      <c r="G23" s="230" t="s">
        <v>301</v>
      </c>
      <c r="H23" s="230" t="s">
        <v>445</v>
      </c>
      <c r="I23" s="230" t="s">
        <v>540</v>
      </c>
      <c r="J23" s="230" t="s">
        <v>269</v>
      </c>
      <c r="K23" s="230"/>
      <c r="L23" s="230"/>
      <c r="M23" s="230" t="s">
        <v>273</v>
      </c>
      <c r="N23" s="230" t="s">
        <v>34</v>
      </c>
      <c r="O23" s="230" t="s">
        <v>267</v>
      </c>
      <c r="P23" s="231" t="s">
        <v>133</v>
      </c>
      <c r="Q23" s="231" t="s">
        <v>533</v>
      </c>
      <c r="R23" s="233">
        <v>2873814716</v>
      </c>
      <c r="S23" s="233">
        <v>0</v>
      </c>
      <c r="T23" s="233">
        <v>0</v>
      </c>
      <c r="U23" s="233">
        <v>2873814716</v>
      </c>
      <c r="V23" s="233">
        <v>0</v>
      </c>
      <c r="W23" s="233">
        <v>937950160.82000005</v>
      </c>
      <c r="X23" s="233">
        <v>1935864555.1800001</v>
      </c>
      <c r="Y23" s="233">
        <v>921657768.82000005</v>
      </c>
      <c r="Z23" s="233">
        <v>736483665.82000005</v>
      </c>
      <c r="AA23" s="233">
        <v>679030682.82000005</v>
      </c>
      <c r="AB23" s="233">
        <v>679030682.82000005</v>
      </c>
    </row>
    <row r="24" spans="1:28" ht="15" customHeight="1" x14ac:dyDescent="0.25">
      <c r="A24" s="230" t="s">
        <v>261</v>
      </c>
      <c r="B24" s="231" t="s">
        <v>262</v>
      </c>
      <c r="C24" s="232" t="s">
        <v>455</v>
      </c>
      <c r="D24" s="230" t="s">
        <v>22</v>
      </c>
      <c r="E24" s="230" t="s">
        <v>298</v>
      </c>
      <c r="F24" s="230" t="s">
        <v>290</v>
      </c>
      <c r="G24" s="230" t="s">
        <v>296</v>
      </c>
      <c r="H24" s="230" t="s">
        <v>445</v>
      </c>
      <c r="I24" s="230" t="s">
        <v>456</v>
      </c>
      <c r="J24" s="230" t="s">
        <v>269</v>
      </c>
      <c r="K24" s="230"/>
      <c r="L24" s="230"/>
      <c r="M24" s="230" t="s">
        <v>266</v>
      </c>
      <c r="N24" s="230" t="s">
        <v>32</v>
      </c>
      <c r="O24" s="230" t="s">
        <v>267</v>
      </c>
      <c r="P24" s="231" t="s">
        <v>99</v>
      </c>
      <c r="Q24" s="231" t="s">
        <v>457</v>
      </c>
      <c r="R24" s="233">
        <v>177158520</v>
      </c>
      <c r="S24" s="233">
        <v>0</v>
      </c>
      <c r="T24" s="233">
        <v>0</v>
      </c>
      <c r="U24" s="233">
        <v>177158520</v>
      </c>
      <c r="V24" s="233">
        <v>0</v>
      </c>
      <c r="W24" s="233">
        <v>171544207</v>
      </c>
      <c r="X24" s="233">
        <v>5614313</v>
      </c>
      <c r="Y24" s="233">
        <v>171544207</v>
      </c>
      <c r="Z24" s="233">
        <v>141018987</v>
      </c>
      <c r="AA24" s="233">
        <v>138077207</v>
      </c>
      <c r="AB24" s="233">
        <v>138077207</v>
      </c>
    </row>
    <row r="25" spans="1:28" ht="15" customHeight="1" x14ac:dyDescent="0.25">
      <c r="A25" s="230" t="s">
        <v>261</v>
      </c>
      <c r="B25" s="231" t="s">
        <v>262</v>
      </c>
      <c r="C25" s="232" t="s">
        <v>455</v>
      </c>
      <c r="D25" s="230" t="s">
        <v>22</v>
      </c>
      <c r="E25" s="230" t="s">
        <v>298</v>
      </c>
      <c r="F25" s="230" t="s">
        <v>290</v>
      </c>
      <c r="G25" s="230" t="s">
        <v>296</v>
      </c>
      <c r="H25" s="230" t="s">
        <v>445</v>
      </c>
      <c r="I25" s="230" t="s">
        <v>456</v>
      </c>
      <c r="J25" s="230" t="s">
        <v>269</v>
      </c>
      <c r="K25" s="230"/>
      <c r="L25" s="230"/>
      <c r="M25" s="230" t="s">
        <v>273</v>
      </c>
      <c r="N25" s="230" t="s">
        <v>34</v>
      </c>
      <c r="O25" s="230" t="s">
        <v>267</v>
      </c>
      <c r="P25" s="231" t="s">
        <v>99</v>
      </c>
      <c r="Q25" s="231" t="s">
        <v>457</v>
      </c>
      <c r="R25" s="233">
        <v>2139559116</v>
      </c>
      <c r="S25" s="233">
        <v>669600617</v>
      </c>
      <c r="T25" s="233">
        <v>10000000</v>
      </c>
      <c r="U25" s="233">
        <v>2799159733</v>
      </c>
      <c r="V25" s="233">
        <v>0</v>
      </c>
      <c r="W25" s="233">
        <v>2629280944.9699998</v>
      </c>
      <c r="X25" s="233">
        <v>169878788.03</v>
      </c>
      <c r="Y25" s="233">
        <v>2346833043.4099998</v>
      </c>
      <c r="Z25" s="233">
        <v>1674677169.1700001</v>
      </c>
      <c r="AA25" s="233">
        <v>1608645465.1700001</v>
      </c>
      <c r="AB25" s="233">
        <v>1608645465.1700001</v>
      </c>
    </row>
    <row r="26" spans="1:28" ht="15" customHeight="1" x14ac:dyDescent="0.25">
      <c r="A26" s="230" t="s">
        <v>261</v>
      </c>
      <c r="B26" s="231" t="s">
        <v>262</v>
      </c>
      <c r="C26" s="232" t="s">
        <v>541</v>
      </c>
      <c r="D26" s="230" t="s">
        <v>22</v>
      </c>
      <c r="E26" s="230" t="s">
        <v>303</v>
      </c>
      <c r="F26" s="230" t="s">
        <v>290</v>
      </c>
      <c r="G26" s="230" t="s">
        <v>304</v>
      </c>
      <c r="H26" s="230" t="s">
        <v>445</v>
      </c>
      <c r="I26" s="230" t="s">
        <v>542</v>
      </c>
      <c r="J26" s="230" t="s">
        <v>269</v>
      </c>
      <c r="K26" s="230"/>
      <c r="L26" s="230"/>
      <c r="M26" s="230" t="s">
        <v>266</v>
      </c>
      <c r="N26" s="230" t="s">
        <v>32</v>
      </c>
      <c r="O26" s="230" t="s">
        <v>267</v>
      </c>
      <c r="P26" s="231" t="s">
        <v>143</v>
      </c>
      <c r="Q26" s="231" t="s">
        <v>467</v>
      </c>
      <c r="R26" s="233">
        <v>34546758</v>
      </c>
      <c r="S26" s="233">
        <v>32652117</v>
      </c>
      <c r="T26" s="233">
        <v>0</v>
      </c>
      <c r="U26" s="233">
        <v>67198875</v>
      </c>
      <c r="V26" s="233">
        <v>0</v>
      </c>
      <c r="W26" s="233">
        <v>67198875</v>
      </c>
      <c r="X26" s="233">
        <v>0</v>
      </c>
      <c r="Y26" s="233">
        <v>53163622</v>
      </c>
      <c r="Z26" s="233">
        <v>37617541</v>
      </c>
      <c r="AA26" s="233">
        <v>35122537</v>
      </c>
      <c r="AB26" s="233">
        <v>29364744</v>
      </c>
    </row>
    <row r="27" spans="1:28" ht="15" customHeight="1" x14ac:dyDescent="0.25">
      <c r="A27" s="230" t="s">
        <v>261</v>
      </c>
      <c r="B27" s="231" t="s">
        <v>262</v>
      </c>
      <c r="C27" s="232" t="s">
        <v>541</v>
      </c>
      <c r="D27" s="230" t="s">
        <v>22</v>
      </c>
      <c r="E27" s="230" t="s">
        <v>303</v>
      </c>
      <c r="F27" s="230" t="s">
        <v>290</v>
      </c>
      <c r="G27" s="230" t="s">
        <v>304</v>
      </c>
      <c r="H27" s="230" t="s">
        <v>445</v>
      </c>
      <c r="I27" s="230" t="s">
        <v>542</v>
      </c>
      <c r="J27" s="230" t="s">
        <v>269</v>
      </c>
      <c r="K27" s="230"/>
      <c r="L27" s="230"/>
      <c r="M27" s="230" t="s">
        <v>273</v>
      </c>
      <c r="N27" s="230" t="s">
        <v>34</v>
      </c>
      <c r="O27" s="230" t="s">
        <v>267</v>
      </c>
      <c r="P27" s="231" t="s">
        <v>143</v>
      </c>
      <c r="Q27" s="231" t="s">
        <v>467</v>
      </c>
      <c r="R27" s="233">
        <v>174494211</v>
      </c>
      <c r="S27" s="233">
        <v>0</v>
      </c>
      <c r="T27" s="233">
        <v>0</v>
      </c>
      <c r="U27" s="233">
        <v>174494211</v>
      </c>
      <c r="V27" s="233">
        <v>0</v>
      </c>
      <c r="W27" s="233">
        <v>174494211</v>
      </c>
      <c r="X27" s="233">
        <v>0</v>
      </c>
      <c r="Y27" s="233">
        <v>174494211</v>
      </c>
      <c r="Z27" s="233">
        <v>162050000</v>
      </c>
      <c r="AA27" s="233">
        <v>162050000</v>
      </c>
      <c r="AB27" s="233">
        <v>162050000</v>
      </c>
    </row>
    <row r="28" spans="1:28" ht="15" customHeight="1" x14ac:dyDescent="0.25">
      <c r="A28" s="230" t="s">
        <v>261</v>
      </c>
      <c r="B28" s="231" t="s">
        <v>262</v>
      </c>
      <c r="C28" s="232" t="s">
        <v>543</v>
      </c>
      <c r="D28" s="230" t="s">
        <v>22</v>
      </c>
      <c r="E28" s="230" t="s">
        <v>300</v>
      </c>
      <c r="F28" s="230" t="s">
        <v>290</v>
      </c>
      <c r="G28" s="230" t="s">
        <v>301</v>
      </c>
      <c r="H28" s="230" t="s">
        <v>445</v>
      </c>
      <c r="I28" s="230" t="s">
        <v>544</v>
      </c>
      <c r="J28" s="230" t="s">
        <v>269</v>
      </c>
      <c r="K28" s="230"/>
      <c r="L28" s="230"/>
      <c r="M28" s="230" t="s">
        <v>273</v>
      </c>
      <c r="N28" s="230" t="s">
        <v>34</v>
      </c>
      <c r="O28" s="230" t="s">
        <v>267</v>
      </c>
      <c r="P28" s="231" t="s">
        <v>149</v>
      </c>
      <c r="Q28" s="231" t="s">
        <v>533</v>
      </c>
      <c r="R28" s="233">
        <v>800000000</v>
      </c>
      <c r="S28" s="233">
        <v>0</v>
      </c>
      <c r="T28" s="233">
        <v>0</v>
      </c>
      <c r="U28" s="233">
        <v>800000000</v>
      </c>
      <c r="V28" s="233">
        <v>0</v>
      </c>
      <c r="W28" s="233">
        <v>142473412</v>
      </c>
      <c r="X28" s="233">
        <v>657526588</v>
      </c>
      <c r="Y28" s="233">
        <v>129473412</v>
      </c>
      <c r="Z28" s="233">
        <v>103695832</v>
      </c>
      <c r="AA28" s="233">
        <v>93106559</v>
      </c>
      <c r="AB28" s="233">
        <v>93106559</v>
      </c>
    </row>
    <row r="29" spans="1:28" ht="15" customHeight="1" x14ac:dyDescent="0.25">
      <c r="A29" s="230" t="s">
        <v>261</v>
      </c>
      <c r="B29" s="231" t="s">
        <v>262</v>
      </c>
      <c r="C29" s="232" t="s">
        <v>545</v>
      </c>
      <c r="D29" s="230" t="s">
        <v>22</v>
      </c>
      <c r="E29" s="230" t="s">
        <v>303</v>
      </c>
      <c r="F29" s="230" t="s">
        <v>290</v>
      </c>
      <c r="G29" s="230" t="s">
        <v>291</v>
      </c>
      <c r="H29" s="230" t="s">
        <v>445</v>
      </c>
      <c r="I29" s="230" t="s">
        <v>546</v>
      </c>
      <c r="J29" s="230" t="s">
        <v>269</v>
      </c>
      <c r="K29" s="230"/>
      <c r="L29" s="230"/>
      <c r="M29" s="230" t="s">
        <v>266</v>
      </c>
      <c r="N29" s="230" t="s">
        <v>32</v>
      </c>
      <c r="O29" s="230" t="s">
        <v>267</v>
      </c>
      <c r="P29" s="231" t="s">
        <v>155</v>
      </c>
      <c r="Q29" s="231" t="s">
        <v>547</v>
      </c>
      <c r="R29" s="233">
        <v>131823226</v>
      </c>
      <c r="S29" s="233">
        <v>0</v>
      </c>
      <c r="T29" s="233">
        <v>4542135</v>
      </c>
      <c r="U29" s="233">
        <v>127281091</v>
      </c>
      <c r="V29" s="233">
        <v>0</v>
      </c>
      <c r="W29" s="233">
        <v>125895224</v>
      </c>
      <c r="X29" s="233">
        <v>1385867</v>
      </c>
      <c r="Y29" s="233">
        <v>125895224</v>
      </c>
      <c r="Z29" s="233">
        <v>118965891</v>
      </c>
      <c r="AA29" s="233">
        <v>118965891</v>
      </c>
      <c r="AB29" s="233">
        <v>113768891</v>
      </c>
    </row>
    <row r="30" spans="1:28" ht="15" customHeight="1" x14ac:dyDescent="0.25">
      <c r="A30" s="230" t="s">
        <v>261</v>
      </c>
      <c r="B30" s="231" t="s">
        <v>262</v>
      </c>
      <c r="C30" s="232" t="s">
        <v>548</v>
      </c>
      <c r="D30" s="230" t="s">
        <v>22</v>
      </c>
      <c r="E30" s="230" t="s">
        <v>303</v>
      </c>
      <c r="F30" s="230" t="s">
        <v>290</v>
      </c>
      <c r="G30" s="230" t="s">
        <v>304</v>
      </c>
      <c r="H30" s="230" t="s">
        <v>445</v>
      </c>
      <c r="I30" s="230" t="s">
        <v>549</v>
      </c>
      <c r="J30" s="230" t="s">
        <v>269</v>
      </c>
      <c r="K30" s="230"/>
      <c r="L30" s="230"/>
      <c r="M30" s="230" t="s">
        <v>266</v>
      </c>
      <c r="N30" s="230" t="s">
        <v>32</v>
      </c>
      <c r="O30" s="230" t="s">
        <v>267</v>
      </c>
      <c r="P30" s="231" t="s">
        <v>158</v>
      </c>
      <c r="Q30" s="231" t="s">
        <v>467</v>
      </c>
      <c r="R30" s="233">
        <v>15647940</v>
      </c>
      <c r="S30" s="233">
        <v>67847464</v>
      </c>
      <c r="T30" s="233">
        <v>0</v>
      </c>
      <c r="U30" s="233">
        <v>83495404</v>
      </c>
      <c r="V30" s="233">
        <v>0</v>
      </c>
      <c r="W30" s="233">
        <v>83495404</v>
      </c>
      <c r="X30" s="233">
        <v>0</v>
      </c>
      <c r="Y30" s="233">
        <v>15647940</v>
      </c>
      <c r="Z30" s="233">
        <v>0</v>
      </c>
      <c r="AA30" s="233">
        <v>0</v>
      </c>
      <c r="AB30" s="233">
        <v>0</v>
      </c>
    </row>
    <row r="31" spans="1:28" ht="15" customHeight="1" x14ac:dyDescent="0.25">
      <c r="A31" s="230" t="s">
        <v>261</v>
      </c>
      <c r="B31" s="231" t="s">
        <v>262</v>
      </c>
      <c r="C31" s="232" t="s">
        <v>548</v>
      </c>
      <c r="D31" s="230" t="s">
        <v>22</v>
      </c>
      <c r="E31" s="230" t="s">
        <v>303</v>
      </c>
      <c r="F31" s="230" t="s">
        <v>290</v>
      </c>
      <c r="G31" s="230" t="s">
        <v>304</v>
      </c>
      <c r="H31" s="230" t="s">
        <v>445</v>
      </c>
      <c r="I31" s="230" t="s">
        <v>549</v>
      </c>
      <c r="J31" s="230" t="s">
        <v>269</v>
      </c>
      <c r="K31" s="230"/>
      <c r="L31" s="230"/>
      <c r="M31" s="230" t="s">
        <v>273</v>
      </c>
      <c r="N31" s="230" t="s">
        <v>34</v>
      </c>
      <c r="O31" s="230" t="s">
        <v>267</v>
      </c>
      <c r="P31" s="231" t="s">
        <v>158</v>
      </c>
      <c r="Q31" s="231" t="s">
        <v>467</v>
      </c>
      <c r="R31" s="233">
        <v>578474644</v>
      </c>
      <c r="S31" s="233">
        <v>0</v>
      </c>
      <c r="T31" s="233">
        <v>8017050</v>
      </c>
      <c r="U31" s="233">
        <v>570457594</v>
      </c>
      <c r="V31" s="233">
        <v>0</v>
      </c>
      <c r="W31" s="233">
        <v>565729862</v>
      </c>
      <c r="X31" s="233">
        <v>4727732</v>
      </c>
      <c r="Y31" s="233">
        <v>565729862</v>
      </c>
      <c r="Z31" s="233">
        <v>487868500</v>
      </c>
      <c r="AA31" s="233">
        <v>482834982</v>
      </c>
      <c r="AB31" s="233">
        <v>482834982</v>
      </c>
    </row>
    <row r="32" spans="1:28" ht="15" customHeight="1" x14ac:dyDescent="0.25">
      <c r="A32" s="230" t="s">
        <v>261</v>
      </c>
      <c r="B32" s="231" t="s">
        <v>262</v>
      </c>
      <c r="C32" s="232" t="s">
        <v>550</v>
      </c>
      <c r="D32" s="230" t="s">
        <v>22</v>
      </c>
      <c r="E32" s="230" t="s">
        <v>295</v>
      </c>
      <c r="F32" s="230" t="s">
        <v>290</v>
      </c>
      <c r="G32" s="230" t="s">
        <v>296</v>
      </c>
      <c r="H32" s="230" t="s">
        <v>445</v>
      </c>
      <c r="I32" s="230" t="s">
        <v>551</v>
      </c>
      <c r="J32" s="230" t="s">
        <v>269</v>
      </c>
      <c r="K32" s="230"/>
      <c r="L32" s="230"/>
      <c r="M32" s="230" t="s">
        <v>266</v>
      </c>
      <c r="N32" s="230" t="s">
        <v>32</v>
      </c>
      <c r="O32" s="230" t="s">
        <v>267</v>
      </c>
      <c r="P32" s="231" t="s">
        <v>161</v>
      </c>
      <c r="Q32" s="231" t="s">
        <v>552</v>
      </c>
      <c r="R32" s="233">
        <v>921647633</v>
      </c>
      <c r="S32" s="233">
        <v>0</v>
      </c>
      <c r="T32" s="233">
        <v>0</v>
      </c>
      <c r="U32" s="233">
        <v>921647633</v>
      </c>
      <c r="V32" s="233">
        <v>0</v>
      </c>
      <c r="W32" s="233">
        <v>920502639</v>
      </c>
      <c r="X32" s="233">
        <v>1144994</v>
      </c>
      <c r="Y32" s="233">
        <v>920502639</v>
      </c>
      <c r="Z32" s="233">
        <v>905407882</v>
      </c>
      <c r="AA32" s="233">
        <v>900424837</v>
      </c>
      <c r="AB32" s="233">
        <v>900424837</v>
      </c>
    </row>
    <row r="33" spans="1:28" ht="15" customHeight="1" x14ac:dyDescent="0.25">
      <c r="A33" s="230" t="s">
        <v>261</v>
      </c>
      <c r="B33" s="231" t="s">
        <v>262</v>
      </c>
      <c r="C33" s="232" t="s">
        <v>550</v>
      </c>
      <c r="D33" s="230" t="s">
        <v>22</v>
      </c>
      <c r="E33" s="230" t="s">
        <v>295</v>
      </c>
      <c r="F33" s="230" t="s">
        <v>290</v>
      </c>
      <c r="G33" s="230" t="s">
        <v>296</v>
      </c>
      <c r="H33" s="230" t="s">
        <v>445</v>
      </c>
      <c r="I33" s="230" t="s">
        <v>551</v>
      </c>
      <c r="J33" s="230" t="s">
        <v>269</v>
      </c>
      <c r="K33" s="230"/>
      <c r="L33" s="230"/>
      <c r="M33" s="230" t="s">
        <v>273</v>
      </c>
      <c r="N33" s="230" t="s">
        <v>34</v>
      </c>
      <c r="O33" s="230" t="s">
        <v>267</v>
      </c>
      <c r="P33" s="231" t="s">
        <v>161</v>
      </c>
      <c r="Q33" s="231" t="s">
        <v>552</v>
      </c>
      <c r="R33" s="233">
        <v>1900385459</v>
      </c>
      <c r="S33" s="233">
        <v>0</v>
      </c>
      <c r="T33" s="233">
        <v>0</v>
      </c>
      <c r="U33" s="233">
        <v>1900385459</v>
      </c>
      <c r="V33" s="233">
        <v>0</v>
      </c>
      <c r="W33" s="233">
        <v>338302153.77999997</v>
      </c>
      <c r="X33" s="233">
        <v>1562083305.22</v>
      </c>
      <c r="Y33" s="233">
        <v>317125564.77999997</v>
      </c>
      <c r="Z33" s="233">
        <v>200671209.78</v>
      </c>
      <c r="AA33" s="233">
        <v>200671209.78</v>
      </c>
      <c r="AB33" s="233">
        <v>200671209.78</v>
      </c>
    </row>
    <row r="34" spans="1:28" ht="15" customHeight="1" x14ac:dyDescent="0.25">
      <c r="A34" s="230" t="s">
        <v>261</v>
      </c>
      <c r="B34" s="231" t="s">
        <v>262</v>
      </c>
      <c r="C34" s="232" t="s">
        <v>458</v>
      </c>
      <c r="D34" s="230" t="s">
        <v>22</v>
      </c>
      <c r="E34" s="230" t="s">
        <v>289</v>
      </c>
      <c r="F34" s="230" t="s">
        <v>290</v>
      </c>
      <c r="G34" s="230" t="s">
        <v>293</v>
      </c>
      <c r="H34" s="230" t="s">
        <v>445</v>
      </c>
      <c r="I34" s="230" t="s">
        <v>459</v>
      </c>
      <c r="J34" s="230" t="s">
        <v>269</v>
      </c>
      <c r="K34" s="230"/>
      <c r="L34" s="230"/>
      <c r="M34" s="230" t="s">
        <v>266</v>
      </c>
      <c r="N34" s="230" t="s">
        <v>32</v>
      </c>
      <c r="O34" s="230" t="s">
        <v>267</v>
      </c>
      <c r="P34" s="231" t="s">
        <v>108</v>
      </c>
      <c r="Q34" s="231" t="s">
        <v>460</v>
      </c>
      <c r="R34" s="233">
        <v>2602760722</v>
      </c>
      <c r="S34" s="233">
        <v>85591209</v>
      </c>
      <c r="T34" s="233">
        <v>15000000</v>
      </c>
      <c r="U34" s="233">
        <v>2673351931</v>
      </c>
      <c r="V34" s="233">
        <v>0</v>
      </c>
      <c r="W34" s="233">
        <v>2673351930.52</v>
      </c>
      <c r="X34" s="233">
        <v>0.48</v>
      </c>
      <c r="Y34" s="233">
        <v>2588235720.52</v>
      </c>
      <c r="Z34" s="233">
        <v>2191662961.8800001</v>
      </c>
      <c r="AA34" s="233">
        <v>2143992885.3800001</v>
      </c>
      <c r="AB34" s="233">
        <v>2041440639.3800001</v>
      </c>
    </row>
    <row r="35" spans="1:28" ht="15" customHeight="1" x14ac:dyDescent="0.25">
      <c r="A35" s="230" t="s">
        <v>261</v>
      </c>
      <c r="B35" s="231" t="s">
        <v>262</v>
      </c>
      <c r="C35" s="232" t="s">
        <v>458</v>
      </c>
      <c r="D35" s="230" t="s">
        <v>22</v>
      </c>
      <c r="E35" s="230" t="s">
        <v>289</v>
      </c>
      <c r="F35" s="230" t="s">
        <v>290</v>
      </c>
      <c r="G35" s="230" t="s">
        <v>293</v>
      </c>
      <c r="H35" s="230" t="s">
        <v>445</v>
      </c>
      <c r="I35" s="230" t="s">
        <v>459</v>
      </c>
      <c r="J35" s="230" t="s">
        <v>269</v>
      </c>
      <c r="K35" s="230"/>
      <c r="L35" s="230"/>
      <c r="M35" s="230" t="s">
        <v>273</v>
      </c>
      <c r="N35" s="230" t="s">
        <v>34</v>
      </c>
      <c r="O35" s="230" t="s">
        <v>267</v>
      </c>
      <c r="P35" s="231" t="s">
        <v>108</v>
      </c>
      <c r="Q35" s="231" t="s">
        <v>460</v>
      </c>
      <c r="R35" s="233">
        <v>5274626556</v>
      </c>
      <c r="S35" s="233">
        <v>0</v>
      </c>
      <c r="T35" s="233">
        <v>571466884</v>
      </c>
      <c r="U35" s="233">
        <v>4703159672</v>
      </c>
      <c r="V35" s="233">
        <v>0</v>
      </c>
      <c r="W35" s="233">
        <v>3968264664.7399998</v>
      </c>
      <c r="X35" s="233">
        <v>734895007.25999999</v>
      </c>
      <c r="Y35" s="233">
        <v>3769474484.7399998</v>
      </c>
      <c r="Z35" s="233">
        <v>2435105364.3800001</v>
      </c>
      <c r="AA35" s="233">
        <v>2420977278.3800001</v>
      </c>
      <c r="AB35" s="233">
        <v>2420977278.3800001</v>
      </c>
    </row>
    <row r="36" spans="1:28" ht="15" customHeight="1" x14ac:dyDescent="0.25">
      <c r="A36" s="230" t="s">
        <v>261</v>
      </c>
      <c r="B36" s="231" t="s">
        <v>262</v>
      </c>
      <c r="C36" s="232" t="s">
        <v>461</v>
      </c>
      <c r="D36" s="230" t="s">
        <v>22</v>
      </c>
      <c r="E36" s="230" t="s">
        <v>298</v>
      </c>
      <c r="F36" s="230" t="s">
        <v>290</v>
      </c>
      <c r="G36" s="230" t="s">
        <v>296</v>
      </c>
      <c r="H36" s="230" t="s">
        <v>445</v>
      </c>
      <c r="I36" s="230" t="s">
        <v>462</v>
      </c>
      <c r="J36" s="230" t="s">
        <v>269</v>
      </c>
      <c r="K36" s="230"/>
      <c r="L36" s="230"/>
      <c r="M36" s="230" t="s">
        <v>266</v>
      </c>
      <c r="N36" s="230" t="s">
        <v>32</v>
      </c>
      <c r="O36" s="230" t="s">
        <v>267</v>
      </c>
      <c r="P36" s="231" t="s">
        <v>115</v>
      </c>
      <c r="Q36" s="231" t="s">
        <v>457</v>
      </c>
      <c r="R36" s="233">
        <v>10157357263</v>
      </c>
      <c r="S36" s="233">
        <v>0</v>
      </c>
      <c r="T36" s="233">
        <v>0</v>
      </c>
      <c r="U36" s="233">
        <v>10157357263</v>
      </c>
      <c r="V36" s="233">
        <v>0</v>
      </c>
      <c r="W36" s="233">
        <v>9778242553</v>
      </c>
      <c r="X36" s="233">
        <v>379114710</v>
      </c>
      <c r="Y36" s="233">
        <v>9082194681.0300007</v>
      </c>
      <c r="Z36" s="233">
        <v>7274335526.9899998</v>
      </c>
      <c r="AA36" s="233">
        <v>7171947185.9899998</v>
      </c>
      <c r="AB36" s="233">
        <v>7147035784.9899998</v>
      </c>
    </row>
    <row r="37" spans="1:28" ht="15" customHeight="1" x14ac:dyDescent="0.25">
      <c r="A37" s="230" t="s">
        <v>261</v>
      </c>
      <c r="B37" s="231" t="s">
        <v>262</v>
      </c>
      <c r="C37" s="232" t="s">
        <v>461</v>
      </c>
      <c r="D37" s="230" t="s">
        <v>22</v>
      </c>
      <c r="E37" s="230" t="s">
        <v>298</v>
      </c>
      <c r="F37" s="230" t="s">
        <v>290</v>
      </c>
      <c r="G37" s="230" t="s">
        <v>296</v>
      </c>
      <c r="H37" s="230" t="s">
        <v>445</v>
      </c>
      <c r="I37" s="230" t="s">
        <v>462</v>
      </c>
      <c r="J37" s="230" t="s">
        <v>269</v>
      </c>
      <c r="K37" s="230"/>
      <c r="L37" s="230"/>
      <c r="M37" s="230" t="s">
        <v>273</v>
      </c>
      <c r="N37" s="230" t="s">
        <v>34</v>
      </c>
      <c r="O37" s="230" t="s">
        <v>267</v>
      </c>
      <c r="P37" s="231" t="s">
        <v>115</v>
      </c>
      <c r="Q37" s="231" t="s">
        <v>457</v>
      </c>
      <c r="R37" s="233">
        <v>26375027467</v>
      </c>
      <c r="S37" s="233">
        <v>10000000</v>
      </c>
      <c r="T37" s="233">
        <v>669600617</v>
      </c>
      <c r="U37" s="233">
        <v>25715426850</v>
      </c>
      <c r="V37" s="233">
        <v>0</v>
      </c>
      <c r="W37" s="233">
        <v>16360708473.98</v>
      </c>
      <c r="X37" s="233">
        <v>9354718376.0200005</v>
      </c>
      <c r="Y37" s="233">
        <v>13539704943.780001</v>
      </c>
      <c r="Z37" s="233">
        <v>9646186588.6800003</v>
      </c>
      <c r="AA37" s="233">
        <v>9492481619.6800003</v>
      </c>
      <c r="AB37" s="233">
        <v>9492481619.6800003</v>
      </c>
    </row>
    <row r="38" spans="1:28" ht="15" customHeight="1" x14ac:dyDescent="0.25">
      <c r="A38" s="230" t="s">
        <v>261</v>
      </c>
      <c r="B38" s="231" t="s">
        <v>262</v>
      </c>
      <c r="C38" s="232" t="s">
        <v>553</v>
      </c>
      <c r="D38" s="230" t="s">
        <v>22</v>
      </c>
      <c r="E38" s="230" t="s">
        <v>289</v>
      </c>
      <c r="F38" s="230" t="s">
        <v>290</v>
      </c>
      <c r="G38" s="230" t="s">
        <v>291</v>
      </c>
      <c r="H38" s="230" t="s">
        <v>445</v>
      </c>
      <c r="I38" s="230" t="s">
        <v>554</v>
      </c>
      <c r="J38" s="230" t="s">
        <v>269</v>
      </c>
      <c r="K38" s="230"/>
      <c r="L38" s="230"/>
      <c r="M38" s="230" t="s">
        <v>266</v>
      </c>
      <c r="N38" s="230" t="s">
        <v>32</v>
      </c>
      <c r="O38" s="230" t="s">
        <v>267</v>
      </c>
      <c r="P38" s="231" t="s">
        <v>170</v>
      </c>
      <c r="Q38" s="231" t="s">
        <v>447</v>
      </c>
      <c r="R38" s="233">
        <v>136416920</v>
      </c>
      <c r="S38" s="233">
        <v>0</v>
      </c>
      <c r="T38" s="233">
        <v>0</v>
      </c>
      <c r="U38" s="233">
        <v>136416920</v>
      </c>
      <c r="V38" s="233">
        <v>0</v>
      </c>
      <c r="W38" s="233">
        <v>136416920</v>
      </c>
      <c r="X38" s="233">
        <v>0</v>
      </c>
      <c r="Y38" s="233">
        <v>136157166</v>
      </c>
      <c r="Z38" s="233">
        <v>103885061</v>
      </c>
      <c r="AA38" s="233">
        <v>103885061</v>
      </c>
      <c r="AB38" s="233">
        <v>95059721</v>
      </c>
    </row>
    <row r="39" spans="1:28" ht="15" customHeight="1" x14ac:dyDescent="0.25">
      <c r="A39" s="230" t="s">
        <v>261</v>
      </c>
      <c r="B39" s="231" t="s">
        <v>262</v>
      </c>
      <c r="C39" s="232" t="s">
        <v>553</v>
      </c>
      <c r="D39" s="230" t="s">
        <v>22</v>
      </c>
      <c r="E39" s="230" t="s">
        <v>289</v>
      </c>
      <c r="F39" s="230" t="s">
        <v>290</v>
      </c>
      <c r="G39" s="230" t="s">
        <v>291</v>
      </c>
      <c r="H39" s="230" t="s">
        <v>445</v>
      </c>
      <c r="I39" s="230" t="s">
        <v>554</v>
      </c>
      <c r="J39" s="230" t="s">
        <v>269</v>
      </c>
      <c r="K39" s="230"/>
      <c r="L39" s="230"/>
      <c r="M39" s="230" t="s">
        <v>273</v>
      </c>
      <c r="N39" s="230" t="s">
        <v>34</v>
      </c>
      <c r="O39" s="230" t="s">
        <v>267</v>
      </c>
      <c r="P39" s="231" t="s">
        <v>170</v>
      </c>
      <c r="Q39" s="231" t="s">
        <v>447</v>
      </c>
      <c r="R39" s="233">
        <v>623729205</v>
      </c>
      <c r="S39" s="233">
        <v>0</v>
      </c>
      <c r="T39" s="233">
        <v>74243100</v>
      </c>
      <c r="U39" s="233">
        <v>549486105</v>
      </c>
      <c r="V39" s="233">
        <v>0</v>
      </c>
      <c r="W39" s="233">
        <v>530067500</v>
      </c>
      <c r="X39" s="233">
        <v>19418605</v>
      </c>
      <c r="Y39" s="233">
        <v>530067500</v>
      </c>
      <c r="Z39" s="233">
        <v>473802740</v>
      </c>
      <c r="AA39" s="233">
        <v>473802740</v>
      </c>
      <c r="AB39" s="233">
        <v>473802740</v>
      </c>
    </row>
    <row r="40" spans="1:28" ht="15" customHeight="1" x14ac:dyDescent="0.25">
      <c r="A40" s="230" t="s">
        <v>261</v>
      </c>
      <c r="B40" s="231" t="s">
        <v>262</v>
      </c>
      <c r="C40" s="232" t="s">
        <v>555</v>
      </c>
      <c r="D40" s="230" t="s">
        <v>22</v>
      </c>
      <c r="E40" s="230" t="s">
        <v>289</v>
      </c>
      <c r="F40" s="230" t="s">
        <v>290</v>
      </c>
      <c r="G40" s="230" t="s">
        <v>293</v>
      </c>
      <c r="H40" s="230" t="s">
        <v>445</v>
      </c>
      <c r="I40" s="230" t="s">
        <v>554</v>
      </c>
      <c r="J40" s="230" t="s">
        <v>269</v>
      </c>
      <c r="K40" s="230"/>
      <c r="L40" s="230"/>
      <c r="M40" s="230" t="s">
        <v>266</v>
      </c>
      <c r="N40" s="230" t="s">
        <v>32</v>
      </c>
      <c r="O40" s="230" t="s">
        <v>267</v>
      </c>
      <c r="P40" s="231" t="s">
        <v>170</v>
      </c>
      <c r="Q40" s="231" t="s">
        <v>460</v>
      </c>
      <c r="R40" s="233">
        <v>131121612</v>
      </c>
      <c r="S40" s="233">
        <v>0</v>
      </c>
      <c r="T40" s="233">
        <v>85591209</v>
      </c>
      <c r="U40" s="233">
        <v>45530403</v>
      </c>
      <c r="V40" s="233">
        <v>0</v>
      </c>
      <c r="W40" s="233">
        <v>45530403</v>
      </c>
      <c r="X40" s="233">
        <v>0</v>
      </c>
      <c r="Y40" s="233">
        <v>45530403</v>
      </c>
      <c r="Z40" s="233">
        <v>23293342</v>
      </c>
      <c r="AA40" s="233">
        <v>23293342</v>
      </c>
      <c r="AB40" s="233">
        <v>20621859</v>
      </c>
    </row>
    <row r="41" spans="1:28" ht="15" customHeight="1" x14ac:dyDescent="0.25">
      <c r="A41" s="230" t="s">
        <v>261</v>
      </c>
      <c r="B41" s="231" t="s">
        <v>262</v>
      </c>
      <c r="C41" s="232" t="s">
        <v>555</v>
      </c>
      <c r="D41" s="230" t="s">
        <v>22</v>
      </c>
      <c r="E41" s="230" t="s">
        <v>289</v>
      </c>
      <c r="F41" s="230" t="s">
        <v>290</v>
      </c>
      <c r="G41" s="230" t="s">
        <v>293</v>
      </c>
      <c r="H41" s="230" t="s">
        <v>445</v>
      </c>
      <c r="I41" s="230" t="s">
        <v>554</v>
      </c>
      <c r="J41" s="230" t="s">
        <v>269</v>
      </c>
      <c r="K41" s="230"/>
      <c r="L41" s="230"/>
      <c r="M41" s="230" t="s">
        <v>273</v>
      </c>
      <c r="N41" s="230" t="s">
        <v>34</v>
      </c>
      <c r="O41" s="230" t="s">
        <v>267</v>
      </c>
      <c r="P41" s="231" t="s">
        <v>170</v>
      </c>
      <c r="Q41" s="231" t="s">
        <v>460</v>
      </c>
      <c r="R41" s="233">
        <v>127354183</v>
      </c>
      <c r="S41" s="233">
        <v>0</v>
      </c>
      <c r="T41" s="233">
        <v>3750102</v>
      </c>
      <c r="U41" s="233">
        <v>123604081</v>
      </c>
      <c r="V41" s="233">
        <v>0</v>
      </c>
      <c r="W41" s="233">
        <v>121795014</v>
      </c>
      <c r="X41" s="233">
        <v>1809067</v>
      </c>
      <c r="Y41" s="233">
        <v>121795014</v>
      </c>
      <c r="Z41" s="233">
        <v>93488115</v>
      </c>
      <c r="AA41" s="233">
        <v>93488115</v>
      </c>
      <c r="AB41" s="233">
        <v>90816632</v>
      </c>
    </row>
    <row r="42" spans="1:28" ht="15" customHeight="1" x14ac:dyDescent="0.25">
      <c r="A42" s="230" t="s">
        <v>261</v>
      </c>
      <c r="B42" s="231" t="s">
        <v>262</v>
      </c>
      <c r="C42" s="232" t="s">
        <v>463</v>
      </c>
      <c r="D42" s="230" t="s">
        <v>22</v>
      </c>
      <c r="E42" s="230" t="s">
        <v>289</v>
      </c>
      <c r="F42" s="230" t="s">
        <v>290</v>
      </c>
      <c r="G42" s="230" t="s">
        <v>293</v>
      </c>
      <c r="H42" s="230" t="s">
        <v>445</v>
      </c>
      <c r="I42" s="230" t="s">
        <v>464</v>
      </c>
      <c r="J42" s="230" t="s">
        <v>269</v>
      </c>
      <c r="K42" s="230"/>
      <c r="L42" s="230"/>
      <c r="M42" s="230" t="s">
        <v>266</v>
      </c>
      <c r="N42" s="230" t="s">
        <v>32</v>
      </c>
      <c r="O42" s="230" t="s">
        <v>267</v>
      </c>
      <c r="P42" s="231" t="s">
        <v>120</v>
      </c>
      <c r="Q42" s="231" t="s">
        <v>460</v>
      </c>
      <c r="R42" s="233">
        <v>1105367265</v>
      </c>
      <c r="S42" s="233">
        <v>15000000</v>
      </c>
      <c r="T42" s="233">
        <v>0</v>
      </c>
      <c r="U42" s="233">
        <v>1120367265</v>
      </c>
      <c r="V42" s="233">
        <v>0</v>
      </c>
      <c r="W42" s="233">
        <v>1120367264.7</v>
      </c>
      <c r="X42" s="233">
        <v>0.3</v>
      </c>
      <c r="Y42" s="233">
        <v>1111012730.7</v>
      </c>
      <c r="Z42" s="233">
        <v>1015915875.7</v>
      </c>
      <c r="AA42" s="233">
        <v>997986636.70000005</v>
      </c>
      <c r="AB42" s="233">
        <v>946315968.70000005</v>
      </c>
    </row>
    <row r="43" spans="1:28" ht="15" customHeight="1" x14ac:dyDescent="0.25">
      <c r="A43" s="230" t="s">
        <v>261</v>
      </c>
      <c r="B43" s="231" t="s">
        <v>262</v>
      </c>
      <c r="C43" s="232" t="s">
        <v>463</v>
      </c>
      <c r="D43" s="230" t="s">
        <v>22</v>
      </c>
      <c r="E43" s="230" t="s">
        <v>289</v>
      </c>
      <c r="F43" s="230" t="s">
        <v>290</v>
      </c>
      <c r="G43" s="230" t="s">
        <v>293</v>
      </c>
      <c r="H43" s="230" t="s">
        <v>445</v>
      </c>
      <c r="I43" s="230" t="s">
        <v>464</v>
      </c>
      <c r="J43" s="230" t="s">
        <v>269</v>
      </c>
      <c r="K43" s="230"/>
      <c r="L43" s="230"/>
      <c r="M43" s="230" t="s">
        <v>273</v>
      </c>
      <c r="N43" s="230" t="s">
        <v>34</v>
      </c>
      <c r="O43" s="230" t="s">
        <v>267</v>
      </c>
      <c r="P43" s="231" t="s">
        <v>120</v>
      </c>
      <c r="Q43" s="231" t="s">
        <v>460</v>
      </c>
      <c r="R43" s="233">
        <v>588783521</v>
      </c>
      <c r="S43" s="233">
        <v>575216986</v>
      </c>
      <c r="T43" s="233">
        <v>0</v>
      </c>
      <c r="U43" s="233">
        <v>1164000507</v>
      </c>
      <c r="V43" s="233">
        <v>0</v>
      </c>
      <c r="W43" s="233">
        <v>984147955.41999996</v>
      </c>
      <c r="X43" s="233">
        <v>179852551.58000001</v>
      </c>
      <c r="Y43" s="233">
        <v>787659579.41999996</v>
      </c>
      <c r="Z43" s="233">
        <v>739854396.41999996</v>
      </c>
      <c r="AA43" s="233">
        <v>388818396.42000002</v>
      </c>
      <c r="AB43" s="233">
        <v>388818396.42000002</v>
      </c>
    </row>
    <row r="44" spans="1:28" ht="15" customHeight="1" x14ac:dyDescent="0.25">
      <c r="A44" s="230" t="s">
        <v>261</v>
      </c>
      <c r="B44" s="231" t="s">
        <v>262</v>
      </c>
      <c r="C44" s="232" t="s">
        <v>556</v>
      </c>
      <c r="D44" s="230" t="s">
        <v>22</v>
      </c>
      <c r="E44" s="230" t="s">
        <v>303</v>
      </c>
      <c r="F44" s="230" t="s">
        <v>290</v>
      </c>
      <c r="G44" s="230" t="s">
        <v>293</v>
      </c>
      <c r="H44" s="230" t="s">
        <v>445</v>
      </c>
      <c r="I44" s="230" t="s">
        <v>557</v>
      </c>
      <c r="J44" s="230" t="s">
        <v>269</v>
      </c>
      <c r="K44" s="230"/>
      <c r="L44" s="230"/>
      <c r="M44" s="230" t="s">
        <v>266</v>
      </c>
      <c r="N44" s="230" t="s">
        <v>32</v>
      </c>
      <c r="O44" s="230" t="s">
        <v>267</v>
      </c>
      <c r="P44" s="231" t="s">
        <v>177</v>
      </c>
      <c r="Q44" s="231" t="s">
        <v>528</v>
      </c>
      <c r="R44" s="233">
        <v>54006100</v>
      </c>
      <c r="S44" s="233">
        <v>0</v>
      </c>
      <c r="T44" s="233">
        <v>0</v>
      </c>
      <c r="U44" s="233">
        <v>54006100</v>
      </c>
      <c r="V44" s="233">
        <v>0</v>
      </c>
      <c r="W44" s="233">
        <v>28778040</v>
      </c>
      <c r="X44" s="233">
        <v>25228060</v>
      </c>
      <c r="Y44" s="233">
        <v>23214645</v>
      </c>
      <c r="Z44" s="233">
        <v>11334213</v>
      </c>
      <c r="AA44" s="233">
        <v>11334213</v>
      </c>
      <c r="AB44" s="233">
        <v>11334213</v>
      </c>
    </row>
    <row r="45" spans="1:28" ht="15" customHeight="1" x14ac:dyDescent="0.25">
      <c r="A45" s="230" t="s">
        <v>261</v>
      </c>
      <c r="B45" s="231" t="s">
        <v>262</v>
      </c>
      <c r="C45" s="232" t="s">
        <v>556</v>
      </c>
      <c r="D45" s="230" t="s">
        <v>22</v>
      </c>
      <c r="E45" s="230" t="s">
        <v>303</v>
      </c>
      <c r="F45" s="230" t="s">
        <v>290</v>
      </c>
      <c r="G45" s="230" t="s">
        <v>293</v>
      </c>
      <c r="H45" s="230" t="s">
        <v>445</v>
      </c>
      <c r="I45" s="230" t="s">
        <v>557</v>
      </c>
      <c r="J45" s="230" t="s">
        <v>269</v>
      </c>
      <c r="K45" s="230"/>
      <c r="L45" s="230"/>
      <c r="M45" s="230" t="s">
        <v>273</v>
      </c>
      <c r="N45" s="230" t="s">
        <v>34</v>
      </c>
      <c r="O45" s="230" t="s">
        <v>267</v>
      </c>
      <c r="P45" s="231" t="s">
        <v>177</v>
      </c>
      <c r="Q45" s="231" t="s">
        <v>528</v>
      </c>
      <c r="R45" s="233">
        <v>750353080</v>
      </c>
      <c r="S45" s="233">
        <v>44507276</v>
      </c>
      <c r="T45" s="233">
        <v>0</v>
      </c>
      <c r="U45" s="233">
        <v>794860356</v>
      </c>
      <c r="V45" s="233">
        <v>0</v>
      </c>
      <c r="W45" s="233">
        <v>770719378</v>
      </c>
      <c r="X45" s="233">
        <v>24140978</v>
      </c>
      <c r="Y45" s="233">
        <v>763096798</v>
      </c>
      <c r="Z45" s="233">
        <v>663065159</v>
      </c>
      <c r="AA45" s="233">
        <v>640902974</v>
      </c>
      <c r="AB45" s="233">
        <v>640902974</v>
      </c>
    </row>
    <row r="46" spans="1:28" ht="15" customHeight="1" x14ac:dyDescent="0.25">
      <c r="A46" s="230" t="s">
        <v>261</v>
      </c>
      <c r="B46" s="231" t="s">
        <v>262</v>
      </c>
      <c r="C46" s="232" t="s">
        <v>558</v>
      </c>
      <c r="D46" s="230" t="s">
        <v>22</v>
      </c>
      <c r="E46" s="230" t="s">
        <v>303</v>
      </c>
      <c r="F46" s="230" t="s">
        <v>290</v>
      </c>
      <c r="G46" s="230" t="s">
        <v>291</v>
      </c>
      <c r="H46" s="230" t="s">
        <v>445</v>
      </c>
      <c r="I46" s="230" t="s">
        <v>557</v>
      </c>
      <c r="J46" s="230" t="s">
        <v>269</v>
      </c>
      <c r="K46" s="230"/>
      <c r="L46" s="230"/>
      <c r="M46" s="230" t="s">
        <v>266</v>
      </c>
      <c r="N46" s="230" t="s">
        <v>32</v>
      </c>
      <c r="O46" s="230" t="s">
        <v>267</v>
      </c>
      <c r="P46" s="231" t="s">
        <v>177</v>
      </c>
      <c r="Q46" s="231" t="s">
        <v>547</v>
      </c>
      <c r="R46" s="233">
        <v>74995618</v>
      </c>
      <c r="S46" s="233">
        <v>4542135</v>
      </c>
      <c r="T46" s="233">
        <v>0</v>
      </c>
      <c r="U46" s="233">
        <v>79537753</v>
      </c>
      <c r="V46" s="233">
        <v>0</v>
      </c>
      <c r="W46" s="233">
        <v>78445682</v>
      </c>
      <c r="X46" s="233">
        <v>1092071</v>
      </c>
      <c r="Y46" s="233">
        <v>78445682</v>
      </c>
      <c r="Z46" s="233">
        <v>53926986</v>
      </c>
      <c r="AA46" s="233">
        <v>50286750</v>
      </c>
      <c r="AB46" s="233">
        <v>50286750</v>
      </c>
    </row>
    <row r="47" spans="1:28" ht="15" customHeight="1" x14ac:dyDescent="0.25">
      <c r="A47" s="230" t="s">
        <v>261</v>
      </c>
      <c r="B47" s="231" t="s">
        <v>262</v>
      </c>
      <c r="C47" s="232" t="s">
        <v>465</v>
      </c>
      <c r="D47" s="230" t="s">
        <v>22</v>
      </c>
      <c r="E47" s="230" t="s">
        <v>303</v>
      </c>
      <c r="F47" s="230" t="s">
        <v>290</v>
      </c>
      <c r="G47" s="230" t="s">
        <v>304</v>
      </c>
      <c r="H47" s="230" t="s">
        <v>445</v>
      </c>
      <c r="I47" s="230" t="s">
        <v>466</v>
      </c>
      <c r="J47" s="230" t="s">
        <v>269</v>
      </c>
      <c r="K47" s="230"/>
      <c r="L47" s="230"/>
      <c r="M47" s="230" t="s">
        <v>266</v>
      </c>
      <c r="N47" s="230" t="s">
        <v>32</v>
      </c>
      <c r="O47" s="230" t="s">
        <v>267</v>
      </c>
      <c r="P47" s="231" t="s">
        <v>124</v>
      </c>
      <c r="Q47" s="231" t="s">
        <v>467</v>
      </c>
      <c r="R47" s="233">
        <v>1941191365</v>
      </c>
      <c r="S47" s="233">
        <v>9100000</v>
      </c>
      <c r="T47" s="233">
        <v>63540491</v>
      </c>
      <c r="U47" s="233">
        <v>1886750874</v>
      </c>
      <c r="V47" s="233">
        <v>0</v>
      </c>
      <c r="W47" s="233">
        <v>1820563912.72</v>
      </c>
      <c r="X47" s="233">
        <v>66186961.280000001</v>
      </c>
      <c r="Y47" s="233">
        <v>1800891777.76</v>
      </c>
      <c r="Z47" s="233">
        <v>1443561387.24</v>
      </c>
      <c r="AA47" s="233">
        <v>1381359960.24</v>
      </c>
      <c r="AB47" s="233">
        <v>1374992330.24</v>
      </c>
    </row>
    <row r="48" spans="1:28" ht="15" customHeight="1" x14ac:dyDescent="0.25">
      <c r="A48" s="230" t="s">
        <v>261</v>
      </c>
      <c r="B48" s="231" t="s">
        <v>262</v>
      </c>
      <c r="C48" s="232" t="s">
        <v>465</v>
      </c>
      <c r="D48" s="230" t="s">
        <v>22</v>
      </c>
      <c r="E48" s="230" t="s">
        <v>303</v>
      </c>
      <c r="F48" s="230" t="s">
        <v>290</v>
      </c>
      <c r="G48" s="230" t="s">
        <v>304</v>
      </c>
      <c r="H48" s="230" t="s">
        <v>445</v>
      </c>
      <c r="I48" s="230" t="s">
        <v>466</v>
      </c>
      <c r="J48" s="230" t="s">
        <v>269</v>
      </c>
      <c r="K48" s="230"/>
      <c r="L48" s="230"/>
      <c r="M48" s="230" t="s">
        <v>273</v>
      </c>
      <c r="N48" s="230" t="s">
        <v>34</v>
      </c>
      <c r="O48" s="230" t="s">
        <v>267</v>
      </c>
      <c r="P48" s="231" t="s">
        <v>124</v>
      </c>
      <c r="Q48" s="231" t="s">
        <v>467</v>
      </c>
      <c r="R48" s="233">
        <v>1975710478</v>
      </c>
      <c r="S48" s="233">
        <v>71646848</v>
      </c>
      <c r="T48" s="233">
        <v>0</v>
      </c>
      <c r="U48" s="233">
        <v>2047357326</v>
      </c>
      <c r="V48" s="233">
        <v>0</v>
      </c>
      <c r="W48" s="233">
        <v>1875928548</v>
      </c>
      <c r="X48" s="233">
        <v>171428778</v>
      </c>
      <c r="Y48" s="233">
        <v>1875928548</v>
      </c>
      <c r="Z48" s="233">
        <v>1704774055</v>
      </c>
      <c r="AA48" s="233">
        <v>1628631274</v>
      </c>
      <c r="AB48" s="233">
        <v>1628631274</v>
      </c>
    </row>
    <row r="49" spans="1:28" ht="15" customHeight="1" x14ac:dyDescent="0.25">
      <c r="A49" s="230" t="s">
        <v>261</v>
      </c>
      <c r="B49" s="231" t="s">
        <v>262</v>
      </c>
      <c r="C49" s="232" t="s">
        <v>559</v>
      </c>
      <c r="D49" s="230" t="s">
        <v>22</v>
      </c>
      <c r="E49" s="230" t="s">
        <v>298</v>
      </c>
      <c r="F49" s="230" t="s">
        <v>290</v>
      </c>
      <c r="G49" s="230" t="s">
        <v>296</v>
      </c>
      <c r="H49" s="230" t="s">
        <v>445</v>
      </c>
      <c r="I49" s="230" t="s">
        <v>462</v>
      </c>
      <c r="J49" s="230" t="s">
        <v>560</v>
      </c>
      <c r="K49" s="230" t="s">
        <v>230</v>
      </c>
      <c r="L49" s="230" t="s">
        <v>230</v>
      </c>
      <c r="M49" s="230" t="s">
        <v>266</v>
      </c>
      <c r="N49" s="230" t="s">
        <v>33</v>
      </c>
      <c r="O49" s="230" t="s">
        <v>267</v>
      </c>
      <c r="P49" s="231" t="s">
        <v>561</v>
      </c>
      <c r="Q49" s="231"/>
      <c r="R49" s="233">
        <v>777348630</v>
      </c>
      <c r="S49" s="233">
        <v>0</v>
      </c>
      <c r="T49" s="233">
        <v>0</v>
      </c>
      <c r="U49" s="233">
        <v>777348630</v>
      </c>
      <c r="V49" s="233">
        <v>0</v>
      </c>
      <c r="W49" s="233">
        <v>592919661</v>
      </c>
      <c r="X49" s="233">
        <v>184428969</v>
      </c>
      <c r="Y49" s="233">
        <v>229798185</v>
      </c>
      <c r="Z49" s="233">
        <v>141989262</v>
      </c>
      <c r="AA49" s="233">
        <v>141989262</v>
      </c>
      <c r="AB49" s="233">
        <v>141989262</v>
      </c>
    </row>
    <row r="50" spans="1:28" ht="15" customHeight="1" x14ac:dyDescent="0.25">
      <c r="A50" s="230" t="s">
        <v>261</v>
      </c>
      <c r="B50" s="231" t="s">
        <v>262</v>
      </c>
      <c r="C50" s="232" t="s">
        <v>562</v>
      </c>
      <c r="D50" s="230" t="s">
        <v>22</v>
      </c>
      <c r="E50" s="230" t="s">
        <v>298</v>
      </c>
      <c r="F50" s="230" t="s">
        <v>290</v>
      </c>
      <c r="G50" s="230" t="s">
        <v>296</v>
      </c>
      <c r="H50" s="230" t="s">
        <v>445</v>
      </c>
      <c r="I50" s="230" t="s">
        <v>462</v>
      </c>
      <c r="J50" s="230" t="s">
        <v>563</v>
      </c>
      <c r="K50" s="230" t="s">
        <v>230</v>
      </c>
      <c r="L50" s="230" t="s">
        <v>230</v>
      </c>
      <c r="M50" s="230" t="s">
        <v>266</v>
      </c>
      <c r="N50" s="230" t="s">
        <v>33</v>
      </c>
      <c r="O50" s="230" t="s">
        <v>267</v>
      </c>
      <c r="P50" s="231" t="s">
        <v>564</v>
      </c>
      <c r="Q50" s="231"/>
      <c r="R50" s="233">
        <v>2592297648</v>
      </c>
      <c r="S50" s="233">
        <v>0</v>
      </c>
      <c r="T50" s="233">
        <v>0</v>
      </c>
      <c r="U50" s="233">
        <v>2592297648</v>
      </c>
      <c r="V50" s="233">
        <v>0</v>
      </c>
      <c r="W50" s="233">
        <v>1213669335</v>
      </c>
      <c r="X50" s="233">
        <v>1378628313</v>
      </c>
      <c r="Y50" s="233">
        <v>696156242</v>
      </c>
      <c r="Z50" s="233">
        <v>442448208.58999997</v>
      </c>
      <c r="AA50" s="233">
        <v>425032256.58999997</v>
      </c>
      <c r="AB50" s="233">
        <v>425032256.58999997</v>
      </c>
    </row>
    <row r="51" spans="1:28" ht="15" customHeight="1" x14ac:dyDescent="0.25">
      <c r="A51" s="230" t="s">
        <v>261</v>
      </c>
      <c r="B51" s="231" t="s">
        <v>262</v>
      </c>
      <c r="C51" s="232" t="s">
        <v>565</v>
      </c>
      <c r="D51" s="230" t="s">
        <v>22</v>
      </c>
      <c r="E51" s="230" t="s">
        <v>298</v>
      </c>
      <c r="F51" s="230" t="s">
        <v>290</v>
      </c>
      <c r="G51" s="230" t="s">
        <v>296</v>
      </c>
      <c r="H51" s="230" t="s">
        <v>445</v>
      </c>
      <c r="I51" s="230" t="s">
        <v>462</v>
      </c>
      <c r="J51" s="230" t="s">
        <v>566</v>
      </c>
      <c r="K51" s="230" t="s">
        <v>230</v>
      </c>
      <c r="L51" s="230" t="s">
        <v>230</v>
      </c>
      <c r="M51" s="230" t="s">
        <v>266</v>
      </c>
      <c r="N51" s="230" t="s">
        <v>33</v>
      </c>
      <c r="O51" s="230" t="s">
        <v>267</v>
      </c>
      <c r="P51" s="231" t="s">
        <v>564</v>
      </c>
      <c r="Q51" s="231"/>
      <c r="R51" s="233">
        <v>1145000000</v>
      </c>
      <c r="S51" s="233">
        <v>0</v>
      </c>
      <c r="T51" s="233">
        <v>0</v>
      </c>
      <c r="U51" s="233">
        <v>1145000000</v>
      </c>
      <c r="V51" s="233">
        <v>0</v>
      </c>
      <c r="W51" s="233">
        <v>629135292.17999995</v>
      </c>
      <c r="X51" s="233">
        <v>515864707.81999999</v>
      </c>
      <c r="Y51" s="233">
        <v>140040684</v>
      </c>
      <c r="Z51" s="233">
        <v>109365106</v>
      </c>
      <c r="AA51" s="233">
        <v>109365106</v>
      </c>
      <c r="AB51" s="233">
        <v>109365106</v>
      </c>
    </row>
    <row r="52" spans="1:28" ht="15" customHeight="1" x14ac:dyDescent="0.25">
      <c r="A52" s="230" t="s">
        <v>261</v>
      </c>
      <c r="B52" s="231" t="s">
        <v>262</v>
      </c>
      <c r="C52" s="232" t="s">
        <v>567</v>
      </c>
      <c r="D52" s="230" t="s">
        <v>22</v>
      </c>
      <c r="E52" s="230" t="s">
        <v>298</v>
      </c>
      <c r="F52" s="230" t="s">
        <v>290</v>
      </c>
      <c r="G52" s="230" t="s">
        <v>296</v>
      </c>
      <c r="H52" s="230" t="s">
        <v>445</v>
      </c>
      <c r="I52" s="230" t="s">
        <v>462</v>
      </c>
      <c r="J52" s="230" t="s">
        <v>568</v>
      </c>
      <c r="K52" s="230" t="s">
        <v>230</v>
      </c>
      <c r="L52" s="230" t="s">
        <v>230</v>
      </c>
      <c r="M52" s="230" t="s">
        <v>266</v>
      </c>
      <c r="N52" s="230" t="s">
        <v>33</v>
      </c>
      <c r="O52" s="230" t="s">
        <v>267</v>
      </c>
      <c r="P52" s="231" t="s">
        <v>561</v>
      </c>
      <c r="Q52" s="231"/>
      <c r="R52" s="233">
        <v>10915000000</v>
      </c>
      <c r="S52" s="233">
        <v>0</v>
      </c>
      <c r="T52" s="233">
        <v>0</v>
      </c>
      <c r="U52" s="233">
        <v>10915000000</v>
      </c>
      <c r="V52" s="233">
        <v>0</v>
      </c>
      <c r="W52" s="233">
        <v>1909977553</v>
      </c>
      <c r="X52" s="233">
        <v>9005022447</v>
      </c>
      <c r="Y52" s="233">
        <v>1146301179</v>
      </c>
      <c r="Z52" s="233">
        <v>931227686</v>
      </c>
      <c r="AA52" s="233">
        <v>916127132</v>
      </c>
      <c r="AB52" s="233">
        <v>916127132</v>
      </c>
    </row>
    <row r="53" spans="1:28" ht="15" customHeight="1" x14ac:dyDescent="0.25">
      <c r="A53" s="230" t="s">
        <v>261</v>
      </c>
      <c r="B53" s="231" t="s">
        <v>262</v>
      </c>
      <c r="C53" s="232" t="s">
        <v>569</v>
      </c>
      <c r="D53" s="230" t="s">
        <v>22</v>
      </c>
      <c r="E53" s="230" t="s">
        <v>298</v>
      </c>
      <c r="F53" s="230" t="s">
        <v>290</v>
      </c>
      <c r="G53" s="230" t="s">
        <v>296</v>
      </c>
      <c r="H53" s="230" t="s">
        <v>445</v>
      </c>
      <c r="I53" s="230" t="s">
        <v>462</v>
      </c>
      <c r="J53" s="230" t="s">
        <v>570</v>
      </c>
      <c r="K53" s="230" t="s">
        <v>230</v>
      </c>
      <c r="L53" s="230" t="s">
        <v>230</v>
      </c>
      <c r="M53" s="230" t="s">
        <v>266</v>
      </c>
      <c r="N53" s="230" t="s">
        <v>33</v>
      </c>
      <c r="O53" s="230" t="s">
        <v>267</v>
      </c>
      <c r="P53" s="231" t="s">
        <v>564</v>
      </c>
      <c r="Q53" s="231"/>
      <c r="R53" s="233">
        <v>20975000000</v>
      </c>
      <c r="S53" s="233">
        <v>0</v>
      </c>
      <c r="T53" s="233">
        <v>0</v>
      </c>
      <c r="U53" s="233">
        <v>20975000000</v>
      </c>
      <c r="V53" s="233">
        <v>0</v>
      </c>
      <c r="W53" s="233">
        <v>4281192526</v>
      </c>
      <c r="X53" s="233">
        <v>16693807474</v>
      </c>
      <c r="Y53" s="233">
        <v>1273843348</v>
      </c>
      <c r="Z53" s="233">
        <v>1191733348</v>
      </c>
      <c r="AA53" s="233">
        <v>1191733348</v>
      </c>
      <c r="AB53" s="233">
        <v>1191733348</v>
      </c>
    </row>
    <row r="54" spans="1:28" ht="15" customHeight="1" x14ac:dyDescent="0.25">
      <c r="A54" s="230" t="s">
        <v>261</v>
      </c>
      <c r="B54" s="231" t="s">
        <v>262</v>
      </c>
      <c r="C54" s="232" t="s">
        <v>571</v>
      </c>
      <c r="D54" s="230" t="s">
        <v>22</v>
      </c>
      <c r="E54" s="230" t="s">
        <v>298</v>
      </c>
      <c r="F54" s="230" t="s">
        <v>290</v>
      </c>
      <c r="G54" s="230" t="s">
        <v>296</v>
      </c>
      <c r="H54" s="230" t="s">
        <v>445</v>
      </c>
      <c r="I54" s="230" t="s">
        <v>462</v>
      </c>
      <c r="J54" s="230" t="s">
        <v>572</v>
      </c>
      <c r="K54" s="230" t="s">
        <v>230</v>
      </c>
      <c r="L54" s="230" t="s">
        <v>230</v>
      </c>
      <c r="M54" s="230" t="s">
        <v>266</v>
      </c>
      <c r="N54" s="230" t="s">
        <v>33</v>
      </c>
      <c r="O54" s="230" t="s">
        <v>267</v>
      </c>
      <c r="P54" s="231" t="s">
        <v>564</v>
      </c>
      <c r="Q54" s="231"/>
      <c r="R54" s="233">
        <v>1700000000</v>
      </c>
      <c r="S54" s="233">
        <v>0</v>
      </c>
      <c r="T54" s="233">
        <v>0</v>
      </c>
      <c r="U54" s="233">
        <v>1700000000</v>
      </c>
      <c r="V54" s="233">
        <v>0</v>
      </c>
      <c r="W54" s="233">
        <v>1460056558.6400001</v>
      </c>
      <c r="X54" s="233">
        <v>239943441.36000001</v>
      </c>
      <c r="Y54" s="233">
        <v>1314460936</v>
      </c>
      <c r="Z54" s="233">
        <v>943485803.40999997</v>
      </c>
      <c r="AA54" s="233">
        <v>943485803.40999997</v>
      </c>
      <c r="AB54" s="233">
        <v>943485803.40999997</v>
      </c>
    </row>
    <row r="55" spans="1:28" ht="15" customHeight="1" x14ac:dyDescent="0.25">
      <c r="A55" s="230" t="s">
        <v>261</v>
      </c>
      <c r="B55" s="231" t="s">
        <v>262</v>
      </c>
      <c r="C55" s="232" t="s">
        <v>573</v>
      </c>
      <c r="D55" s="230" t="s">
        <v>22</v>
      </c>
      <c r="E55" s="230" t="s">
        <v>298</v>
      </c>
      <c r="F55" s="230" t="s">
        <v>290</v>
      </c>
      <c r="G55" s="230" t="s">
        <v>296</v>
      </c>
      <c r="H55" s="230" t="s">
        <v>445</v>
      </c>
      <c r="I55" s="230" t="s">
        <v>462</v>
      </c>
      <c r="J55" s="230" t="s">
        <v>574</v>
      </c>
      <c r="K55" s="230" t="s">
        <v>230</v>
      </c>
      <c r="L55" s="230" t="s">
        <v>230</v>
      </c>
      <c r="M55" s="230" t="s">
        <v>266</v>
      </c>
      <c r="N55" s="230" t="s">
        <v>33</v>
      </c>
      <c r="O55" s="230" t="s">
        <v>267</v>
      </c>
      <c r="P55" s="231" t="s">
        <v>561</v>
      </c>
      <c r="Q55" s="231"/>
      <c r="R55" s="233">
        <v>40980812158</v>
      </c>
      <c r="S55" s="233">
        <v>0</v>
      </c>
      <c r="T55" s="233">
        <v>0</v>
      </c>
      <c r="U55" s="233">
        <v>40980812158</v>
      </c>
      <c r="V55" s="233">
        <v>0</v>
      </c>
      <c r="W55" s="233">
        <v>16430833144.030001</v>
      </c>
      <c r="X55" s="233">
        <v>24549979013.970001</v>
      </c>
      <c r="Y55" s="233">
        <v>11487403343.17</v>
      </c>
      <c r="Z55" s="233">
        <v>1469187820.95</v>
      </c>
      <c r="AA55" s="233">
        <v>1469187820.95</v>
      </c>
      <c r="AB55" s="233">
        <v>1469187820.95</v>
      </c>
    </row>
    <row r="56" spans="1:28" ht="15" customHeight="1" x14ac:dyDescent="0.25">
      <c r="A56" s="230" t="s">
        <v>261</v>
      </c>
      <c r="B56" s="231" t="s">
        <v>262</v>
      </c>
      <c r="C56" s="232" t="s">
        <v>575</v>
      </c>
      <c r="D56" s="230" t="s">
        <v>22</v>
      </c>
      <c r="E56" s="230" t="s">
        <v>298</v>
      </c>
      <c r="F56" s="230" t="s">
        <v>290</v>
      </c>
      <c r="G56" s="230" t="s">
        <v>296</v>
      </c>
      <c r="H56" s="230" t="s">
        <v>445</v>
      </c>
      <c r="I56" s="230" t="s">
        <v>462</v>
      </c>
      <c r="J56" s="230" t="s">
        <v>576</v>
      </c>
      <c r="K56" s="230" t="s">
        <v>230</v>
      </c>
      <c r="L56" s="230" t="s">
        <v>230</v>
      </c>
      <c r="M56" s="230" t="s">
        <v>266</v>
      </c>
      <c r="N56" s="230" t="s">
        <v>33</v>
      </c>
      <c r="O56" s="230" t="s">
        <v>267</v>
      </c>
      <c r="P56" s="231" t="s">
        <v>564</v>
      </c>
      <c r="Q56" s="231"/>
      <c r="R56" s="233">
        <v>55360538760</v>
      </c>
      <c r="S56" s="233">
        <v>0</v>
      </c>
      <c r="T56" s="233">
        <v>0</v>
      </c>
      <c r="U56" s="233">
        <v>55360538760</v>
      </c>
      <c r="V56" s="233">
        <v>0</v>
      </c>
      <c r="W56" s="233">
        <v>33932881737.169998</v>
      </c>
      <c r="X56" s="233">
        <v>21427657022.830002</v>
      </c>
      <c r="Y56" s="233">
        <v>13301308361.26</v>
      </c>
      <c r="Z56" s="233">
        <v>2276645051.0799999</v>
      </c>
      <c r="AA56" s="233">
        <v>2272412197.0799999</v>
      </c>
      <c r="AB56" s="233">
        <v>2272412197.0799999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baseColWidth="10" defaultColWidth="11" defaultRowHeight="15.75" x14ac:dyDescent="0.25"/>
  <sheetData>
    <row r="1" spans="1:20" ht="24" x14ac:dyDescent="0.25">
      <c r="A1" s="42" t="s">
        <v>235</v>
      </c>
      <c r="B1" s="42" t="s">
        <v>236</v>
      </c>
      <c r="C1" s="42" t="s">
        <v>237</v>
      </c>
      <c r="D1" s="42" t="s">
        <v>20</v>
      </c>
      <c r="E1" s="42" t="s">
        <v>238</v>
      </c>
      <c r="F1" s="42" t="s">
        <v>239</v>
      </c>
      <c r="G1" s="42" t="s">
        <v>240</v>
      </c>
      <c r="H1" s="42" t="s">
        <v>241</v>
      </c>
      <c r="I1" s="42" t="s">
        <v>242</v>
      </c>
      <c r="J1" s="42" t="s">
        <v>243</v>
      </c>
      <c r="K1" s="42" t="s">
        <v>244</v>
      </c>
      <c r="L1" s="42" t="s">
        <v>245</v>
      </c>
      <c r="M1" s="42" t="s">
        <v>246</v>
      </c>
      <c r="N1" s="42" t="s">
        <v>42</v>
      </c>
      <c r="O1" s="42" t="s">
        <v>247</v>
      </c>
      <c r="P1" s="42" t="s">
        <v>248</v>
      </c>
      <c r="Q1" s="42" t="s">
        <v>256</v>
      </c>
      <c r="R1" s="42" t="s">
        <v>257</v>
      </c>
      <c r="S1" s="42" t="s">
        <v>259</v>
      </c>
      <c r="T1" s="117" t="s">
        <v>577</v>
      </c>
    </row>
    <row r="2" spans="1:20" ht="15" customHeight="1" x14ac:dyDescent="0.25">
      <c r="A2" s="47" t="s">
        <v>261</v>
      </c>
      <c r="B2" s="48" t="s">
        <v>262</v>
      </c>
      <c r="C2" s="49" t="s">
        <v>313</v>
      </c>
      <c r="D2" s="47" t="s">
        <v>264</v>
      </c>
      <c r="E2" s="47" t="s">
        <v>265</v>
      </c>
      <c r="F2" s="47" t="s">
        <v>265</v>
      </c>
      <c r="G2" s="47" t="s">
        <v>265</v>
      </c>
      <c r="H2" s="47" t="s">
        <v>281</v>
      </c>
      <c r="I2" s="47" t="s">
        <v>281</v>
      </c>
      <c r="J2" s="47"/>
      <c r="K2" s="47"/>
      <c r="L2" s="47"/>
      <c r="M2" s="47" t="s">
        <v>266</v>
      </c>
      <c r="N2" s="47" t="s">
        <v>280</v>
      </c>
      <c r="O2" s="47" t="s">
        <v>267</v>
      </c>
      <c r="P2" s="48" t="s">
        <v>314</v>
      </c>
      <c r="Q2" s="50">
        <v>0</v>
      </c>
      <c r="R2" s="50">
        <v>0</v>
      </c>
      <c r="S2" s="50">
        <v>0</v>
      </c>
      <c r="T2" s="47" t="str">
        <f>E2&amp;F2&amp;G2</f>
        <v>010101</v>
      </c>
    </row>
    <row r="3" spans="1:20" ht="15" customHeight="1" x14ac:dyDescent="0.25">
      <c r="A3" s="47" t="s">
        <v>261</v>
      </c>
      <c r="B3" s="48" t="s">
        <v>262</v>
      </c>
      <c r="C3" s="49" t="s">
        <v>315</v>
      </c>
      <c r="D3" s="47" t="s">
        <v>264</v>
      </c>
      <c r="E3" s="47" t="s">
        <v>265</v>
      </c>
      <c r="F3" s="47" t="s">
        <v>265</v>
      </c>
      <c r="G3" s="47" t="s">
        <v>265</v>
      </c>
      <c r="H3" s="47" t="s">
        <v>281</v>
      </c>
      <c r="I3" s="47" t="s">
        <v>316</v>
      </c>
      <c r="J3" s="47"/>
      <c r="K3" s="47"/>
      <c r="L3" s="47"/>
      <c r="M3" s="47" t="s">
        <v>266</v>
      </c>
      <c r="N3" s="47" t="s">
        <v>280</v>
      </c>
      <c r="O3" s="47" t="s">
        <v>267</v>
      </c>
      <c r="P3" s="48" t="s">
        <v>317</v>
      </c>
      <c r="Q3" s="50">
        <v>0</v>
      </c>
      <c r="R3" s="50">
        <v>0</v>
      </c>
      <c r="S3" s="50">
        <v>0</v>
      </c>
      <c r="T3" s="47" t="str">
        <f t="shared" ref="T3:T66" si="0">E3&amp;F3&amp;G3</f>
        <v>010101</v>
      </c>
    </row>
    <row r="4" spans="1:20" ht="15" customHeight="1" x14ac:dyDescent="0.25">
      <c r="A4" s="47" t="s">
        <v>261</v>
      </c>
      <c r="B4" s="48" t="s">
        <v>262</v>
      </c>
      <c r="C4" s="49" t="s">
        <v>318</v>
      </c>
      <c r="D4" s="47" t="s">
        <v>264</v>
      </c>
      <c r="E4" s="47" t="s">
        <v>265</v>
      </c>
      <c r="F4" s="47" t="s">
        <v>265</v>
      </c>
      <c r="G4" s="47" t="s">
        <v>265</v>
      </c>
      <c r="H4" s="47" t="s">
        <v>281</v>
      </c>
      <c r="I4" s="47" t="s">
        <v>319</v>
      </c>
      <c r="J4" s="47"/>
      <c r="K4" s="47"/>
      <c r="L4" s="47"/>
      <c r="M4" s="47" t="s">
        <v>266</v>
      </c>
      <c r="N4" s="47" t="s">
        <v>280</v>
      </c>
      <c r="O4" s="47" t="s">
        <v>267</v>
      </c>
      <c r="P4" s="48" t="s">
        <v>320</v>
      </c>
      <c r="Q4" s="50">
        <v>0</v>
      </c>
      <c r="R4" s="50">
        <v>0</v>
      </c>
      <c r="S4" s="50">
        <v>0</v>
      </c>
      <c r="T4" s="47" t="str">
        <f t="shared" si="0"/>
        <v>010101</v>
      </c>
    </row>
    <row r="5" spans="1:20" ht="15" customHeight="1" x14ac:dyDescent="0.25">
      <c r="A5" s="47" t="s">
        <v>261</v>
      </c>
      <c r="B5" s="48" t="s">
        <v>262</v>
      </c>
      <c r="C5" s="49" t="s">
        <v>321</v>
      </c>
      <c r="D5" s="47" t="s">
        <v>264</v>
      </c>
      <c r="E5" s="47" t="s">
        <v>265</v>
      </c>
      <c r="F5" s="47" t="s">
        <v>265</v>
      </c>
      <c r="G5" s="47" t="s">
        <v>265</v>
      </c>
      <c r="H5" s="47" t="s">
        <v>281</v>
      </c>
      <c r="I5" s="47" t="s">
        <v>322</v>
      </c>
      <c r="J5" s="47"/>
      <c r="K5" s="47"/>
      <c r="L5" s="47"/>
      <c r="M5" s="47" t="s">
        <v>266</v>
      </c>
      <c r="N5" s="47" t="s">
        <v>280</v>
      </c>
      <c r="O5" s="47" t="s">
        <v>267</v>
      </c>
      <c r="P5" s="48" t="s">
        <v>578</v>
      </c>
      <c r="Q5" s="50">
        <v>0</v>
      </c>
      <c r="R5" s="50">
        <v>0</v>
      </c>
      <c r="S5" s="50">
        <v>0</v>
      </c>
      <c r="T5" s="47" t="str">
        <f t="shared" si="0"/>
        <v>010101</v>
      </c>
    </row>
    <row r="6" spans="1:20" ht="15" customHeight="1" x14ac:dyDescent="0.25">
      <c r="A6" s="47" t="s">
        <v>261</v>
      </c>
      <c r="B6" s="48" t="s">
        <v>262</v>
      </c>
      <c r="C6" s="49" t="s">
        <v>324</v>
      </c>
      <c r="D6" s="47" t="s">
        <v>264</v>
      </c>
      <c r="E6" s="47" t="s">
        <v>265</v>
      </c>
      <c r="F6" s="47" t="s">
        <v>265</v>
      </c>
      <c r="G6" s="47" t="s">
        <v>265</v>
      </c>
      <c r="H6" s="47" t="s">
        <v>281</v>
      </c>
      <c r="I6" s="47" t="s">
        <v>325</v>
      </c>
      <c r="J6" s="47"/>
      <c r="K6" s="47"/>
      <c r="L6" s="47"/>
      <c r="M6" s="47" t="s">
        <v>266</v>
      </c>
      <c r="N6" s="47" t="s">
        <v>280</v>
      </c>
      <c r="O6" s="47" t="s">
        <v>267</v>
      </c>
      <c r="P6" s="48" t="s">
        <v>326</v>
      </c>
      <c r="Q6" s="50">
        <v>0</v>
      </c>
      <c r="R6" s="50">
        <v>0</v>
      </c>
      <c r="S6" s="50">
        <v>0</v>
      </c>
      <c r="T6" s="47" t="str">
        <f t="shared" si="0"/>
        <v>010101</v>
      </c>
    </row>
    <row r="7" spans="1:20" ht="15" customHeight="1" x14ac:dyDescent="0.25">
      <c r="A7" s="47" t="s">
        <v>261</v>
      </c>
      <c r="B7" s="48" t="s">
        <v>262</v>
      </c>
      <c r="C7" s="49" t="s">
        <v>327</v>
      </c>
      <c r="D7" s="47" t="s">
        <v>264</v>
      </c>
      <c r="E7" s="47" t="s">
        <v>265</v>
      </c>
      <c r="F7" s="47" t="s">
        <v>265</v>
      </c>
      <c r="G7" s="47" t="s">
        <v>265</v>
      </c>
      <c r="H7" s="47" t="s">
        <v>281</v>
      </c>
      <c r="I7" s="47" t="s">
        <v>328</v>
      </c>
      <c r="J7" s="47"/>
      <c r="K7" s="47"/>
      <c r="L7" s="47"/>
      <c r="M7" s="47" t="s">
        <v>266</v>
      </c>
      <c r="N7" s="47" t="s">
        <v>280</v>
      </c>
      <c r="O7" s="47" t="s">
        <v>267</v>
      </c>
      <c r="P7" s="48" t="s">
        <v>329</v>
      </c>
      <c r="Q7" s="50">
        <v>0</v>
      </c>
      <c r="R7" s="50">
        <v>0</v>
      </c>
      <c r="S7" s="50">
        <v>0</v>
      </c>
      <c r="T7" s="47" t="str">
        <f t="shared" si="0"/>
        <v>010101</v>
      </c>
    </row>
    <row r="8" spans="1:20" ht="15" customHeight="1" x14ac:dyDescent="0.25">
      <c r="A8" s="47" t="s">
        <v>261</v>
      </c>
      <c r="B8" s="48" t="s">
        <v>262</v>
      </c>
      <c r="C8" s="49" t="s">
        <v>407</v>
      </c>
      <c r="D8" s="47" t="s">
        <v>264</v>
      </c>
      <c r="E8" s="47" t="s">
        <v>265</v>
      </c>
      <c r="F8" s="47" t="s">
        <v>265</v>
      </c>
      <c r="G8" s="47" t="s">
        <v>265</v>
      </c>
      <c r="H8" s="47" t="s">
        <v>281</v>
      </c>
      <c r="I8" s="47" t="s">
        <v>351</v>
      </c>
      <c r="J8" s="47"/>
      <c r="K8" s="47"/>
      <c r="L8" s="47"/>
      <c r="M8" s="47" t="s">
        <v>266</v>
      </c>
      <c r="N8" s="47" t="s">
        <v>280</v>
      </c>
      <c r="O8" s="47" t="s">
        <v>267</v>
      </c>
      <c r="P8" s="48" t="s">
        <v>408</v>
      </c>
      <c r="Q8" s="50">
        <v>0</v>
      </c>
      <c r="R8" s="50">
        <v>0</v>
      </c>
      <c r="S8" s="50">
        <v>0</v>
      </c>
      <c r="T8" s="47" t="str">
        <f t="shared" si="0"/>
        <v>010101</v>
      </c>
    </row>
    <row r="9" spans="1:20" ht="15" customHeight="1" x14ac:dyDescent="0.25">
      <c r="A9" s="47" t="s">
        <v>261</v>
      </c>
      <c r="B9" s="48" t="s">
        <v>262</v>
      </c>
      <c r="C9" s="49" t="s">
        <v>330</v>
      </c>
      <c r="D9" s="47" t="s">
        <v>264</v>
      </c>
      <c r="E9" s="47" t="s">
        <v>265</v>
      </c>
      <c r="F9" s="47" t="s">
        <v>265</v>
      </c>
      <c r="G9" s="47" t="s">
        <v>265</v>
      </c>
      <c r="H9" s="47" t="s">
        <v>281</v>
      </c>
      <c r="I9" s="47" t="s">
        <v>331</v>
      </c>
      <c r="J9" s="47"/>
      <c r="K9" s="47"/>
      <c r="L9" s="47"/>
      <c r="M9" s="47" t="s">
        <v>266</v>
      </c>
      <c r="N9" s="47" t="s">
        <v>280</v>
      </c>
      <c r="O9" s="47" t="s">
        <v>267</v>
      </c>
      <c r="P9" s="48" t="s">
        <v>332</v>
      </c>
      <c r="Q9" s="50">
        <v>0</v>
      </c>
      <c r="R9" s="50">
        <v>0</v>
      </c>
      <c r="S9" s="50">
        <v>0</v>
      </c>
      <c r="T9" s="47" t="str">
        <f t="shared" si="0"/>
        <v>010101</v>
      </c>
    </row>
    <row r="10" spans="1:20" ht="15" customHeight="1" x14ac:dyDescent="0.25">
      <c r="A10" s="47" t="s">
        <v>261</v>
      </c>
      <c r="B10" s="48" t="s">
        <v>262</v>
      </c>
      <c r="C10" s="49" t="s">
        <v>333</v>
      </c>
      <c r="D10" s="47" t="s">
        <v>264</v>
      </c>
      <c r="E10" s="47" t="s">
        <v>265</v>
      </c>
      <c r="F10" s="47" t="s">
        <v>265</v>
      </c>
      <c r="G10" s="47" t="s">
        <v>265</v>
      </c>
      <c r="H10" s="47" t="s">
        <v>281</v>
      </c>
      <c r="I10" s="47" t="s">
        <v>334</v>
      </c>
      <c r="J10" s="47"/>
      <c r="K10" s="47"/>
      <c r="L10" s="47"/>
      <c r="M10" s="47" t="s">
        <v>266</v>
      </c>
      <c r="N10" s="47" t="s">
        <v>280</v>
      </c>
      <c r="O10" s="47" t="s">
        <v>267</v>
      </c>
      <c r="P10" s="48" t="s">
        <v>335</v>
      </c>
      <c r="Q10" s="50">
        <v>0</v>
      </c>
      <c r="R10" s="50">
        <v>0</v>
      </c>
      <c r="S10" s="50">
        <v>0</v>
      </c>
      <c r="T10" s="47" t="str">
        <f t="shared" si="0"/>
        <v>010101</v>
      </c>
    </row>
    <row r="11" spans="1:20" ht="15" customHeight="1" x14ac:dyDescent="0.25">
      <c r="A11" s="47" t="s">
        <v>261</v>
      </c>
      <c r="B11" s="48" t="s">
        <v>262</v>
      </c>
      <c r="C11" s="49" t="s">
        <v>336</v>
      </c>
      <c r="D11" s="47" t="s">
        <v>264</v>
      </c>
      <c r="E11" s="47" t="s">
        <v>265</v>
      </c>
      <c r="F11" s="47" t="s">
        <v>265</v>
      </c>
      <c r="G11" s="47" t="s">
        <v>265</v>
      </c>
      <c r="H11" s="47" t="s">
        <v>281</v>
      </c>
      <c r="I11" s="47" t="s">
        <v>278</v>
      </c>
      <c r="J11" s="47"/>
      <c r="K11" s="47"/>
      <c r="L11" s="47"/>
      <c r="M11" s="47" t="s">
        <v>266</v>
      </c>
      <c r="N11" s="47" t="s">
        <v>280</v>
      </c>
      <c r="O11" s="47" t="s">
        <v>267</v>
      </c>
      <c r="P11" s="48" t="s">
        <v>337</v>
      </c>
      <c r="Q11" s="50">
        <v>0</v>
      </c>
      <c r="R11" s="50">
        <v>0</v>
      </c>
      <c r="S11" s="50">
        <v>0</v>
      </c>
      <c r="T11" s="47" t="str">
        <f t="shared" si="0"/>
        <v>010101</v>
      </c>
    </row>
    <row r="12" spans="1:20" ht="15" customHeight="1" x14ac:dyDescent="0.25">
      <c r="A12" s="47" t="s">
        <v>261</v>
      </c>
      <c r="B12" s="48" t="s">
        <v>262</v>
      </c>
      <c r="C12" s="49" t="s">
        <v>338</v>
      </c>
      <c r="D12" s="47" t="s">
        <v>264</v>
      </c>
      <c r="E12" s="47" t="s">
        <v>265</v>
      </c>
      <c r="F12" s="47" t="s">
        <v>265</v>
      </c>
      <c r="G12" s="47" t="s">
        <v>269</v>
      </c>
      <c r="H12" s="47" t="s">
        <v>281</v>
      </c>
      <c r="I12" s="47"/>
      <c r="J12" s="47"/>
      <c r="K12" s="47"/>
      <c r="L12" s="47"/>
      <c r="M12" s="47" t="s">
        <v>266</v>
      </c>
      <c r="N12" s="47" t="s">
        <v>280</v>
      </c>
      <c r="O12" s="47" t="s">
        <v>267</v>
      </c>
      <c r="P12" s="48" t="s">
        <v>579</v>
      </c>
      <c r="Q12" s="50">
        <v>0</v>
      </c>
      <c r="R12" s="50">
        <v>0</v>
      </c>
      <c r="S12" s="50">
        <v>0</v>
      </c>
      <c r="T12" s="47" t="str">
        <f t="shared" si="0"/>
        <v>010102</v>
      </c>
    </row>
    <row r="13" spans="1:20" ht="15" customHeight="1" x14ac:dyDescent="0.25">
      <c r="A13" s="47" t="s">
        <v>261</v>
      </c>
      <c r="B13" s="48" t="s">
        <v>262</v>
      </c>
      <c r="C13" s="49" t="s">
        <v>340</v>
      </c>
      <c r="D13" s="47" t="s">
        <v>264</v>
      </c>
      <c r="E13" s="47" t="s">
        <v>265</v>
      </c>
      <c r="F13" s="47" t="s">
        <v>265</v>
      </c>
      <c r="G13" s="47" t="s">
        <v>269</v>
      </c>
      <c r="H13" s="47" t="s">
        <v>283</v>
      </c>
      <c r="I13" s="47"/>
      <c r="J13" s="47"/>
      <c r="K13" s="47"/>
      <c r="L13" s="47"/>
      <c r="M13" s="47" t="s">
        <v>266</v>
      </c>
      <c r="N13" s="47" t="s">
        <v>280</v>
      </c>
      <c r="O13" s="47" t="s">
        <v>267</v>
      </c>
      <c r="P13" s="48" t="s">
        <v>580</v>
      </c>
      <c r="Q13" s="50">
        <v>0</v>
      </c>
      <c r="R13" s="50">
        <v>0</v>
      </c>
      <c r="S13" s="50">
        <v>0</v>
      </c>
      <c r="T13" s="47" t="str">
        <f t="shared" si="0"/>
        <v>010102</v>
      </c>
    </row>
    <row r="14" spans="1:20" ht="15" customHeight="1" x14ac:dyDescent="0.25">
      <c r="A14" s="47" t="s">
        <v>261</v>
      </c>
      <c r="B14" s="48" t="s">
        <v>262</v>
      </c>
      <c r="C14" s="49" t="s">
        <v>581</v>
      </c>
      <c r="D14" s="47" t="s">
        <v>264</v>
      </c>
      <c r="E14" s="47" t="s">
        <v>265</v>
      </c>
      <c r="F14" s="47" t="s">
        <v>265</v>
      </c>
      <c r="G14" s="47" t="s">
        <v>269</v>
      </c>
      <c r="H14" s="47" t="s">
        <v>316</v>
      </c>
      <c r="I14" s="47"/>
      <c r="J14" s="47"/>
      <c r="K14" s="47"/>
      <c r="L14" s="47"/>
      <c r="M14" s="47" t="s">
        <v>266</v>
      </c>
      <c r="N14" s="47" t="s">
        <v>280</v>
      </c>
      <c r="O14" s="47" t="s">
        <v>267</v>
      </c>
      <c r="P14" s="48" t="s">
        <v>582</v>
      </c>
      <c r="Q14" s="50">
        <v>0</v>
      </c>
      <c r="R14" s="50">
        <v>0</v>
      </c>
      <c r="S14" s="50">
        <v>0</v>
      </c>
      <c r="T14" s="47" t="str">
        <f t="shared" si="0"/>
        <v>010102</v>
      </c>
    </row>
    <row r="15" spans="1:20" ht="15" customHeight="1" x14ac:dyDescent="0.25">
      <c r="A15" s="47" t="s">
        <v>261</v>
      </c>
      <c r="B15" s="48" t="s">
        <v>262</v>
      </c>
      <c r="C15" s="49" t="s">
        <v>342</v>
      </c>
      <c r="D15" s="47" t="s">
        <v>264</v>
      </c>
      <c r="E15" s="47" t="s">
        <v>265</v>
      </c>
      <c r="F15" s="47" t="s">
        <v>265</v>
      </c>
      <c r="G15" s="47" t="s">
        <v>269</v>
      </c>
      <c r="H15" s="47" t="s">
        <v>319</v>
      </c>
      <c r="I15" s="47"/>
      <c r="J15" s="47"/>
      <c r="K15" s="47"/>
      <c r="L15" s="47"/>
      <c r="M15" s="47" t="s">
        <v>266</v>
      </c>
      <c r="N15" s="47" t="s">
        <v>280</v>
      </c>
      <c r="O15" s="47" t="s">
        <v>267</v>
      </c>
      <c r="P15" s="48" t="s">
        <v>583</v>
      </c>
      <c r="Q15" s="50">
        <v>0</v>
      </c>
      <c r="R15" s="50">
        <v>0</v>
      </c>
      <c r="S15" s="50">
        <v>0</v>
      </c>
      <c r="T15" s="47" t="str">
        <f t="shared" si="0"/>
        <v>010102</v>
      </c>
    </row>
    <row r="16" spans="1:20" ht="15" customHeight="1" x14ac:dyDescent="0.25">
      <c r="A16" s="47" t="s">
        <v>261</v>
      </c>
      <c r="B16" s="48" t="s">
        <v>262</v>
      </c>
      <c r="C16" s="49" t="s">
        <v>344</v>
      </c>
      <c r="D16" s="47" t="s">
        <v>264</v>
      </c>
      <c r="E16" s="47" t="s">
        <v>265</v>
      </c>
      <c r="F16" s="47" t="s">
        <v>265</v>
      </c>
      <c r="G16" s="47" t="s">
        <v>269</v>
      </c>
      <c r="H16" s="47" t="s">
        <v>322</v>
      </c>
      <c r="I16" s="47"/>
      <c r="J16" s="47"/>
      <c r="K16" s="47"/>
      <c r="L16" s="47"/>
      <c r="M16" s="47" t="s">
        <v>266</v>
      </c>
      <c r="N16" s="47" t="s">
        <v>280</v>
      </c>
      <c r="O16" s="47" t="s">
        <v>267</v>
      </c>
      <c r="P16" s="48" t="s">
        <v>345</v>
      </c>
      <c r="Q16" s="50">
        <v>0</v>
      </c>
      <c r="R16" s="50">
        <v>0</v>
      </c>
      <c r="S16" s="50">
        <v>0</v>
      </c>
      <c r="T16" s="47" t="str">
        <f t="shared" si="0"/>
        <v>010102</v>
      </c>
    </row>
    <row r="17" spans="1:20" ht="15" customHeight="1" x14ac:dyDescent="0.25">
      <c r="A17" s="47" t="s">
        <v>261</v>
      </c>
      <c r="B17" s="48" t="s">
        <v>262</v>
      </c>
      <c r="C17" s="49" t="s">
        <v>346</v>
      </c>
      <c r="D17" s="47" t="s">
        <v>264</v>
      </c>
      <c r="E17" s="47" t="s">
        <v>265</v>
      </c>
      <c r="F17" s="47" t="s">
        <v>265</v>
      </c>
      <c r="G17" s="47" t="s">
        <v>269</v>
      </c>
      <c r="H17" s="47" t="s">
        <v>325</v>
      </c>
      <c r="I17" s="47"/>
      <c r="J17" s="47"/>
      <c r="K17" s="47"/>
      <c r="L17" s="47"/>
      <c r="M17" s="47" t="s">
        <v>266</v>
      </c>
      <c r="N17" s="47" t="s">
        <v>280</v>
      </c>
      <c r="O17" s="47" t="s">
        <v>267</v>
      </c>
      <c r="P17" s="48" t="s">
        <v>347</v>
      </c>
      <c r="Q17" s="50">
        <v>0</v>
      </c>
      <c r="R17" s="50">
        <v>0</v>
      </c>
      <c r="S17" s="50">
        <v>0</v>
      </c>
      <c r="T17" s="47" t="str">
        <f t="shared" si="0"/>
        <v>010102</v>
      </c>
    </row>
    <row r="18" spans="1:20" ht="15" customHeight="1" x14ac:dyDescent="0.25">
      <c r="A18" s="47" t="s">
        <v>261</v>
      </c>
      <c r="B18" s="48" t="s">
        <v>262</v>
      </c>
      <c r="C18" s="49" t="s">
        <v>348</v>
      </c>
      <c r="D18" s="47" t="s">
        <v>264</v>
      </c>
      <c r="E18" s="47" t="s">
        <v>265</v>
      </c>
      <c r="F18" s="47" t="s">
        <v>265</v>
      </c>
      <c r="G18" s="47" t="s">
        <v>269</v>
      </c>
      <c r="H18" s="47" t="s">
        <v>328</v>
      </c>
      <c r="I18" s="47"/>
      <c r="J18" s="47"/>
      <c r="K18" s="47"/>
      <c r="L18" s="47"/>
      <c r="M18" s="47" t="s">
        <v>266</v>
      </c>
      <c r="N18" s="47" t="s">
        <v>280</v>
      </c>
      <c r="O18" s="47" t="s">
        <v>267</v>
      </c>
      <c r="P18" s="48" t="s">
        <v>349</v>
      </c>
      <c r="Q18" s="50">
        <v>0</v>
      </c>
      <c r="R18" s="50">
        <v>0</v>
      </c>
      <c r="S18" s="50">
        <v>0</v>
      </c>
      <c r="T18" s="47" t="str">
        <f t="shared" si="0"/>
        <v>010102</v>
      </c>
    </row>
    <row r="19" spans="1:20" ht="15" customHeight="1" x14ac:dyDescent="0.25">
      <c r="A19" s="47" t="s">
        <v>261</v>
      </c>
      <c r="B19" s="48" t="s">
        <v>262</v>
      </c>
      <c r="C19" s="49" t="s">
        <v>355</v>
      </c>
      <c r="D19" s="47" t="s">
        <v>264</v>
      </c>
      <c r="E19" s="47" t="s">
        <v>265</v>
      </c>
      <c r="F19" s="47" t="s">
        <v>265</v>
      </c>
      <c r="G19" s="47" t="s">
        <v>271</v>
      </c>
      <c r="H19" s="47" t="s">
        <v>281</v>
      </c>
      <c r="I19" s="47" t="s">
        <v>281</v>
      </c>
      <c r="J19" s="47"/>
      <c r="K19" s="47"/>
      <c r="L19" s="47"/>
      <c r="M19" s="47" t="s">
        <v>266</v>
      </c>
      <c r="N19" s="47" t="s">
        <v>280</v>
      </c>
      <c r="O19" s="47" t="s">
        <v>267</v>
      </c>
      <c r="P19" s="48" t="s">
        <v>584</v>
      </c>
      <c r="Q19" s="50">
        <v>0</v>
      </c>
      <c r="R19" s="50">
        <v>0</v>
      </c>
      <c r="S19" s="50">
        <v>0</v>
      </c>
      <c r="T19" s="47" t="str">
        <f t="shared" si="0"/>
        <v>010103</v>
      </c>
    </row>
    <row r="20" spans="1:20" ht="15" customHeight="1" x14ac:dyDescent="0.25">
      <c r="A20" s="47" t="s">
        <v>261</v>
      </c>
      <c r="B20" s="48" t="s">
        <v>262</v>
      </c>
      <c r="C20" s="49" t="s">
        <v>357</v>
      </c>
      <c r="D20" s="47" t="s">
        <v>264</v>
      </c>
      <c r="E20" s="47" t="s">
        <v>265</v>
      </c>
      <c r="F20" s="47" t="s">
        <v>265</v>
      </c>
      <c r="G20" s="47" t="s">
        <v>271</v>
      </c>
      <c r="H20" s="47" t="s">
        <v>281</v>
      </c>
      <c r="I20" s="47" t="s">
        <v>283</v>
      </c>
      <c r="J20" s="47"/>
      <c r="K20" s="47"/>
      <c r="L20" s="47"/>
      <c r="M20" s="47" t="s">
        <v>266</v>
      </c>
      <c r="N20" s="47" t="s">
        <v>280</v>
      </c>
      <c r="O20" s="47" t="s">
        <v>267</v>
      </c>
      <c r="P20" s="48" t="s">
        <v>358</v>
      </c>
      <c r="Q20" s="50">
        <v>0</v>
      </c>
      <c r="R20" s="50">
        <v>0</v>
      </c>
      <c r="S20" s="50">
        <v>0</v>
      </c>
      <c r="T20" s="47" t="str">
        <f t="shared" si="0"/>
        <v>010103</v>
      </c>
    </row>
    <row r="21" spans="1:20" ht="15" customHeight="1" x14ac:dyDescent="0.25">
      <c r="A21" s="47" t="s">
        <v>261</v>
      </c>
      <c r="B21" s="48" t="s">
        <v>262</v>
      </c>
      <c r="C21" s="49" t="s">
        <v>359</v>
      </c>
      <c r="D21" s="47" t="s">
        <v>264</v>
      </c>
      <c r="E21" s="47" t="s">
        <v>265</v>
      </c>
      <c r="F21" s="47" t="s">
        <v>265</v>
      </c>
      <c r="G21" s="47" t="s">
        <v>271</v>
      </c>
      <c r="H21" s="47" t="s">
        <v>281</v>
      </c>
      <c r="I21" s="47" t="s">
        <v>316</v>
      </c>
      <c r="J21" s="47"/>
      <c r="K21" s="47"/>
      <c r="L21" s="47"/>
      <c r="M21" s="47" t="s">
        <v>266</v>
      </c>
      <c r="N21" s="47" t="s">
        <v>280</v>
      </c>
      <c r="O21" s="47" t="s">
        <v>267</v>
      </c>
      <c r="P21" s="48" t="s">
        <v>360</v>
      </c>
      <c r="Q21" s="50">
        <v>0</v>
      </c>
      <c r="R21" s="50">
        <v>0</v>
      </c>
      <c r="S21" s="50">
        <v>0</v>
      </c>
      <c r="T21" s="47" t="str">
        <f t="shared" si="0"/>
        <v>010103</v>
      </c>
    </row>
    <row r="22" spans="1:20" ht="15" customHeight="1" x14ac:dyDescent="0.25">
      <c r="A22" s="47" t="s">
        <v>261</v>
      </c>
      <c r="B22" s="48" t="s">
        <v>262</v>
      </c>
      <c r="C22" s="49" t="s">
        <v>361</v>
      </c>
      <c r="D22" s="47" t="s">
        <v>264</v>
      </c>
      <c r="E22" s="47" t="s">
        <v>265</v>
      </c>
      <c r="F22" s="47" t="s">
        <v>265</v>
      </c>
      <c r="G22" s="47" t="s">
        <v>271</v>
      </c>
      <c r="H22" s="47" t="s">
        <v>283</v>
      </c>
      <c r="I22" s="47"/>
      <c r="J22" s="47"/>
      <c r="K22" s="47"/>
      <c r="L22" s="47"/>
      <c r="M22" s="47" t="s">
        <v>266</v>
      </c>
      <c r="N22" s="47" t="s">
        <v>280</v>
      </c>
      <c r="O22" s="47" t="s">
        <v>267</v>
      </c>
      <c r="P22" s="48" t="s">
        <v>362</v>
      </c>
      <c r="Q22" s="50">
        <v>0</v>
      </c>
      <c r="R22" s="50">
        <v>0</v>
      </c>
      <c r="S22" s="50">
        <v>0</v>
      </c>
      <c r="T22" s="47" t="str">
        <f t="shared" si="0"/>
        <v>010103</v>
      </c>
    </row>
    <row r="23" spans="1:20" ht="15" customHeight="1" x14ac:dyDescent="0.25">
      <c r="A23" s="47" t="s">
        <v>261</v>
      </c>
      <c r="B23" s="48" t="s">
        <v>262</v>
      </c>
      <c r="C23" s="49" t="s">
        <v>417</v>
      </c>
      <c r="D23" s="47" t="s">
        <v>264</v>
      </c>
      <c r="E23" s="47" t="s">
        <v>265</v>
      </c>
      <c r="F23" s="47" t="s">
        <v>265</v>
      </c>
      <c r="G23" s="47" t="s">
        <v>271</v>
      </c>
      <c r="H23" s="47" t="s">
        <v>418</v>
      </c>
      <c r="I23" s="47"/>
      <c r="J23" s="47"/>
      <c r="K23" s="47"/>
      <c r="L23" s="47"/>
      <c r="M23" s="47" t="s">
        <v>266</v>
      </c>
      <c r="N23" s="47" t="s">
        <v>280</v>
      </c>
      <c r="O23" s="47" t="s">
        <v>267</v>
      </c>
      <c r="P23" s="48" t="s">
        <v>419</v>
      </c>
      <c r="Q23" s="50">
        <v>0</v>
      </c>
      <c r="R23" s="50">
        <v>0</v>
      </c>
      <c r="S23" s="50">
        <v>0</v>
      </c>
      <c r="T23" s="47" t="str">
        <f t="shared" si="0"/>
        <v>010103</v>
      </c>
    </row>
    <row r="24" spans="1:20" ht="15" customHeight="1" x14ac:dyDescent="0.25">
      <c r="A24" s="47" t="s">
        <v>261</v>
      </c>
      <c r="B24" s="48" t="s">
        <v>262</v>
      </c>
      <c r="C24" s="49" t="s">
        <v>585</v>
      </c>
      <c r="D24" s="47" t="s">
        <v>264</v>
      </c>
      <c r="E24" s="47" t="s">
        <v>265</v>
      </c>
      <c r="F24" s="47" t="s">
        <v>265</v>
      </c>
      <c r="G24" s="47" t="s">
        <v>271</v>
      </c>
      <c r="H24" s="47" t="s">
        <v>586</v>
      </c>
      <c r="I24" s="47"/>
      <c r="J24" s="47"/>
      <c r="K24" s="47"/>
      <c r="L24" s="47"/>
      <c r="M24" s="47" t="s">
        <v>266</v>
      </c>
      <c r="N24" s="47" t="s">
        <v>280</v>
      </c>
      <c r="O24" s="47" t="s">
        <v>267</v>
      </c>
      <c r="P24" s="48" t="s">
        <v>587</v>
      </c>
      <c r="Q24" s="50">
        <v>0</v>
      </c>
      <c r="R24" s="50">
        <v>0</v>
      </c>
      <c r="S24" s="50">
        <v>0</v>
      </c>
      <c r="T24" s="47" t="str">
        <f t="shared" si="0"/>
        <v>010103</v>
      </c>
    </row>
    <row r="25" spans="1:20" ht="15" customHeight="1" x14ac:dyDescent="0.25">
      <c r="A25" s="47" t="s">
        <v>261</v>
      </c>
      <c r="B25" s="48" t="s">
        <v>262</v>
      </c>
      <c r="C25" s="49" t="s">
        <v>588</v>
      </c>
      <c r="D25" s="47" t="s">
        <v>264</v>
      </c>
      <c r="E25" s="47" t="s">
        <v>269</v>
      </c>
      <c r="F25" s="47" t="s">
        <v>269</v>
      </c>
      <c r="G25" s="47" t="s">
        <v>265</v>
      </c>
      <c r="H25" s="47" t="s">
        <v>283</v>
      </c>
      <c r="I25" s="47" t="s">
        <v>328</v>
      </c>
      <c r="J25" s="47"/>
      <c r="K25" s="47"/>
      <c r="L25" s="47"/>
      <c r="M25" s="47" t="s">
        <v>266</v>
      </c>
      <c r="N25" s="47" t="s">
        <v>280</v>
      </c>
      <c r="O25" s="47" t="s">
        <v>267</v>
      </c>
      <c r="P25" s="48" t="s">
        <v>589</v>
      </c>
      <c r="Q25" s="50">
        <v>0</v>
      </c>
      <c r="R25" s="50">
        <v>0</v>
      </c>
      <c r="S25" s="50">
        <v>0</v>
      </c>
      <c r="T25" s="47" t="str">
        <f t="shared" si="0"/>
        <v>020201</v>
      </c>
    </row>
    <row r="26" spans="1:20" ht="15" customHeight="1" x14ac:dyDescent="0.25">
      <c r="A26" s="47" t="s">
        <v>261</v>
      </c>
      <c r="B26" s="48" t="s">
        <v>262</v>
      </c>
      <c r="C26" s="49" t="s">
        <v>590</v>
      </c>
      <c r="D26" s="47" t="s">
        <v>264</v>
      </c>
      <c r="E26" s="47" t="s">
        <v>269</v>
      </c>
      <c r="F26" s="47" t="s">
        <v>269</v>
      </c>
      <c r="G26" s="47" t="s">
        <v>265</v>
      </c>
      <c r="H26" s="47" t="s">
        <v>283</v>
      </c>
      <c r="I26" s="47" t="s">
        <v>351</v>
      </c>
      <c r="J26" s="47"/>
      <c r="K26" s="47"/>
      <c r="L26" s="47"/>
      <c r="M26" s="47" t="s">
        <v>266</v>
      </c>
      <c r="N26" s="47" t="s">
        <v>280</v>
      </c>
      <c r="O26" s="47" t="s">
        <v>267</v>
      </c>
      <c r="P26" s="48" t="s">
        <v>591</v>
      </c>
      <c r="Q26" s="50">
        <v>222464447.78999999</v>
      </c>
      <c r="R26" s="50">
        <v>0</v>
      </c>
      <c r="S26" s="50">
        <v>0</v>
      </c>
      <c r="T26" s="47" t="str">
        <f t="shared" si="0"/>
        <v>020201</v>
      </c>
    </row>
    <row r="27" spans="1:20" ht="15" customHeight="1" x14ac:dyDescent="0.25">
      <c r="A27" s="47" t="s">
        <v>261</v>
      </c>
      <c r="B27" s="48" t="s">
        <v>262</v>
      </c>
      <c r="C27" s="49" t="s">
        <v>590</v>
      </c>
      <c r="D27" s="47" t="s">
        <v>264</v>
      </c>
      <c r="E27" s="47" t="s">
        <v>269</v>
      </c>
      <c r="F27" s="47" t="s">
        <v>269</v>
      </c>
      <c r="G27" s="47" t="s">
        <v>265</v>
      </c>
      <c r="H27" s="47" t="s">
        <v>283</v>
      </c>
      <c r="I27" s="47" t="s">
        <v>351</v>
      </c>
      <c r="J27" s="47"/>
      <c r="K27" s="47"/>
      <c r="L27" s="47"/>
      <c r="M27" s="47" t="s">
        <v>273</v>
      </c>
      <c r="N27" s="47" t="s">
        <v>34</v>
      </c>
      <c r="O27" s="47" t="s">
        <v>267</v>
      </c>
      <c r="P27" s="48" t="s">
        <v>591</v>
      </c>
      <c r="Q27" s="50">
        <v>86786654.040000007</v>
      </c>
      <c r="R27" s="50">
        <v>0</v>
      </c>
      <c r="S27" s="50">
        <v>0</v>
      </c>
      <c r="T27" s="47" t="str">
        <f t="shared" si="0"/>
        <v>020201</v>
      </c>
    </row>
    <row r="28" spans="1:20" ht="15" customHeight="1" x14ac:dyDescent="0.25">
      <c r="A28" s="47" t="s">
        <v>261</v>
      </c>
      <c r="B28" s="48" t="s">
        <v>262</v>
      </c>
      <c r="C28" s="49" t="s">
        <v>592</v>
      </c>
      <c r="D28" s="47" t="s">
        <v>264</v>
      </c>
      <c r="E28" s="47" t="s">
        <v>269</v>
      </c>
      <c r="F28" s="47" t="s">
        <v>269</v>
      </c>
      <c r="G28" s="47" t="s">
        <v>265</v>
      </c>
      <c r="H28" s="47" t="s">
        <v>316</v>
      </c>
      <c r="I28" s="47" t="s">
        <v>283</v>
      </c>
      <c r="J28" s="47"/>
      <c r="K28" s="47"/>
      <c r="L28" s="47"/>
      <c r="M28" s="47" t="s">
        <v>266</v>
      </c>
      <c r="N28" s="47" t="s">
        <v>280</v>
      </c>
      <c r="O28" s="47" t="s">
        <v>267</v>
      </c>
      <c r="P28" s="48" t="s">
        <v>593</v>
      </c>
      <c r="Q28" s="50">
        <v>0</v>
      </c>
      <c r="R28" s="50">
        <v>0</v>
      </c>
      <c r="S28" s="50">
        <v>0</v>
      </c>
      <c r="T28" s="47" t="str">
        <f t="shared" si="0"/>
        <v>020201</v>
      </c>
    </row>
    <row r="29" spans="1:20" ht="15" customHeight="1" x14ac:dyDescent="0.25">
      <c r="A29" s="47" t="s">
        <v>261</v>
      </c>
      <c r="B29" s="48" t="s">
        <v>262</v>
      </c>
      <c r="C29" s="49" t="s">
        <v>592</v>
      </c>
      <c r="D29" s="47" t="s">
        <v>264</v>
      </c>
      <c r="E29" s="47" t="s">
        <v>269</v>
      </c>
      <c r="F29" s="47" t="s">
        <v>269</v>
      </c>
      <c r="G29" s="47" t="s">
        <v>265</v>
      </c>
      <c r="H29" s="47" t="s">
        <v>316</v>
      </c>
      <c r="I29" s="47" t="s">
        <v>283</v>
      </c>
      <c r="J29" s="47"/>
      <c r="K29" s="47"/>
      <c r="L29" s="47"/>
      <c r="M29" s="47" t="s">
        <v>273</v>
      </c>
      <c r="N29" s="47" t="s">
        <v>34</v>
      </c>
      <c r="O29" s="47" t="s">
        <v>267</v>
      </c>
      <c r="P29" s="48" t="s">
        <v>593</v>
      </c>
      <c r="Q29" s="50">
        <v>0</v>
      </c>
      <c r="R29" s="50">
        <v>0</v>
      </c>
      <c r="S29" s="50">
        <v>0</v>
      </c>
      <c r="T29" s="47" t="str">
        <f t="shared" si="0"/>
        <v>020201</v>
      </c>
    </row>
    <row r="30" spans="1:20" ht="15" customHeight="1" x14ac:dyDescent="0.25">
      <c r="A30" s="47" t="s">
        <v>261</v>
      </c>
      <c r="B30" s="48" t="s">
        <v>262</v>
      </c>
      <c r="C30" s="49" t="s">
        <v>395</v>
      </c>
      <c r="D30" s="47" t="s">
        <v>264</v>
      </c>
      <c r="E30" s="47" t="s">
        <v>269</v>
      </c>
      <c r="F30" s="47" t="s">
        <v>269</v>
      </c>
      <c r="G30" s="47" t="s">
        <v>265</v>
      </c>
      <c r="H30" s="47" t="s">
        <v>316</v>
      </c>
      <c r="I30" s="47" t="s">
        <v>316</v>
      </c>
      <c r="J30" s="47"/>
      <c r="K30" s="47"/>
      <c r="L30" s="47"/>
      <c r="M30" s="47" t="s">
        <v>266</v>
      </c>
      <c r="N30" s="47" t="s">
        <v>280</v>
      </c>
      <c r="O30" s="47" t="s">
        <v>267</v>
      </c>
      <c r="P30" s="48" t="s">
        <v>396</v>
      </c>
      <c r="Q30" s="50">
        <v>0</v>
      </c>
      <c r="R30" s="50">
        <v>0</v>
      </c>
      <c r="S30" s="50">
        <v>0</v>
      </c>
      <c r="T30" s="47" t="str">
        <f t="shared" si="0"/>
        <v>020201</v>
      </c>
    </row>
    <row r="31" spans="1:20" ht="15" customHeight="1" x14ac:dyDescent="0.25">
      <c r="A31" s="47" t="s">
        <v>261</v>
      </c>
      <c r="B31" s="48" t="s">
        <v>262</v>
      </c>
      <c r="C31" s="49" t="s">
        <v>395</v>
      </c>
      <c r="D31" s="47" t="s">
        <v>264</v>
      </c>
      <c r="E31" s="47" t="s">
        <v>269</v>
      </c>
      <c r="F31" s="47" t="s">
        <v>269</v>
      </c>
      <c r="G31" s="47" t="s">
        <v>265</v>
      </c>
      <c r="H31" s="47" t="s">
        <v>316</v>
      </c>
      <c r="I31" s="47" t="s">
        <v>316</v>
      </c>
      <c r="J31" s="47"/>
      <c r="K31" s="47"/>
      <c r="L31" s="47"/>
      <c r="M31" s="47" t="s">
        <v>273</v>
      </c>
      <c r="N31" s="47" t="s">
        <v>34</v>
      </c>
      <c r="O31" s="47" t="s">
        <v>267</v>
      </c>
      <c r="P31" s="48" t="s">
        <v>396</v>
      </c>
      <c r="Q31" s="50">
        <v>0</v>
      </c>
      <c r="R31" s="50">
        <v>0</v>
      </c>
      <c r="S31" s="50">
        <v>0</v>
      </c>
      <c r="T31" s="47" t="str">
        <f t="shared" si="0"/>
        <v>020201</v>
      </c>
    </row>
    <row r="32" spans="1:20" ht="15" customHeight="1" x14ac:dyDescent="0.25">
      <c r="A32" s="47" t="s">
        <v>261</v>
      </c>
      <c r="B32" s="48" t="s">
        <v>262</v>
      </c>
      <c r="C32" s="49" t="s">
        <v>594</v>
      </c>
      <c r="D32" s="47" t="s">
        <v>264</v>
      </c>
      <c r="E32" s="47" t="s">
        <v>269</v>
      </c>
      <c r="F32" s="47" t="s">
        <v>269</v>
      </c>
      <c r="G32" s="47" t="s">
        <v>265</v>
      </c>
      <c r="H32" s="47" t="s">
        <v>316</v>
      </c>
      <c r="I32" s="47" t="s">
        <v>322</v>
      </c>
      <c r="J32" s="47"/>
      <c r="K32" s="47"/>
      <c r="L32" s="47"/>
      <c r="M32" s="47" t="s">
        <v>266</v>
      </c>
      <c r="N32" s="47" t="s">
        <v>280</v>
      </c>
      <c r="O32" s="47" t="s">
        <v>267</v>
      </c>
      <c r="P32" s="48" t="s">
        <v>595</v>
      </c>
      <c r="Q32" s="50">
        <v>7670045</v>
      </c>
      <c r="R32" s="50">
        <v>7670045</v>
      </c>
      <c r="S32" s="50">
        <v>7670045</v>
      </c>
      <c r="T32" s="47" t="str">
        <f t="shared" si="0"/>
        <v>020201</v>
      </c>
    </row>
    <row r="33" spans="1:20" ht="15" customHeight="1" x14ac:dyDescent="0.25">
      <c r="A33" s="47" t="s">
        <v>261</v>
      </c>
      <c r="B33" s="48" t="s">
        <v>262</v>
      </c>
      <c r="C33" s="49" t="s">
        <v>596</v>
      </c>
      <c r="D33" s="47" t="s">
        <v>264</v>
      </c>
      <c r="E33" s="47" t="s">
        <v>269</v>
      </c>
      <c r="F33" s="47" t="s">
        <v>269</v>
      </c>
      <c r="G33" s="47" t="s">
        <v>265</v>
      </c>
      <c r="H33" s="47" t="s">
        <v>316</v>
      </c>
      <c r="I33" s="47" t="s">
        <v>325</v>
      </c>
      <c r="J33" s="47"/>
      <c r="K33" s="47"/>
      <c r="L33" s="47"/>
      <c r="M33" s="47" t="s">
        <v>266</v>
      </c>
      <c r="N33" s="47" t="s">
        <v>280</v>
      </c>
      <c r="O33" s="47" t="s">
        <v>267</v>
      </c>
      <c r="P33" s="48" t="s">
        <v>597</v>
      </c>
      <c r="Q33" s="50">
        <v>7670045</v>
      </c>
      <c r="R33" s="50">
        <v>7670045</v>
      </c>
      <c r="S33" s="50">
        <v>7670045</v>
      </c>
      <c r="T33" s="47" t="str">
        <f t="shared" si="0"/>
        <v>020201</v>
      </c>
    </row>
    <row r="34" spans="1:20" ht="15" customHeight="1" x14ac:dyDescent="0.25">
      <c r="A34" s="47" t="s">
        <v>261</v>
      </c>
      <c r="B34" s="48" t="s">
        <v>262</v>
      </c>
      <c r="C34" s="49" t="s">
        <v>598</v>
      </c>
      <c r="D34" s="47" t="s">
        <v>264</v>
      </c>
      <c r="E34" s="47" t="s">
        <v>269</v>
      </c>
      <c r="F34" s="47" t="s">
        <v>269</v>
      </c>
      <c r="G34" s="47" t="s">
        <v>265</v>
      </c>
      <c r="H34" s="47" t="s">
        <v>319</v>
      </c>
      <c r="I34" s="47" t="s">
        <v>322</v>
      </c>
      <c r="J34" s="47"/>
      <c r="K34" s="47"/>
      <c r="L34" s="47"/>
      <c r="M34" s="47" t="s">
        <v>266</v>
      </c>
      <c r="N34" s="47" t="s">
        <v>280</v>
      </c>
      <c r="O34" s="47" t="s">
        <v>267</v>
      </c>
      <c r="P34" s="48" t="s">
        <v>599</v>
      </c>
      <c r="Q34" s="50">
        <v>0</v>
      </c>
      <c r="R34" s="50">
        <v>0</v>
      </c>
      <c r="S34" s="50">
        <v>0</v>
      </c>
      <c r="T34" s="47" t="str">
        <f t="shared" si="0"/>
        <v>020201</v>
      </c>
    </row>
    <row r="35" spans="1:20" ht="15" customHeight="1" x14ac:dyDescent="0.25">
      <c r="A35" s="47" t="s">
        <v>261</v>
      </c>
      <c r="B35" s="48" t="s">
        <v>262</v>
      </c>
      <c r="C35" s="49" t="s">
        <v>598</v>
      </c>
      <c r="D35" s="47" t="s">
        <v>264</v>
      </c>
      <c r="E35" s="47" t="s">
        <v>269</v>
      </c>
      <c r="F35" s="47" t="s">
        <v>269</v>
      </c>
      <c r="G35" s="47" t="s">
        <v>265</v>
      </c>
      <c r="H35" s="47" t="s">
        <v>319</v>
      </c>
      <c r="I35" s="47" t="s">
        <v>322</v>
      </c>
      <c r="J35" s="47"/>
      <c r="K35" s="47"/>
      <c r="L35" s="47"/>
      <c r="M35" s="47" t="s">
        <v>273</v>
      </c>
      <c r="N35" s="47" t="s">
        <v>34</v>
      </c>
      <c r="O35" s="47" t="s">
        <v>267</v>
      </c>
      <c r="P35" s="48" t="s">
        <v>599</v>
      </c>
      <c r="Q35" s="50">
        <v>109519479</v>
      </c>
      <c r="R35" s="50">
        <v>0</v>
      </c>
      <c r="S35" s="50">
        <v>0</v>
      </c>
      <c r="T35" s="47" t="str">
        <f t="shared" si="0"/>
        <v>020201</v>
      </c>
    </row>
    <row r="36" spans="1:20" ht="15" customHeight="1" x14ac:dyDescent="0.25">
      <c r="A36" s="47" t="s">
        <v>261</v>
      </c>
      <c r="B36" s="48" t="s">
        <v>262</v>
      </c>
      <c r="C36" s="49" t="s">
        <v>600</v>
      </c>
      <c r="D36" s="47" t="s">
        <v>264</v>
      </c>
      <c r="E36" s="47" t="s">
        <v>269</v>
      </c>
      <c r="F36" s="47" t="s">
        <v>269</v>
      </c>
      <c r="G36" s="47" t="s">
        <v>265</v>
      </c>
      <c r="H36" s="47" t="s">
        <v>319</v>
      </c>
      <c r="I36" s="47" t="s">
        <v>328</v>
      </c>
      <c r="J36" s="47"/>
      <c r="K36" s="47"/>
      <c r="L36" s="47"/>
      <c r="M36" s="47" t="s">
        <v>266</v>
      </c>
      <c r="N36" s="47" t="s">
        <v>280</v>
      </c>
      <c r="O36" s="47" t="s">
        <v>267</v>
      </c>
      <c r="P36" s="48" t="s">
        <v>601</v>
      </c>
      <c r="Q36" s="50">
        <v>0</v>
      </c>
      <c r="R36" s="50">
        <v>0</v>
      </c>
      <c r="S36" s="50">
        <v>0</v>
      </c>
      <c r="T36" s="47" t="str">
        <f t="shared" si="0"/>
        <v>020201</v>
      </c>
    </row>
    <row r="37" spans="1:20" ht="15" customHeight="1" x14ac:dyDescent="0.25">
      <c r="A37" s="47" t="s">
        <v>261</v>
      </c>
      <c r="B37" s="48" t="s">
        <v>262</v>
      </c>
      <c r="C37" s="49" t="s">
        <v>602</v>
      </c>
      <c r="D37" s="47" t="s">
        <v>264</v>
      </c>
      <c r="E37" s="47" t="s">
        <v>269</v>
      </c>
      <c r="F37" s="47" t="s">
        <v>269</v>
      </c>
      <c r="G37" s="47" t="s">
        <v>269</v>
      </c>
      <c r="H37" s="47" t="s">
        <v>322</v>
      </c>
      <c r="I37" s="47" t="s">
        <v>319</v>
      </c>
      <c r="J37" s="47"/>
      <c r="K37" s="47"/>
      <c r="L37" s="47"/>
      <c r="M37" s="47" t="s">
        <v>266</v>
      </c>
      <c r="N37" s="47" t="s">
        <v>280</v>
      </c>
      <c r="O37" s="47" t="s">
        <v>267</v>
      </c>
      <c r="P37" s="48" t="s">
        <v>603</v>
      </c>
      <c r="Q37" s="50">
        <v>0</v>
      </c>
      <c r="R37" s="50">
        <v>0</v>
      </c>
      <c r="S37" s="50">
        <v>0</v>
      </c>
      <c r="T37" s="47" t="str">
        <f t="shared" si="0"/>
        <v>020202</v>
      </c>
    </row>
    <row r="38" spans="1:20" ht="15" customHeight="1" x14ac:dyDescent="0.25">
      <c r="A38" s="47" t="s">
        <v>261</v>
      </c>
      <c r="B38" s="48" t="s">
        <v>262</v>
      </c>
      <c r="C38" s="49" t="s">
        <v>604</v>
      </c>
      <c r="D38" s="47" t="s">
        <v>264</v>
      </c>
      <c r="E38" s="47" t="s">
        <v>269</v>
      </c>
      <c r="F38" s="47" t="s">
        <v>269</v>
      </c>
      <c r="G38" s="47" t="s">
        <v>269</v>
      </c>
      <c r="H38" s="47" t="s">
        <v>325</v>
      </c>
      <c r="I38" s="47" t="s">
        <v>316</v>
      </c>
      <c r="J38" s="47"/>
      <c r="K38" s="47"/>
      <c r="L38" s="47"/>
      <c r="M38" s="47" t="s">
        <v>266</v>
      </c>
      <c r="N38" s="47" t="s">
        <v>280</v>
      </c>
      <c r="O38" s="47" t="s">
        <v>267</v>
      </c>
      <c r="P38" s="48" t="s">
        <v>605</v>
      </c>
      <c r="Q38" s="50">
        <v>0</v>
      </c>
      <c r="R38" s="50">
        <v>0</v>
      </c>
      <c r="S38" s="50">
        <v>0</v>
      </c>
      <c r="T38" s="47" t="str">
        <f t="shared" si="0"/>
        <v>020202</v>
      </c>
    </row>
    <row r="39" spans="1:20" ht="15" customHeight="1" x14ac:dyDescent="0.25">
      <c r="A39" s="47" t="s">
        <v>261</v>
      </c>
      <c r="B39" s="48" t="s">
        <v>262</v>
      </c>
      <c r="C39" s="49" t="s">
        <v>604</v>
      </c>
      <c r="D39" s="47" t="s">
        <v>264</v>
      </c>
      <c r="E39" s="47" t="s">
        <v>269</v>
      </c>
      <c r="F39" s="47" t="s">
        <v>269</v>
      </c>
      <c r="G39" s="47" t="s">
        <v>269</v>
      </c>
      <c r="H39" s="47" t="s">
        <v>325</v>
      </c>
      <c r="I39" s="47" t="s">
        <v>316</v>
      </c>
      <c r="J39" s="47"/>
      <c r="K39" s="47"/>
      <c r="L39" s="47"/>
      <c r="M39" s="47" t="s">
        <v>273</v>
      </c>
      <c r="N39" s="47" t="s">
        <v>34</v>
      </c>
      <c r="O39" s="47" t="s">
        <v>267</v>
      </c>
      <c r="P39" s="48" t="s">
        <v>605</v>
      </c>
      <c r="Q39" s="50">
        <v>9333159.9000000004</v>
      </c>
      <c r="R39" s="50">
        <v>8205211.1699999999</v>
      </c>
      <c r="S39" s="50">
        <v>0</v>
      </c>
      <c r="T39" s="47" t="str">
        <f t="shared" si="0"/>
        <v>020202</v>
      </c>
    </row>
    <row r="40" spans="1:20" ht="15" customHeight="1" x14ac:dyDescent="0.25">
      <c r="A40" s="47" t="s">
        <v>261</v>
      </c>
      <c r="B40" s="48" t="s">
        <v>262</v>
      </c>
      <c r="C40" s="49" t="s">
        <v>363</v>
      </c>
      <c r="D40" s="47" t="s">
        <v>264</v>
      </c>
      <c r="E40" s="47" t="s">
        <v>269</v>
      </c>
      <c r="F40" s="47" t="s">
        <v>269</v>
      </c>
      <c r="G40" s="47" t="s">
        <v>269</v>
      </c>
      <c r="H40" s="47" t="s">
        <v>325</v>
      </c>
      <c r="I40" s="47" t="s">
        <v>319</v>
      </c>
      <c r="J40" s="47"/>
      <c r="K40" s="47"/>
      <c r="L40" s="47"/>
      <c r="M40" s="47" t="s">
        <v>266</v>
      </c>
      <c r="N40" s="47" t="s">
        <v>280</v>
      </c>
      <c r="O40" s="47" t="s">
        <v>267</v>
      </c>
      <c r="P40" s="48" t="s">
        <v>364</v>
      </c>
      <c r="Q40" s="50">
        <v>0</v>
      </c>
      <c r="R40" s="50">
        <v>0</v>
      </c>
      <c r="S40" s="50">
        <v>0</v>
      </c>
      <c r="T40" s="47" t="str">
        <f t="shared" si="0"/>
        <v>020202</v>
      </c>
    </row>
    <row r="41" spans="1:20" ht="15" customHeight="1" x14ac:dyDescent="0.25">
      <c r="A41" s="47" t="s">
        <v>261</v>
      </c>
      <c r="B41" s="48" t="s">
        <v>262</v>
      </c>
      <c r="C41" s="49" t="s">
        <v>363</v>
      </c>
      <c r="D41" s="47" t="s">
        <v>264</v>
      </c>
      <c r="E41" s="47" t="s">
        <v>269</v>
      </c>
      <c r="F41" s="47" t="s">
        <v>269</v>
      </c>
      <c r="G41" s="47" t="s">
        <v>269</v>
      </c>
      <c r="H41" s="47" t="s">
        <v>325</v>
      </c>
      <c r="I41" s="47" t="s">
        <v>319</v>
      </c>
      <c r="J41" s="47"/>
      <c r="K41" s="47"/>
      <c r="L41" s="47"/>
      <c r="M41" s="47" t="s">
        <v>273</v>
      </c>
      <c r="N41" s="47" t="s">
        <v>34</v>
      </c>
      <c r="O41" s="47" t="s">
        <v>267</v>
      </c>
      <c r="P41" s="48" t="s">
        <v>364</v>
      </c>
      <c r="Q41" s="50">
        <v>0</v>
      </c>
      <c r="R41" s="50">
        <v>0</v>
      </c>
      <c r="S41" s="50">
        <v>0</v>
      </c>
      <c r="T41" s="47" t="str">
        <f t="shared" si="0"/>
        <v>020202</v>
      </c>
    </row>
    <row r="42" spans="1:20" ht="15" customHeight="1" x14ac:dyDescent="0.25">
      <c r="A42" s="47" t="s">
        <v>261</v>
      </c>
      <c r="B42" s="48" t="s">
        <v>262</v>
      </c>
      <c r="C42" s="49" t="s">
        <v>606</v>
      </c>
      <c r="D42" s="47" t="s">
        <v>264</v>
      </c>
      <c r="E42" s="47" t="s">
        <v>269</v>
      </c>
      <c r="F42" s="47" t="s">
        <v>269</v>
      </c>
      <c r="G42" s="47" t="s">
        <v>269</v>
      </c>
      <c r="H42" s="47" t="s">
        <v>325</v>
      </c>
      <c r="I42" s="47" t="s">
        <v>322</v>
      </c>
      <c r="J42" s="47"/>
      <c r="K42" s="47"/>
      <c r="L42" s="47"/>
      <c r="M42" s="47" t="s">
        <v>266</v>
      </c>
      <c r="N42" s="47" t="s">
        <v>280</v>
      </c>
      <c r="O42" s="47" t="s">
        <v>267</v>
      </c>
      <c r="P42" s="48" t="s">
        <v>607</v>
      </c>
      <c r="Q42" s="50">
        <v>0</v>
      </c>
      <c r="R42" s="50">
        <v>0</v>
      </c>
      <c r="S42" s="50">
        <v>0</v>
      </c>
      <c r="T42" s="47" t="str">
        <f t="shared" si="0"/>
        <v>020202</v>
      </c>
    </row>
    <row r="43" spans="1:20" ht="15" customHeight="1" x14ac:dyDescent="0.25">
      <c r="A43" s="47" t="s">
        <v>261</v>
      </c>
      <c r="B43" s="48" t="s">
        <v>262</v>
      </c>
      <c r="C43" s="49" t="s">
        <v>608</v>
      </c>
      <c r="D43" s="47" t="s">
        <v>264</v>
      </c>
      <c r="E43" s="47" t="s">
        <v>269</v>
      </c>
      <c r="F43" s="47" t="s">
        <v>269</v>
      </c>
      <c r="G43" s="47" t="s">
        <v>269</v>
      </c>
      <c r="H43" s="47" t="s">
        <v>325</v>
      </c>
      <c r="I43" s="47" t="s">
        <v>351</v>
      </c>
      <c r="J43" s="47"/>
      <c r="K43" s="47"/>
      <c r="L43" s="47"/>
      <c r="M43" s="47" t="s">
        <v>273</v>
      </c>
      <c r="N43" s="47" t="s">
        <v>34</v>
      </c>
      <c r="O43" s="47" t="s">
        <v>267</v>
      </c>
      <c r="P43" s="48" t="s">
        <v>609</v>
      </c>
      <c r="Q43" s="50">
        <v>28068938</v>
      </c>
      <c r="R43" s="50">
        <v>0</v>
      </c>
      <c r="S43" s="50">
        <v>0</v>
      </c>
      <c r="T43" s="47" t="str">
        <f t="shared" si="0"/>
        <v>020202</v>
      </c>
    </row>
    <row r="44" spans="1:20" ht="15" customHeight="1" x14ac:dyDescent="0.25">
      <c r="A44" s="47" t="s">
        <v>261</v>
      </c>
      <c r="B44" s="48" t="s">
        <v>262</v>
      </c>
      <c r="C44" s="49" t="s">
        <v>365</v>
      </c>
      <c r="D44" s="47" t="s">
        <v>264</v>
      </c>
      <c r="E44" s="47" t="s">
        <v>269</v>
      </c>
      <c r="F44" s="47" t="s">
        <v>269</v>
      </c>
      <c r="G44" s="47" t="s">
        <v>269</v>
      </c>
      <c r="H44" s="47" t="s">
        <v>325</v>
      </c>
      <c r="I44" s="47" t="s">
        <v>331</v>
      </c>
      <c r="J44" s="47"/>
      <c r="K44" s="47"/>
      <c r="L44" s="47"/>
      <c r="M44" s="47" t="s">
        <v>266</v>
      </c>
      <c r="N44" s="47" t="s">
        <v>280</v>
      </c>
      <c r="O44" s="47" t="s">
        <v>267</v>
      </c>
      <c r="P44" s="48" t="s">
        <v>366</v>
      </c>
      <c r="Q44" s="50">
        <v>0</v>
      </c>
      <c r="R44" s="50">
        <v>0</v>
      </c>
      <c r="S44" s="50">
        <v>0</v>
      </c>
      <c r="T44" s="47" t="str">
        <f t="shared" si="0"/>
        <v>020202</v>
      </c>
    </row>
    <row r="45" spans="1:20" ht="15" customHeight="1" x14ac:dyDescent="0.25">
      <c r="A45" s="47" t="s">
        <v>261</v>
      </c>
      <c r="B45" s="48" t="s">
        <v>262</v>
      </c>
      <c r="C45" s="49" t="s">
        <v>409</v>
      </c>
      <c r="D45" s="47" t="s">
        <v>264</v>
      </c>
      <c r="E45" s="47" t="s">
        <v>269</v>
      </c>
      <c r="F45" s="47" t="s">
        <v>269</v>
      </c>
      <c r="G45" s="47" t="s">
        <v>269</v>
      </c>
      <c r="H45" s="47" t="s">
        <v>328</v>
      </c>
      <c r="I45" s="47" t="s">
        <v>281</v>
      </c>
      <c r="J45" s="47"/>
      <c r="K45" s="47"/>
      <c r="L45" s="47"/>
      <c r="M45" s="47" t="s">
        <v>266</v>
      </c>
      <c r="N45" s="47" t="s">
        <v>280</v>
      </c>
      <c r="O45" s="47" t="s">
        <v>267</v>
      </c>
      <c r="P45" s="48" t="s">
        <v>410</v>
      </c>
      <c r="Q45" s="50">
        <v>31873625</v>
      </c>
      <c r="R45" s="50">
        <v>31873625</v>
      </c>
      <c r="S45" s="50">
        <v>31873625</v>
      </c>
      <c r="T45" s="47" t="str">
        <f t="shared" si="0"/>
        <v>020202</v>
      </c>
    </row>
    <row r="46" spans="1:20" ht="15" customHeight="1" x14ac:dyDescent="0.25">
      <c r="A46" s="47" t="s">
        <v>261</v>
      </c>
      <c r="B46" s="48" t="s">
        <v>262</v>
      </c>
      <c r="C46" s="49" t="s">
        <v>409</v>
      </c>
      <c r="D46" s="47" t="s">
        <v>264</v>
      </c>
      <c r="E46" s="47" t="s">
        <v>269</v>
      </c>
      <c r="F46" s="47" t="s">
        <v>269</v>
      </c>
      <c r="G46" s="47" t="s">
        <v>269</v>
      </c>
      <c r="H46" s="47" t="s">
        <v>328</v>
      </c>
      <c r="I46" s="47" t="s">
        <v>281</v>
      </c>
      <c r="J46" s="47"/>
      <c r="K46" s="47"/>
      <c r="L46" s="47"/>
      <c r="M46" s="47" t="s">
        <v>273</v>
      </c>
      <c r="N46" s="47" t="s">
        <v>34</v>
      </c>
      <c r="O46" s="47" t="s">
        <v>267</v>
      </c>
      <c r="P46" s="48" t="s">
        <v>410</v>
      </c>
      <c r="Q46" s="50">
        <v>2873903</v>
      </c>
      <c r="R46" s="50">
        <v>2873903</v>
      </c>
      <c r="S46" s="50">
        <v>0</v>
      </c>
      <c r="T46" s="47" t="str">
        <f t="shared" si="0"/>
        <v>020202</v>
      </c>
    </row>
    <row r="47" spans="1:20" ht="15" customHeight="1" x14ac:dyDescent="0.25">
      <c r="A47" s="47" t="s">
        <v>261</v>
      </c>
      <c r="B47" s="48" t="s">
        <v>262</v>
      </c>
      <c r="C47" s="49" t="s">
        <v>383</v>
      </c>
      <c r="D47" s="47" t="s">
        <v>264</v>
      </c>
      <c r="E47" s="47" t="s">
        <v>269</v>
      </c>
      <c r="F47" s="47" t="s">
        <v>269</v>
      </c>
      <c r="G47" s="47" t="s">
        <v>269</v>
      </c>
      <c r="H47" s="47" t="s">
        <v>328</v>
      </c>
      <c r="I47" s="47" t="s">
        <v>283</v>
      </c>
      <c r="J47" s="47"/>
      <c r="K47" s="47"/>
      <c r="L47" s="47"/>
      <c r="M47" s="47" t="s">
        <v>266</v>
      </c>
      <c r="N47" s="47" t="s">
        <v>280</v>
      </c>
      <c r="O47" s="47" t="s">
        <v>267</v>
      </c>
      <c r="P47" s="48" t="s">
        <v>384</v>
      </c>
      <c r="Q47" s="50">
        <v>22985051</v>
      </c>
      <c r="R47" s="50">
        <v>11934895</v>
      </c>
      <c r="S47" s="50">
        <v>0</v>
      </c>
      <c r="T47" s="47" t="str">
        <f t="shared" si="0"/>
        <v>020202</v>
      </c>
    </row>
    <row r="48" spans="1:20" ht="15" customHeight="1" x14ac:dyDescent="0.25">
      <c r="A48" s="47" t="s">
        <v>261</v>
      </c>
      <c r="B48" s="48" t="s">
        <v>262</v>
      </c>
      <c r="C48" s="49" t="s">
        <v>383</v>
      </c>
      <c r="D48" s="47" t="s">
        <v>264</v>
      </c>
      <c r="E48" s="47" t="s">
        <v>269</v>
      </c>
      <c r="F48" s="47" t="s">
        <v>269</v>
      </c>
      <c r="G48" s="47" t="s">
        <v>269</v>
      </c>
      <c r="H48" s="47" t="s">
        <v>328</v>
      </c>
      <c r="I48" s="47" t="s">
        <v>283</v>
      </c>
      <c r="J48" s="47"/>
      <c r="K48" s="47"/>
      <c r="L48" s="47"/>
      <c r="M48" s="47" t="s">
        <v>273</v>
      </c>
      <c r="N48" s="47" t="s">
        <v>34</v>
      </c>
      <c r="O48" s="47" t="s">
        <v>267</v>
      </c>
      <c r="P48" s="48" t="s">
        <v>384</v>
      </c>
      <c r="Q48" s="50">
        <v>8550000</v>
      </c>
      <c r="R48" s="50">
        <v>0</v>
      </c>
      <c r="S48" s="50">
        <v>0</v>
      </c>
      <c r="T48" s="47" t="str">
        <f t="shared" si="0"/>
        <v>020202</v>
      </c>
    </row>
    <row r="49" spans="1:20" ht="15" customHeight="1" x14ac:dyDescent="0.25">
      <c r="A49" s="47" t="s">
        <v>261</v>
      </c>
      <c r="B49" s="48" t="s">
        <v>262</v>
      </c>
      <c r="C49" s="49" t="s">
        <v>399</v>
      </c>
      <c r="D49" s="47" t="s">
        <v>264</v>
      </c>
      <c r="E49" s="47" t="s">
        <v>269</v>
      </c>
      <c r="F49" s="47" t="s">
        <v>269</v>
      </c>
      <c r="G49" s="47" t="s">
        <v>269</v>
      </c>
      <c r="H49" s="47" t="s">
        <v>351</v>
      </c>
      <c r="I49" s="47" t="s">
        <v>283</v>
      </c>
      <c r="J49" s="47"/>
      <c r="K49" s="47"/>
      <c r="L49" s="47"/>
      <c r="M49" s="47" t="s">
        <v>266</v>
      </c>
      <c r="N49" s="47" t="s">
        <v>280</v>
      </c>
      <c r="O49" s="47" t="s">
        <v>267</v>
      </c>
      <c r="P49" s="48" t="s">
        <v>400</v>
      </c>
      <c r="Q49" s="50">
        <v>119026995</v>
      </c>
      <c r="R49" s="50">
        <v>79117260</v>
      </c>
      <c r="S49" s="50">
        <v>64456528</v>
      </c>
      <c r="T49" s="47" t="str">
        <f t="shared" si="0"/>
        <v>020202</v>
      </c>
    </row>
    <row r="50" spans="1:20" ht="15" customHeight="1" x14ac:dyDescent="0.25">
      <c r="A50" s="47" t="s">
        <v>261</v>
      </c>
      <c r="B50" s="48" t="s">
        <v>262</v>
      </c>
      <c r="C50" s="49" t="s">
        <v>399</v>
      </c>
      <c r="D50" s="47" t="s">
        <v>264</v>
      </c>
      <c r="E50" s="47" t="s">
        <v>269</v>
      </c>
      <c r="F50" s="47" t="s">
        <v>269</v>
      </c>
      <c r="G50" s="47" t="s">
        <v>269</v>
      </c>
      <c r="H50" s="47" t="s">
        <v>351</v>
      </c>
      <c r="I50" s="47" t="s">
        <v>283</v>
      </c>
      <c r="J50" s="47"/>
      <c r="K50" s="47"/>
      <c r="L50" s="47"/>
      <c r="M50" s="47" t="s">
        <v>273</v>
      </c>
      <c r="N50" s="47" t="s">
        <v>34</v>
      </c>
      <c r="O50" s="47" t="s">
        <v>267</v>
      </c>
      <c r="P50" s="48" t="s">
        <v>400</v>
      </c>
      <c r="Q50" s="50">
        <v>74451013</v>
      </c>
      <c r="R50" s="50">
        <v>39236117</v>
      </c>
      <c r="S50" s="50">
        <v>0</v>
      </c>
      <c r="T50" s="47" t="str">
        <f t="shared" si="0"/>
        <v>020202</v>
      </c>
    </row>
    <row r="51" spans="1:20" ht="15" customHeight="1" x14ac:dyDescent="0.25">
      <c r="A51" s="47" t="s">
        <v>261</v>
      </c>
      <c r="B51" s="48" t="s">
        <v>262</v>
      </c>
      <c r="C51" s="49" t="s">
        <v>442</v>
      </c>
      <c r="D51" s="47" t="s">
        <v>264</v>
      </c>
      <c r="E51" s="47" t="s">
        <v>269</v>
      </c>
      <c r="F51" s="47" t="s">
        <v>269</v>
      </c>
      <c r="G51" s="47" t="s">
        <v>269</v>
      </c>
      <c r="H51" s="47" t="s">
        <v>351</v>
      </c>
      <c r="I51" s="47" t="s">
        <v>316</v>
      </c>
      <c r="J51" s="47"/>
      <c r="K51" s="47"/>
      <c r="L51" s="47"/>
      <c r="M51" s="47" t="s">
        <v>266</v>
      </c>
      <c r="N51" s="47" t="s">
        <v>280</v>
      </c>
      <c r="O51" s="47" t="s">
        <v>267</v>
      </c>
      <c r="P51" s="48" t="s">
        <v>443</v>
      </c>
      <c r="Q51" s="50">
        <v>591422</v>
      </c>
      <c r="R51" s="50">
        <v>591422</v>
      </c>
      <c r="S51" s="50">
        <v>591422</v>
      </c>
      <c r="T51" s="47" t="str">
        <f t="shared" si="0"/>
        <v>020202</v>
      </c>
    </row>
    <row r="52" spans="1:20" ht="15" customHeight="1" x14ac:dyDescent="0.25">
      <c r="A52" s="47" t="s">
        <v>261</v>
      </c>
      <c r="B52" s="48" t="s">
        <v>262</v>
      </c>
      <c r="C52" s="49" t="s">
        <v>442</v>
      </c>
      <c r="D52" s="47" t="s">
        <v>264</v>
      </c>
      <c r="E52" s="47" t="s">
        <v>269</v>
      </c>
      <c r="F52" s="47" t="s">
        <v>269</v>
      </c>
      <c r="G52" s="47" t="s">
        <v>269</v>
      </c>
      <c r="H52" s="47" t="s">
        <v>351</v>
      </c>
      <c r="I52" s="47" t="s">
        <v>316</v>
      </c>
      <c r="J52" s="47"/>
      <c r="K52" s="47"/>
      <c r="L52" s="47"/>
      <c r="M52" s="47" t="s">
        <v>273</v>
      </c>
      <c r="N52" s="47" t="s">
        <v>34</v>
      </c>
      <c r="O52" s="47" t="s">
        <v>267</v>
      </c>
      <c r="P52" s="48" t="s">
        <v>443</v>
      </c>
      <c r="Q52" s="50">
        <v>0</v>
      </c>
      <c r="R52" s="50">
        <v>0</v>
      </c>
      <c r="S52" s="50">
        <v>0</v>
      </c>
      <c r="T52" s="47" t="str">
        <f t="shared" si="0"/>
        <v>020202</v>
      </c>
    </row>
    <row r="53" spans="1:20" ht="15" customHeight="1" x14ac:dyDescent="0.25">
      <c r="A53" s="47" t="s">
        <v>261</v>
      </c>
      <c r="B53" s="48" t="s">
        <v>262</v>
      </c>
      <c r="C53" s="49" t="s">
        <v>367</v>
      </c>
      <c r="D53" s="47" t="s">
        <v>264</v>
      </c>
      <c r="E53" s="47" t="s">
        <v>269</v>
      </c>
      <c r="F53" s="47" t="s">
        <v>269</v>
      </c>
      <c r="G53" s="47" t="s">
        <v>269</v>
      </c>
      <c r="H53" s="47" t="s">
        <v>351</v>
      </c>
      <c r="I53" s="47" t="s">
        <v>319</v>
      </c>
      <c r="J53" s="47"/>
      <c r="K53" s="47"/>
      <c r="L53" s="47"/>
      <c r="M53" s="47" t="s">
        <v>266</v>
      </c>
      <c r="N53" s="47" t="s">
        <v>280</v>
      </c>
      <c r="O53" s="47" t="s">
        <v>267</v>
      </c>
      <c r="P53" s="48" t="s">
        <v>368</v>
      </c>
      <c r="Q53" s="50">
        <v>1660698.21</v>
      </c>
      <c r="R53" s="50">
        <v>1660698.21</v>
      </c>
      <c r="S53" s="50">
        <v>1660698.21</v>
      </c>
      <c r="T53" s="47" t="str">
        <f t="shared" si="0"/>
        <v>020202</v>
      </c>
    </row>
    <row r="54" spans="1:20" ht="15" customHeight="1" x14ac:dyDescent="0.25">
      <c r="A54" s="47" t="s">
        <v>261</v>
      </c>
      <c r="B54" s="48" t="s">
        <v>262</v>
      </c>
      <c r="C54" s="49" t="s">
        <v>367</v>
      </c>
      <c r="D54" s="47" t="s">
        <v>264</v>
      </c>
      <c r="E54" s="47" t="s">
        <v>269</v>
      </c>
      <c r="F54" s="47" t="s">
        <v>269</v>
      </c>
      <c r="G54" s="47" t="s">
        <v>269</v>
      </c>
      <c r="H54" s="47" t="s">
        <v>351</v>
      </c>
      <c r="I54" s="47" t="s">
        <v>319</v>
      </c>
      <c r="J54" s="47"/>
      <c r="K54" s="47"/>
      <c r="L54" s="47"/>
      <c r="M54" s="47" t="s">
        <v>273</v>
      </c>
      <c r="N54" s="47" t="s">
        <v>34</v>
      </c>
      <c r="O54" s="47" t="s">
        <v>267</v>
      </c>
      <c r="P54" s="48" t="s">
        <v>368</v>
      </c>
      <c r="Q54" s="50">
        <v>0</v>
      </c>
      <c r="R54" s="50">
        <v>0</v>
      </c>
      <c r="S54" s="50">
        <v>0</v>
      </c>
      <c r="T54" s="47" t="str">
        <f t="shared" si="0"/>
        <v>020202</v>
      </c>
    </row>
    <row r="55" spans="1:20" ht="15" customHeight="1" x14ac:dyDescent="0.25">
      <c r="A55" s="47" t="s">
        <v>261</v>
      </c>
      <c r="B55" s="48" t="s">
        <v>262</v>
      </c>
      <c r="C55" s="49" t="s">
        <v>434</v>
      </c>
      <c r="D55" s="47" t="s">
        <v>264</v>
      </c>
      <c r="E55" s="47" t="s">
        <v>269</v>
      </c>
      <c r="F55" s="47" t="s">
        <v>269</v>
      </c>
      <c r="G55" s="47" t="s">
        <v>269</v>
      </c>
      <c r="H55" s="47" t="s">
        <v>351</v>
      </c>
      <c r="I55" s="47" t="s">
        <v>322</v>
      </c>
      <c r="J55" s="47"/>
      <c r="K55" s="47"/>
      <c r="L55" s="47"/>
      <c r="M55" s="47" t="s">
        <v>266</v>
      </c>
      <c r="N55" s="47" t="s">
        <v>280</v>
      </c>
      <c r="O55" s="47" t="s">
        <v>267</v>
      </c>
      <c r="P55" s="48" t="s">
        <v>435</v>
      </c>
      <c r="Q55" s="50">
        <v>23343057</v>
      </c>
      <c r="R55" s="50">
        <v>12968365</v>
      </c>
      <c r="S55" s="50">
        <v>12968365</v>
      </c>
      <c r="T55" s="47" t="str">
        <f t="shared" si="0"/>
        <v>020202</v>
      </c>
    </row>
    <row r="56" spans="1:20" ht="15" customHeight="1" x14ac:dyDescent="0.25">
      <c r="A56" s="47" t="s">
        <v>261</v>
      </c>
      <c r="B56" s="48" t="s">
        <v>262</v>
      </c>
      <c r="C56" s="49" t="s">
        <v>434</v>
      </c>
      <c r="D56" s="47" t="s">
        <v>264</v>
      </c>
      <c r="E56" s="47" t="s">
        <v>269</v>
      </c>
      <c r="F56" s="47" t="s">
        <v>269</v>
      </c>
      <c r="G56" s="47" t="s">
        <v>269</v>
      </c>
      <c r="H56" s="47" t="s">
        <v>351</v>
      </c>
      <c r="I56" s="47" t="s">
        <v>322</v>
      </c>
      <c r="J56" s="47"/>
      <c r="K56" s="47"/>
      <c r="L56" s="47"/>
      <c r="M56" s="47" t="s">
        <v>273</v>
      </c>
      <c r="N56" s="47" t="s">
        <v>34</v>
      </c>
      <c r="O56" s="47" t="s">
        <v>267</v>
      </c>
      <c r="P56" s="48" t="s">
        <v>435</v>
      </c>
      <c r="Q56" s="50">
        <v>138510765.84999999</v>
      </c>
      <c r="R56" s="50">
        <v>118905050.83</v>
      </c>
      <c r="S56" s="50">
        <v>0</v>
      </c>
      <c r="T56" s="47" t="str">
        <f t="shared" si="0"/>
        <v>020202</v>
      </c>
    </row>
    <row r="57" spans="1:20" ht="15" customHeight="1" x14ac:dyDescent="0.25">
      <c r="A57" s="47" t="s">
        <v>261</v>
      </c>
      <c r="B57" s="48" t="s">
        <v>262</v>
      </c>
      <c r="C57" s="49" t="s">
        <v>436</v>
      </c>
      <c r="D57" s="47" t="s">
        <v>264</v>
      </c>
      <c r="E57" s="47" t="s">
        <v>269</v>
      </c>
      <c r="F57" s="47" t="s">
        <v>269</v>
      </c>
      <c r="G57" s="47" t="s">
        <v>269</v>
      </c>
      <c r="H57" s="47" t="s">
        <v>351</v>
      </c>
      <c r="I57" s="47" t="s">
        <v>328</v>
      </c>
      <c r="J57" s="47"/>
      <c r="K57" s="47"/>
      <c r="L57" s="47"/>
      <c r="M57" s="47" t="s">
        <v>266</v>
      </c>
      <c r="N57" s="47" t="s">
        <v>280</v>
      </c>
      <c r="O57" s="47" t="s">
        <v>267</v>
      </c>
      <c r="P57" s="48" t="s">
        <v>437</v>
      </c>
      <c r="Q57" s="50">
        <v>5164600</v>
      </c>
      <c r="R57" s="50">
        <v>0</v>
      </c>
      <c r="S57" s="50">
        <v>0</v>
      </c>
      <c r="T57" s="47" t="str">
        <f t="shared" si="0"/>
        <v>020202</v>
      </c>
    </row>
    <row r="58" spans="1:20" ht="15" customHeight="1" x14ac:dyDescent="0.25">
      <c r="A58" s="47" t="s">
        <v>261</v>
      </c>
      <c r="B58" s="48" t="s">
        <v>262</v>
      </c>
      <c r="C58" s="49" t="s">
        <v>436</v>
      </c>
      <c r="D58" s="47" t="s">
        <v>264</v>
      </c>
      <c r="E58" s="47" t="s">
        <v>269</v>
      </c>
      <c r="F58" s="47" t="s">
        <v>269</v>
      </c>
      <c r="G58" s="47" t="s">
        <v>269</v>
      </c>
      <c r="H58" s="47" t="s">
        <v>351</v>
      </c>
      <c r="I58" s="47" t="s">
        <v>328</v>
      </c>
      <c r="J58" s="47"/>
      <c r="K58" s="47"/>
      <c r="L58" s="47"/>
      <c r="M58" s="47" t="s">
        <v>273</v>
      </c>
      <c r="N58" s="47" t="s">
        <v>34</v>
      </c>
      <c r="O58" s="47" t="s">
        <v>267</v>
      </c>
      <c r="P58" s="48" t="s">
        <v>437</v>
      </c>
      <c r="Q58" s="50">
        <v>0</v>
      </c>
      <c r="R58" s="50">
        <v>0</v>
      </c>
      <c r="S58" s="50">
        <v>0</v>
      </c>
      <c r="T58" s="47" t="str">
        <f t="shared" si="0"/>
        <v>020202</v>
      </c>
    </row>
    <row r="59" spans="1:20" ht="15" customHeight="1" x14ac:dyDescent="0.25">
      <c r="A59" s="47" t="s">
        <v>261</v>
      </c>
      <c r="B59" s="48" t="s">
        <v>262</v>
      </c>
      <c r="C59" s="49" t="s">
        <v>610</v>
      </c>
      <c r="D59" s="47" t="s">
        <v>264</v>
      </c>
      <c r="E59" s="47" t="s">
        <v>269</v>
      </c>
      <c r="F59" s="47" t="s">
        <v>269</v>
      </c>
      <c r="G59" s="47" t="s">
        <v>269</v>
      </c>
      <c r="H59" s="47" t="s">
        <v>351</v>
      </c>
      <c r="I59" s="47" t="s">
        <v>351</v>
      </c>
      <c r="J59" s="47"/>
      <c r="K59" s="47"/>
      <c r="L59" s="47"/>
      <c r="M59" s="47" t="s">
        <v>266</v>
      </c>
      <c r="N59" s="47" t="s">
        <v>280</v>
      </c>
      <c r="O59" s="47" t="s">
        <v>267</v>
      </c>
      <c r="P59" s="48" t="s">
        <v>611</v>
      </c>
      <c r="Q59" s="50">
        <v>0</v>
      </c>
      <c r="R59" s="50">
        <v>0</v>
      </c>
      <c r="S59" s="50">
        <v>0</v>
      </c>
      <c r="T59" s="47" t="str">
        <f t="shared" si="0"/>
        <v>020202</v>
      </c>
    </row>
    <row r="60" spans="1:20" ht="15" customHeight="1" x14ac:dyDescent="0.25">
      <c r="A60" s="47" t="s">
        <v>261</v>
      </c>
      <c r="B60" s="48" t="s">
        <v>262</v>
      </c>
      <c r="C60" s="49" t="s">
        <v>610</v>
      </c>
      <c r="D60" s="47" t="s">
        <v>264</v>
      </c>
      <c r="E60" s="47" t="s">
        <v>269</v>
      </c>
      <c r="F60" s="47" t="s">
        <v>269</v>
      </c>
      <c r="G60" s="47" t="s">
        <v>269</v>
      </c>
      <c r="H60" s="47" t="s">
        <v>351</v>
      </c>
      <c r="I60" s="47" t="s">
        <v>351</v>
      </c>
      <c r="J60" s="47"/>
      <c r="K60" s="47"/>
      <c r="L60" s="47"/>
      <c r="M60" s="47" t="s">
        <v>273</v>
      </c>
      <c r="N60" s="47" t="s">
        <v>34</v>
      </c>
      <c r="O60" s="47" t="s">
        <v>267</v>
      </c>
      <c r="P60" s="48" t="s">
        <v>611</v>
      </c>
      <c r="Q60" s="50">
        <v>0</v>
      </c>
      <c r="R60" s="50">
        <v>0</v>
      </c>
      <c r="S60" s="50">
        <v>0</v>
      </c>
      <c r="T60" s="47" t="str">
        <f t="shared" si="0"/>
        <v>020202</v>
      </c>
    </row>
    <row r="61" spans="1:20" ht="15" customHeight="1" x14ac:dyDescent="0.25">
      <c r="A61" s="47" t="s">
        <v>261</v>
      </c>
      <c r="B61" s="48" t="s">
        <v>262</v>
      </c>
      <c r="C61" s="49" t="s">
        <v>612</v>
      </c>
      <c r="D61" s="47" t="s">
        <v>264</v>
      </c>
      <c r="E61" s="47" t="s">
        <v>269</v>
      </c>
      <c r="F61" s="47" t="s">
        <v>269</v>
      </c>
      <c r="G61" s="47" t="s">
        <v>269</v>
      </c>
      <c r="H61" s="47" t="s">
        <v>351</v>
      </c>
      <c r="I61" s="47" t="s">
        <v>331</v>
      </c>
      <c r="J61" s="47"/>
      <c r="K61" s="47"/>
      <c r="L61" s="47"/>
      <c r="M61" s="47" t="s">
        <v>266</v>
      </c>
      <c r="N61" s="47" t="s">
        <v>280</v>
      </c>
      <c r="O61" s="47" t="s">
        <v>267</v>
      </c>
      <c r="P61" s="48" t="s">
        <v>613</v>
      </c>
      <c r="Q61" s="50">
        <v>0</v>
      </c>
      <c r="R61" s="50">
        <v>0</v>
      </c>
      <c r="S61" s="50">
        <v>0</v>
      </c>
      <c r="T61" s="47" t="str">
        <f t="shared" si="0"/>
        <v>020202</v>
      </c>
    </row>
    <row r="62" spans="1:20" ht="15" customHeight="1" x14ac:dyDescent="0.25">
      <c r="A62" s="47" t="s">
        <v>261</v>
      </c>
      <c r="B62" s="48" t="s">
        <v>262</v>
      </c>
      <c r="C62" s="49" t="s">
        <v>614</v>
      </c>
      <c r="D62" s="47" t="s">
        <v>264</v>
      </c>
      <c r="E62" s="47" t="s">
        <v>269</v>
      </c>
      <c r="F62" s="47" t="s">
        <v>269</v>
      </c>
      <c r="G62" s="47" t="s">
        <v>269</v>
      </c>
      <c r="H62" s="47" t="s">
        <v>331</v>
      </c>
      <c r="I62" s="47" t="s">
        <v>316</v>
      </c>
      <c r="J62" s="47"/>
      <c r="K62" s="47"/>
      <c r="L62" s="47"/>
      <c r="M62" s="47" t="s">
        <v>273</v>
      </c>
      <c r="N62" s="47" t="s">
        <v>34</v>
      </c>
      <c r="O62" s="47" t="s">
        <v>267</v>
      </c>
      <c r="P62" s="48" t="s">
        <v>615</v>
      </c>
      <c r="Q62" s="50">
        <v>0</v>
      </c>
      <c r="R62" s="50">
        <v>0</v>
      </c>
      <c r="S62" s="50">
        <v>0</v>
      </c>
      <c r="T62" s="47" t="str">
        <f t="shared" si="0"/>
        <v>020202</v>
      </c>
    </row>
    <row r="63" spans="1:20" ht="15" customHeight="1" x14ac:dyDescent="0.25">
      <c r="A63" s="47" t="s">
        <v>261</v>
      </c>
      <c r="B63" s="48" t="s">
        <v>262</v>
      </c>
      <c r="C63" s="49" t="s">
        <v>369</v>
      </c>
      <c r="D63" s="47" t="s">
        <v>264</v>
      </c>
      <c r="E63" s="47" t="s">
        <v>269</v>
      </c>
      <c r="F63" s="47" t="s">
        <v>269</v>
      </c>
      <c r="G63" s="47" t="s">
        <v>269</v>
      </c>
      <c r="H63" s="47" t="s">
        <v>331</v>
      </c>
      <c r="I63" s="47" t="s">
        <v>319</v>
      </c>
      <c r="J63" s="47"/>
      <c r="K63" s="47"/>
      <c r="L63" s="47"/>
      <c r="M63" s="47" t="s">
        <v>266</v>
      </c>
      <c r="N63" s="47" t="s">
        <v>280</v>
      </c>
      <c r="O63" s="47" t="s">
        <v>267</v>
      </c>
      <c r="P63" s="48" t="s">
        <v>370</v>
      </c>
      <c r="Q63" s="50">
        <v>0</v>
      </c>
      <c r="R63" s="50">
        <v>0</v>
      </c>
      <c r="S63" s="50">
        <v>0</v>
      </c>
      <c r="T63" s="47" t="str">
        <f t="shared" si="0"/>
        <v>020202</v>
      </c>
    </row>
    <row r="64" spans="1:20" ht="15" customHeight="1" x14ac:dyDescent="0.25">
      <c r="A64" s="47" t="s">
        <v>261</v>
      </c>
      <c r="B64" s="48" t="s">
        <v>262</v>
      </c>
      <c r="C64" s="49" t="s">
        <v>616</v>
      </c>
      <c r="D64" s="47" t="s">
        <v>264</v>
      </c>
      <c r="E64" s="47" t="s">
        <v>269</v>
      </c>
      <c r="F64" s="47" t="s">
        <v>269</v>
      </c>
      <c r="G64" s="47" t="s">
        <v>269</v>
      </c>
      <c r="H64" s="47" t="s">
        <v>331</v>
      </c>
      <c r="I64" s="47" t="s">
        <v>325</v>
      </c>
      <c r="J64" s="47"/>
      <c r="K64" s="47"/>
      <c r="L64" s="47"/>
      <c r="M64" s="47" t="s">
        <v>273</v>
      </c>
      <c r="N64" s="47" t="s">
        <v>34</v>
      </c>
      <c r="O64" s="47" t="s">
        <v>267</v>
      </c>
      <c r="P64" s="48" t="s">
        <v>617</v>
      </c>
      <c r="Q64" s="50">
        <v>0</v>
      </c>
      <c r="R64" s="50">
        <v>0</v>
      </c>
      <c r="S64" s="50">
        <v>0</v>
      </c>
      <c r="T64" s="47" t="str">
        <f t="shared" si="0"/>
        <v>020202</v>
      </c>
    </row>
    <row r="65" spans="1:20" ht="15" customHeight="1" x14ac:dyDescent="0.25">
      <c r="A65" s="47" t="s">
        <v>261</v>
      </c>
      <c r="B65" s="48" t="s">
        <v>262</v>
      </c>
      <c r="C65" s="49" t="s">
        <v>371</v>
      </c>
      <c r="D65" s="47" t="s">
        <v>264</v>
      </c>
      <c r="E65" s="47" t="s">
        <v>269</v>
      </c>
      <c r="F65" s="47" t="s">
        <v>269</v>
      </c>
      <c r="G65" s="47" t="s">
        <v>269</v>
      </c>
      <c r="H65" s="47" t="s">
        <v>334</v>
      </c>
      <c r="I65" s="47"/>
      <c r="J65" s="47"/>
      <c r="K65" s="47"/>
      <c r="L65" s="47"/>
      <c r="M65" s="47" t="s">
        <v>266</v>
      </c>
      <c r="N65" s="47" t="s">
        <v>280</v>
      </c>
      <c r="O65" s="47" t="s">
        <v>267</v>
      </c>
      <c r="P65" s="48" t="s">
        <v>372</v>
      </c>
      <c r="Q65" s="50">
        <v>0</v>
      </c>
      <c r="R65" s="50">
        <v>0</v>
      </c>
      <c r="S65" s="50">
        <v>0</v>
      </c>
      <c r="T65" s="47" t="str">
        <f t="shared" si="0"/>
        <v>020202</v>
      </c>
    </row>
    <row r="66" spans="1:20" ht="15" customHeight="1" x14ac:dyDescent="0.25">
      <c r="A66" s="47" t="s">
        <v>261</v>
      </c>
      <c r="B66" s="48" t="s">
        <v>262</v>
      </c>
      <c r="C66" s="49" t="s">
        <v>371</v>
      </c>
      <c r="D66" s="47" t="s">
        <v>264</v>
      </c>
      <c r="E66" s="47" t="s">
        <v>269</v>
      </c>
      <c r="F66" s="47" t="s">
        <v>269</v>
      </c>
      <c r="G66" s="47" t="s">
        <v>269</v>
      </c>
      <c r="H66" s="47" t="s">
        <v>334</v>
      </c>
      <c r="I66" s="47"/>
      <c r="J66" s="47"/>
      <c r="K66" s="47"/>
      <c r="L66" s="47"/>
      <c r="M66" s="47" t="s">
        <v>273</v>
      </c>
      <c r="N66" s="47" t="s">
        <v>34</v>
      </c>
      <c r="O66" s="47" t="s">
        <v>267</v>
      </c>
      <c r="P66" s="48" t="s">
        <v>372</v>
      </c>
      <c r="Q66" s="50">
        <v>0</v>
      </c>
      <c r="R66" s="50">
        <v>0</v>
      </c>
      <c r="S66" s="50">
        <v>0</v>
      </c>
      <c r="T66" s="47" t="str">
        <f t="shared" si="0"/>
        <v>020202</v>
      </c>
    </row>
    <row r="67" spans="1:20" ht="15" customHeight="1" x14ac:dyDescent="0.25">
      <c r="A67" s="47" t="s">
        <v>261</v>
      </c>
      <c r="B67" s="48" t="s">
        <v>262</v>
      </c>
      <c r="C67" s="49" t="s">
        <v>373</v>
      </c>
      <c r="D67" s="47" t="s">
        <v>264</v>
      </c>
      <c r="E67" s="47" t="s">
        <v>271</v>
      </c>
      <c r="F67" s="47" t="s">
        <v>277</v>
      </c>
      <c r="G67" s="47" t="s">
        <v>269</v>
      </c>
      <c r="H67" s="47" t="s">
        <v>278</v>
      </c>
      <c r="I67" s="47" t="s">
        <v>281</v>
      </c>
      <c r="J67" s="47"/>
      <c r="K67" s="47"/>
      <c r="L67" s="47"/>
      <c r="M67" s="47" t="s">
        <v>266</v>
      </c>
      <c r="N67" s="47" t="s">
        <v>280</v>
      </c>
      <c r="O67" s="47" t="s">
        <v>267</v>
      </c>
      <c r="P67" s="48" t="s">
        <v>374</v>
      </c>
      <c r="Q67" s="50">
        <v>0</v>
      </c>
      <c r="R67" s="50">
        <v>0</v>
      </c>
      <c r="S67" s="50">
        <v>0</v>
      </c>
      <c r="T67" s="47" t="str">
        <f t="shared" ref="T67:T130" si="1">E67&amp;F67&amp;G67</f>
        <v>030402</v>
      </c>
    </row>
    <row r="68" spans="1:20" ht="15" customHeight="1" x14ac:dyDescent="0.25">
      <c r="A68" s="47" t="s">
        <v>261</v>
      </c>
      <c r="B68" s="48" t="s">
        <v>262</v>
      </c>
      <c r="C68" s="49" t="s">
        <v>387</v>
      </c>
      <c r="D68" s="47" t="s">
        <v>264</v>
      </c>
      <c r="E68" s="47" t="s">
        <v>271</v>
      </c>
      <c r="F68" s="47" t="s">
        <v>277</v>
      </c>
      <c r="G68" s="47" t="s">
        <v>269</v>
      </c>
      <c r="H68" s="47" t="s">
        <v>278</v>
      </c>
      <c r="I68" s="47" t="s">
        <v>283</v>
      </c>
      <c r="J68" s="47"/>
      <c r="K68" s="47"/>
      <c r="L68" s="47"/>
      <c r="M68" s="47" t="s">
        <v>266</v>
      </c>
      <c r="N68" s="47" t="s">
        <v>280</v>
      </c>
      <c r="O68" s="47" t="s">
        <v>267</v>
      </c>
      <c r="P68" s="48" t="s">
        <v>388</v>
      </c>
      <c r="Q68" s="50">
        <v>0</v>
      </c>
      <c r="R68" s="50">
        <v>0</v>
      </c>
      <c r="S68" s="50">
        <v>0</v>
      </c>
      <c r="T68" s="47" t="str">
        <f t="shared" si="1"/>
        <v>030402</v>
      </c>
    </row>
    <row r="69" spans="1:20" ht="15" customHeight="1" x14ac:dyDescent="0.25">
      <c r="A69" s="47" t="s">
        <v>261</v>
      </c>
      <c r="B69" s="48" t="s">
        <v>262</v>
      </c>
      <c r="C69" s="49" t="s">
        <v>375</v>
      </c>
      <c r="D69" s="47" t="s">
        <v>264</v>
      </c>
      <c r="E69" s="47" t="s">
        <v>285</v>
      </c>
      <c r="F69" s="47" t="s">
        <v>265</v>
      </c>
      <c r="G69" s="47" t="s">
        <v>269</v>
      </c>
      <c r="H69" s="47" t="s">
        <v>281</v>
      </c>
      <c r="I69" s="47"/>
      <c r="J69" s="47"/>
      <c r="K69" s="47"/>
      <c r="L69" s="47"/>
      <c r="M69" s="47" t="s">
        <v>266</v>
      </c>
      <c r="N69" s="47" t="s">
        <v>280</v>
      </c>
      <c r="O69" s="47" t="s">
        <v>267</v>
      </c>
      <c r="P69" s="48" t="s">
        <v>376</v>
      </c>
      <c r="Q69" s="50">
        <v>0</v>
      </c>
      <c r="R69" s="50">
        <v>0</v>
      </c>
      <c r="S69" s="50">
        <v>0</v>
      </c>
      <c r="T69" s="47" t="str">
        <f t="shared" si="1"/>
        <v>080102</v>
      </c>
    </row>
    <row r="70" spans="1:20" ht="15" customHeight="1" x14ac:dyDescent="0.25">
      <c r="A70" s="47" t="s">
        <v>261</v>
      </c>
      <c r="B70" s="48" t="s">
        <v>262</v>
      </c>
      <c r="C70" s="49" t="s">
        <v>375</v>
      </c>
      <c r="D70" s="47" t="s">
        <v>264</v>
      </c>
      <c r="E70" s="47" t="s">
        <v>285</v>
      </c>
      <c r="F70" s="47" t="s">
        <v>265</v>
      </c>
      <c r="G70" s="47" t="s">
        <v>269</v>
      </c>
      <c r="H70" s="47" t="s">
        <v>281</v>
      </c>
      <c r="I70" s="47"/>
      <c r="J70" s="47"/>
      <c r="K70" s="47"/>
      <c r="L70" s="47"/>
      <c r="M70" s="47" t="s">
        <v>273</v>
      </c>
      <c r="N70" s="47" t="s">
        <v>34</v>
      </c>
      <c r="O70" s="47" t="s">
        <v>267</v>
      </c>
      <c r="P70" s="48" t="s">
        <v>376</v>
      </c>
      <c r="Q70" s="50">
        <v>0</v>
      </c>
      <c r="R70" s="50">
        <v>0</v>
      </c>
      <c r="S70" s="50">
        <v>0</v>
      </c>
      <c r="T70" s="47" t="str">
        <f t="shared" si="1"/>
        <v>080102</v>
      </c>
    </row>
    <row r="71" spans="1:20" ht="15" customHeight="1" x14ac:dyDescent="0.25">
      <c r="A71" s="47" t="s">
        <v>261</v>
      </c>
      <c r="B71" s="48" t="s">
        <v>262</v>
      </c>
      <c r="C71" s="49" t="s">
        <v>377</v>
      </c>
      <c r="D71" s="47" t="s">
        <v>264</v>
      </c>
      <c r="E71" s="47" t="s">
        <v>285</v>
      </c>
      <c r="F71" s="47" t="s">
        <v>265</v>
      </c>
      <c r="G71" s="47" t="s">
        <v>269</v>
      </c>
      <c r="H71" s="47" t="s">
        <v>316</v>
      </c>
      <c r="I71" s="47"/>
      <c r="J71" s="47"/>
      <c r="K71" s="47"/>
      <c r="L71" s="47"/>
      <c r="M71" s="47" t="s">
        <v>266</v>
      </c>
      <c r="N71" s="47" t="s">
        <v>280</v>
      </c>
      <c r="O71" s="47" t="s">
        <v>267</v>
      </c>
      <c r="P71" s="48" t="s">
        <v>378</v>
      </c>
      <c r="Q71" s="50">
        <v>0</v>
      </c>
      <c r="R71" s="50">
        <v>0</v>
      </c>
      <c r="S71" s="50">
        <v>0</v>
      </c>
      <c r="T71" s="47" t="str">
        <f t="shared" si="1"/>
        <v>080102</v>
      </c>
    </row>
    <row r="72" spans="1:20" ht="15" customHeight="1" x14ac:dyDescent="0.25">
      <c r="A72" s="47" t="s">
        <v>261</v>
      </c>
      <c r="B72" s="48" t="s">
        <v>262</v>
      </c>
      <c r="C72" s="49" t="s">
        <v>377</v>
      </c>
      <c r="D72" s="47" t="s">
        <v>264</v>
      </c>
      <c r="E72" s="47" t="s">
        <v>285</v>
      </c>
      <c r="F72" s="47" t="s">
        <v>265</v>
      </c>
      <c r="G72" s="47" t="s">
        <v>269</v>
      </c>
      <c r="H72" s="47" t="s">
        <v>316</v>
      </c>
      <c r="I72" s="47"/>
      <c r="J72" s="47"/>
      <c r="K72" s="47"/>
      <c r="L72" s="47"/>
      <c r="M72" s="47" t="s">
        <v>273</v>
      </c>
      <c r="N72" s="47" t="s">
        <v>34</v>
      </c>
      <c r="O72" s="47" t="s">
        <v>267</v>
      </c>
      <c r="P72" s="48" t="s">
        <v>378</v>
      </c>
      <c r="Q72" s="50">
        <v>0</v>
      </c>
      <c r="R72" s="50">
        <v>0</v>
      </c>
      <c r="S72" s="50">
        <v>0</v>
      </c>
      <c r="T72" s="47" t="str">
        <f t="shared" si="1"/>
        <v>080102</v>
      </c>
    </row>
    <row r="73" spans="1:20" ht="15" customHeight="1" x14ac:dyDescent="0.25">
      <c r="A73" s="47" t="s">
        <v>261</v>
      </c>
      <c r="B73" s="48" t="s">
        <v>262</v>
      </c>
      <c r="C73" s="49" t="s">
        <v>618</v>
      </c>
      <c r="D73" s="47" t="s">
        <v>264</v>
      </c>
      <c r="E73" s="47" t="s">
        <v>285</v>
      </c>
      <c r="F73" s="47" t="s">
        <v>265</v>
      </c>
      <c r="G73" s="47" t="s">
        <v>269</v>
      </c>
      <c r="H73" s="47" t="s">
        <v>319</v>
      </c>
      <c r="I73" s="47"/>
      <c r="J73" s="47"/>
      <c r="K73" s="47"/>
      <c r="L73" s="47"/>
      <c r="M73" s="47" t="s">
        <v>273</v>
      </c>
      <c r="N73" s="47" t="s">
        <v>34</v>
      </c>
      <c r="O73" s="47" t="s">
        <v>267</v>
      </c>
      <c r="P73" s="48" t="s">
        <v>619</v>
      </c>
      <c r="Q73" s="50">
        <v>0</v>
      </c>
      <c r="R73" s="50">
        <v>0</v>
      </c>
      <c r="S73" s="50">
        <v>0</v>
      </c>
      <c r="T73" s="47" t="str">
        <f t="shared" si="1"/>
        <v>080102</v>
      </c>
    </row>
    <row r="74" spans="1:20" ht="15" customHeight="1" x14ac:dyDescent="0.25">
      <c r="A74" s="47" t="s">
        <v>261</v>
      </c>
      <c r="B74" s="48" t="s">
        <v>262</v>
      </c>
      <c r="C74" s="49" t="s">
        <v>379</v>
      </c>
      <c r="D74" s="47" t="s">
        <v>264</v>
      </c>
      <c r="E74" s="47" t="s">
        <v>285</v>
      </c>
      <c r="F74" s="47" t="s">
        <v>265</v>
      </c>
      <c r="G74" s="47" t="s">
        <v>269</v>
      </c>
      <c r="H74" s="47" t="s">
        <v>325</v>
      </c>
      <c r="I74" s="47"/>
      <c r="J74" s="47"/>
      <c r="K74" s="47"/>
      <c r="L74" s="47"/>
      <c r="M74" s="47" t="s">
        <v>266</v>
      </c>
      <c r="N74" s="47" t="s">
        <v>280</v>
      </c>
      <c r="O74" s="47" t="s">
        <v>267</v>
      </c>
      <c r="P74" s="48" t="s">
        <v>380</v>
      </c>
      <c r="Q74" s="50">
        <v>0</v>
      </c>
      <c r="R74" s="50">
        <v>0</v>
      </c>
      <c r="S74" s="50">
        <v>0</v>
      </c>
      <c r="T74" s="47" t="str">
        <f t="shared" si="1"/>
        <v>080102</v>
      </c>
    </row>
    <row r="75" spans="1:20" ht="15" customHeight="1" x14ac:dyDescent="0.25">
      <c r="A75" s="47" t="s">
        <v>261</v>
      </c>
      <c r="B75" s="48" t="s">
        <v>262</v>
      </c>
      <c r="C75" s="49" t="s">
        <v>620</v>
      </c>
      <c r="D75" s="47" t="s">
        <v>264</v>
      </c>
      <c r="E75" s="47" t="s">
        <v>285</v>
      </c>
      <c r="F75" s="47" t="s">
        <v>621</v>
      </c>
      <c r="G75" s="47" t="s">
        <v>265</v>
      </c>
      <c r="H75" s="47" t="s">
        <v>316</v>
      </c>
      <c r="I75" s="47"/>
      <c r="J75" s="47"/>
      <c r="K75" s="47"/>
      <c r="L75" s="47"/>
      <c r="M75" s="47" t="s">
        <v>266</v>
      </c>
      <c r="N75" s="47" t="s">
        <v>280</v>
      </c>
      <c r="O75" s="47" t="s">
        <v>267</v>
      </c>
      <c r="P75" s="48" t="s">
        <v>622</v>
      </c>
      <c r="Q75" s="50">
        <v>0</v>
      </c>
      <c r="R75" s="50">
        <v>0</v>
      </c>
      <c r="S75" s="50">
        <v>0</v>
      </c>
      <c r="T75" s="47" t="str">
        <f t="shared" si="1"/>
        <v>080501</v>
      </c>
    </row>
    <row r="76" spans="1:20" ht="15" customHeight="1" x14ac:dyDescent="0.25">
      <c r="A76" s="47" t="s">
        <v>261</v>
      </c>
      <c r="B76" s="48" t="s">
        <v>262</v>
      </c>
      <c r="C76" s="49" t="s">
        <v>553</v>
      </c>
      <c r="D76" s="47" t="s">
        <v>22</v>
      </c>
      <c r="E76" s="47" t="s">
        <v>289</v>
      </c>
      <c r="F76" s="47" t="s">
        <v>290</v>
      </c>
      <c r="G76" s="47" t="s">
        <v>291</v>
      </c>
      <c r="H76" s="47" t="s">
        <v>445</v>
      </c>
      <c r="I76" s="47" t="s">
        <v>554</v>
      </c>
      <c r="J76" s="47" t="s">
        <v>269</v>
      </c>
      <c r="K76" s="47"/>
      <c r="L76" s="47"/>
      <c r="M76" s="47" t="s">
        <v>266</v>
      </c>
      <c r="N76" s="47" t="s">
        <v>280</v>
      </c>
      <c r="O76" s="47" t="s">
        <v>267</v>
      </c>
      <c r="P76" s="48" t="s">
        <v>623</v>
      </c>
      <c r="Q76" s="50">
        <v>17822336</v>
      </c>
      <c r="R76" s="50">
        <v>8428201</v>
      </c>
      <c r="S76" s="50">
        <v>8428201</v>
      </c>
      <c r="T76" s="47" t="str">
        <f t="shared" si="1"/>
        <v>040210037</v>
      </c>
    </row>
    <row r="77" spans="1:20" ht="15" customHeight="1" x14ac:dyDescent="0.25">
      <c r="A77" s="47" t="s">
        <v>261</v>
      </c>
      <c r="B77" s="48" t="s">
        <v>262</v>
      </c>
      <c r="C77" s="49" t="s">
        <v>524</v>
      </c>
      <c r="D77" s="47" t="s">
        <v>22</v>
      </c>
      <c r="E77" s="47" t="s">
        <v>289</v>
      </c>
      <c r="F77" s="47" t="s">
        <v>290</v>
      </c>
      <c r="G77" s="47" t="s">
        <v>291</v>
      </c>
      <c r="H77" s="47" t="s">
        <v>445</v>
      </c>
      <c r="I77" s="47" t="s">
        <v>525</v>
      </c>
      <c r="J77" s="47" t="s">
        <v>269</v>
      </c>
      <c r="K77" s="47"/>
      <c r="L77" s="47"/>
      <c r="M77" s="47" t="s">
        <v>266</v>
      </c>
      <c r="N77" s="47" t="s">
        <v>280</v>
      </c>
      <c r="O77" s="47" t="s">
        <v>267</v>
      </c>
      <c r="P77" s="48" t="s">
        <v>624</v>
      </c>
      <c r="Q77" s="50">
        <v>97233672</v>
      </c>
      <c r="R77" s="50">
        <v>46217350</v>
      </c>
      <c r="S77" s="50">
        <v>46217350</v>
      </c>
      <c r="T77" s="47" t="str">
        <f t="shared" si="1"/>
        <v>040210037</v>
      </c>
    </row>
    <row r="78" spans="1:20" ht="15" customHeight="1" x14ac:dyDescent="0.25">
      <c r="A78" s="47" t="s">
        <v>261</v>
      </c>
      <c r="B78" s="48" t="s">
        <v>262</v>
      </c>
      <c r="C78" s="49" t="s">
        <v>625</v>
      </c>
      <c r="D78" s="47" t="s">
        <v>22</v>
      </c>
      <c r="E78" s="47" t="s">
        <v>289</v>
      </c>
      <c r="F78" s="47" t="s">
        <v>290</v>
      </c>
      <c r="G78" s="47" t="s">
        <v>291</v>
      </c>
      <c r="H78" s="47" t="s">
        <v>445</v>
      </c>
      <c r="I78" s="47" t="s">
        <v>626</v>
      </c>
      <c r="J78" s="47" t="s">
        <v>269</v>
      </c>
      <c r="K78" s="47"/>
      <c r="L78" s="47"/>
      <c r="M78" s="47" t="s">
        <v>266</v>
      </c>
      <c r="N78" s="47" t="s">
        <v>280</v>
      </c>
      <c r="O78" s="47" t="s">
        <v>267</v>
      </c>
      <c r="P78" s="48" t="s">
        <v>627</v>
      </c>
      <c r="Q78" s="50">
        <v>19690679</v>
      </c>
      <c r="R78" s="50">
        <v>14503333</v>
      </c>
      <c r="S78" s="50">
        <v>14503333</v>
      </c>
      <c r="T78" s="47" t="str">
        <f t="shared" si="1"/>
        <v>040210037</v>
      </c>
    </row>
    <row r="79" spans="1:20" ht="15" customHeight="1" x14ac:dyDescent="0.25">
      <c r="A79" s="47" t="s">
        <v>261</v>
      </c>
      <c r="B79" s="48" t="s">
        <v>262</v>
      </c>
      <c r="C79" s="49" t="s">
        <v>628</v>
      </c>
      <c r="D79" s="47" t="s">
        <v>22</v>
      </c>
      <c r="E79" s="47" t="s">
        <v>289</v>
      </c>
      <c r="F79" s="47" t="s">
        <v>290</v>
      </c>
      <c r="G79" s="47" t="s">
        <v>291</v>
      </c>
      <c r="H79" s="47" t="s">
        <v>445</v>
      </c>
      <c r="I79" s="47" t="s">
        <v>629</v>
      </c>
      <c r="J79" s="47" t="s">
        <v>269</v>
      </c>
      <c r="K79" s="47"/>
      <c r="L79" s="47"/>
      <c r="M79" s="47" t="s">
        <v>266</v>
      </c>
      <c r="N79" s="47" t="s">
        <v>280</v>
      </c>
      <c r="O79" s="47" t="s">
        <v>267</v>
      </c>
      <c r="P79" s="48" t="s">
        <v>630</v>
      </c>
      <c r="Q79" s="50">
        <v>0</v>
      </c>
      <c r="R79" s="50">
        <v>0</v>
      </c>
      <c r="S79" s="50">
        <v>0</v>
      </c>
      <c r="T79" s="47" t="str">
        <f t="shared" si="1"/>
        <v>040210037</v>
      </c>
    </row>
    <row r="80" spans="1:20" ht="15" customHeight="1" x14ac:dyDescent="0.25">
      <c r="A80" s="47" t="s">
        <v>261</v>
      </c>
      <c r="B80" s="48" t="s">
        <v>262</v>
      </c>
      <c r="C80" s="49" t="s">
        <v>631</v>
      </c>
      <c r="D80" s="47" t="s">
        <v>22</v>
      </c>
      <c r="E80" s="47" t="s">
        <v>289</v>
      </c>
      <c r="F80" s="47" t="s">
        <v>290</v>
      </c>
      <c r="G80" s="47" t="s">
        <v>291</v>
      </c>
      <c r="H80" s="47" t="s">
        <v>445</v>
      </c>
      <c r="I80" s="47" t="s">
        <v>632</v>
      </c>
      <c r="J80" s="47" t="s">
        <v>269</v>
      </c>
      <c r="K80" s="47"/>
      <c r="L80" s="47"/>
      <c r="M80" s="47" t="s">
        <v>266</v>
      </c>
      <c r="N80" s="47" t="s">
        <v>280</v>
      </c>
      <c r="O80" s="47" t="s">
        <v>267</v>
      </c>
      <c r="P80" s="48" t="s">
        <v>633</v>
      </c>
      <c r="Q80" s="50">
        <v>0</v>
      </c>
      <c r="R80" s="50">
        <v>0</v>
      </c>
      <c r="S80" s="50">
        <v>0</v>
      </c>
      <c r="T80" s="47" t="str">
        <f t="shared" si="1"/>
        <v>040210037</v>
      </c>
    </row>
    <row r="81" spans="1:20" ht="15" customHeight="1" x14ac:dyDescent="0.25">
      <c r="A81" s="47" t="s">
        <v>261</v>
      </c>
      <c r="B81" s="48" t="s">
        <v>262</v>
      </c>
      <c r="C81" s="49" t="s">
        <v>444</v>
      </c>
      <c r="D81" s="47" t="s">
        <v>22</v>
      </c>
      <c r="E81" s="47" t="s">
        <v>289</v>
      </c>
      <c r="F81" s="47" t="s">
        <v>290</v>
      </c>
      <c r="G81" s="47" t="s">
        <v>291</v>
      </c>
      <c r="H81" s="47" t="s">
        <v>445</v>
      </c>
      <c r="I81" s="47" t="s">
        <v>446</v>
      </c>
      <c r="J81" s="47" t="s">
        <v>269</v>
      </c>
      <c r="K81" s="47"/>
      <c r="L81" s="47"/>
      <c r="M81" s="47" t="s">
        <v>266</v>
      </c>
      <c r="N81" s="47" t="s">
        <v>280</v>
      </c>
      <c r="O81" s="47" t="s">
        <v>267</v>
      </c>
      <c r="P81" s="48" t="s">
        <v>634</v>
      </c>
      <c r="Q81" s="50">
        <v>628951083</v>
      </c>
      <c r="R81" s="50">
        <v>65181480</v>
      </c>
      <c r="S81" s="50">
        <v>31606910</v>
      </c>
      <c r="T81" s="47" t="str">
        <f t="shared" si="1"/>
        <v>040210037</v>
      </c>
    </row>
    <row r="82" spans="1:20" ht="15" customHeight="1" x14ac:dyDescent="0.25">
      <c r="A82" s="47" t="s">
        <v>261</v>
      </c>
      <c r="B82" s="48" t="s">
        <v>262</v>
      </c>
      <c r="C82" s="49" t="s">
        <v>635</v>
      </c>
      <c r="D82" s="47" t="s">
        <v>22</v>
      </c>
      <c r="E82" s="47" t="s">
        <v>289</v>
      </c>
      <c r="F82" s="47" t="s">
        <v>290</v>
      </c>
      <c r="G82" s="47" t="s">
        <v>291</v>
      </c>
      <c r="H82" s="47" t="s">
        <v>445</v>
      </c>
      <c r="I82" s="47" t="s">
        <v>636</v>
      </c>
      <c r="J82" s="47" t="s">
        <v>269</v>
      </c>
      <c r="K82" s="47"/>
      <c r="L82" s="47"/>
      <c r="M82" s="47" t="s">
        <v>266</v>
      </c>
      <c r="N82" s="47" t="s">
        <v>280</v>
      </c>
      <c r="O82" s="47" t="s">
        <v>267</v>
      </c>
      <c r="P82" s="48" t="s">
        <v>637</v>
      </c>
      <c r="Q82" s="50">
        <v>1297758</v>
      </c>
      <c r="R82" s="50">
        <v>1297758</v>
      </c>
      <c r="S82" s="50">
        <v>0</v>
      </c>
      <c r="T82" s="47" t="str">
        <f t="shared" si="1"/>
        <v>040210037</v>
      </c>
    </row>
    <row r="83" spans="1:20" ht="15" customHeight="1" x14ac:dyDescent="0.25">
      <c r="A83" s="47" t="s">
        <v>261</v>
      </c>
      <c r="B83" s="48" t="s">
        <v>262</v>
      </c>
      <c r="C83" s="49" t="s">
        <v>444</v>
      </c>
      <c r="D83" s="47" t="s">
        <v>22</v>
      </c>
      <c r="E83" s="47" t="s">
        <v>289</v>
      </c>
      <c r="F83" s="47" t="s">
        <v>290</v>
      </c>
      <c r="G83" s="47" t="s">
        <v>291</v>
      </c>
      <c r="H83" s="47" t="s">
        <v>445</v>
      </c>
      <c r="I83" s="47" t="s">
        <v>446</v>
      </c>
      <c r="J83" s="47" t="s">
        <v>269</v>
      </c>
      <c r="K83" s="47"/>
      <c r="L83" s="47"/>
      <c r="M83" s="47" t="s">
        <v>273</v>
      </c>
      <c r="N83" s="47" t="s">
        <v>34</v>
      </c>
      <c r="O83" s="47" t="s">
        <v>267</v>
      </c>
      <c r="P83" s="48" t="s">
        <v>634</v>
      </c>
      <c r="Q83" s="50">
        <v>66120293</v>
      </c>
      <c r="R83" s="50">
        <v>0</v>
      </c>
      <c r="S83" s="50">
        <v>0</v>
      </c>
      <c r="T83" s="47" t="str">
        <f t="shared" si="1"/>
        <v>040210037</v>
      </c>
    </row>
    <row r="84" spans="1:20" ht="15" customHeight="1" x14ac:dyDescent="0.25">
      <c r="A84" s="47" t="s">
        <v>261</v>
      </c>
      <c r="B84" s="48" t="s">
        <v>262</v>
      </c>
      <c r="C84" s="49" t="s">
        <v>635</v>
      </c>
      <c r="D84" s="47" t="s">
        <v>22</v>
      </c>
      <c r="E84" s="47" t="s">
        <v>289</v>
      </c>
      <c r="F84" s="47" t="s">
        <v>290</v>
      </c>
      <c r="G84" s="47" t="s">
        <v>291</v>
      </c>
      <c r="H84" s="47" t="s">
        <v>445</v>
      </c>
      <c r="I84" s="47" t="s">
        <v>636</v>
      </c>
      <c r="J84" s="47" t="s">
        <v>269</v>
      </c>
      <c r="K84" s="47"/>
      <c r="L84" s="47"/>
      <c r="M84" s="47" t="s">
        <v>273</v>
      </c>
      <c r="N84" s="47" t="s">
        <v>34</v>
      </c>
      <c r="O84" s="47" t="s">
        <v>267</v>
      </c>
      <c r="P84" s="48" t="s">
        <v>637</v>
      </c>
      <c r="Q84" s="50">
        <v>0</v>
      </c>
      <c r="R84" s="50">
        <v>0</v>
      </c>
      <c r="S84" s="50">
        <v>0</v>
      </c>
      <c r="T84" s="47" t="str">
        <f t="shared" si="1"/>
        <v>040210037</v>
      </c>
    </row>
    <row r="85" spans="1:20" ht="15" customHeight="1" x14ac:dyDescent="0.25">
      <c r="A85" s="47" t="s">
        <v>261</v>
      </c>
      <c r="B85" s="48" t="s">
        <v>262</v>
      </c>
      <c r="C85" s="49" t="s">
        <v>553</v>
      </c>
      <c r="D85" s="47" t="s">
        <v>22</v>
      </c>
      <c r="E85" s="47" t="s">
        <v>289</v>
      </c>
      <c r="F85" s="47" t="s">
        <v>290</v>
      </c>
      <c r="G85" s="47" t="s">
        <v>291</v>
      </c>
      <c r="H85" s="47" t="s">
        <v>445</v>
      </c>
      <c r="I85" s="47" t="s">
        <v>554</v>
      </c>
      <c r="J85" s="47" t="s">
        <v>269</v>
      </c>
      <c r="K85" s="47"/>
      <c r="L85" s="47"/>
      <c r="M85" s="47" t="s">
        <v>273</v>
      </c>
      <c r="N85" s="47" t="s">
        <v>34</v>
      </c>
      <c r="O85" s="47" t="s">
        <v>267</v>
      </c>
      <c r="P85" s="48" t="s">
        <v>623</v>
      </c>
      <c r="Q85" s="50">
        <v>0</v>
      </c>
      <c r="R85" s="50">
        <v>0</v>
      </c>
      <c r="S85" s="50">
        <v>0</v>
      </c>
      <c r="T85" s="47" t="str">
        <f t="shared" si="1"/>
        <v>040210037</v>
      </c>
    </row>
    <row r="86" spans="1:20" ht="15" customHeight="1" x14ac:dyDescent="0.25">
      <c r="A86" s="47" t="s">
        <v>261</v>
      </c>
      <c r="B86" s="48" t="s">
        <v>262</v>
      </c>
      <c r="C86" s="49" t="s">
        <v>524</v>
      </c>
      <c r="D86" s="47" t="s">
        <v>22</v>
      </c>
      <c r="E86" s="47" t="s">
        <v>289</v>
      </c>
      <c r="F86" s="47" t="s">
        <v>290</v>
      </c>
      <c r="G86" s="47" t="s">
        <v>291</v>
      </c>
      <c r="H86" s="47" t="s">
        <v>445</v>
      </c>
      <c r="I86" s="47" t="s">
        <v>525</v>
      </c>
      <c r="J86" s="47" t="s">
        <v>269</v>
      </c>
      <c r="K86" s="47"/>
      <c r="L86" s="47"/>
      <c r="M86" s="47" t="s">
        <v>273</v>
      </c>
      <c r="N86" s="47" t="s">
        <v>34</v>
      </c>
      <c r="O86" s="47" t="s">
        <v>267</v>
      </c>
      <c r="P86" s="48" t="s">
        <v>624</v>
      </c>
      <c r="Q86" s="50">
        <v>24995257</v>
      </c>
      <c r="R86" s="50">
        <v>0</v>
      </c>
      <c r="S86" s="50">
        <v>0</v>
      </c>
      <c r="T86" s="47" t="str">
        <f t="shared" si="1"/>
        <v>040210037</v>
      </c>
    </row>
    <row r="87" spans="1:20" ht="15" customHeight="1" x14ac:dyDescent="0.25">
      <c r="A87" s="47" t="s">
        <v>261</v>
      </c>
      <c r="B87" s="48" t="s">
        <v>262</v>
      </c>
      <c r="C87" s="49" t="s">
        <v>625</v>
      </c>
      <c r="D87" s="47" t="s">
        <v>22</v>
      </c>
      <c r="E87" s="47" t="s">
        <v>289</v>
      </c>
      <c r="F87" s="47" t="s">
        <v>290</v>
      </c>
      <c r="G87" s="47" t="s">
        <v>291</v>
      </c>
      <c r="H87" s="47" t="s">
        <v>445</v>
      </c>
      <c r="I87" s="47" t="s">
        <v>626</v>
      </c>
      <c r="J87" s="47" t="s">
        <v>269</v>
      </c>
      <c r="K87" s="47"/>
      <c r="L87" s="47"/>
      <c r="M87" s="47" t="s">
        <v>273</v>
      </c>
      <c r="N87" s="47" t="s">
        <v>34</v>
      </c>
      <c r="O87" s="47" t="s">
        <v>267</v>
      </c>
      <c r="P87" s="48" t="s">
        <v>627</v>
      </c>
      <c r="Q87" s="50">
        <v>0</v>
      </c>
      <c r="R87" s="50">
        <v>0</v>
      </c>
      <c r="S87" s="50">
        <v>0</v>
      </c>
      <c r="T87" s="47" t="str">
        <f t="shared" si="1"/>
        <v>040210037</v>
      </c>
    </row>
    <row r="88" spans="1:20" ht="15" customHeight="1" x14ac:dyDescent="0.25">
      <c r="A88" s="47" t="s">
        <v>261</v>
      </c>
      <c r="B88" s="48" t="s">
        <v>262</v>
      </c>
      <c r="C88" s="49" t="s">
        <v>555</v>
      </c>
      <c r="D88" s="47" t="s">
        <v>22</v>
      </c>
      <c r="E88" s="47" t="s">
        <v>289</v>
      </c>
      <c r="F88" s="47" t="s">
        <v>290</v>
      </c>
      <c r="G88" s="47" t="s">
        <v>293</v>
      </c>
      <c r="H88" s="47" t="s">
        <v>445</v>
      </c>
      <c r="I88" s="47" t="s">
        <v>554</v>
      </c>
      <c r="J88" s="47" t="s">
        <v>269</v>
      </c>
      <c r="K88" s="47"/>
      <c r="L88" s="47"/>
      <c r="M88" s="47" t="s">
        <v>266</v>
      </c>
      <c r="N88" s="47" t="s">
        <v>280</v>
      </c>
      <c r="O88" s="47" t="s">
        <v>267</v>
      </c>
      <c r="P88" s="48" t="s">
        <v>638</v>
      </c>
      <c r="Q88" s="50">
        <v>60333203</v>
      </c>
      <c r="R88" s="50">
        <v>40438863</v>
      </c>
      <c r="S88" s="50">
        <v>15111863</v>
      </c>
      <c r="T88" s="47" t="str">
        <f t="shared" si="1"/>
        <v>040210038</v>
      </c>
    </row>
    <row r="89" spans="1:20" ht="15" customHeight="1" x14ac:dyDescent="0.25">
      <c r="A89" s="47" t="s">
        <v>261</v>
      </c>
      <c r="B89" s="48" t="s">
        <v>262</v>
      </c>
      <c r="C89" s="49" t="s">
        <v>463</v>
      </c>
      <c r="D89" s="47" t="s">
        <v>22</v>
      </c>
      <c r="E89" s="47" t="s">
        <v>289</v>
      </c>
      <c r="F89" s="47" t="s">
        <v>290</v>
      </c>
      <c r="G89" s="47" t="s">
        <v>293</v>
      </c>
      <c r="H89" s="47" t="s">
        <v>445</v>
      </c>
      <c r="I89" s="47" t="s">
        <v>464</v>
      </c>
      <c r="J89" s="47" t="s">
        <v>269</v>
      </c>
      <c r="K89" s="47"/>
      <c r="L89" s="47"/>
      <c r="M89" s="47" t="s">
        <v>266</v>
      </c>
      <c r="N89" s="47" t="s">
        <v>280</v>
      </c>
      <c r="O89" s="47" t="s">
        <v>267</v>
      </c>
      <c r="P89" s="48" t="s">
        <v>639</v>
      </c>
      <c r="Q89" s="50">
        <v>65981258</v>
      </c>
      <c r="R89" s="50">
        <v>19429375</v>
      </c>
      <c r="S89" s="50">
        <v>11648356</v>
      </c>
      <c r="T89" s="47" t="str">
        <f t="shared" si="1"/>
        <v>040210038</v>
      </c>
    </row>
    <row r="90" spans="1:20" ht="15" customHeight="1" x14ac:dyDescent="0.25">
      <c r="A90" s="47" t="s">
        <v>261</v>
      </c>
      <c r="B90" s="48" t="s">
        <v>262</v>
      </c>
      <c r="C90" s="49" t="s">
        <v>458</v>
      </c>
      <c r="D90" s="47" t="s">
        <v>22</v>
      </c>
      <c r="E90" s="47" t="s">
        <v>289</v>
      </c>
      <c r="F90" s="47" t="s">
        <v>290</v>
      </c>
      <c r="G90" s="47" t="s">
        <v>293</v>
      </c>
      <c r="H90" s="47" t="s">
        <v>445</v>
      </c>
      <c r="I90" s="47" t="s">
        <v>459</v>
      </c>
      <c r="J90" s="47" t="s">
        <v>269</v>
      </c>
      <c r="K90" s="47"/>
      <c r="L90" s="47"/>
      <c r="M90" s="47" t="s">
        <v>266</v>
      </c>
      <c r="N90" s="47" t="s">
        <v>280</v>
      </c>
      <c r="O90" s="47" t="s">
        <v>267</v>
      </c>
      <c r="P90" s="48" t="s">
        <v>640</v>
      </c>
      <c r="Q90" s="50">
        <v>896903116</v>
      </c>
      <c r="R90" s="50">
        <v>202577542</v>
      </c>
      <c r="S90" s="50">
        <v>165077312</v>
      </c>
      <c r="T90" s="47" t="str">
        <f t="shared" si="1"/>
        <v>040210038</v>
      </c>
    </row>
    <row r="91" spans="1:20" ht="15" customHeight="1" x14ac:dyDescent="0.25">
      <c r="A91" s="47" t="s">
        <v>261</v>
      </c>
      <c r="B91" s="48" t="s">
        <v>262</v>
      </c>
      <c r="C91" s="49" t="s">
        <v>458</v>
      </c>
      <c r="D91" s="47" t="s">
        <v>22</v>
      </c>
      <c r="E91" s="47" t="s">
        <v>289</v>
      </c>
      <c r="F91" s="47" t="s">
        <v>290</v>
      </c>
      <c r="G91" s="47" t="s">
        <v>293</v>
      </c>
      <c r="H91" s="47" t="s">
        <v>445</v>
      </c>
      <c r="I91" s="47" t="s">
        <v>459</v>
      </c>
      <c r="J91" s="47" t="s">
        <v>269</v>
      </c>
      <c r="K91" s="47"/>
      <c r="L91" s="47"/>
      <c r="M91" s="47" t="s">
        <v>273</v>
      </c>
      <c r="N91" s="47" t="s">
        <v>34</v>
      </c>
      <c r="O91" s="47" t="s">
        <v>267</v>
      </c>
      <c r="P91" s="48" t="s">
        <v>640</v>
      </c>
      <c r="Q91" s="50">
        <v>42621512</v>
      </c>
      <c r="R91" s="50">
        <v>0</v>
      </c>
      <c r="S91" s="50">
        <v>0</v>
      </c>
      <c r="T91" s="47" t="str">
        <f t="shared" si="1"/>
        <v>040210038</v>
      </c>
    </row>
    <row r="92" spans="1:20" ht="15" customHeight="1" x14ac:dyDescent="0.25">
      <c r="A92" s="47" t="s">
        <v>261</v>
      </c>
      <c r="B92" s="48" t="s">
        <v>262</v>
      </c>
      <c r="C92" s="49" t="s">
        <v>463</v>
      </c>
      <c r="D92" s="47" t="s">
        <v>22</v>
      </c>
      <c r="E92" s="47" t="s">
        <v>289</v>
      </c>
      <c r="F92" s="47" t="s">
        <v>290</v>
      </c>
      <c r="G92" s="47" t="s">
        <v>293</v>
      </c>
      <c r="H92" s="47" t="s">
        <v>445</v>
      </c>
      <c r="I92" s="47" t="s">
        <v>464</v>
      </c>
      <c r="J92" s="47" t="s">
        <v>269</v>
      </c>
      <c r="K92" s="47"/>
      <c r="L92" s="47"/>
      <c r="M92" s="47" t="s">
        <v>273</v>
      </c>
      <c r="N92" s="47" t="s">
        <v>34</v>
      </c>
      <c r="O92" s="47" t="s">
        <v>267</v>
      </c>
      <c r="P92" s="48" t="s">
        <v>639</v>
      </c>
      <c r="Q92" s="50">
        <v>24995257</v>
      </c>
      <c r="R92" s="50">
        <v>0</v>
      </c>
      <c r="S92" s="50">
        <v>0</v>
      </c>
      <c r="T92" s="47" t="str">
        <f t="shared" si="1"/>
        <v>040210038</v>
      </c>
    </row>
    <row r="93" spans="1:20" ht="15" customHeight="1" x14ac:dyDescent="0.25">
      <c r="A93" s="47" t="s">
        <v>261</v>
      </c>
      <c r="B93" s="48" t="s">
        <v>262</v>
      </c>
      <c r="C93" s="49" t="s">
        <v>555</v>
      </c>
      <c r="D93" s="47" t="s">
        <v>22</v>
      </c>
      <c r="E93" s="47" t="s">
        <v>289</v>
      </c>
      <c r="F93" s="47" t="s">
        <v>290</v>
      </c>
      <c r="G93" s="47" t="s">
        <v>293</v>
      </c>
      <c r="H93" s="47" t="s">
        <v>445</v>
      </c>
      <c r="I93" s="47" t="s">
        <v>554</v>
      </c>
      <c r="J93" s="47" t="s">
        <v>269</v>
      </c>
      <c r="K93" s="47"/>
      <c r="L93" s="47"/>
      <c r="M93" s="47" t="s">
        <v>273</v>
      </c>
      <c r="N93" s="47" t="s">
        <v>34</v>
      </c>
      <c r="O93" s="47" t="s">
        <v>267</v>
      </c>
      <c r="P93" s="48" t="s">
        <v>638</v>
      </c>
      <c r="Q93" s="50">
        <v>24995257</v>
      </c>
      <c r="R93" s="50">
        <v>0</v>
      </c>
      <c r="S93" s="50">
        <v>0</v>
      </c>
      <c r="T93" s="47" t="str">
        <f t="shared" si="1"/>
        <v>040210038</v>
      </c>
    </row>
    <row r="94" spans="1:20" ht="15" customHeight="1" x14ac:dyDescent="0.25">
      <c r="A94" s="47" t="s">
        <v>261</v>
      </c>
      <c r="B94" s="48" t="s">
        <v>262</v>
      </c>
      <c r="C94" s="49" t="s">
        <v>536</v>
      </c>
      <c r="D94" s="47" t="s">
        <v>22</v>
      </c>
      <c r="E94" s="47" t="s">
        <v>295</v>
      </c>
      <c r="F94" s="47" t="s">
        <v>290</v>
      </c>
      <c r="G94" s="47" t="s">
        <v>296</v>
      </c>
      <c r="H94" s="47" t="s">
        <v>445</v>
      </c>
      <c r="I94" s="47" t="s">
        <v>537</v>
      </c>
      <c r="J94" s="47" t="s">
        <v>269</v>
      </c>
      <c r="K94" s="47"/>
      <c r="L94" s="47"/>
      <c r="M94" s="47" t="s">
        <v>266</v>
      </c>
      <c r="N94" s="47" t="s">
        <v>280</v>
      </c>
      <c r="O94" s="47" t="s">
        <v>267</v>
      </c>
      <c r="P94" s="48" t="s">
        <v>641</v>
      </c>
      <c r="Q94" s="50">
        <v>92504643</v>
      </c>
      <c r="R94" s="50">
        <v>32320173</v>
      </c>
      <c r="S94" s="50">
        <v>12360408</v>
      </c>
      <c r="T94" s="47" t="str">
        <f t="shared" si="1"/>
        <v>040310032</v>
      </c>
    </row>
    <row r="95" spans="1:20" ht="15" customHeight="1" x14ac:dyDescent="0.25">
      <c r="A95" s="47" t="s">
        <v>261</v>
      </c>
      <c r="B95" s="48" t="s">
        <v>262</v>
      </c>
      <c r="C95" s="49" t="s">
        <v>550</v>
      </c>
      <c r="D95" s="47" t="s">
        <v>22</v>
      </c>
      <c r="E95" s="47" t="s">
        <v>295</v>
      </c>
      <c r="F95" s="47" t="s">
        <v>290</v>
      </c>
      <c r="G95" s="47" t="s">
        <v>296</v>
      </c>
      <c r="H95" s="47" t="s">
        <v>445</v>
      </c>
      <c r="I95" s="47" t="s">
        <v>551</v>
      </c>
      <c r="J95" s="47" t="s">
        <v>269</v>
      </c>
      <c r="K95" s="47"/>
      <c r="L95" s="47"/>
      <c r="M95" s="47" t="s">
        <v>266</v>
      </c>
      <c r="N95" s="47" t="s">
        <v>280</v>
      </c>
      <c r="O95" s="47" t="s">
        <v>267</v>
      </c>
      <c r="P95" s="48" t="s">
        <v>642</v>
      </c>
      <c r="Q95" s="50">
        <v>98338300</v>
      </c>
      <c r="R95" s="50">
        <v>72863426</v>
      </c>
      <c r="S95" s="50">
        <v>72863426</v>
      </c>
      <c r="T95" s="47" t="str">
        <f t="shared" si="1"/>
        <v>040310032</v>
      </c>
    </row>
    <row r="96" spans="1:20" ht="15" customHeight="1" x14ac:dyDescent="0.25">
      <c r="A96" s="47" t="s">
        <v>261</v>
      </c>
      <c r="B96" s="48" t="s">
        <v>262</v>
      </c>
      <c r="C96" s="49" t="s">
        <v>536</v>
      </c>
      <c r="D96" s="47" t="s">
        <v>22</v>
      </c>
      <c r="E96" s="47" t="s">
        <v>295</v>
      </c>
      <c r="F96" s="47" t="s">
        <v>290</v>
      </c>
      <c r="G96" s="47" t="s">
        <v>296</v>
      </c>
      <c r="H96" s="47" t="s">
        <v>445</v>
      </c>
      <c r="I96" s="47" t="s">
        <v>537</v>
      </c>
      <c r="J96" s="47" t="s">
        <v>269</v>
      </c>
      <c r="K96" s="47"/>
      <c r="L96" s="47"/>
      <c r="M96" s="47" t="s">
        <v>273</v>
      </c>
      <c r="N96" s="47" t="s">
        <v>34</v>
      </c>
      <c r="O96" s="47" t="s">
        <v>267</v>
      </c>
      <c r="P96" s="48" t="s">
        <v>641</v>
      </c>
      <c r="Q96" s="50">
        <v>223209537.02000001</v>
      </c>
      <c r="R96" s="50">
        <v>20803113.82</v>
      </c>
      <c r="S96" s="50">
        <v>0</v>
      </c>
      <c r="T96" s="47" t="str">
        <f t="shared" si="1"/>
        <v>040310032</v>
      </c>
    </row>
    <row r="97" spans="1:20" ht="15" customHeight="1" x14ac:dyDescent="0.25">
      <c r="A97" s="47" t="s">
        <v>261</v>
      </c>
      <c r="B97" s="48" t="s">
        <v>262</v>
      </c>
      <c r="C97" s="49" t="s">
        <v>550</v>
      </c>
      <c r="D97" s="47" t="s">
        <v>22</v>
      </c>
      <c r="E97" s="47" t="s">
        <v>295</v>
      </c>
      <c r="F97" s="47" t="s">
        <v>290</v>
      </c>
      <c r="G97" s="47" t="s">
        <v>296</v>
      </c>
      <c r="H97" s="47" t="s">
        <v>445</v>
      </c>
      <c r="I97" s="47" t="s">
        <v>551</v>
      </c>
      <c r="J97" s="47" t="s">
        <v>269</v>
      </c>
      <c r="K97" s="47"/>
      <c r="L97" s="47"/>
      <c r="M97" s="47" t="s">
        <v>273</v>
      </c>
      <c r="N97" s="47" t="s">
        <v>34</v>
      </c>
      <c r="O97" s="47" t="s">
        <v>267</v>
      </c>
      <c r="P97" s="48" t="s">
        <v>642</v>
      </c>
      <c r="Q97" s="50">
        <v>30914925</v>
      </c>
      <c r="R97" s="50">
        <v>3033720</v>
      </c>
      <c r="S97" s="50">
        <v>0</v>
      </c>
      <c r="T97" s="47" t="str">
        <f t="shared" si="1"/>
        <v>040310032</v>
      </c>
    </row>
    <row r="98" spans="1:20" ht="15" customHeight="1" x14ac:dyDescent="0.25">
      <c r="A98" s="47" t="s">
        <v>261</v>
      </c>
      <c r="B98" s="48" t="s">
        <v>262</v>
      </c>
      <c r="C98" s="49" t="s">
        <v>455</v>
      </c>
      <c r="D98" s="47" t="s">
        <v>22</v>
      </c>
      <c r="E98" s="47" t="s">
        <v>298</v>
      </c>
      <c r="F98" s="47" t="s">
        <v>290</v>
      </c>
      <c r="G98" s="47" t="s">
        <v>296</v>
      </c>
      <c r="H98" s="47" t="s">
        <v>445</v>
      </c>
      <c r="I98" s="47" t="s">
        <v>456</v>
      </c>
      <c r="J98" s="47" t="s">
        <v>269</v>
      </c>
      <c r="K98" s="47"/>
      <c r="L98" s="47"/>
      <c r="M98" s="47" t="s">
        <v>266</v>
      </c>
      <c r="N98" s="47" t="s">
        <v>280</v>
      </c>
      <c r="O98" s="47" t="s">
        <v>267</v>
      </c>
      <c r="P98" s="48" t="s">
        <v>643</v>
      </c>
      <c r="Q98" s="50">
        <v>0</v>
      </c>
      <c r="R98" s="50">
        <v>0</v>
      </c>
      <c r="S98" s="50">
        <v>0</v>
      </c>
      <c r="T98" s="47" t="str">
        <f t="shared" si="1"/>
        <v>040410032</v>
      </c>
    </row>
    <row r="99" spans="1:20" ht="15" customHeight="1" x14ac:dyDescent="0.25">
      <c r="A99" s="47" t="s">
        <v>261</v>
      </c>
      <c r="B99" s="48" t="s">
        <v>262</v>
      </c>
      <c r="C99" s="49" t="s">
        <v>461</v>
      </c>
      <c r="D99" s="47" t="s">
        <v>22</v>
      </c>
      <c r="E99" s="47" t="s">
        <v>298</v>
      </c>
      <c r="F99" s="47" t="s">
        <v>290</v>
      </c>
      <c r="G99" s="47" t="s">
        <v>296</v>
      </c>
      <c r="H99" s="47" t="s">
        <v>445</v>
      </c>
      <c r="I99" s="47" t="s">
        <v>462</v>
      </c>
      <c r="J99" s="47" t="s">
        <v>269</v>
      </c>
      <c r="K99" s="47"/>
      <c r="L99" s="47"/>
      <c r="M99" s="47" t="s">
        <v>266</v>
      </c>
      <c r="N99" s="47" t="s">
        <v>280</v>
      </c>
      <c r="O99" s="47" t="s">
        <v>267</v>
      </c>
      <c r="P99" s="48" t="s">
        <v>644</v>
      </c>
      <c r="Q99" s="50">
        <v>201807602</v>
      </c>
      <c r="R99" s="50">
        <v>59152672.670000002</v>
      </c>
      <c r="S99" s="50">
        <v>48789694.670000002</v>
      </c>
      <c r="T99" s="47" t="str">
        <f t="shared" si="1"/>
        <v>040410032</v>
      </c>
    </row>
    <row r="100" spans="1:20" ht="15" customHeight="1" x14ac:dyDescent="0.25">
      <c r="A100" s="47" t="s">
        <v>261</v>
      </c>
      <c r="B100" s="48" t="s">
        <v>262</v>
      </c>
      <c r="C100" s="49" t="s">
        <v>461</v>
      </c>
      <c r="D100" s="47" t="s">
        <v>22</v>
      </c>
      <c r="E100" s="47" t="s">
        <v>298</v>
      </c>
      <c r="F100" s="47" t="s">
        <v>290</v>
      </c>
      <c r="G100" s="47" t="s">
        <v>296</v>
      </c>
      <c r="H100" s="47" t="s">
        <v>445</v>
      </c>
      <c r="I100" s="47" t="s">
        <v>462</v>
      </c>
      <c r="J100" s="47" t="s">
        <v>269</v>
      </c>
      <c r="K100" s="47"/>
      <c r="L100" s="47"/>
      <c r="M100" s="47" t="s">
        <v>266</v>
      </c>
      <c r="N100" s="47" t="s">
        <v>32</v>
      </c>
      <c r="O100" s="47" t="s">
        <v>267</v>
      </c>
      <c r="P100" s="48" t="s">
        <v>644</v>
      </c>
      <c r="Q100" s="50">
        <v>1279627515</v>
      </c>
      <c r="R100" s="50">
        <v>613565208.79999995</v>
      </c>
      <c r="S100" s="50">
        <v>146717007.80000001</v>
      </c>
      <c r="T100" s="47" t="str">
        <f t="shared" si="1"/>
        <v>040410032</v>
      </c>
    </row>
    <row r="101" spans="1:20" ht="15" customHeight="1" x14ac:dyDescent="0.25">
      <c r="A101" s="47" t="s">
        <v>261</v>
      </c>
      <c r="B101" s="48" t="s">
        <v>262</v>
      </c>
      <c r="C101" s="49" t="s">
        <v>455</v>
      </c>
      <c r="D101" s="47" t="s">
        <v>22</v>
      </c>
      <c r="E101" s="47" t="s">
        <v>298</v>
      </c>
      <c r="F101" s="47" t="s">
        <v>290</v>
      </c>
      <c r="G101" s="47" t="s">
        <v>296</v>
      </c>
      <c r="H101" s="47" t="s">
        <v>445</v>
      </c>
      <c r="I101" s="47" t="s">
        <v>456</v>
      </c>
      <c r="J101" s="47" t="s">
        <v>269</v>
      </c>
      <c r="K101" s="47"/>
      <c r="L101" s="47"/>
      <c r="M101" s="47" t="s">
        <v>266</v>
      </c>
      <c r="N101" s="47" t="s">
        <v>32</v>
      </c>
      <c r="O101" s="47" t="s">
        <v>267</v>
      </c>
      <c r="P101" s="48" t="s">
        <v>643</v>
      </c>
      <c r="Q101" s="50">
        <v>158356266</v>
      </c>
      <c r="R101" s="50">
        <v>62455731</v>
      </c>
      <c r="S101" s="50">
        <v>55705458</v>
      </c>
      <c r="T101" s="47" t="str">
        <f t="shared" si="1"/>
        <v>040410032</v>
      </c>
    </row>
    <row r="102" spans="1:20" ht="15" customHeight="1" x14ac:dyDescent="0.25">
      <c r="A102" s="47" t="s">
        <v>261</v>
      </c>
      <c r="B102" s="48" t="s">
        <v>262</v>
      </c>
      <c r="C102" s="49" t="s">
        <v>461</v>
      </c>
      <c r="D102" s="47" t="s">
        <v>22</v>
      </c>
      <c r="E102" s="47" t="s">
        <v>298</v>
      </c>
      <c r="F102" s="47" t="s">
        <v>290</v>
      </c>
      <c r="G102" s="47" t="s">
        <v>296</v>
      </c>
      <c r="H102" s="47" t="s">
        <v>445</v>
      </c>
      <c r="I102" s="47" t="s">
        <v>462</v>
      </c>
      <c r="J102" s="47" t="s">
        <v>269</v>
      </c>
      <c r="K102" s="47"/>
      <c r="L102" s="47"/>
      <c r="M102" s="47" t="s">
        <v>266</v>
      </c>
      <c r="N102" s="47" t="s">
        <v>33</v>
      </c>
      <c r="O102" s="47" t="s">
        <v>267</v>
      </c>
      <c r="P102" s="48" t="s">
        <v>644</v>
      </c>
      <c r="Q102" s="50">
        <v>0</v>
      </c>
      <c r="R102" s="50">
        <v>0</v>
      </c>
      <c r="S102" s="50">
        <v>0</v>
      </c>
      <c r="T102" s="47" t="str">
        <f t="shared" si="1"/>
        <v>040410032</v>
      </c>
    </row>
    <row r="103" spans="1:20" ht="15" customHeight="1" x14ac:dyDescent="0.25">
      <c r="A103" s="47" t="s">
        <v>261</v>
      </c>
      <c r="B103" s="48" t="s">
        <v>262</v>
      </c>
      <c r="C103" s="49" t="s">
        <v>455</v>
      </c>
      <c r="D103" s="47" t="s">
        <v>22</v>
      </c>
      <c r="E103" s="47" t="s">
        <v>298</v>
      </c>
      <c r="F103" s="47" t="s">
        <v>290</v>
      </c>
      <c r="G103" s="47" t="s">
        <v>296</v>
      </c>
      <c r="H103" s="47" t="s">
        <v>445</v>
      </c>
      <c r="I103" s="47" t="s">
        <v>456</v>
      </c>
      <c r="J103" s="47" t="s">
        <v>269</v>
      </c>
      <c r="K103" s="47"/>
      <c r="L103" s="47"/>
      <c r="M103" s="47" t="s">
        <v>273</v>
      </c>
      <c r="N103" s="47" t="s">
        <v>34</v>
      </c>
      <c r="O103" s="47" t="s">
        <v>267</v>
      </c>
      <c r="P103" s="48" t="s">
        <v>643</v>
      </c>
      <c r="Q103" s="50">
        <v>102923452</v>
      </c>
      <c r="R103" s="50">
        <v>52116793</v>
      </c>
      <c r="S103" s="50">
        <v>0</v>
      </c>
      <c r="T103" s="47" t="str">
        <f t="shared" si="1"/>
        <v>040410032</v>
      </c>
    </row>
    <row r="104" spans="1:20" ht="15" customHeight="1" x14ac:dyDescent="0.25">
      <c r="A104" s="47" t="s">
        <v>261</v>
      </c>
      <c r="B104" s="48" t="s">
        <v>262</v>
      </c>
      <c r="C104" s="49" t="s">
        <v>461</v>
      </c>
      <c r="D104" s="47" t="s">
        <v>22</v>
      </c>
      <c r="E104" s="47" t="s">
        <v>298</v>
      </c>
      <c r="F104" s="47" t="s">
        <v>290</v>
      </c>
      <c r="G104" s="47" t="s">
        <v>296</v>
      </c>
      <c r="H104" s="47" t="s">
        <v>445</v>
      </c>
      <c r="I104" s="47" t="s">
        <v>462</v>
      </c>
      <c r="J104" s="47" t="s">
        <v>269</v>
      </c>
      <c r="K104" s="47"/>
      <c r="L104" s="47"/>
      <c r="M104" s="47" t="s">
        <v>273</v>
      </c>
      <c r="N104" s="47" t="s">
        <v>34</v>
      </c>
      <c r="O104" s="47" t="s">
        <v>267</v>
      </c>
      <c r="P104" s="48" t="s">
        <v>644</v>
      </c>
      <c r="Q104" s="50">
        <v>1185421826</v>
      </c>
      <c r="R104" s="50">
        <v>310410365</v>
      </c>
      <c r="S104" s="50">
        <v>0</v>
      </c>
      <c r="T104" s="47" t="str">
        <f t="shared" si="1"/>
        <v>040410032</v>
      </c>
    </row>
    <row r="105" spans="1:20" ht="15" customHeight="1" x14ac:dyDescent="0.25">
      <c r="A105" s="47" t="s">
        <v>261</v>
      </c>
      <c r="B105" s="48" t="s">
        <v>262</v>
      </c>
      <c r="C105" s="49" t="s">
        <v>565</v>
      </c>
      <c r="D105" s="47" t="s">
        <v>22</v>
      </c>
      <c r="E105" s="47" t="s">
        <v>298</v>
      </c>
      <c r="F105" s="47" t="s">
        <v>290</v>
      </c>
      <c r="G105" s="47" t="s">
        <v>296</v>
      </c>
      <c r="H105" s="47" t="s">
        <v>445</v>
      </c>
      <c r="I105" s="47" t="s">
        <v>462</v>
      </c>
      <c r="J105" s="47" t="s">
        <v>566</v>
      </c>
      <c r="K105" s="47" t="s">
        <v>230</v>
      </c>
      <c r="L105" s="47" t="s">
        <v>230</v>
      </c>
      <c r="M105" s="47" t="s">
        <v>266</v>
      </c>
      <c r="N105" s="47" t="s">
        <v>33</v>
      </c>
      <c r="O105" s="47" t="s">
        <v>267</v>
      </c>
      <c r="P105" s="48" t="s">
        <v>645</v>
      </c>
      <c r="Q105" s="50">
        <v>0</v>
      </c>
      <c r="R105" s="50">
        <v>0</v>
      </c>
      <c r="S105" s="50">
        <v>0</v>
      </c>
      <c r="T105" s="47" t="str">
        <f t="shared" si="1"/>
        <v>040410032</v>
      </c>
    </row>
    <row r="106" spans="1:20" ht="15" customHeight="1" x14ac:dyDescent="0.25">
      <c r="A106" s="47" t="s">
        <v>261</v>
      </c>
      <c r="B106" s="48" t="s">
        <v>262</v>
      </c>
      <c r="C106" s="49" t="s">
        <v>567</v>
      </c>
      <c r="D106" s="47" t="s">
        <v>22</v>
      </c>
      <c r="E106" s="47" t="s">
        <v>298</v>
      </c>
      <c r="F106" s="47" t="s">
        <v>290</v>
      </c>
      <c r="G106" s="47" t="s">
        <v>296</v>
      </c>
      <c r="H106" s="47" t="s">
        <v>445</v>
      </c>
      <c r="I106" s="47" t="s">
        <v>462</v>
      </c>
      <c r="J106" s="47" t="s">
        <v>568</v>
      </c>
      <c r="K106" s="47" t="s">
        <v>230</v>
      </c>
      <c r="L106" s="47" t="s">
        <v>230</v>
      </c>
      <c r="M106" s="47" t="s">
        <v>266</v>
      </c>
      <c r="N106" s="47" t="s">
        <v>33</v>
      </c>
      <c r="O106" s="47" t="s">
        <v>267</v>
      </c>
      <c r="P106" s="48" t="s">
        <v>646</v>
      </c>
      <c r="Q106" s="50">
        <v>173505614</v>
      </c>
      <c r="R106" s="50">
        <v>23505613.859999999</v>
      </c>
      <c r="S106" s="50">
        <v>23505613.859999999</v>
      </c>
      <c r="T106" s="47" t="str">
        <f t="shared" si="1"/>
        <v>040410032</v>
      </c>
    </row>
    <row r="107" spans="1:20" ht="15" customHeight="1" x14ac:dyDescent="0.25">
      <c r="A107" s="47" t="s">
        <v>261</v>
      </c>
      <c r="B107" s="48" t="s">
        <v>262</v>
      </c>
      <c r="C107" s="49" t="s">
        <v>569</v>
      </c>
      <c r="D107" s="47" t="s">
        <v>22</v>
      </c>
      <c r="E107" s="47" t="s">
        <v>298</v>
      </c>
      <c r="F107" s="47" t="s">
        <v>290</v>
      </c>
      <c r="G107" s="47" t="s">
        <v>296</v>
      </c>
      <c r="H107" s="47" t="s">
        <v>445</v>
      </c>
      <c r="I107" s="47" t="s">
        <v>462</v>
      </c>
      <c r="J107" s="47" t="s">
        <v>570</v>
      </c>
      <c r="K107" s="47" t="s">
        <v>230</v>
      </c>
      <c r="L107" s="47" t="s">
        <v>230</v>
      </c>
      <c r="M107" s="47" t="s">
        <v>266</v>
      </c>
      <c r="N107" s="47" t="s">
        <v>33</v>
      </c>
      <c r="O107" s="47" t="s">
        <v>267</v>
      </c>
      <c r="P107" s="48" t="s">
        <v>647</v>
      </c>
      <c r="Q107" s="50">
        <v>4959466935.8100004</v>
      </c>
      <c r="R107" s="50">
        <v>4734466935.8100004</v>
      </c>
      <c r="S107" s="50">
        <v>2600000000</v>
      </c>
      <c r="T107" s="47" t="str">
        <f t="shared" si="1"/>
        <v>040410032</v>
      </c>
    </row>
    <row r="108" spans="1:20" ht="15" customHeight="1" x14ac:dyDescent="0.25">
      <c r="A108" s="47" t="s">
        <v>261</v>
      </c>
      <c r="B108" s="48" t="s">
        <v>262</v>
      </c>
      <c r="C108" s="49" t="s">
        <v>559</v>
      </c>
      <c r="D108" s="47" t="s">
        <v>22</v>
      </c>
      <c r="E108" s="47" t="s">
        <v>298</v>
      </c>
      <c r="F108" s="47" t="s">
        <v>290</v>
      </c>
      <c r="G108" s="47" t="s">
        <v>296</v>
      </c>
      <c r="H108" s="47" t="s">
        <v>445</v>
      </c>
      <c r="I108" s="47" t="s">
        <v>462</v>
      </c>
      <c r="J108" s="47" t="s">
        <v>560</v>
      </c>
      <c r="K108" s="47" t="s">
        <v>230</v>
      </c>
      <c r="L108" s="47" t="s">
        <v>230</v>
      </c>
      <c r="M108" s="47" t="s">
        <v>266</v>
      </c>
      <c r="N108" s="47" t="s">
        <v>33</v>
      </c>
      <c r="O108" s="47" t="s">
        <v>267</v>
      </c>
      <c r="P108" s="48" t="s">
        <v>648</v>
      </c>
      <c r="Q108" s="50">
        <v>0</v>
      </c>
      <c r="R108" s="50">
        <v>0</v>
      </c>
      <c r="S108" s="50">
        <v>0</v>
      </c>
      <c r="T108" s="47" t="str">
        <f t="shared" si="1"/>
        <v>040410032</v>
      </c>
    </row>
    <row r="109" spans="1:20" ht="15" customHeight="1" x14ac:dyDescent="0.25">
      <c r="A109" s="47" t="s">
        <v>261</v>
      </c>
      <c r="B109" s="48" t="s">
        <v>262</v>
      </c>
      <c r="C109" s="49" t="s">
        <v>562</v>
      </c>
      <c r="D109" s="47" t="s">
        <v>22</v>
      </c>
      <c r="E109" s="47" t="s">
        <v>298</v>
      </c>
      <c r="F109" s="47" t="s">
        <v>290</v>
      </c>
      <c r="G109" s="47" t="s">
        <v>296</v>
      </c>
      <c r="H109" s="47" t="s">
        <v>445</v>
      </c>
      <c r="I109" s="47" t="s">
        <v>462</v>
      </c>
      <c r="J109" s="47" t="s">
        <v>563</v>
      </c>
      <c r="K109" s="47" t="s">
        <v>230</v>
      </c>
      <c r="L109" s="47" t="s">
        <v>230</v>
      </c>
      <c r="M109" s="47" t="s">
        <v>266</v>
      </c>
      <c r="N109" s="47" t="s">
        <v>33</v>
      </c>
      <c r="O109" s="47" t="s">
        <v>267</v>
      </c>
      <c r="P109" s="48" t="s">
        <v>649</v>
      </c>
      <c r="Q109" s="50">
        <v>20113686</v>
      </c>
      <c r="R109" s="50">
        <v>20113686</v>
      </c>
      <c r="S109" s="50">
        <v>20113686</v>
      </c>
      <c r="T109" s="47" t="str">
        <f t="shared" si="1"/>
        <v>040410032</v>
      </c>
    </row>
    <row r="110" spans="1:20" ht="15" customHeight="1" x14ac:dyDescent="0.25">
      <c r="A110" s="47" t="s">
        <v>261</v>
      </c>
      <c r="B110" s="48" t="s">
        <v>262</v>
      </c>
      <c r="C110" s="49" t="s">
        <v>573</v>
      </c>
      <c r="D110" s="47" t="s">
        <v>22</v>
      </c>
      <c r="E110" s="47" t="s">
        <v>298</v>
      </c>
      <c r="F110" s="47" t="s">
        <v>290</v>
      </c>
      <c r="G110" s="47" t="s">
        <v>296</v>
      </c>
      <c r="H110" s="47" t="s">
        <v>445</v>
      </c>
      <c r="I110" s="47" t="s">
        <v>462</v>
      </c>
      <c r="J110" s="47" t="s">
        <v>574</v>
      </c>
      <c r="K110" s="47" t="s">
        <v>230</v>
      </c>
      <c r="L110" s="47" t="s">
        <v>230</v>
      </c>
      <c r="M110" s="47" t="s">
        <v>266</v>
      </c>
      <c r="N110" s="47" t="s">
        <v>33</v>
      </c>
      <c r="O110" s="47" t="s">
        <v>267</v>
      </c>
      <c r="P110" s="48" t="s">
        <v>650</v>
      </c>
      <c r="Q110" s="50">
        <v>536637780</v>
      </c>
      <c r="R110" s="50">
        <v>0</v>
      </c>
      <c r="S110" s="50">
        <v>0</v>
      </c>
      <c r="T110" s="47" t="str">
        <f t="shared" si="1"/>
        <v>040410032</v>
      </c>
    </row>
    <row r="111" spans="1:20" ht="15" customHeight="1" x14ac:dyDescent="0.25">
      <c r="A111" s="47" t="s">
        <v>261</v>
      </c>
      <c r="B111" s="48" t="s">
        <v>262</v>
      </c>
      <c r="C111" s="49" t="s">
        <v>575</v>
      </c>
      <c r="D111" s="47" t="s">
        <v>22</v>
      </c>
      <c r="E111" s="47" t="s">
        <v>298</v>
      </c>
      <c r="F111" s="47" t="s">
        <v>290</v>
      </c>
      <c r="G111" s="47" t="s">
        <v>296</v>
      </c>
      <c r="H111" s="47" t="s">
        <v>445</v>
      </c>
      <c r="I111" s="47" t="s">
        <v>462</v>
      </c>
      <c r="J111" s="47" t="s">
        <v>576</v>
      </c>
      <c r="K111" s="47" t="s">
        <v>230</v>
      </c>
      <c r="L111" s="47" t="s">
        <v>230</v>
      </c>
      <c r="M111" s="47" t="s">
        <v>266</v>
      </c>
      <c r="N111" s="47" t="s">
        <v>33</v>
      </c>
      <c r="O111" s="47" t="s">
        <v>267</v>
      </c>
      <c r="P111" s="48" t="s">
        <v>651</v>
      </c>
      <c r="Q111" s="50">
        <v>315615252</v>
      </c>
      <c r="R111" s="50">
        <v>315615252</v>
      </c>
      <c r="S111" s="50">
        <v>315615252</v>
      </c>
      <c r="T111" s="47" t="str">
        <f t="shared" si="1"/>
        <v>040410032</v>
      </c>
    </row>
    <row r="112" spans="1:20" ht="15" customHeight="1" x14ac:dyDescent="0.25">
      <c r="A112" s="47" t="s">
        <v>261</v>
      </c>
      <c r="B112" s="48" t="s">
        <v>262</v>
      </c>
      <c r="C112" s="49" t="s">
        <v>652</v>
      </c>
      <c r="D112" s="47" t="s">
        <v>22</v>
      </c>
      <c r="E112" s="47" t="s">
        <v>298</v>
      </c>
      <c r="F112" s="47" t="s">
        <v>290</v>
      </c>
      <c r="G112" s="47" t="s">
        <v>296</v>
      </c>
      <c r="H112" s="47" t="s">
        <v>445</v>
      </c>
      <c r="I112" s="47" t="s">
        <v>462</v>
      </c>
      <c r="J112" s="47" t="s">
        <v>653</v>
      </c>
      <c r="K112" s="47" t="s">
        <v>230</v>
      </c>
      <c r="L112" s="47" t="s">
        <v>230</v>
      </c>
      <c r="M112" s="47" t="s">
        <v>266</v>
      </c>
      <c r="N112" s="47" t="s">
        <v>33</v>
      </c>
      <c r="O112" s="47" t="s">
        <v>267</v>
      </c>
      <c r="P112" s="48" t="s">
        <v>654</v>
      </c>
      <c r="Q112" s="50">
        <v>0</v>
      </c>
      <c r="R112" s="50">
        <v>0</v>
      </c>
      <c r="S112" s="50">
        <v>0</v>
      </c>
      <c r="T112" s="47" t="str">
        <f t="shared" si="1"/>
        <v>040410032</v>
      </c>
    </row>
    <row r="113" spans="1:20" ht="15" customHeight="1" x14ac:dyDescent="0.25">
      <c r="A113" s="47" t="s">
        <v>261</v>
      </c>
      <c r="B113" s="48" t="s">
        <v>262</v>
      </c>
      <c r="C113" s="49" t="s">
        <v>571</v>
      </c>
      <c r="D113" s="47" t="s">
        <v>22</v>
      </c>
      <c r="E113" s="47" t="s">
        <v>298</v>
      </c>
      <c r="F113" s="47" t="s">
        <v>290</v>
      </c>
      <c r="G113" s="47" t="s">
        <v>296</v>
      </c>
      <c r="H113" s="47" t="s">
        <v>445</v>
      </c>
      <c r="I113" s="47" t="s">
        <v>462</v>
      </c>
      <c r="J113" s="47" t="s">
        <v>572</v>
      </c>
      <c r="K113" s="47" t="s">
        <v>230</v>
      </c>
      <c r="L113" s="47" t="s">
        <v>230</v>
      </c>
      <c r="M113" s="47" t="s">
        <v>266</v>
      </c>
      <c r="N113" s="47" t="s">
        <v>33</v>
      </c>
      <c r="O113" s="47" t="s">
        <v>267</v>
      </c>
      <c r="P113" s="48" t="s">
        <v>655</v>
      </c>
      <c r="Q113" s="50">
        <v>46000000</v>
      </c>
      <c r="R113" s="50">
        <v>45000000</v>
      </c>
      <c r="S113" s="50">
        <v>45000000</v>
      </c>
      <c r="T113" s="47" t="str">
        <f t="shared" si="1"/>
        <v>040410032</v>
      </c>
    </row>
    <row r="114" spans="1:20" ht="15" customHeight="1" x14ac:dyDescent="0.25">
      <c r="A114" s="47" t="s">
        <v>261</v>
      </c>
      <c r="B114" s="48" t="s">
        <v>262</v>
      </c>
      <c r="C114" s="49" t="s">
        <v>543</v>
      </c>
      <c r="D114" s="47" t="s">
        <v>22</v>
      </c>
      <c r="E114" s="47" t="s">
        <v>300</v>
      </c>
      <c r="F114" s="47" t="s">
        <v>290</v>
      </c>
      <c r="G114" s="47" t="s">
        <v>301</v>
      </c>
      <c r="H114" s="47" t="s">
        <v>445</v>
      </c>
      <c r="I114" s="47" t="s">
        <v>544</v>
      </c>
      <c r="J114" s="47" t="s">
        <v>269</v>
      </c>
      <c r="K114" s="47"/>
      <c r="L114" s="47"/>
      <c r="M114" s="47" t="s">
        <v>266</v>
      </c>
      <c r="N114" s="47" t="s">
        <v>280</v>
      </c>
      <c r="O114" s="47" t="s">
        <v>267</v>
      </c>
      <c r="P114" s="48" t="s">
        <v>656</v>
      </c>
      <c r="Q114" s="50">
        <v>362061116</v>
      </c>
      <c r="R114" s="50">
        <v>163093044</v>
      </c>
      <c r="S114" s="50">
        <v>42505076</v>
      </c>
      <c r="T114" s="47" t="str">
        <f t="shared" si="1"/>
        <v>040510034</v>
      </c>
    </row>
    <row r="115" spans="1:20" ht="15" customHeight="1" x14ac:dyDescent="0.25">
      <c r="A115" s="47" t="s">
        <v>261</v>
      </c>
      <c r="B115" s="48" t="s">
        <v>262</v>
      </c>
      <c r="C115" s="49" t="s">
        <v>531</v>
      </c>
      <c r="D115" s="47" t="s">
        <v>22</v>
      </c>
      <c r="E115" s="47" t="s">
        <v>300</v>
      </c>
      <c r="F115" s="47" t="s">
        <v>290</v>
      </c>
      <c r="G115" s="47" t="s">
        <v>301</v>
      </c>
      <c r="H115" s="47" t="s">
        <v>445</v>
      </c>
      <c r="I115" s="47" t="s">
        <v>532</v>
      </c>
      <c r="J115" s="47" t="s">
        <v>269</v>
      </c>
      <c r="K115" s="47"/>
      <c r="L115" s="47"/>
      <c r="M115" s="47" t="s">
        <v>266</v>
      </c>
      <c r="N115" s="47" t="s">
        <v>280</v>
      </c>
      <c r="O115" s="47" t="s">
        <v>267</v>
      </c>
      <c r="P115" s="48" t="s">
        <v>657</v>
      </c>
      <c r="Q115" s="50">
        <v>58029092</v>
      </c>
      <c r="R115" s="50">
        <v>13554702</v>
      </c>
      <c r="S115" s="50">
        <v>8163400</v>
      </c>
      <c r="T115" s="47" t="str">
        <f t="shared" si="1"/>
        <v>040510034</v>
      </c>
    </row>
    <row r="116" spans="1:20" ht="15" customHeight="1" x14ac:dyDescent="0.25">
      <c r="A116" s="47" t="s">
        <v>261</v>
      </c>
      <c r="B116" s="48" t="s">
        <v>262</v>
      </c>
      <c r="C116" s="49" t="s">
        <v>539</v>
      </c>
      <c r="D116" s="47" t="s">
        <v>22</v>
      </c>
      <c r="E116" s="47" t="s">
        <v>300</v>
      </c>
      <c r="F116" s="47" t="s">
        <v>290</v>
      </c>
      <c r="G116" s="47" t="s">
        <v>301</v>
      </c>
      <c r="H116" s="47" t="s">
        <v>445</v>
      </c>
      <c r="I116" s="47" t="s">
        <v>540</v>
      </c>
      <c r="J116" s="47" t="s">
        <v>269</v>
      </c>
      <c r="K116" s="47"/>
      <c r="L116" s="47"/>
      <c r="M116" s="47" t="s">
        <v>273</v>
      </c>
      <c r="N116" s="47" t="s">
        <v>34</v>
      </c>
      <c r="O116" s="47" t="s">
        <v>267</v>
      </c>
      <c r="P116" s="48" t="s">
        <v>658</v>
      </c>
      <c r="Q116" s="50">
        <v>45043851</v>
      </c>
      <c r="R116" s="50">
        <v>0</v>
      </c>
      <c r="S116" s="50">
        <v>0</v>
      </c>
      <c r="T116" s="47" t="str">
        <f t="shared" si="1"/>
        <v>040510034</v>
      </c>
    </row>
    <row r="117" spans="1:20" ht="15" customHeight="1" x14ac:dyDescent="0.25">
      <c r="A117" s="47" t="s">
        <v>261</v>
      </c>
      <c r="B117" s="48" t="s">
        <v>262</v>
      </c>
      <c r="C117" s="49" t="s">
        <v>529</v>
      </c>
      <c r="D117" s="47" t="s">
        <v>22</v>
      </c>
      <c r="E117" s="47" t="s">
        <v>303</v>
      </c>
      <c r="F117" s="47" t="s">
        <v>290</v>
      </c>
      <c r="G117" s="47" t="s">
        <v>304</v>
      </c>
      <c r="H117" s="47" t="s">
        <v>445</v>
      </c>
      <c r="I117" s="47" t="s">
        <v>530</v>
      </c>
      <c r="J117" s="47" t="s">
        <v>269</v>
      </c>
      <c r="K117" s="47"/>
      <c r="L117" s="47"/>
      <c r="M117" s="47" t="s">
        <v>266</v>
      </c>
      <c r="N117" s="47" t="s">
        <v>280</v>
      </c>
      <c r="O117" s="47" t="s">
        <v>267</v>
      </c>
      <c r="P117" s="48" t="s">
        <v>659</v>
      </c>
      <c r="Q117" s="50">
        <v>296949939</v>
      </c>
      <c r="R117" s="50">
        <v>160075999</v>
      </c>
      <c r="S117" s="50">
        <v>138926477</v>
      </c>
      <c r="T117" s="47" t="str">
        <f t="shared" si="1"/>
        <v>049910035</v>
      </c>
    </row>
    <row r="118" spans="1:20" ht="15" customHeight="1" x14ac:dyDescent="0.25">
      <c r="A118" s="47" t="s">
        <v>261</v>
      </c>
      <c r="B118" s="48" t="s">
        <v>262</v>
      </c>
      <c r="C118" s="49" t="s">
        <v>541</v>
      </c>
      <c r="D118" s="47" t="s">
        <v>22</v>
      </c>
      <c r="E118" s="47" t="s">
        <v>303</v>
      </c>
      <c r="F118" s="47" t="s">
        <v>290</v>
      </c>
      <c r="G118" s="47" t="s">
        <v>304</v>
      </c>
      <c r="H118" s="47" t="s">
        <v>445</v>
      </c>
      <c r="I118" s="47" t="s">
        <v>542</v>
      </c>
      <c r="J118" s="47" t="s">
        <v>269</v>
      </c>
      <c r="K118" s="47"/>
      <c r="L118" s="47"/>
      <c r="M118" s="47" t="s">
        <v>266</v>
      </c>
      <c r="N118" s="47" t="s">
        <v>280</v>
      </c>
      <c r="O118" s="47" t="s">
        <v>267</v>
      </c>
      <c r="P118" s="48" t="s">
        <v>660</v>
      </c>
      <c r="Q118" s="50">
        <v>28347783</v>
      </c>
      <c r="R118" s="50">
        <v>952032</v>
      </c>
      <c r="S118" s="50">
        <v>952032</v>
      </c>
      <c r="T118" s="47" t="str">
        <f t="shared" si="1"/>
        <v>049910035</v>
      </c>
    </row>
    <row r="119" spans="1:20" ht="15" customHeight="1" x14ac:dyDescent="0.25">
      <c r="A119" s="47" t="s">
        <v>261</v>
      </c>
      <c r="B119" s="48" t="s">
        <v>262</v>
      </c>
      <c r="C119" s="49" t="s">
        <v>465</v>
      </c>
      <c r="D119" s="47" t="s">
        <v>22</v>
      </c>
      <c r="E119" s="47" t="s">
        <v>303</v>
      </c>
      <c r="F119" s="47" t="s">
        <v>290</v>
      </c>
      <c r="G119" s="47" t="s">
        <v>304</v>
      </c>
      <c r="H119" s="47" t="s">
        <v>445</v>
      </c>
      <c r="I119" s="47" t="s">
        <v>466</v>
      </c>
      <c r="J119" s="47" t="s">
        <v>269</v>
      </c>
      <c r="K119" s="47"/>
      <c r="L119" s="47"/>
      <c r="M119" s="47" t="s">
        <v>266</v>
      </c>
      <c r="N119" s="47" t="s">
        <v>280</v>
      </c>
      <c r="O119" s="47" t="s">
        <v>267</v>
      </c>
      <c r="P119" s="48" t="s">
        <v>661</v>
      </c>
      <c r="Q119" s="50">
        <v>512452783.39999998</v>
      </c>
      <c r="R119" s="50">
        <v>349846294.81999999</v>
      </c>
      <c r="S119" s="50">
        <v>305066382.69999999</v>
      </c>
      <c r="T119" s="47" t="str">
        <f t="shared" si="1"/>
        <v>049910035</v>
      </c>
    </row>
    <row r="120" spans="1:20" ht="15" customHeight="1" x14ac:dyDescent="0.25">
      <c r="A120" s="47" t="s">
        <v>261</v>
      </c>
      <c r="B120" s="48" t="s">
        <v>262</v>
      </c>
      <c r="C120" s="49" t="s">
        <v>548</v>
      </c>
      <c r="D120" s="47" t="s">
        <v>22</v>
      </c>
      <c r="E120" s="47" t="s">
        <v>303</v>
      </c>
      <c r="F120" s="47" t="s">
        <v>290</v>
      </c>
      <c r="G120" s="47" t="s">
        <v>304</v>
      </c>
      <c r="H120" s="47" t="s">
        <v>445</v>
      </c>
      <c r="I120" s="47" t="s">
        <v>549</v>
      </c>
      <c r="J120" s="47" t="s">
        <v>269</v>
      </c>
      <c r="K120" s="47"/>
      <c r="L120" s="47"/>
      <c r="M120" s="47" t="s">
        <v>266</v>
      </c>
      <c r="N120" s="47" t="s">
        <v>280</v>
      </c>
      <c r="O120" s="47" t="s">
        <v>267</v>
      </c>
      <c r="P120" s="48" t="s">
        <v>662</v>
      </c>
      <c r="Q120" s="50">
        <v>93114824</v>
      </c>
      <c r="R120" s="50">
        <v>76795278</v>
      </c>
      <c r="S120" s="50">
        <v>76795278</v>
      </c>
      <c r="T120" s="47" t="str">
        <f t="shared" si="1"/>
        <v>049910035</v>
      </c>
    </row>
    <row r="121" spans="1:20" ht="15" customHeight="1" x14ac:dyDescent="0.25">
      <c r="A121" s="47" t="s">
        <v>261</v>
      </c>
      <c r="B121" s="48" t="s">
        <v>262</v>
      </c>
      <c r="C121" s="49" t="s">
        <v>529</v>
      </c>
      <c r="D121" s="47" t="s">
        <v>22</v>
      </c>
      <c r="E121" s="47" t="s">
        <v>303</v>
      </c>
      <c r="F121" s="47" t="s">
        <v>290</v>
      </c>
      <c r="G121" s="47" t="s">
        <v>304</v>
      </c>
      <c r="H121" s="47" t="s">
        <v>445</v>
      </c>
      <c r="I121" s="47" t="s">
        <v>530</v>
      </c>
      <c r="J121" s="47" t="s">
        <v>269</v>
      </c>
      <c r="K121" s="47"/>
      <c r="L121" s="47"/>
      <c r="M121" s="47" t="s">
        <v>273</v>
      </c>
      <c r="N121" s="47" t="s">
        <v>34</v>
      </c>
      <c r="O121" s="47" t="s">
        <v>267</v>
      </c>
      <c r="P121" s="48" t="s">
        <v>659</v>
      </c>
      <c r="Q121" s="50">
        <v>0</v>
      </c>
      <c r="R121" s="50">
        <v>0</v>
      </c>
      <c r="S121" s="50">
        <v>0</v>
      </c>
      <c r="T121" s="47" t="str">
        <f t="shared" si="1"/>
        <v>049910035</v>
      </c>
    </row>
    <row r="122" spans="1:20" ht="15" customHeight="1" x14ac:dyDescent="0.25">
      <c r="A122" s="47" t="s">
        <v>261</v>
      </c>
      <c r="B122" s="48" t="s">
        <v>262</v>
      </c>
      <c r="C122" s="49" t="s">
        <v>541</v>
      </c>
      <c r="D122" s="47" t="s">
        <v>22</v>
      </c>
      <c r="E122" s="47" t="s">
        <v>303</v>
      </c>
      <c r="F122" s="47" t="s">
        <v>290</v>
      </c>
      <c r="G122" s="47" t="s">
        <v>304</v>
      </c>
      <c r="H122" s="47" t="s">
        <v>445</v>
      </c>
      <c r="I122" s="47" t="s">
        <v>542</v>
      </c>
      <c r="J122" s="47" t="s">
        <v>269</v>
      </c>
      <c r="K122" s="47"/>
      <c r="L122" s="47"/>
      <c r="M122" s="47" t="s">
        <v>273</v>
      </c>
      <c r="N122" s="47" t="s">
        <v>34</v>
      </c>
      <c r="O122" s="47" t="s">
        <v>267</v>
      </c>
      <c r="P122" s="48" t="s">
        <v>660</v>
      </c>
      <c r="Q122" s="50">
        <v>0</v>
      </c>
      <c r="R122" s="50">
        <v>0</v>
      </c>
      <c r="S122" s="50">
        <v>0</v>
      </c>
      <c r="T122" s="47" t="str">
        <f t="shared" si="1"/>
        <v>049910035</v>
      </c>
    </row>
    <row r="123" spans="1:20" ht="15" customHeight="1" x14ac:dyDescent="0.25">
      <c r="A123" s="47" t="s">
        <v>261</v>
      </c>
      <c r="B123" s="48" t="s">
        <v>262</v>
      </c>
      <c r="C123" s="49" t="s">
        <v>548</v>
      </c>
      <c r="D123" s="47" t="s">
        <v>22</v>
      </c>
      <c r="E123" s="47" t="s">
        <v>303</v>
      </c>
      <c r="F123" s="47" t="s">
        <v>290</v>
      </c>
      <c r="G123" s="47" t="s">
        <v>304</v>
      </c>
      <c r="H123" s="47" t="s">
        <v>445</v>
      </c>
      <c r="I123" s="47" t="s">
        <v>549</v>
      </c>
      <c r="J123" s="47" t="s">
        <v>269</v>
      </c>
      <c r="K123" s="47"/>
      <c r="L123" s="47"/>
      <c r="M123" s="47" t="s">
        <v>273</v>
      </c>
      <c r="N123" s="47" t="s">
        <v>34</v>
      </c>
      <c r="O123" s="47" t="s">
        <v>267</v>
      </c>
      <c r="P123" s="48" t="s">
        <v>662</v>
      </c>
      <c r="Q123" s="50">
        <v>78698258</v>
      </c>
      <c r="R123" s="50">
        <v>9577946</v>
      </c>
      <c r="S123" s="50">
        <v>9577946</v>
      </c>
      <c r="T123" s="47" t="str">
        <f t="shared" si="1"/>
        <v>049910035</v>
      </c>
    </row>
    <row r="124" spans="1:20" ht="15" customHeight="1" x14ac:dyDescent="0.25">
      <c r="A124" s="47" t="s">
        <v>261</v>
      </c>
      <c r="B124" s="48" t="s">
        <v>262</v>
      </c>
      <c r="C124" s="49" t="s">
        <v>465</v>
      </c>
      <c r="D124" s="47" t="s">
        <v>22</v>
      </c>
      <c r="E124" s="47" t="s">
        <v>303</v>
      </c>
      <c r="F124" s="47" t="s">
        <v>290</v>
      </c>
      <c r="G124" s="47" t="s">
        <v>304</v>
      </c>
      <c r="H124" s="47" t="s">
        <v>445</v>
      </c>
      <c r="I124" s="47" t="s">
        <v>466</v>
      </c>
      <c r="J124" s="47" t="s">
        <v>269</v>
      </c>
      <c r="K124" s="47"/>
      <c r="L124" s="47"/>
      <c r="M124" s="47" t="s">
        <v>273</v>
      </c>
      <c r="N124" s="47" t="s">
        <v>34</v>
      </c>
      <c r="O124" s="47" t="s">
        <v>267</v>
      </c>
      <c r="P124" s="48" t="s">
        <v>661</v>
      </c>
      <c r="Q124" s="50">
        <v>111902742.88</v>
      </c>
      <c r="R124" s="50">
        <v>57458561.880000003</v>
      </c>
      <c r="S124" s="50">
        <v>0</v>
      </c>
      <c r="T124" s="47" t="str">
        <f t="shared" si="1"/>
        <v>049910035</v>
      </c>
    </row>
    <row r="125" spans="1:20" ht="15" customHeight="1" x14ac:dyDescent="0.25">
      <c r="A125" s="47" t="s">
        <v>261</v>
      </c>
      <c r="B125" s="48" t="s">
        <v>262</v>
      </c>
      <c r="C125" s="49" t="s">
        <v>448</v>
      </c>
      <c r="D125" s="47" t="s">
        <v>22</v>
      </c>
      <c r="E125" s="47" t="s">
        <v>303</v>
      </c>
      <c r="F125" s="47" t="s">
        <v>290</v>
      </c>
      <c r="G125" s="47" t="s">
        <v>306</v>
      </c>
      <c r="H125" s="47" t="s">
        <v>445</v>
      </c>
      <c r="I125" s="47" t="s">
        <v>449</v>
      </c>
      <c r="J125" s="47" t="s">
        <v>269</v>
      </c>
      <c r="K125" s="47"/>
      <c r="L125" s="47"/>
      <c r="M125" s="47" t="s">
        <v>266</v>
      </c>
      <c r="N125" s="47" t="s">
        <v>280</v>
      </c>
      <c r="O125" s="47" t="s">
        <v>267</v>
      </c>
      <c r="P125" s="48" t="s">
        <v>663</v>
      </c>
      <c r="Q125" s="50">
        <v>17914446.329999998</v>
      </c>
      <c r="R125" s="50">
        <v>15362597</v>
      </c>
      <c r="S125" s="50">
        <v>15362597</v>
      </c>
      <c r="T125" s="47" t="str">
        <f t="shared" si="1"/>
        <v>049910036</v>
      </c>
    </row>
    <row r="126" spans="1:20" ht="15" customHeight="1" x14ac:dyDescent="0.25">
      <c r="A126" s="47" t="s">
        <v>261</v>
      </c>
      <c r="B126" s="48" t="s">
        <v>262</v>
      </c>
      <c r="C126" s="49" t="s">
        <v>453</v>
      </c>
      <c r="D126" s="47" t="s">
        <v>22</v>
      </c>
      <c r="E126" s="47" t="s">
        <v>303</v>
      </c>
      <c r="F126" s="47" t="s">
        <v>290</v>
      </c>
      <c r="G126" s="47" t="s">
        <v>306</v>
      </c>
      <c r="H126" s="47" t="s">
        <v>445</v>
      </c>
      <c r="I126" s="47" t="s">
        <v>454</v>
      </c>
      <c r="J126" s="47" t="s">
        <v>269</v>
      </c>
      <c r="K126" s="47"/>
      <c r="L126" s="47"/>
      <c r="M126" s="47" t="s">
        <v>266</v>
      </c>
      <c r="N126" s="47" t="s">
        <v>280</v>
      </c>
      <c r="O126" s="47" t="s">
        <v>267</v>
      </c>
      <c r="P126" s="48" t="s">
        <v>664</v>
      </c>
      <c r="Q126" s="50">
        <v>118644235.33</v>
      </c>
      <c r="R126" s="50">
        <v>20279112</v>
      </c>
      <c r="S126" s="50">
        <v>7330366</v>
      </c>
      <c r="T126" s="47" t="str">
        <f t="shared" si="1"/>
        <v>049910036</v>
      </c>
    </row>
    <row r="127" spans="1:20" ht="15" customHeight="1" x14ac:dyDescent="0.25">
      <c r="A127" s="47" t="s">
        <v>261</v>
      </c>
      <c r="B127" s="48" t="s">
        <v>262</v>
      </c>
      <c r="C127" s="49" t="s">
        <v>665</v>
      </c>
      <c r="D127" s="47" t="s">
        <v>22</v>
      </c>
      <c r="E127" s="47" t="s">
        <v>303</v>
      </c>
      <c r="F127" s="47" t="s">
        <v>290</v>
      </c>
      <c r="G127" s="47" t="s">
        <v>306</v>
      </c>
      <c r="H127" s="47" t="s">
        <v>445</v>
      </c>
      <c r="I127" s="47" t="s">
        <v>666</v>
      </c>
      <c r="J127" s="47" t="s">
        <v>269</v>
      </c>
      <c r="K127" s="47"/>
      <c r="L127" s="47"/>
      <c r="M127" s="47" t="s">
        <v>266</v>
      </c>
      <c r="N127" s="47" t="s">
        <v>280</v>
      </c>
      <c r="O127" s="47" t="s">
        <v>267</v>
      </c>
      <c r="P127" s="48" t="s">
        <v>667</v>
      </c>
      <c r="Q127" s="50">
        <v>556185540.84000003</v>
      </c>
      <c r="R127" s="50">
        <v>74482479</v>
      </c>
      <c r="S127" s="50">
        <v>74482479</v>
      </c>
      <c r="T127" s="47" t="str">
        <f t="shared" si="1"/>
        <v>049910036</v>
      </c>
    </row>
    <row r="128" spans="1:20" ht="15" customHeight="1" x14ac:dyDescent="0.25">
      <c r="A128" s="47" t="s">
        <v>261</v>
      </c>
      <c r="B128" s="48" t="s">
        <v>262</v>
      </c>
      <c r="C128" s="49" t="s">
        <v>665</v>
      </c>
      <c r="D128" s="47" t="s">
        <v>22</v>
      </c>
      <c r="E128" s="47" t="s">
        <v>303</v>
      </c>
      <c r="F128" s="47" t="s">
        <v>290</v>
      </c>
      <c r="G128" s="47" t="s">
        <v>306</v>
      </c>
      <c r="H128" s="47" t="s">
        <v>445</v>
      </c>
      <c r="I128" s="47" t="s">
        <v>666</v>
      </c>
      <c r="J128" s="47" t="s">
        <v>269</v>
      </c>
      <c r="K128" s="47"/>
      <c r="L128" s="47"/>
      <c r="M128" s="47" t="s">
        <v>273</v>
      </c>
      <c r="N128" s="47" t="s">
        <v>34</v>
      </c>
      <c r="O128" s="47" t="s">
        <v>267</v>
      </c>
      <c r="P128" s="48" t="s">
        <v>667</v>
      </c>
      <c r="Q128" s="50">
        <v>0</v>
      </c>
      <c r="R128" s="50">
        <v>0</v>
      </c>
      <c r="S128" s="50">
        <v>0</v>
      </c>
      <c r="T128" s="47" t="str">
        <f t="shared" si="1"/>
        <v>049910036</v>
      </c>
    </row>
    <row r="129" spans="1:20" ht="15" customHeight="1" x14ac:dyDescent="0.25">
      <c r="A129" s="47" t="s">
        <v>261</v>
      </c>
      <c r="B129" s="48" t="s">
        <v>262</v>
      </c>
      <c r="C129" s="49" t="s">
        <v>448</v>
      </c>
      <c r="D129" s="47" t="s">
        <v>22</v>
      </c>
      <c r="E129" s="47" t="s">
        <v>303</v>
      </c>
      <c r="F129" s="47" t="s">
        <v>290</v>
      </c>
      <c r="G129" s="47" t="s">
        <v>306</v>
      </c>
      <c r="H129" s="47" t="s">
        <v>445</v>
      </c>
      <c r="I129" s="47" t="s">
        <v>449</v>
      </c>
      <c r="J129" s="47" t="s">
        <v>269</v>
      </c>
      <c r="K129" s="47"/>
      <c r="L129" s="47"/>
      <c r="M129" s="47" t="s">
        <v>273</v>
      </c>
      <c r="N129" s="47" t="s">
        <v>34</v>
      </c>
      <c r="O129" s="47" t="s">
        <v>267</v>
      </c>
      <c r="P129" s="48" t="s">
        <v>663</v>
      </c>
      <c r="Q129" s="50">
        <v>0</v>
      </c>
      <c r="R129" s="50">
        <v>0</v>
      </c>
      <c r="S129" s="50">
        <v>0</v>
      </c>
      <c r="T129" s="47" t="str">
        <f t="shared" si="1"/>
        <v>049910036</v>
      </c>
    </row>
    <row r="130" spans="1:20" ht="15" customHeight="1" x14ac:dyDescent="0.25">
      <c r="A130" s="47" t="s">
        <v>261</v>
      </c>
      <c r="B130" s="48" t="s">
        <v>262</v>
      </c>
      <c r="C130" s="49" t="s">
        <v>453</v>
      </c>
      <c r="D130" s="47" t="s">
        <v>22</v>
      </c>
      <c r="E130" s="47" t="s">
        <v>303</v>
      </c>
      <c r="F130" s="47" t="s">
        <v>290</v>
      </c>
      <c r="G130" s="47" t="s">
        <v>306</v>
      </c>
      <c r="H130" s="47" t="s">
        <v>445</v>
      </c>
      <c r="I130" s="47" t="s">
        <v>454</v>
      </c>
      <c r="J130" s="47" t="s">
        <v>269</v>
      </c>
      <c r="K130" s="47"/>
      <c r="L130" s="47"/>
      <c r="M130" s="47" t="s">
        <v>273</v>
      </c>
      <c r="N130" s="47" t="s">
        <v>34</v>
      </c>
      <c r="O130" s="47" t="s">
        <v>267</v>
      </c>
      <c r="P130" s="48" t="s">
        <v>664</v>
      </c>
      <c r="Q130" s="50">
        <v>0</v>
      </c>
      <c r="R130" s="50">
        <v>0</v>
      </c>
      <c r="S130" s="50">
        <v>0</v>
      </c>
      <c r="T130" s="47" t="str">
        <f t="shared" si="1"/>
        <v>049910036</v>
      </c>
    </row>
    <row r="131" spans="1:20" ht="15" customHeight="1" x14ac:dyDescent="0.25">
      <c r="A131" s="47" t="s">
        <v>261</v>
      </c>
      <c r="B131" s="48" t="s">
        <v>262</v>
      </c>
      <c r="C131" s="49" t="s">
        <v>545</v>
      </c>
      <c r="D131" s="47" t="s">
        <v>22</v>
      </c>
      <c r="E131" s="47" t="s">
        <v>303</v>
      </c>
      <c r="F131" s="47" t="s">
        <v>290</v>
      </c>
      <c r="G131" s="47" t="s">
        <v>291</v>
      </c>
      <c r="H131" s="47" t="s">
        <v>445</v>
      </c>
      <c r="I131" s="47" t="s">
        <v>546</v>
      </c>
      <c r="J131" s="47" t="s">
        <v>269</v>
      </c>
      <c r="K131" s="47"/>
      <c r="L131" s="47"/>
      <c r="M131" s="47" t="s">
        <v>266</v>
      </c>
      <c r="N131" s="47" t="s">
        <v>280</v>
      </c>
      <c r="O131" s="47" t="s">
        <v>267</v>
      </c>
      <c r="P131" s="48" t="s">
        <v>668</v>
      </c>
      <c r="Q131" s="50">
        <v>1924742</v>
      </c>
      <c r="R131" s="50">
        <v>1924742</v>
      </c>
      <c r="S131" s="50">
        <v>1924742</v>
      </c>
      <c r="T131" s="47" t="str">
        <f t="shared" ref="T131:T135" si="2">E131&amp;F131&amp;G131</f>
        <v>049910037</v>
      </c>
    </row>
    <row r="132" spans="1:20" ht="15" customHeight="1" x14ac:dyDescent="0.25">
      <c r="A132" s="47" t="s">
        <v>261</v>
      </c>
      <c r="B132" s="48" t="s">
        <v>262</v>
      </c>
      <c r="C132" s="49" t="s">
        <v>558</v>
      </c>
      <c r="D132" s="47" t="s">
        <v>22</v>
      </c>
      <c r="E132" s="47" t="s">
        <v>303</v>
      </c>
      <c r="F132" s="47" t="s">
        <v>290</v>
      </c>
      <c r="G132" s="47" t="s">
        <v>291</v>
      </c>
      <c r="H132" s="47" t="s">
        <v>445</v>
      </c>
      <c r="I132" s="47" t="s">
        <v>557</v>
      </c>
      <c r="J132" s="47" t="s">
        <v>269</v>
      </c>
      <c r="K132" s="47"/>
      <c r="L132" s="47"/>
      <c r="M132" s="47" t="s">
        <v>266</v>
      </c>
      <c r="N132" s="47" t="s">
        <v>280</v>
      </c>
      <c r="O132" s="47" t="s">
        <v>267</v>
      </c>
      <c r="P132" s="48" t="s">
        <v>669</v>
      </c>
      <c r="Q132" s="50">
        <v>5475974</v>
      </c>
      <c r="R132" s="50">
        <v>0</v>
      </c>
      <c r="S132" s="50">
        <v>0</v>
      </c>
      <c r="T132" s="47" t="str">
        <f t="shared" si="2"/>
        <v>049910037</v>
      </c>
    </row>
    <row r="133" spans="1:20" ht="15" customHeight="1" x14ac:dyDescent="0.25">
      <c r="A133" s="47" t="s">
        <v>261</v>
      </c>
      <c r="B133" s="48" t="s">
        <v>262</v>
      </c>
      <c r="C133" s="49" t="s">
        <v>526</v>
      </c>
      <c r="D133" s="47" t="s">
        <v>22</v>
      </c>
      <c r="E133" s="47" t="s">
        <v>303</v>
      </c>
      <c r="F133" s="47" t="s">
        <v>290</v>
      </c>
      <c r="G133" s="47" t="s">
        <v>293</v>
      </c>
      <c r="H133" s="47" t="s">
        <v>445</v>
      </c>
      <c r="I133" s="47" t="s">
        <v>527</v>
      </c>
      <c r="J133" s="47" t="s">
        <v>269</v>
      </c>
      <c r="K133" s="47"/>
      <c r="L133" s="47"/>
      <c r="M133" s="47" t="s">
        <v>266</v>
      </c>
      <c r="N133" s="47" t="s">
        <v>280</v>
      </c>
      <c r="O133" s="47" t="s">
        <v>267</v>
      </c>
      <c r="P133" s="48" t="s">
        <v>670</v>
      </c>
      <c r="Q133" s="50">
        <v>0</v>
      </c>
      <c r="R133" s="50">
        <v>0</v>
      </c>
      <c r="S133" s="50">
        <v>0</v>
      </c>
      <c r="T133" s="47" t="str">
        <f t="shared" si="2"/>
        <v>049910038</v>
      </c>
    </row>
    <row r="134" spans="1:20" ht="15" customHeight="1" x14ac:dyDescent="0.25">
      <c r="A134" s="47" t="s">
        <v>261</v>
      </c>
      <c r="B134" s="48" t="s">
        <v>262</v>
      </c>
      <c r="C134" s="49" t="s">
        <v>556</v>
      </c>
      <c r="D134" s="47" t="s">
        <v>22</v>
      </c>
      <c r="E134" s="47" t="s">
        <v>303</v>
      </c>
      <c r="F134" s="47" t="s">
        <v>290</v>
      </c>
      <c r="G134" s="47" t="s">
        <v>293</v>
      </c>
      <c r="H134" s="47" t="s">
        <v>445</v>
      </c>
      <c r="I134" s="47" t="s">
        <v>557</v>
      </c>
      <c r="J134" s="47" t="s">
        <v>269</v>
      </c>
      <c r="K134" s="47"/>
      <c r="L134" s="47"/>
      <c r="M134" s="47" t="s">
        <v>266</v>
      </c>
      <c r="N134" s="47" t="s">
        <v>280</v>
      </c>
      <c r="O134" s="47" t="s">
        <v>267</v>
      </c>
      <c r="P134" s="48" t="s">
        <v>671</v>
      </c>
      <c r="Q134" s="50">
        <v>44340570</v>
      </c>
      <c r="R134" s="50">
        <v>18853970</v>
      </c>
      <c r="S134" s="50">
        <v>18853970</v>
      </c>
      <c r="T134" s="47" t="str">
        <f t="shared" si="2"/>
        <v>049910038</v>
      </c>
    </row>
    <row r="135" spans="1:20" ht="15" customHeight="1" x14ac:dyDescent="0.25">
      <c r="A135" s="47" t="s">
        <v>261</v>
      </c>
      <c r="B135" s="48" t="s">
        <v>262</v>
      </c>
      <c r="C135" s="49" t="s">
        <v>556</v>
      </c>
      <c r="D135" s="47" t="s">
        <v>22</v>
      </c>
      <c r="E135" s="47" t="s">
        <v>303</v>
      </c>
      <c r="F135" s="47" t="s">
        <v>290</v>
      </c>
      <c r="G135" s="47" t="s">
        <v>293</v>
      </c>
      <c r="H135" s="47" t="s">
        <v>445</v>
      </c>
      <c r="I135" s="47" t="s">
        <v>557</v>
      </c>
      <c r="J135" s="47" t="s">
        <v>269</v>
      </c>
      <c r="K135" s="47"/>
      <c r="L135" s="47"/>
      <c r="M135" s="47" t="s">
        <v>273</v>
      </c>
      <c r="N135" s="47" t="s">
        <v>34</v>
      </c>
      <c r="O135" s="47" t="s">
        <v>267</v>
      </c>
      <c r="P135" s="48" t="s">
        <v>671</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23"/>
  <sheetViews>
    <sheetView zoomScale="80" zoomScaleNormal="80" workbookViewId="0">
      <selection activeCell="A3" sqref="A3"/>
    </sheetView>
  </sheetViews>
  <sheetFormatPr baseColWidth="10" defaultColWidth="11" defaultRowHeight="15.75" x14ac:dyDescent="0.25"/>
  <cols>
    <col min="10" max="11" width="15.125" bestFit="1" customWidth="1"/>
  </cols>
  <sheetData>
    <row r="1" spans="1:56" x14ac:dyDescent="0.25">
      <c r="AH1" s="75"/>
      <c r="AI1" s="75" t="str">
        <f>IFERROR(IF(R1=0,"",IF((V1/R1)&gt;1,1,(V1/R1))),"")</f>
        <v/>
      </c>
      <c r="AJ1" s="75">
        <f t="shared" ref="AJ1" si="0">IFERROR(IF((W1+Y1+AA1+AC1)/R1&gt;1,1,(W1+Y1+AA1+AC1)/R1),0)</f>
        <v>0</v>
      </c>
      <c r="AK1" s="75" t="str">
        <f t="shared" ref="AK1" si="1">IFERROR(IF(S1=0,"",IF((W1/S1)&gt;1,1,(W1/S1))),"")</f>
        <v/>
      </c>
      <c r="AL1" s="75" t="str">
        <f t="shared" ref="AL1" si="2">IFERROR(IF(T1=0,"",IF((Y1/T1)&gt;1,1,(Y1/T1))),"")</f>
        <v/>
      </c>
      <c r="AM1" s="75" t="str">
        <f t="shared" ref="AM1" si="3">IFERROR(IF(U1=0,"",IF((AA1/U1)&gt;1,1,(AA1/U1))),"")</f>
        <v/>
      </c>
      <c r="AN1" s="75" t="str">
        <f t="shared" ref="AN1" si="4">IFERROR(IF(V1=0,"",IF((AC1/V1)&gt;1,1,(AC1/V1))),"")</f>
        <v/>
      </c>
    </row>
    <row r="2" spans="1:56" ht="15" customHeight="1" x14ac:dyDescent="0.25">
      <c r="A2" s="148" t="s">
        <v>672</v>
      </c>
      <c r="B2" s="149" t="s">
        <v>31</v>
      </c>
      <c r="C2" s="149" t="s">
        <v>11</v>
      </c>
      <c r="D2" s="149" t="s">
        <v>673</v>
      </c>
      <c r="E2" s="149" t="s">
        <v>674</v>
      </c>
      <c r="F2" s="149" t="s">
        <v>675</v>
      </c>
      <c r="G2" s="149" t="s">
        <v>676</v>
      </c>
      <c r="H2" s="149" t="s">
        <v>677</v>
      </c>
      <c r="I2" s="150" t="s">
        <v>678</v>
      </c>
      <c r="J2" s="150" t="s">
        <v>679</v>
      </c>
      <c r="K2" s="150" t="s">
        <v>680</v>
      </c>
      <c r="L2" s="150" t="s">
        <v>681</v>
      </c>
      <c r="M2" s="150" t="s">
        <v>682</v>
      </c>
      <c r="N2" s="150" t="s">
        <v>683</v>
      </c>
      <c r="O2" s="150" t="s">
        <v>684</v>
      </c>
      <c r="P2" s="150" t="s">
        <v>685</v>
      </c>
      <c r="Q2" s="151" t="s">
        <v>686</v>
      </c>
      <c r="R2" s="148" t="s">
        <v>687</v>
      </c>
      <c r="S2" s="152" t="s">
        <v>688</v>
      </c>
      <c r="T2" s="153" t="s">
        <v>689</v>
      </c>
      <c r="U2" s="154" t="s">
        <v>690</v>
      </c>
      <c r="V2" s="155" t="s">
        <v>691</v>
      </c>
      <c r="W2" s="156" t="s">
        <v>692</v>
      </c>
      <c r="X2" s="156" t="s">
        <v>693</v>
      </c>
      <c r="Y2" s="157" t="s">
        <v>694</v>
      </c>
      <c r="Z2" s="157" t="s">
        <v>695</v>
      </c>
      <c r="AA2" s="158" t="s">
        <v>696</v>
      </c>
      <c r="AB2" s="158" t="s">
        <v>697</v>
      </c>
      <c r="AC2" s="159" t="s">
        <v>698</v>
      </c>
      <c r="AD2" s="159" t="s">
        <v>699</v>
      </c>
      <c r="AE2" s="159" t="s">
        <v>700</v>
      </c>
      <c r="AF2" s="156" t="s">
        <v>701</v>
      </c>
      <c r="AG2" s="157" t="s">
        <v>702</v>
      </c>
      <c r="AH2" s="158" t="s">
        <v>703</v>
      </c>
      <c r="AI2" s="159" t="s">
        <v>704</v>
      </c>
      <c r="AJ2" s="160" t="s">
        <v>705</v>
      </c>
      <c r="AK2" s="156" t="s">
        <v>706</v>
      </c>
      <c r="AL2" s="156" t="s">
        <v>707</v>
      </c>
      <c r="AM2" s="156" t="s">
        <v>708</v>
      </c>
      <c r="AN2" s="156" t="s">
        <v>709</v>
      </c>
      <c r="AO2" s="144" t="s">
        <v>710</v>
      </c>
      <c r="AP2" s="144" t="s">
        <v>711</v>
      </c>
      <c r="AQ2" s="144" t="s">
        <v>712</v>
      </c>
      <c r="AR2" s="144" t="s">
        <v>713</v>
      </c>
      <c r="AS2" s="145" t="s">
        <v>714</v>
      </c>
      <c r="AT2" s="145" t="s">
        <v>715</v>
      </c>
      <c r="AU2" s="145" t="s">
        <v>716</v>
      </c>
      <c r="AV2" s="145" t="s">
        <v>717</v>
      </c>
      <c r="AW2" s="146" t="s">
        <v>718</v>
      </c>
      <c r="AX2" s="146" t="s">
        <v>719</v>
      </c>
      <c r="AY2" s="146" t="s">
        <v>720</v>
      </c>
      <c r="AZ2" s="146" t="s">
        <v>721</v>
      </c>
      <c r="BA2" s="147" t="s">
        <v>722</v>
      </c>
      <c r="BB2" s="147" t="s">
        <v>723</v>
      </c>
      <c r="BC2" s="147" t="s">
        <v>724</v>
      </c>
      <c r="BD2" s="147" t="s">
        <v>725</v>
      </c>
    </row>
    <row r="3" spans="1:56" ht="15" customHeight="1" x14ac:dyDescent="0.25">
      <c r="A3" s="188">
        <v>1</v>
      </c>
      <c r="B3" s="188" t="s">
        <v>489</v>
      </c>
      <c r="C3" s="188" t="s">
        <v>726</v>
      </c>
      <c r="D3" s="188" t="s">
        <v>727</v>
      </c>
      <c r="E3" s="188" t="s">
        <v>728</v>
      </c>
      <c r="F3" s="188" t="s">
        <v>729</v>
      </c>
      <c r="G3" s="188" t="s">
        <v>730</v>
      </c>
      <c r="H3" s="188" t="s">
        <v>731</v>
      </c>
      <c r="I3" s="188" t="s">
        <v>732</v>
      </c>
      <c r="J3" s="74">
        <v>44197</v>
      </c>
      <c r="K3" s="74">
        <v>44561</v>
      </c>
      <c r="L3" s="188" t="s">
        <v>733</v>
      </c>
      <c r="M3" s="188" t="str">
        <f>B3</f>
        <v>Atlántico</v>
      </c>
      <c r="N3" s="188" t="s">
        <v>30</v>
      </c>
      <c r="O3" s="188" t="s">
        <v>734</v>
      </c>
      <c r="P3" s="188" t="s">
        <v>735</v>
      </c>
      <c r="Q3" s="75">
        <v>0.125</v>
      </c>
      <c r="R3" s="190">
        <v>8782</v>
      </c>
      <c r="S3" s="190">
        <v>0</v>
      </c>
      <c r="T3" s="190">
        <v>0</v>
      </c>
      <c r="U3" s="190">
        <v>0</v>
      </c>
      <c r="V3" s="190">
        <v>8782</v>
      </c>
      <c r="W3" s="190">
        <v>2729</v>
      </c>
      <c r="X3" s="190" t="s">
        <v>736</v>
      </c>
      <c r="Y3" s="190">
        <v>1104</v>
      </c>
      <c r="Z3" s="190" t="s">
        <v>737</v>
      </c>
      <c r="AA3" s="190">
        <v>7923</v>
      </c>
      <c r="AB3" s="190" t="s">
        <v>738</v>
      </c>
      <c r="AC3" s="190"/>
      <c r="AD3" s="190"/>
      <c r="AE3" s="190">
        <f t="shared" ref="AE3:AE66" si="5">AC3+AA3+Y3+W3</f>
        <v>11756</v>
      </c>
      <c r="AF3" s="74">
        <v>44300</v>
      </c>
      <c r="AG3" s="74">
        <v>44386</v>
      </c>
      <c r="AH3" s="74">
        <v>44483</v>
      </c>
      <c r="AI3" s="74"/>
      <c r="AJ3" s="75">
        <f t="shared" ref="AJ3:AJ66" si="6">IFERROR(IF((W3+Y3+AA3+AC3)/R3&gt;1,1,(W3+Y3+AA3+AC3)/R3),0)</f>
        <v>1</v>
      </c>
      <c r="AK3" s="75" t="str">
        <f t="shared" ref="AK3:AK66" si="7">IFERROR(IF(S3=0,"",IF((W3/S3)&gt;1,1,(W3/S3))),"")</f>
        <v/>
      </c>
      <c r="AL3" s="75" t="str">
        <f t="shared" ref="AL3:AL66" si="8">IFERROR(IF(T3=0,"",IF((Y3/T3)&gt;1,1,(Y3/T3))),"")</f>
        <v/>
      </c>
      <c r="AM3" s="75" t="str">
        <f t="shared" ref="AM3:AM66" si="9">IFERROR(IF(U3=0,"",IF((AA3/U3)&gt;1,1,(AA3/U3))),"")</f>
        <v/>
      </c>
      <c r="AN3" s="75">
        <f t="shared" ref="AN3:AN66" si="10">IFERROR(IF(V3=0,"",IF((AC3/V3)&gt;1,1,(AC3/V3))),"")</f>
        <v>0</v>
      </c>
      <c r="AO3" s="188" t="s">
        <v>739</v>
      </c>
      <c r="AP3" s="188" t="s">
        <v>739</v>
      </c>
      <c r="AQ3" s="188" t="s">
        <v>739</v>
      </c>
      <c r="AR3" s="188"/>
      <c r="AS3" s="188" t="s">
        <v>740</v>
      </c>
      <c r="AT3" s="188" t="s">
        <v>741</v>
      </c>
      <c r="AU3" s="188" t="s">
        <v>742</v>
      </c>
      <c r="AV3" s="188"/>
      <c r="AW3" s="188" t="s">
        <v>739</v>
      </c>
      <c r="AX3" s="188" t="s">
        <v>739</v>
      </c>
      <c r="AY3" s="188" t="s">
        <v>739</v>
      </c>
      <c r="AZ3" s="188"/>
      <c r="BA3" s="188" t="s">
        <v>743</v>
      </c>
      <c r="BB3" s="188" t="s">
        <v>744</v>
      </c>
      <c r="BC3" s="188" t="s">
        <v>745</v>
      </c>
      <c r="BD3" s="143"/>
    </row>
    <row r="4" spans="1:56" ht="15" customHeight="1" x14ac:dyDescent="0.25">
      <c r="A4" s="188">
        <v>3</v>
      </c>
      <c r="B4" s="188" t="s">
        <v>489</v>
      </c>
      <c r="C4" s="188" t="s">
        <v>726</v>
      </c>
      <c r="D4" s="188" t="s">
        <v>727</v>
      </c>
      <c r="E4" s="188" t="s">
        <v>728</v>
      </c>
      <c r="F4" s="188" t="s">
        <v>729</v>
      </c>
      <c r="G4" s="188" t="s">
        <v>730</v>
      </c>
      <c r="H4" s="188" t="s">
        <v>731</v>
      </c>
      <c r="I4" s="188" t="s">
        <v>746</v>
      </c>
      <c r="J4" s="74">
        <v>44197</v>
      </c>
      <c r="K4" s="74">
        <v>44561</v>
      </c>
      <c r="L4" s="188" t="s">
        <v>733</v>
      </c>
      <c r="M4" s="188" t="str">
        <f t="shared" ref="M4:M10" si="11">B4</f>
        <v>Atlántico</v>
      </c>
      <c r="N4" s="188" t="s">
        <v>30</v>
      </c>
      <c r="O4" s="188" t="s">
        <v>747</v>
      </c>
      <c r="P4" s="188" t="s">
        <v>735</v>
      </c>
      <c r="Q4" s="75">
        <v>0.125</v>
      </c>
      <c r="R4" s="190">
        <v>5541</v>
      </c>
      <c r="S4" s="190">
        <v>0</v>
      </c>
      <c r="T4" s="190">
        <v>0</v>
      </c>
      <c r="U4" s="190">
        <v>0</v>
      </c>
      <c r="V4" s="190">
        <v>5541</v>
      </c>
      <c r="W4" s="190">
        <v>238</v>
      </c>
      <c r="X4" s="190" t="s">
        <v>748</v>
      </c>
      <c r="Y4" s="190">
        <v>764</v>
      </c>
      <c r="Z4" s="190" t="s">
        <v>749</v>
      </c>
      <c r="AA4" s="190">
        <v>280</v>
      </c>
      <c r="AB4" s="190" t="s">
        <v>750</v>
      </c>
      <c r="AC4" s="190"/>
      <c r="AD4" s="190"/>
      <c r="AE4" s="190">
        <f t="shared" si="5"/>
        <v>1282</v>
      </c>
      <c r="AF4" s="74">
        <v>44300</v>
      </c>
      <c r="AG4" s="74">
        <v>44386</v>
      </c>
      <c r="AH4" s="74">
        <v>44483</v>
      </c>
      <c r="AI4" s="74"/>
      <c r="AJ4" s="75">
        <f t="shared" si="6"/>
        <v>0.23136617939000181</v>
      </c>
      <c r="AK4" s="75" t="str">
        <f t="shared" si="7"/>
        <v/>
      </c>
      <c r="AL4" s="75" t="str">
        <f t="shared" si="8"/>
        <v/>
      </c>
      <c r="AM4" s="75" t="str">
        <f t="shared" si="9"/>
        <v/>
      </c>
      <c r="AN4" s="75">
        <f t="shared" si="10"/>
        <v>0</v>
      </c>
      <c r="AO4" s="188" t="s">
        <v>739</v>
      </c>
      <c r="AP4" s="188" t="s">
        <v>739</v>
      </c>
      <c r="AQ4" s="188" t="s">
        <v>739</v>
      </c>
      <c r="AR4" s="188"/>
      <c r="AS4" s="188" t="s">
        <v>751</v>
      </c>
      <c r="AT4" s="188" t="s">
        <v>752</v>
      </c>
      <c r="AU4" s="188" t="s">
        <v>753</v>
      </c>
      <c r="AV4" s="188"/>
      <c r="AW4" s="188" t="s">
        <v>739</v>
      </c>
      <c r="AX4" t="s">
        <v>739</v>
      </c>
      <c r="AY4" t="s">
        <v>739</v>
      </c>
      <c r="BA4" t="s">
        <v>754</v>
      </c>
      <c r="BB4" t="s">
        <v>755</v>
      </c>
      <c r="BC4" t="s">
        <v>745</v>
      </c>
      <c r="BD4" s="143"/>
    </row>
    <row r="5" spans="1:56" ht="15" customHeight="1" x14ac:dyDescent="0.25">
      <c r="A5" s="188">
        <v>5</v>
      </c>
      <c r="B5" s="188" t="s">
        <v>489</v>
      </c>
      <c r="C5" s="188" t="s">
        <v>756</v>
      </c>
      <c r="D5" s="188" t="s">
        <v>727</v>
      </c>
      <c r="E5" s="188" t="s">
        <v>728</v>
      </c>
      <c r="F5" s="188" t="s">
        <v>757</v>
      </c>
      <c r="G5" s="188" t="s">
        <v>730</v>
      </c>
      <c r="H5" s="188" t="s">
        <v>731</v>
      </c>
      <c r="I5" t="s">
        <v>758</v>
      </c>
      <c r="J5" s="74">
        <v>44197</v>
      </c>
      <c r="K5" s="74">
        <v>44561</v>
      </c>
      <c r="L5" s="188" t="s">
        <v>733</v>
      </c>
      <c r="M5" s="188" t="str">
        <f t="shared" si="11"/>
        <v>Atlántico</v>
      </c>
      <c r="N5" s="188" t="s">
        <v>60</v>
      </c>
      <c r="O5" s="188" t="s">
        <v>759</v>
      </c>
      <c r="P5" s="188" t="s">
        <v>735</v>
      </c>
      <c r="Q5" s="75">
        <v>0.125</v>
      </c>
      <c r="R5" s="189">
        <v>1</v>
      </c>
      <c r="S5" s="189">
        <v>0.25</v>
      </c>
      <c r="T5" s="189">
        <v>0.25</v>
      </c>
      <c r="U5" s="189">
        <v>0.25</v>
      </c>
      <c r="V5" s="189">
        <v>0.25</v>
      </c>
      <c r="W5" s="189">
        <v>0.25</v>
      </c>
      <c r="X5" s="189" t="s">
        <v>760</v>
      </c>
      <c r="Y5" s="189">
        <v>0.25</v>
      </c>
      <c r="Z5" s="189" t="s">
        <v>761</v>
      </c>
      <c r="AA5" s="189">
        <v>0.25</v>
      </c>
      <c r="AB5" s="189" t="s">
        <v>762</v>
      </c>
      <c r="AC5" s="189"/>
      <c r="AD5" s="189"/>
      <c r="AE5" s="189">
        <f t="shared" si="5"/>
        <v>0.75</v>
      </c>
      <c r="AF5" s="74">
        <v>44300</v>
      </c>
      <c r="AG5" s="74">
        <v>44386</v>
      </c>
      <c r="AH5" s="74">
        <v>44482</v>
      </c>
      <c r="AI5" s="74"/>
      <c r="AJ5" s="75">
        <f t="shared" si="6"/>
        <v>0.75</v>
      </c>
      <c r="AK5" s="75">
        <f t="shared" si="7"/>
        <v>1</v>
      </c>
      <c r="AL5" s="75">
        <f t="shared" si="8"/>
        <v>1</v>
      </c>
      <c r="AM5" s="75">
        <f t="shared" si="9"/>
        <v>1</v>
      </c>
      <c r="AN5" s="75">
        <f t="shared" si="10"/>
        <v>0</v>
      </c>
      <c r="AO5" s="188" t="s">
        <v>739</v>
      </c>
      <c r="AP5" s="188" t="s">
        <v>739</v>
      </c>
      <c r="AQ5" s="188" t="s">
        <v>739</v>
      </c>
      <c r="AR5" s="188"/>
      <c r="AS5" s="188" t="s">
        <v>740</v>
      </c>
      <c r="AT5" s="188" t="s">
        <v>763</v>
      </c>
      <c r="AU5" s="188" t="s">
        <v>764</v>
      </c>
      <c r="AV5" s="188"/>
      <c r="AW5" s="188" t="s">
        <v>739</v>
      </c>
      <c r="AX5" t="s">
        <v>739</v>
      </c>
      <c r="AY5" t="s">
        <v>739</v>
      </c>
      <c r="BA5" t="s">
        <v>765</v>
      </c>
      <c r="BB5" t="s">
        <v>766</v>
      </c>
      <c r="BC5" t="s">
        <v>767</v>
      </c>
      <c r="BD5" s="143"/>
    </row>
    <row r="6" spans="1:56" ht="15" customHeight="1" x14ac:dyDescent="0.25">
      <c r="A6" s="188">
        <v>6</v>
      </c>
      <c r="B6" s="188" t="s">
        <v>489</v>
      </c>
      <c r="C6" s="188" t="s">
        <v>768</v>
      </c>
      <c r="D6" s="188" t="s">
        <v>727</v>
      </c>
      <c r="E6" s="188" t="s">
        <v>728</v>
      </c>
      <c r="F6" s="188" t="s">
        <v>757</v>
      </c>
      <c r="G6" s="188" t="s">
        <v>730</v>
      </c>
      <c r="H6" s="188" t="s">
        <v>731</v>
      </c>
      <c r="I6" t="s">
        <v>769</v>
      </c>
      <c r="J6" s="74">
        <v>44197</v>
      </c>
      <c r="K6" s="74">
        <v>44561</v>
      </c>
      <c r="L6" s="188" t="s">
        <v>733</v>
      </c>
      <c r="M6" s="188" t="str">
        <f t="shared" si="11"/>
        <v>Atlántico</v>
      </c>
      <c r="N6" s="188" t="s">
        <v>60</v>
      </c>
      <c r="O6" s="188" t="s">
        <v>759</v>
      </c>
      <c r="P6" s="188" t="s">
        <v>735</v>
      </c>
      <c r="Q6" s="75">
        <v>0.125</v>
      </c>
      <c r="R6" s="189">
        <v>1</v>
      </c>
      <c r="S6" s="189">
        <v>0.25</v>
      </c>
      <c r="T6" s="189">
        <v>0.25</v>
      </c>
      <c r="U6" s="189">
        <v>0.25</v>
      </c>
      <c r="V6" s="189">
        <v>0.25</v>
      </c>
      <c r="W6" s="189">
        <v>0.25</v>
      </c>
      <c r="X6" s="189" t="s">
        <v>770</v>
      </c>
      <c r="Y6" s="189">
        <v>0.25</v>
      </c>
      <c r="Z6" s="189" t="s">
        <v>771</v>
      </c>
      <c r="AA6" s="189">
        <v>0.25</v>
      </c>
      <c r="AB6" s="189" t="s">
        <v>771</v>
      </c>
      <c r="AC6" s="189"/>
      <c r="AD6" s="189"/>
      <c r="AE6" s="189">
        <f t="shared" si="5"/>
        <v>0.75</v>
      </c>
      <c r="AF6" s="74">
        <v>44300</v>
      </c>
      <c r="AG6" s="74">
        <v>44386</v>
      </c>
      <c r="AH6" s="74">
        <v>44482</v>
      </c>
      <c r="AI6" s="74"/>
      <c r="AJ6" s="75">
        <f t="shared" si="6"/>
        <v>0.75</v>
      </c>
      <c r="AK6" s="75">
        <f t="shared" si="7"/>
        <v>1</v>
      </c>
      <c r="AL6" s="75">
        <f t="shared" si="8"/>
        <v>1</v>
      </c>
      <c r="AM6" s="75">
        <f t="shared" si="9"/>
        <v>1</v>
      </c>
      <c r="AN6" s="75">
        <f t="shared" si="10"/>
        <v>0</v>
      </c>
      <c r="AO6" s="188" t="s">
        <v>739</v>
      </c>
      <c r="AP6" s="188" t="s">
        <v>739</v>
      </c>
      <c r="AQ6" s="188" t="s">
        <v>739</v>
      </c>
      <c r="AR6" s="188"/>
      <c r="AS6" s="188" t="s">
        <v>772</v>
      </c>
      <c r="AT6" s="188" t="s">
        <v>771</v>
      </c>
      <c r="AU6" s="188" t="s">
        <v>773</v>
      </c>
      <c r="AV6" s="188"/>
      <c r="AW6" s="188" t="s">
        <v>739</v>
      </c>
      <c r="AX6" t="s">
        <v>739</v>
      </c>
      <c r="AY6" t="s">
        <v>739</v>
      </c>
      <c r="BA6" t="s">
        <v>774</v>
      </c>
      <c r="BB6" t="s">
        <v>775</v>
      </c>
      <c r="BC6" t="s">
        <v>776</v>
      </c>
      <c r="BD6" s="143"/>
    </row>
    <row r="7" spans="1:56" ht="15" customHeight="1" x14ac:dyDescent="0.25">
      <c r="A7" s="188">
        <v>7</v>
      </c>
      <c r="B7" s="188" t="s">
        <v>489</v>
      </c>
      <c r="C7" s="188" t="s">
        <v>777</v>
      </c>
      <c r="D7" s="188" t="s">
        <v>778</v>
      </c>
      <c r="E7" s="188" t="s">
        <v>779</v>
      </c>
      <c r="F7" s="188" t="s">
        <v>780</v>
      </c>
      <c r="G7" s="188" t="s">
        <v>730</v>
      </c>
      <c r="H7" s="188" t="s">
        <v>781</v>
      </c>
      <c r="I7" t="s">
        <v>782</v>
      </c>
      <c r="J7" s="74">
        <v>44197</v>
      </c>
      <c r="K7" s="74">
        <v>44561</v>
      </c>
      <c r="L7" s="188" t="s">
        <v>733</v>
      </c>
      <c r="M7" s="188" t="str">
        <f t="shared" si="11"/>
        <v>Atlántico</v>
      </c>
      <c r="N7" s="188" t="s">
        <v>60</v>
      </c>
      <c r="O7" s="188" t="s">
        <v>759</v>
      </c>
      <c r="P7" s="188" t="s">
        <v>735</v>
      </c>
      <c r="Q7" s="75">
        <v>0.125</v>
      </c>
      <c r="R7" s="189">
        <v>1</v>
      </c>
      <c r="S7" s="189">
        <v>0.25</v>
      </c>
      <c r="T7" s="189">
        <v>0.25</v>
      </c>
      <c r="U7" s="189">
        <v>0.25</v>
      </c>
      <c r="V7" s="189">
        <v>0.25</v>
      </c>
      <c r="W7" s="189">
        <v>0.21</v>
      </c>
      <c r="X7" s="189" t="s">
        <v>783</v>
      </c>
      <c r="Y7" s="189">
        <v>0.24</v>
      </c>
      <c r="Z7" s="189" t="s">
        <v>784</v>
      </c>
      <c r="AA7" s="189">
        <v>0.25</v>
      </c>
      <c r="AB7" s="189" t="s">
        <v>785</v>
      </c>
      <c r="AC7" s="189"/>
      <c r="AD7" s="189"/>
      <c r="AE7" s="189">
        <f t="shared" si="5"/>
        <v>0.7</v>
      </c>
      <c r="AF7" s="74">
        <v>44300</v>
      </c>
      <c r="AG7" s="74">
        <v>44386</v>
      </c>
      <c r="AH7" s="74">
        <v>44482</v>
      </c>
      <c r="AI7" s="74"/>
      <c r="AJ7" s="75">
        <f t="shared" si="6"/>
        <v>0.7</v>
      </c>
      <c r="AK7" s="75">
        <f t="shared" si="7"/>
        <v>0.84</v>
      </c>
      <c r="AL7" s="75">
        <f t="shared" si="8"/>
        <v>0.96</v>
      </c>
      <c r="AM7" s="75">
        <f t="shared" si="9"/>
        <v>1</v>
      </c>
      <c r="AN7" s="75">
        <f t="shared" si="10"/>
        <v>0</v>
      </c>
      <c r="AO7" s="188" t="s">
        <v>739</v>
      </c>
      <c r="AP7" s="188" t="s">
        <v>739</v>
      </c>
      <c r="AQ7" s="188" t="s">
        <v>739</v>
      </c>
      <c r="AR7" s="188"/>
      <c r="AS7" s="188" t="s">
        <v>772</v>
      </c>
      <c r="AT7" s="188" t="s">
        <v>772</v>
      </c>
      <c r="AU7" s="188" t="s">
        <v>786</v>
      </c>
      <c r="AV7" s="188"/>
      <c r="AW7" s="188" t="s">
        <v>739</v>
      </c>
      <c r="AX7" t="s">
        <v>739</v>
      </c>
      <c r="AY7" t="s">
        <v>739</v>
      </c>
      <c r="BA7" t="s">
        <v>787</v>
      </c>
      <c r="BB7" t="s">
        <v>788</v>
      </c>
      <c r="BC7" t="s">
        <v>789</v>
      </c>
      <c r="BD7" s="143"/>
    </row>
    <row r="8" spans="1:56" ht="15" customHeight="1" x14ac:dyDescent="0.25">
      <c r="A8" s="188">
        <v>8</v>
      </c>
      <c r="B8" s="188" t="s">
        <v>489</v>
      </c>
      <c r="C8" s="188" t="s">
        <v>790</v>
      </c>
      <c r="D8" s="188" t="s">
        <v>791</v>
      </c>
      <c r="E8" s="188" t="s">
        <v>792</v>
      </c>
      <c r="F8" s="188" t="s">
        <v>793</v>
      </c>
      <c r="G8" s="188" t="s">
        <v>794</v>
      </c>
      <c r="H8" s="188" t="s">
        <v>794</v>
      </c>
      <c r="I8" t="s">
        <v>795</v>
      </c>
      <c r="J8" s="74">
        <v>44197</v>
      </c>
      <c r="K8" s="74">
        <v>44561</v>
      </c>
      <c r="L8" s="188" t="s">
        <v>733</v>
      </c>
      <c r="M8" s="188" t="str">
        <f t="shared" si="11"/>
        <v>Atlántico</v>
      </c>
      <c r="N8" s="188" t="s">
        <v>60</v>
      </c>
      <c r="O8" s="188" t="s">
        <v>796</v>
      </c>
      <c r="P8" s="188" t="s">
        <v>735</v>
      </c>
      <c r="Q8" s="75">
        <v>0.125</v>
      </c>
      <c r="R8" s="189">
        <v>1</v>
      </c>
      <c r="S8" s="189">
        <v>0.25</v>
      </c>
      <c r="T8" s="189">
        <v>0.25</v>
      </c>
      <c r="U8" s="189">
        <v>0.25</v>
      </c>
      <c r="V8" s="189">
        <v>0.25</v>
      </c>
      <c r="W8" s="189">
        <v>0.25</v>
      </c>
      <c r="X8" s="189" t="s">
        <v>797</v>
      </c>
      <c r="Y8" s="189">
        <v>0.25</v>
      </c>
      <c r="Z8" s="189" t="s">
        <v>798</v>
      </c>
      <c r="AA8" s="189">
        <v>0.25</v>
      </c>
      <c r="AB8" s="189" t="s">
        <v>799</v>
      </c>
      <c r="AC8" s="189"/>
      <c r="AD8" s="189"/>
      <c r="AE8" s="189">
        <f t="shared" si="5"/>
        <v>0.75</v>
      </c>
      <c r="AF8" s="74">
        <v>44300</v>
      </c>
      <c r="AG8" s="74">
        <v>44386</v>
      </c>
      <c r="AH8" s="74">
        <v>44482</v>
      </c>
      <c r="AI8" s="74"/>
      <c r="AJ8" s="75">
        <f t="shared" si="6"/>
        <v>0.75</v>
      </c>
      <c r="AK8" s="75">
        <f t="shared" si="7"/>
        <v>1</v>
      </c>
      <c r="AL8" s="75">
        <f t="shared" si="8"/>
        <v>1</v>
      </c>
      <c r="AM8" s="75">
        <f t="shared" si="9"/>
        <v>1</v>
      </c>
      <c r="AN8" s="75">
        <f t="shared" si="10"/>
        <v>0</v>
      </c>
      <c r="AO8" s="188" t="s">
        <v>739</v>
      </c>
      <c r="AP8" s="188" t="s">
        <v>739</v>
      </c>
      <c r="AQ8" s="188" t="s">
        <v>739</v>
      </c>
      <c r="AR8" s="188"/>
      <c r="AS8" s="188" t="s">
        <v>772</v>
      </c>
      <c r="AT8" s="188" t="s">
        <v>800</v>
      </c>
      <c r="AU8" s="188" t="s">
        <v>801</v>
      </c>
      <c r="AV8" s="188"/>
      <c r="AW8" s="188" t="s">
        <v>739</v>
      </c>
      <c r="AX8" t="s">
        <v>739</v>
      </c>
      <c r="AY8" t="s">
        <v>739</v>
      </c>
      <c r="BA8" t="s">
        <v>802</v>
      </c>
      <c r="BB8" t="s">
        <v>803</v>
      </c>
      <c r="BC8" t="s">
        <v>804</v>
      </c>
      <c r="BD8" s="143"/>
    </row>
    <row r="9" spans="1:56" ht="15" customHeight="1" x14ac:dyDescent="0.25">
      <c r="A9" s="188">
        <v>9</v>
      </c>
      <c r="B9" s="188" t="s">
        <v>489</v>
      </c>
      <c r="C9" s="188" t="s">
        <v>790</v>
      </c>
      <c r="D9" s="188" t="s">
        <v>791</v>
      </c>
      <c r="E9" s="188" t="s">
        <v>792</v>
      </c>
      <c r="F9" s="188" t="s">
        <v>793</v>
      </c>
      <c r="G9" s="188" t="s">
        <v>794</v>
      </c>
      <c r="H9" s="188" t="s">
        <v>794</v>
      </c>
      <c r="I9" t="s">
        <v>805</v>
      </c>
      <c r="J9" s="74">
        <v>44197</v>
      </c>
      <c r="K9" s="74">
        <v>44561</v>
      </c>
      <c r="L9" s="188" t="s">
        <v>733</v>
      </c>
      <c r="M9" s="188" t="str">
        <f t="shared" si="11"/>
        <v>Atlántico</v>
      </c>
      <c r="N9" s="188" t="s">
        <v>60</v>
      </c>
      <c r="O9" s="188" t="s">
        <v>806</v>
      </c>
      <c r="P9" s="188" t="s">
        <v>735</v>
      </c>
      <c r="Q9" s="75">
        <v>0.125</v>
      </c>
      <c r="R9" s="189">
        <v>1</v>
      </c>
      <c r="S9" s="189">
        <v>0.25</v>
      </c>
      <c r="T9" s="189">
        <v>0.25</v>
      </c>
      <c r="U9" s="189">
        <v>0.25</v>
      </c>
      <c r="V9" s="189">
        <v>0.25</v>
      </c>
      <c r="W9" s="189">
        <v>0.25</v>
      </c>
      <c r="X9" s="189" t="s">
        <v>807</v>
      </c>
      <c r="Y9" s="189">
        <v>0.25</v>
      </c>
      <c r="Z9" s="189" t="s">
        <v>808</v>
      </c>
      <c r="AA9" s="189">
        <v>0.25</v>
      </c>
      <c r="AB9" s="189" t="s">
        <v>808</v>
      </c>
      <c r="AC9" s="189"/>
      <c r="AD9" s="189"/>
      <c r="AE9" s="189">
        <f t="shared" si="5"/>
        <v>0.75</v>
      </c>
      <c r="AF9" s="74">
        <v>44300</v>
      </c>
      <c r="AG9" s="74">
        <v>44386</v>
      </c>
      <c r="AH9" s="74">
        <v>44482</v>
      </c>
      <c r="AI9" s="74"/>
      <c r="AJ9" s="75">
        <f t="shared" si="6"/>
        <v>0.75</v>
      </c>
      <c r="AK9" s="75">
        <f t="shared" si="7"/>
        <v>1</v>
      </c>
      <c r="AL9" s="75">
        <f t="shared" si="8"/>
        <v>1</v>
      </c>
      <c r="AM9" s="75">
        <f t="shared" si="9"/>
        <v>1</v>
      </c>
      <c r="AN9" s="75">
        <f t="shared" si="10"/>
        <v>0</v>
      </c>
      <c r="AO9" s="188" t="s">
        <v>739</v>
      </c>
      <c r="AP9" s="188" t="s">
        <v>739</v>
      </c>
      <c r="AQ9" s="188" t="s">
        <v>739</v>
      </c>
      <c r="AR9" s="188"/>
      <c r="AS9" s="188" t="s">
        <v>772</v>
      </c>
      <c r="AT9" s="188" t="s">
        <v>809</v>
      </c>
      <c r="AU9" s="188" t="s">
        <v>810</v>
      </c>
      <c r="AV9" s="188"/>
      <c r="AW9" s="188" t="s">
        <v>739</v>
      </c>
      <c r="AX9" t="s">
        <v>739</v>
      </c>
      <c r="AY9" t="s">
        <v>739</v>
      </c>
      <c r="BA9" t="s">
        <v>811</v>
      </c>
      <c r="BB9" t="s">
        <v>812</v>
      </c>
      <c r="BC9" t="s">
        <v>813</v>
      </c>
      <c r="BD9" s="143"/>
    </row>
    <row r="10" spans="1:56" ht="15" customHeight="1" x14ac:dyDescent="0.25">
      <c r="A10" s="188">
        <v>11</v>
      </c>
      <c r="B10" s="188" t="s">
        <v>489</v>
      </c>
      <c r="C10" s="188" t="s">
        <v>814</v>
      </c>
      <c r="D10" s="188" t="s">
        <v>727</v>
      </c>
      <c r="E10" s="188" t="s">
        <v>815</v>
      </c>
      <c r="F10" s="188" t="s">
        <v>816</v>
      </c>
      <c r="G10" s="188" t="s">
        <v>817</v>
      </c>
      <c r="H10" s="188" t="s">
        <v>818</v>
      </c>
      <c r="I10" s="188" t="s">
        <v>819</v>
      </c>
      <c r="J10" s="74">
        <v>44197</v>
      </c>
      <c r="K10" s="74">
        <v>44561</v>
      </c>
      <c r="L10" s="188" t="s">
        <v>733</v>
      </c>
      <c r="M10" s="188" t="str">
        <f t="shared" si="11"/>
        <v>Atlántico</v>
      </c>
      <c r="N10" s="188" t="s">
        <v>30</v>
      </c>
      <c r="O10" s="188" t="s">
        <v>820</v>
      </c>
      <c r="P10" s="188" t="s">
        <v>821</v>
      </c>
      <c r="Q10" s="75">
        <v>0.125</v>
      </c>
      <c r="R10" s="190">
        <f>SUM(S10:V10)</f>
        <v>136585448.58387947</v>
      </c>
      <c r="S10" s="190">
        <v>26969370.740170442</v>
      </c>
      <c r="T10" s="190">
        <v>34961206.505192727</v>
      </c>
      <c r="U10" s="190">
        <v>35594655.817368172</v>
      </c>
      <c r="V10" s="190">
        <v>39060215.521148145</v>
      </c>
      <c r="W10" s="190">
        <v>13638680</v>
      </c>
      <c r="X10" s="191" t="s">
        <v>822</v>
      </c>
      <c r="Y10" s="190">
        <v>12607715</v>
      </c>
      <c r="Z10" s="190" t="s">
        <v>823</v>
      </c>
      <c r="AA10" s="190">
        <v>23484684</v>
      </c>
      <c r="AB10" s="190" t="s">
        <v>824</v>
      </c>
      <c r="AC10" s="190"/>
      <c r="AD10" s="190"/>
      <c r="AE10" s="190">
        <f t="shared" si="5"/>
        <v>49731079</v>
      </c>
      <c r="AF10" s="74">
        <v>44300</v>
      </c>
      <c r="AG10" s="74">
        <v>44390</v>
      </c>
      <c r="AH10" s="74">
        <v>44482</v>
      </c>
      <c r="AI10" s="74"/>
      <c r="AJ10" s="75">
        <f t="shared" si="6"/>
        <v>0.36410232214055577</v>
      </c>
      <c r="AK10" s="75">
        <f t="shared" si="7"/>
        <v>0.50570998231283926</v>
      </c>
      <c r="AL10" s="75">
        <f t="shared" si="8"/>
        <v>0.36062013472353704</v>
      </c>
      <c r="AM10" s="75">
        <f t="shared" si="9"/>
        <v>0.6597811795258548</v>
      </c>
      <c r="AN10" s="75">
        <f t="shared" si="10"/>
        <v>0</v>
      </c>
      <c r="AO10" s="188" t="s">
        <v>739</v>
      </c>
      <c r="AP10" s="188" t="s">
        <v>739</v>
      </c>
      <c r="AQ10" s="188" t="s">
        <v>739</v>
      </c>
      <c r="AR10" s="188"/>
      <c r="AS10" s="188" t="s">
        <v>825</v>
      </c>
      <c r="AT10" s="188" t="s">
        <v>826</v>
      </c>
      <c r="AU10" s="188" t="s">
        <v>827</v>
      </c>
      <c r="AV10" s="188"/>
      <c r="AW10" s="188" t="s">
        <v>739</v>
      </c>
      <c r="AX10" t="s">
        <v>739</v>
      </c>
      <c r="AY10" t="s">
        <v>828</v>
      </c>
      <c r="BA10" t="s">
        <v>829</v>
      </c>
      <c r="BB10" t="s">
        <v>830</v>
      </c>
      <c r="BC10" t="s">
        <v>831</v>
      </c>
      <c r="BD10" s="143"/>
    </row>
    <row r="11" spans="1:56" ht="15" customHeight="1" x14ac:dyDescent="0.25">
      <c r="A11" s="188">
        <v>1</v>
      </c>
      <c r="B11" s="188" t="s">
        <v>490</v>
      </c>
      <c r="C11" s="188" t="s">
        <v>832</v>
      </c>
      <c r="D11" s="188" t="s">
        <v>727</v>
      </c>
      <c r="E11" s="188" t="s">
        <v>728</v>
      </c>
      <c r="F11" s="188" t="s">
        <v>729</v>
      </c>
      <c r="G11" s="188" t="s">
        <v>730</v>
      </c>
      <c r="H11" s="188" t="s">
        <v>731</v>
      </c>
      <c r="I11" s="188" t="s">
        <v>833</v>
      </c>
      <c r="J11" s="74">
        <v>44197</v>
      </c>
      <c r="K11" s="74">
        <v>44561</v>
      </c>
      <c r="L11" s="188" t="s">
        <v>733</v>
      </c>
      <c r="M11" s="188" t="str">
        <f>B11</f>
        <v>Bolívar</v>
      </c>
      <c r="N11" s="188" t="s">
        <v>30</v>
      </c>
      <c r="O11" s="188" t="s">
        <v>834</v>
      </c>
      <c r="P11" s="188" t="s">
        <v>735</v>
      </c>
      <c r="Q11" s="75">
        <v>9.0909090909090912E-2</v>
      </c>
      <c r="R11" s="190">
        <v>167</v>
      </c>
      <c r="S11" s="190">
        <v>0</v>
      </c>
      <c r="T11" s="190">
        <v>0</v>
      </c>
      <c r="U11" s="190">
        <v>0</v>
      </c>
      <c r="V11" s="190">
        <v>167</v>
      </c>
      <c r="W11" s="190">
        <v>0</v>
      </c>
      <c r="X11" s="190" t="s">
        <v>835</v>
      </c>
      <c r="Y11" s="190">
        <v>0</v>
      </c>
      <c r="Z11" s="190" t="s">
        <v>836</v>
      </c>
      <c r="AA11" s="190">
        <v>0</v>
      </c>
      <c r="AB11" s="190" t="s">
        <v>837</v>
      </c>
      <c r="AC11" s="190"/>
      <c r="AD11" s="190"/>
      <c r="AE11" s="190">
        <f t="shared" si="5"/>
        <v>0</v>
      </c>
      <c r="AF11" s="74">
        <v>44300</v>
      </c>
      <c r="AG11" s="74">
        <v>44391</v>
      </c>
      <c r="AH11" s="74">
        <v>44477</v>
      </c>
      <c r="AI11" s="74"/>
      <c r="AJ11" s="75">
        <f t="shared" si="6"/>
        <v>0</v>
      </c>
      <c r="AK11" s="75" t="str">
        <f t="shared" si="7"/>
        <v/>
      </c>
      <c r="AL11" s="75" t="str">
        <f t="shared" si="8"/>
        <v/>
      </c>
      <c r="AM11" s="75" t="str">
        <f t="shared" si="9"/>
        <v/>
      </c>
      <c r="AN11" s="75">
        <f t="shared" si="10"/>
        <v>0</v>
      </c>
      <c r="AO11" s="188" t="s">
        <v>838</v>
      </c>
      <c r="AP11" s="188" t="s">
        <v>838</v>
      </c>
      <c r="AQ11" s="188" t="s">
        <v>739</v>
      </c>
      <c r="AR11" s="188"/>
      <c r="AS11" s="188" t="s">
        <v>838</v>
      </c>
      <c r="AT11" s="188" t="s">
        <v>839</v>
      </c>
      <c r="AU11" s="188" t="s">
        <v>840</v>
      </c>
      <c r="AV11" s="188"/>
      <c r="AW11" s="188" t="s">
        <v>838</v>
      </c>
      <c r="AX11" s="188" t="s">
        <v>838</v>
      </c>
      <c r="AY11" s="188" t="s">
        <v>838</v>
      </c>
      <c r="AZ11" s="188"/>
      <c r="BA11" s="188" t="s">
        <v>841</v>
      </c>
      <c r="BB11" s="188" t="s">
        <v>842</v>
      </c>
      <c r="BC11" s="188" t="s">
        <v>843</v>
      </c>
      <c r="BD11" s="143"/>
    </row>
    <row r="12" spans="1:56" ht="15" customHeight="1" x14ac:dyDescent="0.25">
      <c r="A12" s="188">
        <v>2</v>
      </c>
      <c r="B12" s="188" t="s">
        <v>490</v>
      </c>
      <c r="C12" s="188" t="s">
        <v>832</v>
      </c>
      <c r="D12" s="188" t="s">
        <v>727</v>
      </c>
      <c r="E12" s="188" t="s">
        <v>728</v>
      </c>
      <c r="F12" s="188" t="s">
        <v>729</v>
      </c>
      <c r="G12" s="188" t="s">
        <v>730</v>
      </c>
      <c r="H12" s="188" t="s">
        <v>731</v>
      </c>
      <c r="I12" s="188" t="s">
        <v>844</v>
      </c>
      <c r="J12" s="74">
        <v>44197</v>
      </c>
      <c r="K12" s="74">
        <v>44561</v>
      </c>
      <c r="L12" s="188" t="s">
        <v>733</v>
      </c>
      <c r="M12" s="188" t="str">
        <f t="shared" ref="M12:M21" si="12">B12</f>
        <v>Bolívar</v>
      </c>
      <c r="N12" s="188" t="s">
        <v>30</v>
      </c>
      <c r="O12" s="188" t="s">
        <v>845</v>
      </c>
      <c r="P12" s="188" t="s">
        <v>735</v>
      </c>
      <c r="Q12" s="75">
        <v>9.0909090909090912E-2</v>
      </c>
      <c r="R12" s="190">
        <v>97882</v>
      </c>
      <c r="S12" s="190">
        <v>0</v>
      </c>
      <c r="T12" s="190">
        <v>0</v>
      </c>
      <c r="U12" s="190">
        <v>0</v>
      </c>
      <c r="V12" s="190">
        <v>97882</v>
      </c>
      <c r="W12" s="190">
        <v>0</v>
      </c>
      <c r="X12" s="190" t="s">
        <v>846</v>
      </c>
      <c r="Y12" s="190">
        <v>0</v>
      </c>
      <c r="Z12" s="190" t="s">
        <v>847</v>
      </c>
      <c r="AA12" s="190">
        <v>0</v>
      </c>
      <c r="AB12" s="190" t="s">
        <v>848</v>
      </c>
      <c r="AC12" s="190"/>
      <c r="AD12" s="190"/>
      <c r="AE12" s="190">
        <f t="shared" si="5"/>
        <v>0</v>
      </c>
      <c r="AF12" s="74">
        <v>44300</v>
      </c>
      <c r="AG12" s="74">
        <v>44391</v>
      </c>
      <c r="AH12" s="74">
        <v>44477</v>
      </c>
      <c r="AI12" s="74"/>
      <c r="AJ12" s="75">
        <f t="shared" si="6"/>
        <v>0</v>
      </c>
      <c r="AK12" s="75" t="str">
        <f t="shared" si="7"/>
        <v/>
      </c>
      <c r="AL12" s="75" t="str">
        <f t="shared" si="8"/>
        <v/>
      </c>
      <c r="AM12" s="75" t="str">
        <f t="shared" si="9"/>
        <v/>
      </c>
      <c r="AN12" s="75">
        <f t="shared" si="10"/>
        <v>0</v>
      </c>
      <c r="AO12" s="188" t="s">
        <v>838</v>
      </c>
      <c r="AP12" s="188" t="s">
        <v>838</v>
      </c>
      <c r="AQ12" s="188" t="s">
        <v>838</v>
      </c>
      <c r="AR12" s="188"/>
      <c r="AS12" s="188" t="s">
        <v>838</v>
      </c>
      <c r="AT12" s="188" t="s">
        <v>839</v>
      </c>
      <c r="AU12" s="188" t="s">
        <v>849</v>
      </c>
      <c r="AV12" s="188"/>
      <c r="AW12" s="188" t="s">
        <v>838</v>
      </c>
      <c r="AX12" t="s">
        <v>838</v>
      </c>
      <c r="AY12" t="s">
        <v>838</v>
      </c>
      <c r="BA12" t="s">
        <v>841</v>
      </c>
      <c r="BB12" t="s">
        <v>850</v>
      </c>
      <c r="BC12" t="s">
        <v>851</v>
      </c>
      <c r="BD12" s="143"/>
    </row>
    <row r="13" spans="1:56" ht="15" customHeight="1" x14ac:dyDescent="0.25">
      <c r="A13" s="188">
        <v>3</v>
      </c>
      <c r="B13" s="188" t="s">
        <v>490</v>
      </c>
      <c r="C13" s="188" t="s">
        <v>726</v>
      </c>
      <c r="D13" s="188" t="s">
        <v>727</v>
      </c>
      <c r="E13" s="188" t="s">
        <v>728</v>
      </c>
      <c r="F13" s="188" t="s">
        <v>729</v>
      </c>
      <c r="G13" s="188" t="s">
        <v>730</v>
      </c>
      <c r="H13" s="188" t="s">
        <v>731</v>
      </c>
      <c r="I13" s="188" t="s">
        <v>732</v>
      </c>
      <c r="J13" s="74">
        <v>44197</v>
      </c>
      <c r="K13" s="74">
        <v>44561</v>
      </c>
      <c r="L13" s="188" t="s">
        <v>733</v>
      </c>
      <c r="M13" s="188" t="str">
        <f t="shared" si="12"/>
        <v>Bolívar</v>
      </c>
      <c r="N13" s="188" t="s">
        <v>30</v>
      </c>
      <c r="O13" s="188" t="s">
        <v>734</v>
      </c>
      <c r="P13" s="188" t="s">
        <v>735</v>
      </c>
      <c r="Q13" s="75">
        <v>9.0909090909090912E-2</v>
      </c>
      <c r="R13" s="190">
        <v>10162</v>
      </c>
      <c r="S13" s="190">
        <v>0</v>
      </c>
      <c r="T13" s="190">
        <v>0</v>
      </c>
      <c r="U13" s="190">
        <v>0</v>
      </c>
      <c r="V13" s="190">
        <v>10162</v>
      </c>
      <c r="W13" s="190">
        <v>1349</v>
      </c>
      <c r="X13" s="190" t="s">
        <v>852</v>
      </c>
      <c r="Y13" s="190">
        <v>2108</v>
      </c>
      <c r="Z13" s="190" t="s">
        <v>853</v>
      </c>
      <c r="AA13" s="190">
        <v>345</v>
      </c>
      <c r="AB13" s="190" t="s">
        <v>854</v>
      </c>
      <c r="AC13" s="190"/>
      <c r="AD13" s="190"/>
      <c r="AE13" s="190">
        <f t="shared" si="5"/>
        <v>3802</v>
      </c>
      <c r="AF13" s="74">
        <v>44300</v>
      </c>
      <c r="AG13" s="74">
        <v>44391</v>
      </c>
      <c r="AH13" s="74">
        <v>44477</v>
      </c>
      <c r="AI13" s="74"/>
      <c r="AJ13" s="75">
        <f t="shared" si="6"/>
        <v>0.37413894902578232</v>
      </c>
      <c r="AK13" s="75" t="str">
        <f t="shared" si="7"/>
        <v/>
      </c>
      <c r="AL13" s="75" t="str">
        <f t="shared" si="8"/>
        <v/>
      </c>
      <c r="AM13" s="75" t="str">
        <f t="shared" si="9"/>
        <v/>
      </c>
      <c r="AN13" s="75">
        <f t="shared" si="10"/>
        <v>0</v>
      </c>
      <c r="AO13" s="188" t="s">
        <v>739</v>
      </c>
      <c r="AP13" s="188" t="s">
        <v>739</v>
      </c>
      <c r="AQ13" s="188" t="s">
        <v>739</v>
      </c>
      <c r="AR13" s="188"/>
      <c r="AS13" s="188" t="s">
        <v>855</v>
      </c>
      <c r="AT13" s="188" t="s">
        <v>856</v>
      </c>
      <c r="AU13" s="188" t="s">
        <v>857</v>
      </c>
      <c r="AV13" s="188"/>
      <c r="AW13" s="188" t="s">
        <v>739</v>
      </c>
      <c r="AX13" t="s">
        <v>739</v>
      </c>
      <c r="AY13" t="s">
        <v>838</v>
      </c>
      <c r="BA13" t="s">
        <v>858</v>
      </c>
      <c r="BB13" t="s">
        <v>859</v>
      </c>
      <c r="BC13" t="s">
        <v>860</v>
      </c>
      <c r="BD13" s="143"/>
    </row>
    <row r="14" spans="1:56" ht="15" customHeight="1" x14ac:dyDescent="0.25">
      <c r="A14" s="188">
        <v>5</v>
      </c>
      <c r="B14" s="188" t="s">
        <v>490</v>
      </c>
      <c r="C14" s="188" t="s">
        <v>726</v>
      </c>
      <c r="D14" s="188" t="s">
        <v>727</v>
      </c>
      <c r="E14" s="188" t="s">
        <v>728</v>
      </c>
      <c r="F14" s="188" t="s">
        <v>729</v>
      </c>
      <c r="G14" s="188" t="s">
        <v>730</v>
      </c>
      <c r="H14" s="188" t="s">
        <v>731</v>
      </c>
      <c r="I14" t="s">
        <v>746</v>
      </c>
      <c r="J14" s="74">
        <v>44197</v>
      </c>
      <c r="K14" s="74">
        <v>44561</v>
      </c>
      <c r="L14" s="188" t="s">
        <v>733</v>
      </c>
      <c r="M14" s="188" t="str">
        <f t="shared" si="12"/>
        <v>Bolívar</v>
      </c>
      <c r="N14" s="188" t="s">
        <v>30</v>
      </c>
      <c r="O14" s="188" t="s">
        <v>747</v>
      </c>
      <c r="P14" s="188" t="s">
        <v>735</v>
      </c>
      <c r="Q14" s="75">
        <v>9.0909090909090912E-2</v>
      </c>
      <c r="R14" s="190">
        <v>6930</v>
      </c>
      <c r="S14" s="190">
        <v>0</v>
      </c>
      <c r="T14" s="190">
        <v>0</v>
      </c>
      <c r="U14" s="190">
        <v>0</v>
      </c>
      <c r="V14" s="190">
        <v>6930</v>
      </c>
      <c r="W14" s="190">
        <v>890</v>
      </c>
      <c r="X14" s="190" t="s">
        <v>861</v>
      </c>
      <c r="Y14" s="190">
        <v>1543</v>
      </c>
      <c r="Z14" s="190" t="s">
        <v>862</v>
      </c>
      <c r="AA14" s="190">
        <v>1</v>
      </c>
      <c r="AB14" s="190" t="s">
        <v>863</v>
      </c>
      <c r="AC14" s="190"/>
      <c r="AD14" s="190"/>
      <c r="AE14" s="190">
        <f t="shared" si="5"/>
        <v>2434</v>
      </c>
      <c r="AF14" s="74">
        <v>44300</v>
      </c>
      <c r="AG14" s="74">
        <v>44391</v>
      </c>
      <c r="AH14" s="74">
        <v>44477</v>
      </c>
      <c r="AI14" s="74"/>
      <c r="AJ14" s="75">
        <f t="shared" si="6"/>
        <v>0.35122655122655122</v>
      </c>
      <c r="AK14" s="75" t="str">
        <f t="shared" si="7"/>
        <v/>
      </c>
      <c r="AL14" s="75" t="str">
        <f t="shared" si="8"/>
        <v/>
      </c>
      <c r="AM14" s="75" t="str">
        <f t="shared" si="9"/>
        <v/>
      </c>
      <c r="AN14" s="75">
        <f t="shared" si="10"/>
        <v>0</v>
      </c>
      <c r="AO14" s="188" t="s">
        <v>739</v>
      </c>
      <c r="AP14" s="188" t="s">
        <v>739</v>
      </c>
      <c r="AQ14" s="188" t="s">
        <v>739</v>
      </c>
      <c r="AR14" s="188"/>
      <c r="AS14" s="188" t="s">
        <v>864</v>
      </c>
      <c r="AT14" s="188" t="s">
        <v>865</v>
      </c>
      <c r="AU14" s="188" t="s">
        <v>866</v>
      </c>
      <c r="AV14" s="188"/>
      <c r="AW14" s="188" t="s">
        <v>739</v>
      </c>
      <c r="AX14" t="s">
        <v>739</v>
      </c>
      <c r="AY14" t="s">
        <v>838</v>
      </c>
      <c r="BA14" t="s">
        <v>867</v>
      </c>
      <c r="BB14" t="s">
        <v>868</v>
      </c>
      <c r="BC14" t="s">
        <v>869</v>
      </c>
      <c r="BD14" s="143"/>
    </row>
    <row r="15" spans="1:56" ht="15" customHeight="1" x14ac:dyDescent="0.25">
      <c r="A15" s="188">
        <v>7</v>
      </c>
      <c r="B15" s="188" t="s">
        <v>490</v>
      </c>
      <c r="C15" s="188" t="s">
        <v>756</v>
      </c>
      <c r="D15" s="188" t="s">
        <v>727</v>
      </c>
      <c r="E15" s="188" t="s">
        <v>728</v>
      </c>
      <c r="F15" s="188" t="s">
        <v>757</v>
      </c>
      <c r="G15" s="188" t="s">
        <v>730</v>
      </c>
      <c r="H15" s="188" t="s">
        <v>731</v>
      </c>
      <c r="I15" t="s">
        <v>758</v>
      </c>
      <c r="J15" s="74">
        <v>44197</v>
      </c>
      <c r="K15" s="74">
        <v>44561</v>
      </c>
      <c r="L15" s="188" t="s">
        <v>733</v>
      </c>
      <c r="M15" s="188" t="str">
        <f t="shared" si="12"/>
        <v>Bolívar</v>
      </c>
      <c r="N15" s="188" t="s">
        <v>60</v>
      </c>
      <c r="O15" s="188" t="s">
        <v>759</v>
      </c>
      <c r="P15" s="188" t="s">
        <v>735</v>
      </c>
      <c r="Q15" s="75">
        <v>9.0909090909090912E-2</v>
      </c>
      <c r="R15" s="189">
        <v>1</v>
      </c>
      <c r="S15" s="189">
        <v>0.25</v>
      </c>
      <c r="T15" s="189">
        <v>0.25</v>
      </c>
      <c r="U15" s="189">
        <v>0.25</v>
      </c>
      <c r="V15" s="189">
        <v>0.25</v>
      </c>
      <c r="W15" s="189">
        <v>0.25</v>
      </c>
      <c r="X15" s="189" t="s">
        <v>870</v>
      </c>
      <c r="Y15" s="189">
        <v>0.25</v>
      </c>
      <c r="Z15" s="189" t="s">
        <v>871</v>
      </c>
      <c r="AA15" s="189">
        <v>0.25</v>
      </c>
      <c r="AB15" s="189" t="s">
        <v>872</v>
      </c>
      <c r="AC15" s="189"/>
      <c r="AD15" s="189"/>
      <c r="AE15" s="189">
        <f t="shared" si="5"/>
        <v>0.75</v>
      </c>
      <c r="AF15" s="74">
        <v>44299</v>
      </c>
      <c r="AG15" s="74">
        <v>44391</v>
      </c>
      <c r="AH15" s="74">
        <v>44477</v>
      </c>
      <c r="AI15" s="74"/>
      <c r="AJ15" s="75">
        <f t="shared" si="6"/>
        <v>0.75</v>
      </c>
      <c r="AK15" s="75">
        <f t="shared" si="7"/>
        <v>1</v>
      </c>
      <c r="AL15" s="75">
        <f t="shared" si="8"/>
        <v>1</v>
      </c>
      <c r="AM15" s="75">
        <f t="shared" si="9"/>
        <v>1</v>
      </c>
      <c r="AN15" s="75">
        <f t="shared" si="10"/>
        <v>0</v>
      </c>
      <c r="AO15" s="188" t="s">
        <v>828</v>
      </c>
      <c r="AP15" s="188" t="s">
        <v>739</v>
      </c>
      <c r="AQ15" s="188" t="s">
        <v>739</v>
      </c>
      <c r="AR15" s="188"/>
      <c r="AS15" s="188" t="s">
        <v>873</v>
      </c>
      <c r="AT15" s="188" t="s">
        <v>874</v>
      </c>
      <c r="AU15" s="188" t="s">
        <v>875</v>
      </c>
      <c r="AV15" s="188"/>
      <c r="AW15" s="188" t="s">
        <v>828</v>
      </c>
      <c r="AX15" t="s">
        <v>739</v>
      </c>
      <c r="AY15" t="s">
        <v>739</v>
      </c>
      <c r="BA15" t="s">
        <v>876</v>
      </c>
      <c r="BB15" t="s">
        <v>877</v>
      </c>
      <c r="BC15" t="s">
        <v>878</v>
      </c>
      <c r="BD15" s="143"/>
    </row>
    <row r="16" spans="1:56" ht="15" customHeight="1" x14ac:dyDescent="0.25">
      <c r="A16" s="188">
        <v>8</v>
      </c>
      <c r="B16" s="188" t="s">
        <v>490</v>
      </c>
      <c r="C16" s="188" t="s">
        <v>768</v>
      </c>
      <c r="D16" s="188" t="s">
        <v>727</v>
      </c>
      <c r="E16" s="188" t="s">
        <v>728</v>
      </c>
      <c r="F16" s="188" t="s">
        <v>757</v>
      </c>
      <c r="G16" s="188" t="s">
        <v>730</v>
      </c>
      <c r="H16" s="188" t="s">
        <v>731</v>
      </c>
      <c r="I16" t="s">
        <v>769</v>
      </c>
      <c r="J16" s="74">
        <v>44197</v>
      </c>
      <c r="K16" s="74">
        <v>44561</v>
      </c>
      <c r="L16" s="188" t="s">
        <v>733</v>
      </c>
      <c r="M16" s="188" t="str">
        <f t="shared" si="12"/>
        <v>Bolívar</v>
      </c>
      <c r="N16" s="188" t="s">
        <v>60</v>
      </c>
      <c r="O16" s="188" t="s">
        <v>759</v>
      </c>
      <c r="P16" s="188" t="s">
        <v>735</v>
      </c>
      <c r="Q16" s="75">
        <v>9.0909090909090912E-2</v>
      </c>
      <c r="R16" s="189">
        <v>1</v>
      </c>
      <c r="S16" s="189">
        <v>0.25</v>
      </c>
      <c r="T16" s="189">
        <v>0.25</v>
      </c>
      <c r="U16" s="189">
        <v>0.25</v>
      </c>
      <c r="V16" s="189">
        <v>0.25</v>
      </c>
      <c r="W16" s="189">
        <v>0.25</v>
      </c>
      <c r="X16" s="189" t="s">
        <v>879</v>
      </c>
      <c r="Y16" s="189">
        <v>0.22</v>
      </c>
      <c r="Z16" s="189" t="s">
        <v>880</v>
      </c>
      <c r="AA16" s="189">
        <v>0.25</v>
      </c>
      <c r="AB16" s="189" t="s">
        <v>881</v>
      </c>
      <c r="AC16" s="189"/>
      <c r="AD16" s="189"/>
      <c r="AE16" s="189">
        <f t="shared" si="5"/>
        <v>0.72</v>
      </c>
      <c r="AF16" s="74">
        <v>44299</v>
      </c>
      <c r="AG16" s="74">
        <v>44391</v>
      </c>
      <c r="AH16" s="74">
        <v>44477</v>
      </c>
      <c r="AI16" s="74"/>
      <c r="AJ16" s="75">
        <f t="shared" si="6"/>
        <v>0.72</v>
      </c>
      <c r="AK16" s="75">
        <f t="shared" si="7"/>
        <v>1</v>
      </c>
      <c r="AL16" s="75">
        <f t="shared" si="8"/>
        <v>0.88</v>
      </c>
      <c r="AM16" s="75">
        <f t="shared" si="9"/>
        <v>1</v>
      </c>
      <c r="AN16" s="75">
        <f t="shared" si="10"/>
        <v>0</v>
      </c>
      <c r="AO16" s="188" t="s">
        <v>828</v>
      </c>
      <c r="AP16" s="188" t="s">
        <v>739</v>
      </c>
      <c r="AQ16" s="188" t="s">
        <v>739</v>
      </c>
      <c r="AR16" s="188"/>
      <c r="AS16" s="188" t="s">
        <v>882</v>
      </c>
      <c r="AT16" s="188" t="s">
        <v>883</v>
      </c>
      <c r="AU16" s="188" t="s">
        <v>884</v>
      </c>
      <c r="AV16" s="188"/>
      <c r="AW16" s="188" t="s">
        <v>828</v>
      </c>
      <c r="AX16" t="s">
        <v>739</v>
      </c>
      <c r="AY16" t="s">
        <v>739</v>
      </c>
      <c r="BA16" t="s">
        <v>885</v>
      </c>
      <c r="BB16" t="s">
        <v>886</v>
      </c>
      <c r="BC16" t="s">
        <v>878</v>
      </c>
      <c r="BD16" s="143"/>
    </row>
    <row r="17" spans="1:56" ht="15" customHeight="1" x14ac:dyDescent="0.25">
      <c r="A17" s="188">
        <v>9</v>
      </c>
      <c r="B17" s="188" t="s">
        <v>490</v>
      </c>
      <c r="C17" s="188" t="s">
        <v>777</v>
      </c>
      <c r="D17" s="188" t="s">
        <v>778</v>
      </c>
      <c r="E17" s="188" t="s">
        <v>779</v>
      </c>
      <c r="F17" s="188" t="s">
        <v>780</v>
      </c>
      <c r="G17" s="188" t="s">
        <v>730</v>
      </c>
      <c r="H17" s="188" t="s">
        <v>781</v>
      </c>
      <c r="I17" t="s">
        <v>782</v>
      </c>
      <c r="J17" s="74">
        <v>44197</v>
      </c>
      <c r="K17" s="74">
        <v>44561</v>
      </c>
      <c r="L17" s="188" t="s">
        <v>733</v>
      </c>
      <c r="M17" s="188" t="str">
        <f t="shared" si="12"/>
        <v>Bolívar</v>
      </c>
      <c r="N17" s="188" t="s">
        <v>60</v>
      </c>
      <c r="O17" s="188" t="s">
        <v>759</v>
      </c>
      <c r="P17" s="188" t="s">
        <v>735</v>
      </c>
      <c r="Q17" s="75">
        <v>9.0909090909090912E-2</v>
      </c>
      <c r="R17" s="189">
        <v>1</v>
      </c>
      <c r="S17" s="189">
        <v>0.25</v>
      </c>
      <c r="T17" s="189">
        <v>0.25</v>
      </c>
      <c r="U17" s="189">
        <v>0.25</v>
      </c>
      <c r="V17" s="189">
        <v>0.25</v>
      </c>
      <c r="W17" s="189">
        <v>0.17</v>
      </c>
      <c r="X17" s="189" t="s">
        <v>887</v>
      </c>
      <c r="Y17" s="189">
        <v>0.17</v>
      </c>
      <c r="Z17" s="189" t="s">
        <v>888</v>
      </c>
      <c r="AA17" s="189">
        <v>0.17</v>
      </c>
      <c r="AB17" s="189" t="s">
        <v>889</v>
      </c>
      <c r="AC17" s="189"/>
      <c r="AD17" s="189"/>
      <c r="AE17" s="189">
        <f t="shared" si="5"/>
        <v>0.51</v>
      </c>
      <c r="AF17" s="74">
        <v>44299</v>
      </c>
      <c r="AG17" s="74">
        <v>44392</v>
      </c>
      <c r="AH17" s="74">
        <v>44477</v>
      </c>
      <c r="AI17" s="74"/>
      <c r="AJ17" s="75">
        <f t="shared" si="6"/>
        <v>0.51</v>
      </c>
      <c r="AK17" s="75">
        <f t="shared" si="7"/>
        <v>0.68</v>
      </c>
      <c r="AL17" s="75">
        <f t="shared" si="8"/>
        <v>0.68</v>
      </c>
      <c r="AM17" s="75">
        <f t="shared" si="9"/>
        <v>0.68</v>
      </c>
      <c r="AN17" s="75">
        <f t="shared" si="10"/>
        <v>0</v>
      </c>
      <c r="AO17" s="188" t="s">
        <v>739</v>
      </c>
      <c r="AP17" s="188" t="s">
        <v>828</v>
      </c>
      <c r="AQ17" s="188" t="s">
        <v>739</v>
      </c>
      <c r="AR17" s="188"/>
      <c r="AS17" s="188" t="s">
        <v>890</v>
      </c>
      <c r="AT17" s="188" t="s">
        <v>891</v>
      </c>
      <c r="AU17" s="188" t="s">
        <v>892</v>
      </c>
      <c r="AV17" s="188"/>
      <c r="AW17" s="188" t="s">
        <v>739</v>
      </c>
      <c r="AX17" t="s">
        <v>828</v>
      </c>
      <c r="AY17" t="s">
        <v>828</v>
      </c>
      <c r="BA17" t="s">
        <v>893</v>
      </c>
      <c r="BB17" t="s">
        <v>894</v>
      </c>
      <c r="BC17" t="s">
        <v>895</v>
      </c>
      <c r="BD17" s="143"/>
    </row>
    <row r="18" spans="1:56" ht="15" customHeight="1" x14ac:dyDescent="0.25">
      <c r="A18" s="188">
        <v>10</v>
      </c>
      <c r="B18" s="188" t="s">
        <v>490</v>
      </c>
      <c r="C18" s="188" t="s">
        <v>790</v>
      </c>
      <c r="D18" s="188" t="s">
        <v>791</v>
      </c>
      <c r="E18" s="188" t="s">
        <v>792</v>
      </c>
      <c r="F18" s="188" t="s">
        <v>793</v>
      </c>
      <c r="G18" s="188" t="s">
        <v>794</v>
      </c>
      <c r="H18" s="188" t="s">
        <v>794</v>
      </c>
      <c r="I18" t="s">
        <v>795</v>
      </c>
      <c r="J18" s="74">
        <v>44197</v>
      </c>
      <c r="K18" s="74">
        <v>44561</v>
      </c>
      <c r="L18" s="188" t="s">
        <v>733</v>
      </c>
      <c r="M18" s="188" t="str">
        <f t="shared" si="12"/>
        <v>Bolívar</v>
      </c>
      <c r="N18" s="188" t="s">
        <v>60</v>
      </c>
      <c r="O18" s="188" t="s">
        <v>796</v>
      </c>
      <c r="P18" s="188" t="s">
        <v>735</v>
      </c>
      <c r="Q18" s="75">
        <v>9.0909090909090912E-2</v>
      </c>
      <c r="R18" s="189">
        <v>1</v>
      </c>
      <c r="S18" s="189">
        <v>0.25</v>
      </c>
      <c r="T18" s="189">
        <v>0.25</v>
      </c>
      <c r="U18" s="189">
        <v>0.25</v>
      </c>
      <c r="V18" s="189">
        <v>0.25</v>
      </c>
      <c r="W18" s="189">
        <v>0.25</v>
      </c>
      <c r="X18" s="189" t="s">
        <v>896</v>
      </c>
      <c r="Y18" s="189">
        <v>0.25</v>
      </c>
      <c r="Z18" s="189" t="s">
        <v>897</v>
      </c>
      <c r="AA18" s="189">
        <v>0.25</v>
      </c>
      <c r="AB18" s="189" t="s">
        <v>898</v>
      </c>
      <c r="AC18" s="189"/>
      <c r="AD18" s="189"/>
      <c r="AE18" s="189">
        <f t="shared" si="5"/>
        <v>0.75</v>
      </c>
      <c r="AF18" s="74">
        <v>44300</v>
      </c>
      <c r="AG18" s="74">
        <v>44391</v>
      </c>
      <c r="AH18" s="74">
        <v>44483</v>
      </c>
      <c r="AI18" s="74"/>
      <c r="AJ18" s="75">
        <f t="shared" si="6"/>
        <v>0.75</v>
      </c>
      <c r="AK18" s="75">
        <f t="shared" si="7"/>
        <v>1</v>
      </c>
      <c r="AL18" s="75">
        <f t="shared" si="8"/>
        <v>1</v>
      </c>
      <c r="AM18" s="75">
        <f t="shared" si="9"/>
        <v>1</v>
      </c>
      <c r="AN18" s="75">
        <f t="shared" si="10"/>
        <v>0</v>
      </c>
      <c r="AO18" s="188" t="s">
        <v>739</v>
      </c>
      <c r="AP18" s="188" t="s">
        <v>739</v>
      </c>
      <c r="AQ18" s="188" t="s">
        <v>739</v>
      </c>
      <c r="AR18" s="188"/>
      <c r="AS18" s="188" t="s">
        <v>899</v>
      </c>
      <c r="AT18" s="188" t="s">
        <v>900</v>
      </c>
      <c r="AU18" s="188" t="s">
        <v>901</v>
      </c>
      <c r="AV18" s="188"/>
      <c r="AW18" s="188" t="s">
        <v>739</v>
      </c>
      <c r="AX18" t="s">
        <v>739</v>
      </c>
      <c r="AY18" t="s">
        <v>739</v>
      </c>
      <c r="BA18" t="s">
        <v>902</v>
      </c>
      <c r="BB18" t="s">
        <v>903</v>
      </c>
      <c r="BC18" t="s">
        <v>904</v>
      </c>
      <c r="BD18" s="143"/>
    </row>
    <row r="19" spans="1:56" ht="15" customHeight="1" x14ac:dyDescent="0.25">
      <c r="A19" s="188">
        <v>11</v>
      </c>
      <c r="B19" s="188" t="s">
        <v>490</v>
      </c>
      <c r="C19" s="188" t="s">
        <v>790</v>
      </c>
      <c r="D19" s="188" t="s">
        <v>791</v>
      </c>
      <c r="E19" s="188" t="s">
        <v>792</v>
      </c>
      <c r="F19" s="188" t="s">
        <v>793</v>
      </c>
      <c r="G19" s="188" t="s">
        <v>794</v>
      </c>
      <c r="H19" s="188" t="s">
        <v>794</v>
      </c>
      <c r="I19" s="188" t="s">
        <v>805</v>
      </c>
      <c r="J19" s="74">
        <v>44197</v>
      </c>
      <c r="K19" s="74">
        <v>44561</v>
      </c>
      <c r="L19" s="188" t="s">
        <v>733</v>
      </c>
      <c r="M19" s="188" t="str">
        <f t="shared" si="12"/>
        <v>Bolívar</v>
      </c>
      <c r="N19" s="188" t="s">
        <v>60</v>
      </c>
      <c r="O19" s="188" t="s">
        <v>806</v>
      </c>
      <c r="P19" s="188" t="s">
        <v>735</v>
      </c>
      <c r="Q19" s="75">
        <v>9.0909090909090912E-2</v>
      </c>
      <c r="R19" s="189">
        <v>1</v>
      </c>
      <c r="S19" s="189">
        <v>0.25</v>
      </c>
      <c r="T19" s="189">
        <v>0.25</v>
      </c>
      <c r="U19" s="189">
        <v>0.25</v>
      </c>
      <c r="V19" s="189">
        <v>0.25</v>
      </c>
      <c r="W19" s="189">
        <v>0.25</v>
      </c>
      <c r="X19" s="189" t="s">
        <v>905</v>
      </c>
      <c r="Y19" s="189">
        <v>0.25</v>
      </c>
      <c r="Z19" s="189" t="s">
        <v>906</v>
      </c>
      <c r="AA19" s="189">
        <v>0.25</v>
      </c>
      <c r="AB19" s="189" t="s">
        <v>907</v>
      </c>
      <c r="AC19" s="189"/>
      <c r="AD19" s="189"/>
      <c r="AE19" s="189">
        <f t="shared" si="5"/>
        <v>0.75</v>
      </c>
      <c r="AF19" s="74">
        <v>44300</v>
      </c>
      <c r="AG19" s="74">
        <v>44392</v>
      </c>
      <c r="AH19" s="74">
        <v>44483</v>
      </c>
      <c r="AI19" s="74"/>
      <c r="AJ19" s="75">
        <f t="shared" si="6"/>
        <v>0.75</v>
      </c>
      <c r="AK19" s="75">
        <f t="shared" si="7"/>
        <v>1</v>
      </c>
      <c r="AL19" s="75">
        <f t="shared" si="8"/>
        <v>1</v>
      </c>
      <c r="AM19" s="75">
        <f t="shared" si="9"/>
        <v>1</v>
      </c>
      <c r="AN19" s="75">
        <f t="shared" si="10"/>
        <v>0</v>
      </c>
      <c r="AO19" s="188" t="s">
        <v>828</v>
      </c>
      <c r="AP19" s="188" t="s">
        <v>739</v>
      </c>
      <c r="AQ19" s="188" t="s">
        <v>739</v>
      </c>
      <c r="AR19" s="188"/>
      <c r="AS19" s="188" t="s">
        <v>908</v>
      </c>
      <c r="AT19" s="188" t="s">
        <v>909</v>
      </c>
      <c r="AU19" s="188" t="s">
        <v>910</v>
      </c>
      <c r="AV19" s="188"/>
      <c r="AW19" s="188" t="s">
        <v>828</v>
      </c>
      <c r="AX19" t="s">
        <v>739</v>
      </c>
      <c r="AY19" t="s">
        <v>739</v>
      </c>
      <c r="BA19" t="s">
        <v>911</v>
      </c>
      <c r="BB19" t="s">
        <v>912</v>
      </c>
      <c r="BC19" t="s">
        <v>913</v>
      </c>
      <c r="BD19" s="143"/>
    </row>
    <row r="20" spans="1:56" ht="15" customHeight="1" x14ac:dyDescent="0.25">
      <c r="A20" s="188">
        <v>13</v>
      </c>
      <c r="B20" s="188" t="s">
        <v>490</v>
      </c>
      <c r="C20" s="188" t="s">
        <v>814</v>
      </c>
      <c r="D20" s="188" t="s">
        <v>727</v>
      </c>
      <c r="E20" s="188" t="s">
        <v>815</v>
      </c>
      <c r="F20" s="188" t="s">
        <v>816</v>
      </c>
      <c r="G20" s="188" t="s">
        <v>817</v>
      </c>
      <c r="H20" s="188" t="s">
        <v>818</v>
      </c>
      <c r="I20" t="s">
        <v>819</v>
      </c>
      <c r="J20" s="74">
        <v>44197</v>
      </c>
      <c r="K20" s="74">
        <v>44561</v>
      </c>
      <c r="L20" s="188" t="s">
        <v>733</v>
      </c>
      <c r="M20" s="188" t="str">
        <f t="shared" si="12"/>
        <v>Bolívar</v>
      </c>
      <c r="N20" s="188" t="s">
        <v>30</v>
      </c>
      <c r="O20" s="188" t="s">
        <v>820</v>
      </c>
      <c r="P20" s="188" t="s">
        <v>821</v>
      </c>
      <c r="Q20" s="75">
        <v>9.0909090909090912E-2</v>
      </c>
      <c r="R20" s="190">
        <f>SUM(S20:V20)</f>
        <v>341900533.71547437</v>
      </c>
      <c r="S20" s="190">
        <v>67509697.011187047</v>
      </c>
      <c r="T20" s="190">
        <v>87514850.867306024</v>
      </c>
      <c r="U20" s="190">
        <v>89100500.438032269</v>
      </c>
      <c r="V20" s="190">
        <v>97775485.398948997</v>
      </c>
      <c r="W20" s="190">
        <v>45801069</v>
      </c>
      <c r="X20" s="191" t="s">
        <v>914</v>
      </c>
      <c r="Y20" s="190">
        <v>36831112</v>
      </c>
      <c r="Z20" s="191" t="s">
        <v>915</v>
      </c>
      <c r="AA20" s="190">
        <v>52623975</v>
      </c>
      <c r="AB20" s="191" t="s">
        <v>916</v>
      </c>
      <c r="AC20" s="191"/>
      <c r="AD20" s="191"/>
      <c r="AE20" s="190">
        <f t="shared" si="5"/>
        <v>135256156</v>
      </c>
      <c r="AF20" s="60">
        <v>44299</v>
      </c>
      <c r="AG20" s="60">
        <v>44391</v>
      </c>
      <c r="AH20" s="60">
        <v>44483</v>
      </c>
      <c r="AI20" s="60"/>
      <c r="AJ20" s="75">
        <f t="shared" si="6"/>
        <v>0.39560089166915019</v>
      </c>
      <c r="AK20" s="75">
        <f t="shared" si="7"/>
        <v>0.67843689170179944</v>
      </c>
      <c r="AL20" s="75">
        <f t="shared" si="8"/>
        <v>0.42085556491257692</v>
      </c>
      <c r="AM20" s="75">
        <f t="shared" si="9"/>
        <v>0.59061368613298626</v>
      </c>
      <c r="AN20" s="75">
        <f t="shared" si="10"/>
        <v>0</v>
      </c>
      <c r="AO20" s="188" t="s">
        <v>739</v>
      </c>
      <c r="AP20" s="188" t="s">
        <v>739</v>
      </c>
      <c r="AQ20" s="188" t="s">
        <v>739</v>
      </c>
      <c r="AR20" s="188"/>
      <c r="AS20" s="188" t="s">
        <v>917</v>
      </c>
      <c r="AT20" s="188" t="s">
        <v>918</v>
      </c>
      <c r="AU20" s="188" t="s">
        <v>919</v>
      </c>
      <c r="AV20" s="188"/>
      <c r="AW20" s="188" t="s">
        <v>739</v>
      </c>
      <c r="AX20" t="s">
        <v>739</v>
      </c>
      <c r="AY20" t="s">
        <v>828</v>
      </c>
      <c r="BA20" t="s">
        <v>920</v>
      </c>
      <c r="BB20" t="s">
        <v>921</v>
      </c>
      <c r="BC20" t="s">
        <v>922</v>
      </c>
      <c r="BD20" s="143"/>
    </row>
    <row r="21" spans="1:56" ht="15" customHeight="1" x14ac:dyDescent="0.25">
      <c r="A21" s="188">
        <v>14</v>
      </c>
      <c r="B21" s="188" t="s">
        <v>490</v>
      </c>
      <c r="C21" s="188" t="s">
        <v>814</v>
      </c>
      <c r="D21" s="188" t="s">
        <v>727</v>
      </c>
      <c r="E21" s="188" t="s">
        <v>815</v>
      </c>
      <c r="F21" s="188" t="s">
        <v>816</v>
      </c>
      <c r="G21" s="188" t="s">
        <v>817</v>
      </c>
      <c r="H21" s="188" t="s">
        <v>818</v>
      </c>
      <c r="I21" t="s">
        <v>923</v>
      </c>
      <c r="J21" s="74">
        <v>44197</v>
      </c>
      <c r="K21" s="74">
        <v>44561</v>
      </c>
      <c r="L21" s="188" t="s">
        <v>733</v>
      </c>
      <c r="M21" s="188" t="str">
        <f t="shared" si="12"/>
        <v>Bolívar</v>
      </c>
      <c r="N21" s="188" t="s">
        <v>60</v>
      </c>
      <c r="O21" s="188" t="s">
        <v>924</v>
      </c>
      <c r="P21" s="188" t="s">
        <v>821</v>
      </c>
      <c r="Q21" s="75">
        <v>9.0909090909090912E-2</v>
      </c>
      <c r="R21" s="189">
        <v>1</v>
      </c>
      <c r="S21" s="189">
        <v>0.25</v>
      </c>
      <c r="T21" s="189">
        <v>0.25</v>
      </c>
      <c r="U21" s="189">
        <v>0.25</v>
      </c>
      <c r="V21" s="189">
        <v>0.25</v>
      </c>
      <c r="W21" s="189">
        <v>0</v>
      </c>
      <c r="X21" s="189" t="s">
        <v>925</v>
      </c>
      <c r="Y21" s="189">
        <v>0.25</v>
      </c>
      <c r="Z21" s="189" t="s">
        <v>926</v>
      </c>
      <c r="AA21" s="189">
        <v>0.25</v>
      </c>
      <c r="AB21" s="189" t="s">
        <v>927</v>
      </c>
      <c r="AC21" s="189"/>
      <c r="AD21" s="189"/>
      <c r="AE21" s="189">
        <f t="shared" si="5"/>
        <v>0.5</v>
      </c>
      <c r="AF21" s="60">
        <v>44300</v>
      </c>
      <c r="AG21" s="60">
        <v>44391</v>
      </c>
      <c r="AH21" s="60">
        <v>44483</v>
      </c>
      <c r="AI21" s="60"/>
      <c r="AJ21" s="75">
        <f t="shared" si="6"/>
        <v>0.5</v>
      </c>
      <c r="AK21" s="75">
        <f t="shared" si="7"/>
        <v>0</v>
      </c>
      <c r="AL21" s="75">
        <f t="shared" si="8"/>
        <v>1</v>
      </c>
      <c r="AM21" s="75">
        <f t="shared" si="9"/>
        <v>1</v>
      </c>
      <c r="AN21" s="75">
        <f t="shared" si="10"/>
        <v>0</v>
      </c>
      <c r="AO21" s="188" t="s">
        <v>828</v>
      </c>
      <c r="AP21" s="188" t="s">
        <v>739</v>
      </c>
      <c r="AQ21" s="188" t="s">
        <v>739</v>
      </c>
      <c r="AR21" s="188"/>
      <c r="AS21" s="188" t="s">
        <v>928</v>
      </c>
      <c r="AT21" s="188" t="s">
        <v>929</v>
      </c>
      <c r="AU21" s="188" t="s">
        <v>930</v>
      </c>
      <c r="AV21" s="188"/>
      <c r="AW21" s="188" t="s">
        <v>828</v>
      </c>
      <c r="AX21" t="s">
        <v>739</v>
      </c>
      <c r="AY21" t="s">
        <v>739</v>
      </c>
      <c r="BA21" t="s">
        <v>931</v>
      </c>
      <c r="BB21" t="s">
        <v>932</v>
      </c>
      <c r="BC21" t="s">
        <v>933</v>
      </c>
      <c r="BD21" s="143"/>
    </row>
    <row r="22" spans="1:56" ht="15" customHeight="1" x14ac:dyDescent="0.25">
      <c r="A22" s="188">
        <v>1</v>
      </c>
      <c r="B22" s="188" t="s">
        <v>491</v>
      </c>
      <c r="C22" s="188" t="s">
        <v>832</v>
      </c>
      <c r="D22" s="188" t="s">
        <v>727</v>
      </c>
      <c r="E22" s="188" t="s">
        <v>728</v>
      </c>
      <c r="F22" s="188" t="s">
        <v>729</v>
      </c>
      <c r="G22" s="188" t="s">
        <v>730</v>
      </c>
      <c r="H22" s="188" t="s">
        <v>731</v>
      </c>
      <c r="I22" s="188" t="s">
        <v>833</v>
      </c>
      <c r="J22" s="74">
        <v>44197</v>
      </c>
      <c r="K22" s="74">
        <v>44561</v>
      </c>
      <c r="L22" s="188" t="s">
        <v>733</v>
      </c>
      <c r="M22" s="188" t="str">
        <f>B22</f>
        <v>Boyacá</v>
      </c>
      <c r="N22" s="188" t="s">
        <v>30</v>
      </c>
      <c r="O22" s="188" t="s">
        <v>834</v>
      </c>
      <c r="P22" s="188" t="s">
        <v>735</v>
      </c>
      <c r="Q22" s="75">
        <v>8.3333333333333329E-2</v>
      </c>
      <c r="R22" s="190">
        <v>258</v>
      </c>
      <c r="S22" s="190">
        <v>0</v>
      </c>
      <c r="T22" s="190">
        <v>0</v>
      </c>
      <c r="U22" s="190">
        <v>0</v>
      </c>
      <c r="V22" s="190">
        <v>258</v>
      </c>
      <c r="W22" s="190">
        <v>0</v>
      </c>
      <c r="X22" s="190" t="s">
        <v>934</v>
      </c>
      <c r="Y22" s="190">
        <v>0</v>
      </c>
      <c r="Z22" s="190" t="s">
        <v>935</v>
      </c>
      <c r="AA22" s="190">
        <v>64</v>
      </c>
      <c r="AB22" s="190" t="s">
        <v>936</v>
      </c>
      <c r="AC22" s="190"/>
      <c r="AD22" s="190"/>
      <c r="AE22" s="190">
        <f t="shared" si="5"/>
        <v>64</v>
      </c>
      <c r="AF22" s="74">
        <v>44300</v>
      </c>
      <c r="AG22" s="74">
        <v>44392</v>
      </c>
      <c r="AH22" s="74">
        <v>44482</v>
      </c>
      <c r="AI22" s="74"/>
      <c r="AJ22" s="75">
        <f t="shared" si="6"/>
        <v>0.24806201550387597</v>
      </c>
      <c r="AK22" s="75" t="str">
        <f t="shared" si="7"/>
        <v/>
      </c>
      <c r="AL22" s="75" t="str">
        <f t="shared" si="8"/>
        <v/>
      </c>
      <c r="AM22" s="75" t="str">
        <f t="shared" si="9"/>
        <v/>
      </c>
      <c r="AN22" s="75">
        <f t="shared" si="10"/>
        <v>0</v>
      </c>
      <c r="AO22" s="188" t="s">
        <v>838</v>
      </c>
      <c r="AP22" s="188" t="s">
        <v>838</v>
      </c>
      <c r="AQ22" s="188" t="s">
        <v>739</v>
      </c>
      <c r="AR22" s="188"/>
      <c r="AS22" s="188" t="s">
        <v>937</v>
      </c>
      <c r="AT22" s="188" t="s">
        <v>938</v>
      </c>
      <c r="AU22" s="188" t="s">
        <v>939</v>
      </c>
      <c r="AV22" s="188"/>
      <c r="AW22" s="188" t="s">
        <v>838</v>
      </c>
      <c r="AX22" s="188" t="s">
        <v>838</v>
      </c>
      <c r="AY22" s="188" t="s">
        <v>739</v>
      </c>
      <c r="AZ22" s="188"/>
      <c r="BA22" s="188" t="s">
        <v>940</v>
      </c>
      <c r="BB22" s="188" t="s">
        <v>842</v>
      </c>
      <c r="BC22" s="188" t="s">
        <v>941</v>
      </c>
      <c r="BD22" s="143"/>
    </row>
    <row r="23" spans="1:56" ht="15" customHeight="1" x14ac:dyDescent="0.25">
      <c r="A23" s="188">
        <v>2</v>
      </c>
      <c r="B23" s="188" t="s">
        <v>491</v>
      </c>
      <c r="C23" s="188" t="s">
        <v>832</v>
      </c>
      <c r="D23" s="188" t="s">
        <v>727</v>
      </c>
      <c r="E23" s="188" t="s">
        <v>728</v>
      </c>
      <c r="F23" s="188" t="s">
        <v>729</v>
      </c>
      <c r="G23" s="188" t="s">
        <v>730</v>
      </c>
      <c r="H23" s="188" t="s">
        <v>731</v>
      </c>
      <c r="I23" s="188" t="s">
        <v>844</v>
      </c>
      <c r="J23" s="74">
        <v>44197</v>
      </c>
      <c r="K23" s="74">
        <v>44561</v>
      </c>
      <c r="L23" s="188" t="s">
        <v>733</v>
      </c>
      <c r="M23" s="188" t="str">
        <f t="shared" ref="M23:M33" si="13">B23</f>
        <v>Boyacá</v>
      </c>
      <c r="N23" s="188" t="s">
        <v>30</v>
      </c>
      <c r="O23" s="188" t="s">
        <v>845</v>
      </c>
      <c r="P23" s="188" t="s">
        <v>735</v>
      </c>
      <c r="Q23" s="75">
        <v>8.3333333333333329E-2</v>
      </c>
      <c r="R23" s="190">
        <v>129197</v>
      </c>
      <c r="S23" s="190">
        <v>0</v>
      </c>
      <c r="T23" s="190">
        <v>0</v>
      </c>
      <c r="U23" s="190">
        <v>0</v>
      </c>
      <c r="V23" s="190">
        <v>129197</v>
      </c>
      <c r="W23" s="190">
        <v>0</v>
      </c>
      <c r="X23" s="190" t="s">
        <v>934</v>
      </c>
      <c r="Y23" s="190">
        <v>0</v>
      </c>
      <c r="Z23" s="190" t="s">
        <v>942</v>
      </c>
      <c r="AA23" s="190">
        <v>32000</v>
      </c>
      <c r="AB23" s="190" t="s">
        <v>943</v>
      </c>
      <c r="AC23" s="190"/>
      <c r="AD23" s="190"/>
      <c r="AE23" s="190">
        <f t="shared" si="5"/>
        <v>32000</v>
      </c>
      <c r="AF23" s="74">
        <v>44300</v>
      </c>
      <c r="AG23" s="74">
        <v>44392</v>
      </c>
      <c r="AH23" s="74">
        <v>44482</v>
      </c>
      <c r="AI23" s="74"/>
      <c r="AJ23" s="75">
        <f t="shared" si="6"/>
        <v>0.24768376974697556</v>
      </c>
      <c r="AK23" s="75" t="str">
        <f t="shared" si="7"/>
        <v/>
      </c>
      <c r="AL23" s="75" t="str">
        <f t="shared" si="8"/>
        <v/>
      </c>
      <c r="AM23" s="75" t="str">
        <f t="shared" si="9"/>
        <v/>
      </c>
      <c r="AN23" s="75">
        <f t="shared" si="10"/>
        <v>0</v>
      </c>
      <c r="AO23" s="188" t="s">
        <v>838</v>
      </c>
      <c r="AP23" s="188" t="s">
        <v>838</v>
      </c>
      <c r="AQ23" s="188" t="s">
        <v>739</v>
      </c>
      <c r="AR23" s="188"/>
      <c r="AS23" s="188" t="s">
        <v>937</v>
      </c>
      <c r="AT23" s="188" t="s">
        <v>944</v>
      </c>
      <c r="AU23" s="188" t="s">
        <v>945</v>
      </c>
      <c r="AV23" s="188"/>
      <c r="AW23" s="188" t="s">
        <v>838</v>
      </c>
      <c r="AX23" t="s">
        <v>838</v>
      </c>
      <c r="AY23" t="s">
        <v>739</v>
      </c>
      <c r="BA23" t="s">
        <v>850</v>
      </c>
      <c r="BB23" t="s">
        <v>842</v>
      </c>
      <c r="BC23" t="s">
        <v>941</v>
      </c>
      <c r="BD23" s="143"/>
    </row>
    <row r="24" spans="1:56" ht="15" customHeight="1" x14ac:dyDescent="0.25">
      <c r="A24" s="188">
        <v>3</v>
      </c>
      <c r="B24" s="188" t="s">
        <v>491</v>
      </c>
      <c r="C24" s="188" t="s">
        <v>726</v>
      </c>
      <c r="D24" s="188" t="s">
        <v>727</v>
      </c>
      <c r="E24" s="188" t="s">
        <v>728</v>
      </c>
      <c r="F24" s="188" t="s">
        <v>729</v>
      </c>
      <c r="G24" s="188" t="s">
        <v>730</v>
      </c>
      <c r="H24" s="188" t="s">
        <v>731</v>
      </c>
      <c r="I24" s="188" t="s">
        <v>732</v>
      </c>
      <c r="J24" s="74">
        <v>44197</v>
      </c>
      <c r="K24" s="74">
        <v>44561</v>
      </c>
      <c r="L24" s="188" t="s">
        <v>733</v>
      </c>
      <c r="M24" s="188" t="str">
        <f t="shared" si="13"/>
        <v>Boyacá</v>
      </c>
      <c r="N24" s="188" t="s">
        <v>30</v>
      </c>
      <c r="O24" s="188" t="s">
        <v>734</v>
      </c>
      <c r="P24" s="188" t="s">
        <v>735</v>
      </c>
      <c r="Q24" s="75">
        <v>8.3333333333333329E-2</v>
      </c>
      <c r="R24" s="190">
        <v>17725</v>
      </c>
      <c r="S24" s="190">
        <v>0</v>
      </c>
      <c r="T24" s="190">
        <v>0</v>
      </c>
      <c r="U24" s="190">
        <v>0</v>
      </c>
      <c r="V24" s="190">
        <v>17725</v>
      </c>
      <c r="W24" s="190">
        <v>1873</v>
      </c>
      <c r="X24" s="190" t="s">
        <v>946</v>
      </c>
      <c r="Y24" s="190">
        <v>4332</v>
      </c>
      <c r="Z24" s="190" t="s">
        <v>947</v>
      </c>
      <c r="AA24" s="190">
        <v>4309</v>
      </c>
      <c r="AB24" s="190" t="s">
        <v>948</v>
      </c>
      <c r="AC24" s="190"/>
      <c r="AD24" s="190"/>
      <c r="AE24" s="190">
        <f t="shared" si="5"/>
        <v>10514</v>
      </c>
      <c r="AF24" s="74">
        <v>44300</v>
      </c>
      <c r="AG24" s="74">
        <v>44392</v>
      </c>
      <c r="AH24" s="74">
        <v>44482</v>
      </c>
      <c r="AI24" s="74"/>
      <c r="AJ24" s="75">
        <f t="shared" si="6"/>
        <v>0.59317348377997181</v>
      </c>
      <c r="AK24" s="75" t="str">
        <f t="shared" si="7"/>
        <v/>
      </c>
      <c r="AL24" s="75" t="str">
        <f t="shared" si="8"/>
        <v/>
      </c>
      <c r="AM24" s="75" t="str">
        <f t="shared" si="9"/>
        <v/>
      </c>
      <c r="AN24" s="75">
        <f t="shared" si="10"/>
        <v>0</v>
      </c>
      <c r="AO24" s="188" t="s">
        <v>739</v>
      </c>
      <c r="AP24" s="188" t="s">
        <v>739</v>
      </c>
      <c r="AQ24" s="188" t="s">
        <v>739</v>
      </c>
      <c r="AR24" s="188"/>
      <c r="AS24" s="188" t="s">
        <v>949</v>
      </c>
      <c r="AT24" s="188" t="s">
        <v>950</v>
      </c>
      <c r="AU24" s="188" t="s">
        <v>951</v>
      </c>
      <c r="AV24" s="188"/>
      <c r="AW24" s="188" t="s">
        <v>739</v>
      </c>
      <c r="AX24" t="s">
        <v>739</v>
      </c>
      <c r="AY24" t="s">
        <v>739</v>
      </c>
      <c r="BA24" t="s">
        <v>952</v>
      </c>
      <c r="BB24" t="s">
        <v>953</v>
      </c>
      <c r="BC24" t="s">
        <v>954</v>
      </c>
      <c r="BD24" s="143"/>
    </row>
    <row r="25" spans="1:56" ht="15" customHeight="1" x14ac:dyDescent="0.25">
      <c r="A25" s="188">
        <v>5</v>
      </c>
      <c r="B25" s="188" t="s">
        <v>491</v>
      </c>
      <c r="C25" s="188" t="s">
        <v>726</v>
      </c>
      <c r="D25" s="188" t="s">
        <v>727</v>
      </c>
      <c r="E25" s="188" t="s">
        <v>728</v>
      </c>
      <c r="F25" s="188" t="s">
        <v>729</v>
      </c>
      <c r="G25" s="188" t="s">
        <v>730</v>
      </c>
      <c r="H25" s="188" t="s">
        <v>731</v>
      </c>
      <c r="I25" t="s">
        <v>746</v>
      </c>
      <c r="J25" s="74">
        <v>44197</v>
      </c>
      <c r="K25" s="74">
        <v>44561</v>
      </c>
      <c r="L25" s="188" t="s">
        <v>733</v>
      </c>
      <c r="M25" s="188" t="str">
        <f t="shared" si="13"/>
        <v>Boyacá</v>
      </c>
      <c r="N25" s="188" t="s">
        <v>30</v>
      </c>
      <c r="O25" s="188" t="s">
        <v>747</v>
      </c>
      <c r="P25" s="188" t="s">
        <v>735</v>
      </c>
      <c r="Q25" s="75">
        <v>8.3333333333333329E-2</v>
      </c>
      <c r="R25" s="190">
        <v>16539</v>
      </c>
      <c r="S25" s="190">
        <v>0</v>
      </c>
      <c r="T25" s="190">
        <v>0</v>
      </c>
      <c r="U25" s="190">
        <v>0</v>
      </c>
      <c r="V25" s="190">
        <v>16539</v>
      </c>
      <c r="W25" s="190">
        <v>830</v>
      </c>
      <c r="X25" s="190" t="s">
        <v>955</v>
      </c>
      <c r="Y25" s="190">
        <v>1661</v>
      </c>
      <c r="Z25" s="190" t="s">
        <v>956</v>
      </c>
      <c r="AA25" s="190">
        <v>1339</v>
      </c>
      <c r="AB25" s="190" t="s">
        <v>957</v>
      </c>
      <c r="AC25" s="190"/>
      <c r="AD25" s="190"/>
      <c r="AE25" s="190">
        <f t="shared" si="5"/>
        <v>3830</v>
      </c>
      <c r="AF25" s="74">
        <v>44300</v>
      </c>
      <c r="AG25" s="74">
        <v>44392</v>
      </c>
      <c r="AH25" s="74">
        <v>44482</v>
      </c>
      <c r="AI25" s="74"/>
      <c r="AJ25" s="75">
        <f t="shared" si="6"/>
        <v>0.23157385573492956</v>
      </c>
      <c r="AK25" s="75" t="str">
        <f t="shared" si="7"/>
        <v/>
      </c>
      <c r="AL25" s="75" t="str">
        <f t="shared" si="8"/>
        <v/>
      </c>
      <c r="AM25" s="75" t="str">
        <f t="shared" si="9"/>
        <v/>
      </c>
      <c r="AN25" s="75">
        <f t="shared" si="10"/>
        <v>0</v>
      </c>
      <c r="AO25" s="188" t="s">
        <v>739</v>
      </c>
      <c r="AP25" s="188" t="s">
        <v>739</v>
      </c>
      <c r="AQ25" s="188" t="s">
        <v>739</v>
      </c>
      <c r="AR25" s="188"/>
      <c r="AS25" s="188" t="s">
        <v>958</v>
      </c>
      <c r="AT25" s="188" t="s">
        <v>959</v>
      </c>
      <c r="AU25" s="188" t="s">
        <v>960</v>
      </c>
      <c r="AV25" s="188"/>
      <c r="AW25" s="188" t="s">
        <v>739</v>
      </c>
      <c r="AX25" t="s">
        <v>739</v>
      </c>
      <c r="AY25" t="s">
        <v>739</v>
      </c>
      <c r="BA25" t="s">
        <v>961</v>
      </c>
      <c r="BB25" t="s">
        <v>962</v>
      </c>
      <c r="BC25" t="s">
        <v>963</v>
      </c>
      <c r="BD25" s="143"/>
    </row>
    <row r="26" spans="1:56" ht="15" customHeight="1" x14ac:dyDescent="0.25">
      <c r="A26" s="188">
        <v>7</v>
      </c>
      <c r="B26" s="188" t="s">
        <v>491</v>
      </c>
      <c r="C26" s="188" t="s">
        <v>964</v>
      </c>
      <c r="D26" s="188" t="s">
        <v>727</v>
      </c>
      <c r="E26" s="188" t="s">
        <v>815</v>
      </c>
      <c r="F26" s="188" t="s">
        <v>965</v>
      </c>
      <c r="G26" s="188" t="s">
        <v>730</v>
      </c>
      <c r="H26" s="188" t="s">
        <v>731</v>
      </c>
      <c r="I26" t="s">
        <v>966</v>
      </c>
      <c r="J26" s="74">
        <v>44197</v>
      </c>
      <c r="K26" s="74">
        <v>44561</v>
      </c>
      <c r="L26" s="188" t="s">
        <v>733</v>
      </c>
      <c r="M26" s="188" t="str">
        <f t="shared" si="13"/>
        <v>Boyacá</v>
      </c>
      <c r="N26" s="188" t="s">
        <v>30</v>
      </c>
      <c r="O26" s="188" t="s">
        <v>967</v>
      </c>
      <c r="P26" s="188" t="s">
        <v>735</v>
      </c>
      <c r="Q26" s="75">
        <v>8.3333333333333329E-2</v>
      </c>
      <c r="R26" s="190">
        <v>20</v>
      </c>
      <c r="S26" s="190">
        <v>0</v>
      </c>
      <c r="T26" s="190">
        <v>0</v>
      </c>
      <c r="U26" s="190">
        <v>0</v>
      </c>
      <c r="V26" s="190">
        <v>20</v>
      </c>
      <c r="W26" s="190">
        <v>0</v>
      </c>
      <c r="X26" s="190" t="s">
        <v>968</v>
      </c>
      <c r="Y26" s="190">
        <v>0</v>
      </c>
      <c r="Z26" s="190" t="s">
        <v>969</v>
      </c>
      <c r="AA26" s="190">
        <v>4</v>
      </c>
      <c r="AB26" s="190" t="s">
        <v>970</v>
      </c>
      <c r="AC26" s="190"/>
      <c r="AD26" s="190"/>
      <c r="AE26" s="190">
        <f t="shared" si="5"/>
        <v>4</v>
      </c>
      <c r="AF26" s="74">
        <v>44300</v>
      </c>
      <c r="AG26" s="74">
        <v>44392</v>
      </c>
      <c r="AH26" s="74">
        <v>44482</v>
      </c>
      <c r="AI26" s="74"/>
      <c r="AJ26" s="75">
        <f t="shared" si="6"/>
        <v>0.2</v>
      </c>
      <c r="AK26" s="75" t="str">
        <f t="shared" si="7"/>
        <v/>
      </c>
      <c r="AL26" s="75" t="str">
        <f t="shared" si="8"/>
        <v/>
      </c>
      <c r="AM26" s="75" t="str">
        <f t="shared" si="9"/>
        <v/>
      </c>
      <c r="AN26" s="75">
        <f t="shared" si="10"/>
        <v>0</v>
      </c>
      <c r="AO26" s="188" t="s">
        <v>838</v>
      </c>
      <c r="AP26" s="188" t="s">
        <v>838</v>
      </c>
      <c r="AQ26" s="188" t="s">
        <v>739</v>
      </c>
      <c r="AR26" s="188"/>
      <c r="AS26" s="188" t="s">
        <v>971</v>
      </c>
      <c r="AT26" s="188" t="s">
        <v>972</v>
      </c>
      <c r="AU26" s="188" t="s">
        <v>973</v>
      </c>
      <c r="AV26" s="188"/>
      <c r="AW26" s="188" t="s">
        <v>838</v>
      </c>
      <c r="AX26" t="s">
        <v>838</v>
      </c>
      <c r="AY26" t="s">
        <v>739</v>
      </c>
      <c r="BA26" t="s">
        <v>850</v>
      </c>
      <c r="BB26" t="s">
        <v>850</v>
      </c>
      <c r="BC26" t="s">
        <v>974</v>
      </c>
      <c r="BD26" s="143"/>
    </row>
    <row r="27" spans="1:56" ht="15" customHeight="1" x14ac:dyDescent="0.25">
      <c r="A27" s="188">
        <v>8</v>
      </c>
      <c r="B27" s="188" t="s">
        <v>491</v>
      </c>
      <c r="C27" s="188" t="s">
        <v>756</v>
      </c>
      <c r="D27" s="188" t="s">
        <v>727</v>
      </c>
      <c r="E27" s="188" t="s">
        <v>728</v>
      </c>
      <c r="F27" s="188" t="s">
        <v>757</v>
      </c>
      <c r="G27" s="188" t="s">
        <v>730</v>
      </c>
      <c r="H27" s="188" t="s">
        <v>731</v>
      </c>
      <c r="I27" t="s">
        <v>758</v>
      </c>
      <c r="J27" s="74">
        <v>44197</v>
      </c>
      <c r="K27" s="74">
        <v>44561</v>
      </c>
      <c r="L27" s="188" t="s">
        <v>733</v>
      </c>
      <c r="M27" s="188" t="str">
        <f t="shared" si="13"/>
        <v>Boyacá</v>
      </c>
      <c r="N27" s="188" t="s">
        <v>60</v>
      </c>
      <c r="O27" s="188" t="s">
        <v>759</v>
      </c>
      <c r="P27" s="188" t="s">
        <v>735</v>
      </c>
      <c r="Q27" s="75">
        <v>8.3333333333333329E-2</v>
      </c>
      <c r="R27" s="189">
        <v>1</v>
      </c>
      <c r="S27" s="189">
        <v>0.25</v>
      </c>
      <c r="T27" s="189">
        <v>0.25</v>
      </c>
      <c r="U27" s="189">
        <v>0.25</v>
      </c>
      <c r="V27" s="189">
        <v>0.25</v>
      </c>
      <c r="W27" s="189">
        <v>0.25</v>
      </c>
      <c r="X27" s="189" t="s">
        <v>975</v>
      </c>
      <c r="Y27" s="189">
        <v>0.25</v>
      </c>
      <c r="Z27" s="189" t="s">
        <v>976</v>
      </c>
      <c r="AA27" s="189">
        <v>0.25</v>
      </c>
      <c r="AB27" s="189" t="s">
        <v>977</v>
      </c>
      <c r="AC27" s="189"/>
      <c r="AD27" s="189"/>
      <c r="AE27" s="189">
        <f t="shared" si="5"/>
        <v>0.75</v>
      </c>
      <c r="AF27" s="74">
        <v>44300</v>
      </c>
      <c r="AG27" s="74">
        <v>44392</v>
      </c>
      <c r="AH27" s="74">
        <v>44482</v>
      </c>
      <c r="AI27" s="74"/>
      <c r="AJ27" s="75">
        <f t="shared" si="6"/>
        <v>0.75</v>
      </c>
      <c r="AK27" s="75">
        <f t="shared" si="7"/>
        <v>1</v>
      </c>
      <c r="AL27" s="75">
        <f t="shared" si="8"/>
        <v>1</v>
      </c>
      <c r="AM27" s="75">
        <f t="shared" si="9"/>
        <v>1</v>
      </c>
      <c r="AN27" s="75">
        <f t="shared" si="10"/>
        <v>0</v>
      </c>
      <c r="AO27" s="188" t="s">
        <v>739</v>
      </c>
      <c r="AP27" s="188" t="s">
        <v>739</v>
      </c>
      <c r="AQ27" s="188" t="s">
        <v>739</v>
      </c>
      <c r="AR27" s="188"/>
      <c r="AS27" s="188" t="s">
        <v>978</v>
      </c>
      <c r="AT27" s="188" t="s">
        <v>979</v>
      </c>
      <c r="AU27" s="188" t="s">
        <v>980</v>
      </c>
      <c r="AV27" s="188"/>
      <c r="AW27" s="188" t="s">
        <v>739</v>
      </c>
      <c r="AX27" t="s">
        <v>739</v>
      </c>
      <c r="AY27" t="s">
        <v>739</v>
      </c>
      <c r="BA27" t="s">
        <v>981</v>
      </c>
      <c r="BB27" t="s">
        <v>982</v>
      </c>
      <c r="BC27" t="s">
        <v>983</v>
      </c>
      <c r="BD27" s="143"/>
    </row>
    <row r="28" spans="1:56" ht="15" customHeight="1" x14ac:dyDescent="0.25">
      <c r="A28" s="188">
        <v>9</v>
      </c>
      <c r="B28" s="188" t="s">
        <v>491</v>
      </c>
      <c r="C28" s="188" t="s">
        <v>768</v>
      </c>
      <c r="D28" s="188" t="s">
        <v>727</v>
      </c>
      <c r="E28" s="188" t="s">
        <v>728</v>
      </c>
      <c r="F28" s="188" t="s">
        <v>757</v>
      </c>
      <c r="G28" s="188" t="s">
        <v>730</v>
      </c>
      <c r="H28" s="188" t="s">
        <v>731</v>
      </c>
      <c r="I28" t="s">
        <v>769</v>
      </c>
      <c r="J28" s="74">
        <v>44197</v>
      </c>
      <c r="K28" s="74">
        <v>44561</v>
      </c>
      <c r="L28" s="188" t="s">
        <v>733</v>
      </c>
      <c r="M28" s="188" t="str">
        <f t="shared" si="13"/>
        <v>Boyacá</v>
      </c>
      <c r="N28" s="188" t="s">
        <v>60</v>
      </c>
      <c r="O28" s="188" t="s">
        <v>759</v>
      </c>
      <c r="P28" s="188" t="s">
        <v>735</v>
      </c>
      <c r="Q28" s="75">
        <v>8.3333333333333329E-2</v>
      </c>
      <c r="R28" s="189">
        <v>1</v>
      </c>
      <c r="S28" s="189">
        <v>0.25</v>
      </c>
      <c r="T28" s="189">
        <v>0.25</v>
      </c>
      <c r="U28" s="189">
        <v>0.25</v>
      </c>
      <c r="V28" s="189">
        <v>0.25</v>
      </c>
      <c r="W28" s="189">
        <v>0.25</v>
      </c>
      <c r="X28" s="189" t="s">
        <v>984</v>
      </c>
      <c r="Y28" s="189">
        <v>0.25</v>
      </c>
      <c r="Z28" s="189" t="s">
        <v>985</v>
      </c>
      <c r="AA28" s="189">
        <v>0.25</v>
      </c>
      <c r="AB28" s="189" t="s">
        <v>986</v>
      </c>
      <c r="AC28" s="189"/>
      <c r="AD28" s="189"/>
      <c r="AE28" s="189">
        <f t="shared" si="5"/>
        <v>0.75</v>
      </c>
      <c r="AF28" s="74">
        <v>44300</v>
      </c>
      <c r="AG28" s="74">
        <v>44392</v>
      </c>
      <c r="AH28" s="74">
        <v>44483</v>
      </c>
      <c r="AI28" s="74"/>
      <c r="AJ28" s="75">
        <f t="shared" si="6"/>
        <v>0.75</v>
      </c>
      <c r="AK28" s="75">
        <f t="shared" si="7"/>
        <v>1</v>
      </c>
      <c r="AL28" s="75">
        <f t="shared" si="8"/>
        <v>1</v>
      </c>
      <c r="AM28" s="75">
        <f t="shared" si="9"/>
        <v>1</v>
      </c>
      <c r="AN28" s="75">
        <f t="shared" si="10"/>
        <v>0</v>
      </c>
      <c r="AO28" s="188" t="s">
        <v>739</v>
      </c>
      <c r="AP28" s="188" t="s">
        <v>739</v>
      </c>
      <c r="AQ28" s="188" t="s">
        <v>739</v>
      </c>
      <c r="AR28" s="188"/>
      <c r="AS28" s="188" t="s">
        <v>987</v>
      </c>
      <c r="AT28" s="188" t="s">
        <v>988</v>
      </c>
      <c r="AU28" s="188" t="s">
        <v>980</v>
      </c>
      <c r="AV28" s="188"/>
      <c r="AW28" s="188" t="s">
        <v>739</v>
      </c>
      <c r="AX28" t="s">
        <v>739</v>
      </c>
      <c r="AY28" t="s">
        <v>739</v>
      </c>
      <c r="BA28" t="s">
        <v>989</v>
      </c>
      <c r="BB28" t="s">
        <v>990</v>
      </c>
      <c r="BC28" t="s">
        <v>991</v>
      </c>
      <c r="BD28" s="143"/>
    </row>
    <row r="29" spans="1:56" ht="15" customHeight="1" x14ac:dyDescent="0.25">
      <c r="A29" s="188">
        <v>10</v>
      </c>
      <c r="B29" s="188" t="s">
        <v>491</v>
      </c>
      <c r="C29" s="188" t="s">
        <v>777</v>
      </c>
      <c r="D29" s="188" t="s">
        <v>778</v>
      </c>
      <c r="E29" s="188" t="s">
        <v>779</v>
      </c>
      <c r="F29" s="188" t="s">
        <v>780</v>
      </c>
      <c r="G29" s="188" t="s">
        <v>730</v>
      </c>
      <c r="H29" s="188" t="s">
        <v>781</v>
      </c>
      <c r="I29" t="s">
        <v>782</v>
      </c>
      <c r="J29" s="74">
        <v>44197</v>
      </c>
      <c r="K29" s="74">
        <v>44561</v>
      </c>
      <c r="L29" s="188" t="s">
        <v>733</v>
      </c>
      <c r="M29" s="188" t="str">
        <f t="shared" si="13"/>
        <v>Boyacá</v>
      </c>
      <c r="N29" s="188" t="s">
        <v>60</v>
      </c>
      <c r="O29" s="188" t="s">
        <v>759</v>
      </c>
      <c r="P29" s="188" t="s">
        <v>735</v>
      </c>
      <c r="Q29" s="75">
        <v>8.3333333333333329E-2</v>
      </c>
      <c r="R29" s="189">
        <v>1</v>
      </c>
      <c r="S29" s="189">
        <v>0.25</v>
      </c>
      <c r="T29" s="189">
        <v>0.25</v>
      </c>
      <c r="U29" s="189">
        <v>0.25</v>
      </c>
      <c r="V29" s="189">
        <v>0.25</v>
      </c>
      <c r="W29" s="189">
        <v>0.25</v>
      </c>
      <c r="X29" s="189" t="s">
        <v>992</v>
      </c>
      <c r="Y29" s="189">
        <v>0.17</v>
      </c>
      <c r="Z29" s="189" t="s">
        <v>993</v>
      </c>
      <c r="AA29" s="189">
        <v>0.17</v>
      </c>
      <c r="AB29" s="189" t="s">
        <v>994</v>
      </c>
      <c r="AC29" s="189"/>
      <c r="AD29" s="189"/>
      <c r="AE29" s="189">
        <f t="shared" si="5"/>
        <v>0.59000000000000008</v>
      </c>
      <c r="AF29" s="74">
        <v>44300</v>
      </c>
      <c r="AG29" s="74">
        <v>44392</v>
      </c>
      <c r="AH29" s="74">
        <v>44482</v>
      </c>
      <c r="AI29" s="74"/>
      <c r="AJ29" s="75">
        <f t="shared" si="6"/>
        <v>0.59000000000000008</v>
      </c>
      <c r="AK29" s="75">
        <f t="shared" si="7"/>
        <v>1</v>
      </c>
      <c r="AL29" s="75">
        <f t="shared" si="8"/>
        <v>0.68</v>
      </c>
      <c r="AM29" s="75">
        <f t="shared" si="9"/>
        <v>0.68</v>
      </c>
      <c r="AN29" s="75">
        <f t="shared" si="10"/>
        <v>0</v>
      </c>
      <c r="AO29" s="188" t="s">
        <v>828</v>
      </c>
      <c r="AP29" s="188" t="s">
        <v>739</v>
      </c>
      <c r="AQ29" s="188" t="s">
        <v>739</v>
      </c>
      <c r="AR29" s="188"/>
      <c r="AS29" s="188" t="s">
        <v>995</v>
      </c>
      <c r="AT29" s="188" t="s">
        <v>996</v>
      </c>
      <c r="AU29" s="188" t="s">
        <v>997</v>
      </c>
      <c r="AV29" s="188"/>
      <c r="AW29" s="188" t="s">
        <v>828</v>
      </c>
      <c r="AX29" t="s">
        <v>739</v>
      </c>
      <c r="AY29" t="s">
        <v>828</v>
      </c>
      <c r="BA29" t="s">
        <v>998</v>
      </c>
      <c r="BB29" t="s">
        <v>999</v>
      </c>
      <c r="BC29" t="s">
        <v>1000</v>
      </c>
      <c r="BD29" s="143"/>
    </row>
    <row r="30" spans="1:56" ht="15" customHeight="1" x14ac:dyDescent="0.25">
      <c r="A30" s="188">
        <v>11</v>
      </c>
      <c r="B30" s="188" t="s">
        <v>491</v>
      </c>
      <c r="C30" s="188" t="s">
        <v>790</v>
      </c>
      <c r="D30" s="188" t="s">
        <v>791</v>
      </c>
      <c r="E30" s="188" t="s">
        <v>792</v>
      </c>
      <c r="F30" s="188" t="s">
        <v>793</v>
      </c>
      <c r="G30" s="188" t="s">
        <v>794</v>
      </c>
      <c r="H30" s="188" t="s">
        <v>794</v>
      </c>
      <c r="I30" s="188" t="s">
        <v>795</v>
      </c>
      <c r="J30" s="74">
        <v>44197</v>
      </c>
      <c r="K30" s="74">
        <v>44561</v>
      </c>
      <c r="L30" s="188" t="s">
        <v>733</v>
      </c>
      <c r="M30" s="188" t="str">
        <f t="shared" si="13"/>
        <v>Boyacá</v>
      </c>
      <c r="N30" s="188" t="s">
        <v>60</v>
      </c>
      <c r="O30" s="188" t="s">
        <v>796</v>
      </c>
      <c r="P30" s="188" t="s">
        <v>735</v>
      </c>
      <c r="Q30" s="75">
        <v>8.3333333333333329E-2</v>
      </c>
      <c r="R30" s="189">
        <v>1</v>
      </c>
      <c r="S30" s="189">
        <v>0.25</v>
      </c>
      <c r="T30" s="189">
        <v>0.25</v>
      </c>
      <c r="U30" s="189">
        <v>0.25</v>
      </c>
      <c r="V30" s="189">
        <v>0.25</v>
      </c>
      <c r="W30" s="189">
        <v>0.25</v>
      </c>
      <c r="X30" s="189" t="s">
        <v>1001</v>
      </c>
      <c r="Y30" s="189">
        <v>0.25</v>
      </c>
      <c r="Z30" s="189" t="s">
        <v>1002</v>
      </c>
      <c r="AA30" s="189">
        <v>0.25</v>
      </c>
      <c r="AB30" s="189" t="s">
        <v>1003</v>
      </c>
      <c r="AC30" s="189"/>
      <c r="AD30" s="189"/>
      <c r="AE30" s="189">
        <f t="shared" si="5"/>
        <v>0.75</v>
      </c>
      <c r="AF30" s="74">
        <v>44300</v>
      </c>
      <c r="AG30" s="74">
        <v>44391</v>
      </c>
      <c r="AH30" s="74">
        <v>44482</v>
      </c>
      <c r="AI30" s="74"/>
      <c r="AJ30" s="75">
        <f t="shared" si="6"/>
        <v>0.75</v>
      </c>
      <c r="AK30" s="75">
        <f t="shared" si="7"/>
        <v>1</v>
      </c>
      <c r="AL30" s="75">
        <f t="shared" si="8"/>
        <v>1</v>
      </c>
      <c r="AM30" s="75">
        <f t="shared" si="9"/>
        <v>1</v>
      </c>
      <c r="AN30" s="75">
        <f t="shared" si="10"/>
        <v>0</v>
      </c>
      <c r="AO30" s="188" t="s">
        <v>739</v>
      </c>
      <c r="AP30" s="188" t="s">
        <v>739</v>
      </c>
      <c r="AQ30" s="188" t="s">
        <v>739</v>
      </c>
      <c r="AR30" s="188"/>
      <c r="AS30" s="188" t="s">
        <v>1004</v>
      </c>
      <c r="AT30" s="188" t="s">
        <v>1005</v>
      </c>
      <c r="AU30" s="188" t="s">
        <v>1006</v>
      </c>
      <c r="AV30" s="188"/>
      <c r="AW30" s="188" t="s">
        <v>739</v>
      </c>
      <c r="AX30" t="s">
        <v>739</v>
      </c>
      <c r="AY30" t="s">
        <v>739</v>
      </c>
      <c r="BA30" t="s">
        <v>1007</v>
      </c>
      <c r="BB30" t="s">
        <v>1008</v>
      </c>
      <c r="BC30" t="s">
        <v>1009</v>
      </c>
      <c r="BD30" s="143"/>
    </row>
    <row r="31" spans="1:56" ht="15" customHeight="1" x14ac:dyDescent="0.25">
      <c r="A31" s="188">
        <v>12</v>
      </c>
      <c r="B31" s="188" t="s">
        <v>491</v>
      </c>
      <c r="C31" s="188" t="s">
        <v>790</v>
      </c>
      <c r="D31" s="188" t="s">
        <v>791</v>
      </c>
      <c r="E31" s="188" t="s">
        <v>792</v>
      </c>
      <c r="F31" s="188" t="s">
        <v>793</v>
      </c>
      <c r="G31" s="188" t="s">
        <v>794</v>
      </c>
      <c r="H31" s="188" t="s">
        <v>794</v>
      </c>
      <c r="I31" t="s">
        <v>805</v>
      </c>
      <c r="J31" s="74">
        <v>44197</v>
      </c>
      <c r="K31" s="74">
        <v>44561</v>
      </c>
      <c r="L31" s="188" t="s">
        <v>733</v>
      </c>
      <c r="M31" s="188" t="str">
        <f t="shared" si="13"/>
        <v>Boyacá</v>
      </c>
      <c r="N31" s="188" t="s">
        <v>60</v>
      </c>
      <c r="O31" s="188" t="s">
        <v>806</v>
      </c>
      <c r="P31" s="188" t="s">
        <v>735</v>
      </c>
      <c r="Q31" s="75">
        <v>8.3333333333333329E-2</v>
      </c>
      <c r="R31" s="189">
        <v>1</v>
      </c>
      <c r="S31" s="189">
        <v>0.25</v>
      </c>
      <c r="T31" s="189">
        <v>0.25</v>
      </c>
      <c r="U31" s="189">
        <v>0.25</v>
      </c>
      <c r="V31" s="189">
        <v>0.25</v>
      </c>
      <c r="W31" s="189">
        <v>0.25</v>
      </c>
      <c r="X31" s="189" t="s">
        <v>1010</v>
      </c>
      <c r="Y31" s="189">
        <v>0.25</v>
      </c>
      <c r="Z31" s="189" t="s">
        <v>1011</v>
      </c>
      <c r="AA31" s="189">
        <v>0.25</v>
      </c>
      <c r="AB31" s="189" t="s">
        <v>1012</v>
      </c>
      <c r="AC31" s="189"/>
      <c r="AD31" s="189"/>
      <c r="AE31" s="189">
        <f t="shared" si="5"/>
        <v>0.75</v>
      </c>
      <c r="AF31" s="74">
        <v>44300</v>
      </c>
      <c r="AG31" s="74">
        <v>44392</v>
      </c>
      <c r="AH31" s="74">
        <v>44482</v>
      </c>
      <c r="AI31" s="74"/>
      <c r="AJ31" s="75">
        <f t="shared" si="6"/>
        <v>0.75</v>
      </c>
      <c r="AK31" s="75">
        <f t="shared" si="7"/>
        <v>1</v>
      </c>
      <c r="AL31" s="75">
        <f t="shared" si="8"/>
        <v>1</v>
      </c>
      <c r="AM31" s="75">
        <f t="shared" si="9"/>
        <v>1</v>
      </c>
      <c r="AN31" s="75">
        <f t="shared" si="10"/>
        <v>0</v>
      </c>
      <c r="AO31" s="188" t="s">
        <v>828</v>
      </c>
      <c r="AP31" s="188" t="s">
        <v>739</v>
      </c>
      <c r="AQ31" s="188" t="s">
        <v>739</v>
      </c>
      <c r="AR31" s="188"/>
      <c r="AS31" s="188" t="s">
        <v>1013</v>
      </c>
      <c r="AT31" s="188" t="s">
        <v>1014</v>
      </c>
      <c r="AU31" s="188" t="s">
        <v>1015</v>
      </c>
      <c r="AV31" s="188"/>
      <c r="AW31" s="188" t="s">
        <v>828</v>
      </c>
      <c r="AX31" t="s">
        <v>739</v>
      </c>
      <c r="AY31" t="s">
        <v>739</v>
      </c>
      <c r="BA31" t="s">
        <v>1016</v>
      </c>
      <c r="BB31" t="s">
        <v>1017</v>
      </c>
      <c r="BC31" t="s">
        <v>1018</v>
      </c>
      <c r="BD31" s="143"/>
    </row>
    <row r="32" spans="1:56" ht="15" customHeight="1" x14ac:dyDescent="0.25">
      <c r="A32" s="188">
        <v>14</v>
      </c>
      <c r="B32" s="188" t="s">
        <v>491</v>
      </c>
      <c r="C32" s="188" t="s">
        <v>814</v>
      </c>
      <c r="D32" s="188" t="s">
        <v>727</v>
      </c>
      <c r="E32" s="188" t="s">
        <v>815</v>
      </c>
      <c r="F32" s="188" t="s">
        <v>816</v>
      </c>
      <c r="G32" s="188" t="s">
        <v>817</v>
      </c>
      <c r="H32" s="188" t="s">
        <v>818</v>
      </c>
      <c r="I32" t="s">
        <v>819</v>
      </c>
      <c r="J32" s="74">
        <v>44197</v>
      </c>
      <c r="K32" s="74">
        <v>44561</v>
      </c>
      <c r="L32" s="188" t="s">
        <v>733</v>
      </c>
      <c r="M32" s="188" t="str">
        <f t="shared" si="13"/>
        <v>Boyacá</v>
      </c>
      <c r="N32" s="188" t="s">
        <v>30</v>
      </c>
      <c r="O32" s="188" t="s">
        <v>820</v>
      </c>
      <c r="P32" s="188" t="s">
        <v>821</v>
      </c>
      <c r="Q32" s="75">
        <v>8.3333333333333329E-2</v>
      </c>
      <c r="R32" s="190">
        <f>SUM(S32:V32)</f>
        <v>609744234.60280323</v>
      </c>
      <c r="S32" s="190">
        <v>120396561.20165437</v>
      </c>
      <c r="T32" s="190">
        <v>156073683.70729411</v>
      </c>
      <c r="U32" s="190">
        <v>158901525.69204906</v>
      </c>
      <c r="V32" s="190">
        <v>174372464.00180572</v>
      </c>
      <c r="W32" s="190">
        <v>72061730</v>
      </c>
      <c r="X32" s="191" t="s">
        <v>1019</v>
      </c>
      <c r="Y32" s="190">
        <v>94970665</v>
      </c>
      <c r="Z32" s="190" t="s">
        <v>1020</v>
      </c>
      <c r="AA32" s="190">
        <v>128393722</v>
      </c>
      <c r="AB32" s="190" t="s">
        <v>1021</v>
      </c>
      <c r="AC32" s="190"/>
      <c r="AD32" s="190"/>
      <c r="AE32" s="190">
        <f t="shared" si="5"/>
        <v>295426117</v>
      </c>
      <c r="AF32" s="60">
        <v>44300</v>
      </c>
      <c r="AG32" s="60">
        <v>44392</v>
      </c>
      <c r="AH32" s="60">
        <v>44482</v>
      </c>
      <c r="AI32" s="60"/>
      <c r="AJ32" s="75">
        <f t="shared" si="6"/>
        <v>0.48450825810996823</v>
      </c>
      <c r="AK32" s="75">
        <f t="shared" si="7"/>
        <v>0.59853644722711397</v>
      </c>
      <c r="AL32" s="75">
        <f t="shared" si="8"/>
        <v>0.60849890093009662</v>
      </c>
      <c r="AM32" s="75">
        <f t="shared" si="9"/>
        <v>0.80800811345780821</v>
      </c>
      <c r="AN32" s="75">
        <f t="shared" si="10"/>
        <v>0</v>
      </c>
      <c r="AO32" s="188" t="s">
        <v>739</v>
      </c>
      <c r="AP32" s="188" t="s">
        <v>739</v>
      </c>
      <c r="AQ32" s="188" t="s">
        <v>739</v>
      </c>
      <c r="AR32" s="188"/>
      <c r="AS32" s="188" t="s">
        <v>1022</v>
      </c>
      <c r="AT32" s="188" t="s">
        <v>1023</v>
      </c>
      <c r="AU32" s="188" t="s">
        <v>1015</v>
      </c>
      <c r="AV32" s="188"/>
      <c r="AW32" s="188" t="s">
        <v>739</v>
      </c>
      <c r="AX32" t="s">
        <v>739</v>
      </c>
      <c r="AY32" t="s">
        <v>828</v>
      </c>
      <c r="BA32" t="s">
        <v>1024</v>
      </c>
      <c r="BB32" t="s">
        <v>1025</v>
      </c>
      <c r="BC32" t="s">
        <v>1026</v>
      </c>
      <c r="BD32" s="143"/>
    </row>
    <row r="33" spans="1:56" ht="15" customHeight="1" x14ac:dyDescent="0.25">
      <c r="A33" s="188">
        <v>15</v>
      </c>
      <c r="B33" s="188" t="s">
        <v>491</v>
      </c>
      <c r="C33" s="188" t="s">
        <v>814</v>
      </c>
      <c r="D33" s="188" t="s">
        <v>727</v>
      </c>
      <c r="E33" s="188" t="s">
        <v>815</v>
      </c>
      <c r="F33" s="188" t="s">
        <v>816</v>
      </c>
      <c r="G33" s="188" t="s">
        <v>817</v>
      </c>
      <c r="H33" s="188" t="s">
        <v>818</v>
      </c>
      <c r="I33" t="s">
        <v>923</v>
      </c>
      <c r="J33" s="74">
        <v>44197</v>
      </c>
      <c r="K33" s="74">
        <v>44561</v>
      </c>
      <c r="L33" s="188" t="s">
        <v>733</v>
      </c>
      <c r="M33" s="188" t="str">
        <f t="shared" si="13"/>
        <v>Boyacá</v>
      </c>
      <c r="N33" s="188" t="s">
        <v>60</v>
      </c>
      <c r="O33" s="188" t="s">
        <v>924</v>
      </c>
      <c r="P33" s="188" t="s">
        <v>821</v>
      </c>
      <c r="Q33" s="75">
        <v>8.3333333333333329E-2</v>
      </c>
      <c r="R33" s="189">
        <v>1</v>
      </c>
      <c r="S33" s="189">
        <v>0.25</v>
      </c>
      <c r="T33" s="189">
        <v>0.25</v>
      </c>
      <c r="U33" s="189">
        <v>0.25</v>
      </c>
      <c r="V33" s="189">
        <v>0.25</v>
      </c>
      <c r="W33" s="189">
        <v>0.25</v>
      </c>
      <c r="X33" s="189" t="s">
        <v>1027</v>
      </c>
      <c r="Y33" s="189">
        <v>0.25</v>
      </c>
      <c r="Z33" s="189" t="s">
        <v>1028</v>
      </c>
      <c r="AA33" s="189">
        <v>0.25</v>
      </c>
      <c r="AB33" s="189" t="s">
        <v>1029</v>
      </c>
      <c r="AC33" s="189"/>
      <c r="AD33" s="189"/>
      <c r="AE33" s="189">
        <f t="shared" si="5"/>
        <v>0.75</v>
      </c>
      <c r="AF33" s="60">
        <v>44300</v>
      </c>
      <c r="AG33" s="60">
        <v>44392</v>
      </c>
      <c r="AH33" s="60">
        <v>44482</v>
      </c>
      <c r="AI33" s="60"/>
      <c r="AJ33" s="75">
        <f t="shared" si="6"/>
        <v>0.75</v>
      </c>
      <c r="AK33" s="75">
        <f t="shared" si="7"/>
        <v>1</v>
      </c>
      <c r="AL33" s="75">
        <f t="shared" si="8"/>
        <v>1</v>
      </c>
      <c r="AM33" s="75">
        <f t="shared" si="9"/>
        <v>1</v>
      </c>
      <c r="AN33" s="75">
        <f t="shared" si="10"/>
        <v>0</v>
      </c>
      <c r="AO33" s="188" t="s">
        <v>739</v>
      </c>
      <c r="AP33" s="188" t="s">
        <v>739</v>
      </c>
      <c r="AQ33" s="188" t="s">
        <v>739</v>
      </c>
      <c r="AR33" s="188"/>
      <c r="AS33" s="188" t="s">
        <v>1030</v>
      </c>
      <c r="AT33" s="188" t="s">
        <v>1031</v>
      </c>
      <c r="AU33" s="188" t="s">
        <v>1032</v>
      </c>
      <c r="AV33" s="188"/>
      <c r="AW33" s="188" t="s">
        <v>739</v>
      </c>
      <c r="AX33" t="s">
        <v>739</v>
      </c>
      <c r="AY33" t="s">
        <v>739</v>
      </c>
      <c r="BA33" t="s">
        <v>1033</v>
      </c>
      <c r="BB33" t="s">
        <v>1034</v>
      </c>
      <c r="BC33" t="s">
        <v>1035</v>
      </c>
      <c r="BD33" s="143"/>
    </row>
    <row r="34" spans="1:56" ht="15" customHeight="1" x14ac:dyDescent="0.25">
      <c r="A34" s="188">
        <v>1</v>
      </c>
      <c r="B34" s="188" t="s">
        <v>492</v>
      </c>
      <c r="C34" s="188" t="s">
        <v>726</v>
      </c>
      <c r="D34" s="188" t="s">
        <v>727</v>
      </c>
      <c r="E34" s="188" t="s">
        <v>728</v>
      </c>
      <c r="F34" s="188" t="s">
        <v>729</v>
      </c>
      <c r="G34" s="188" t="s">
        <v>730</v>
      </c>
      <c r="H34" s="188" t="s">
        <v>731</v>
      </c>
      <c r="I34" s="188" t="s">
        <v>732</v>
      </c>
      <c r="J34" s="74">
        <v>44197</v>
      </c>
      <c r="K34" s="74">
        <v>44561</v>
      </c>
      <c r="L34" s="188" t="s">
        <v>733</v>
      </c>
      <c r="M34" s="188" t="str">
        <f>B34</f>
        <v>Caldas</v>
      </c>
      <c r="N34" s="188" t="s">
        <v>30</v>
      </c>
      <c r="O34" s="188" t="s">
        <v>734</v>
      </c>
      <c r="P34" s="188" t="s">
        <v>735</v>
      </c>
      <c r="Q34" s="75">
        <v>0.1</v>
      </c>
      <c r="R34" s="190">
        <v>7978</v>
      </c>
      <c r="S34" s="190">
        <v>0</v>
      </c>
      <c r="T34" s="190">
        <v>0</v>
      </c>
      <c r="U34" s="190">
        <v>0</v>
      </c>
      <c r="V34" s="190">
        <v>7978</v>
      </c>
      <c r="W34" s="190">
        <v>4683</v>
      </c>
      <c r="X34" s="190" t="s">
        <v>1036</v>
      </c>
      <c r="Y34" s="190">
        <v>2286</v>
      </c>
      <c r="Z34" s="190" t="s">
        <v>1037</v>
      </c>
      <c r="AA34" s="190">
        <v>4307</v>
      </c>
      <c r="AB34" s="190" t="s">
        <v>1038</v>
      </c>
      <c r="AC34" s="190"/>
      <c r="AD34" s="190"/>
      <c r="AE34" s="190">
        <f t="shared" si="5"/>
        <v>11276</v>
      </c>
      <c r="AF34" s="74">
        <v>44299</v>
      </c>
      <c r="AG34" s="74">
        <v>44391</v>
      </c>
      <c r="AH34" s="74">
        <v>44480</v>
      </c>
      <c r="AI34" s="74"/>
      <c r="AJ34" s="75">
        <f t="shared" si="6"/>
        <v>1</v>
      </c>
      <c r="AK34" s="75" t="str">
        <f t="shared" si="7"/>
        <v/>
      </c>
      <c r="AL34" s="75" t="str">
        <f t="shared" si="8"/>
        <v/>
      </c>
      <c r="AM34" s="75" t="str">
        <f t="shared" si="9"/>
        <v/>
      </c>
      <c r="AN34" s="75">
        <f t="shared" si="10"/>
        <v>0</v>
      </c>
      <c r="AO34" s="188" t="s">
        <v>739</v>
      </c>
      <c r="AP34" s="188" t="s">
        <v>739</v>
      </c>
      <c r="AQ34" s="188" t="s">
        <v>739</v>
      </c>
      <c r="AR34" s="188"/>
      <c r="AS34" s="188" t="s">
        <v>1039</v>
      </c>
      <c r="AT34" s="188" t="s">
        <v>1040</v>
      </c>
      <c r="AU34" s="188" t="s">
        <v>1041</v>
      </c>
      <c r="AV34" s="188"/>
      <c r="AW34" s="188" t="s">
        <v>739</v>
      </c>
      <c r="AX34" s="188" t="s">
        <v>739</v>
      </c>
      <c r="AY34" s="188" t="s">
        <v>739</v>
      </c>
      <c r="AZ34" s="188"/>
      <c r="BA34" s="188" t="s">
        <v>1042</v>
      </c>
      <c r="BB34" s="188" t="s">
        <v>1043</v>
      </c>
      <c r="BC34" s="188" t="s">
        <v>1044</v>
      </c>
      <c r="BD34" s="143"/>
    </row>
    <row r="35" spans="1:56" ht="15" customHeight="1" x14ac:dyDescent="0.25">
      <c r="A35" s="188">
        <v>3</v>
      </c>
      <c r="B35" s="188" t="s">
        <v>492</v>
      </c>
      <c r="C35" s="188" t="s">
        <v>726</v>
      </c>
      <c r="D35" s="188" t="s">
        <v>727</v>
      </c>
      <c r="E35" s="188" t="s">
        <v>728</v>
      </c>
      <c r="F35" s="188" t="s">
        <v>729</v>
      </c>
      <c r="G35" s="188" t="s">
        <v>730</v>
      </c>
      <c r="H35" s="188" t="s">
        <v>731</v>
      </c>
      <c r="I35" s="188" t="s">
        <v>746</v>
      </c>
      <c r="J35" s="74">
        <v>44197</v>
      </c>
      <c r="K35" s="74">
        <v>44561</v>
      </c>
      <c r="L35" s="188" t="s">
        <v>733</v>
      </c>
      <c r="M35" s="188" t="str">
        <f t="shared" ref="M35:M43" si="14">B35</f>
        <v>Caldas</v>
      </c>
      <c r="N35" s="188" t="s">
        <v>30</v>
      </c>
      <c r="O35" s="188" t="s">
        <v>747</v>
      </c>
      <c r="P35" s="188" t="s">
        <v>735</v>
      </c>
      <c r="Q35" s="75">
        <v>0.1</v>
      </c>
      <c r="R35" s="190">
        <v>15885</v>
      </c>
      <c r="S35" s="190">
        <v>0</v>
      </c>
      <c r="T35" s="190">
        <v>0</v>
      </c>
      <c r="U35" s="190">
        <v>0</v>
      </c>
      <c r="V35" s="190">
        <v>15885</v>
      </c>
      <c r="W35" s="190">
        <v>1050</v>
      </c>
      <c r="X35" s="190" t="s">
        <v>1045</v>
      </c>
      <c r="Y35" s="190">
        <v>500</v>
      </c>
      <c r="Z35" s="190" t="s">
        <v>1046</v>
      </c>
      <c r="AA35" s="190">
        <v>2580</v>
      </c>
      <c r="AB35" s="190" t="s">
        <v>1047</v>
      </c>
      <c r="AC35" s="190"/>
      <c r="AD35" s="190"/>
      <c r="AE35" s="190">
        <f t="shared" si="5"/>
        <v>4130</v>
      </c>
      <c r="AF35" s="74">
        <v>44300</v>
      </c>
      <c r="AG35" s="74">
        <v>44389</v>
      </c>
      <c r="AH35" s="74">
        <v>44480</v>
      </c>
      <c r="AI35" s="74"/>
      <c r="AJ35" s="75">
        <f t="shared" si="6"/>
        <v>0.25999370475291156</v>
      </c>
      <c r="AK35" s="75" t="str">
        <f t="shared" si="7"/>
        <v/>
      </c>
      <c r="AL35" s="75" t="str">
        <f t="shared" si="8"/>
        <v/>
      </c>
      <c r="AM35" s="75" t="str">
        <f t="shared" si="9"/>
        <v/>
      </c>
      <c r="AN35" s="75">
        <f t="shared" si="10"/>
        <v>0</v>
      </c>
      <c r="AO35" s="188" t="s">
        <v>739</v>
      </c>
      <c r="AP35" s="188" t="s">
        <v>739</v>
      </c>
      <c r="AQ35" s="188" t="s">
        <v>739</v>
      </c>
      <c r="AR35" s="188"/>
      <c r="AS35" s="188" t="s">
        <v>1048</v>
      </c>
      <c r="AT35" s="188" t="s">
        <v>1040</v>
      </c>
      <c r="AU35" s="188" t="s">
        <v>1041</v>
      </c>
      <c r="AV35" s="188"/>
      <c r="AW35" s="188" t="s">
        <v>739</v>
      </c>
      <c r="AX35" t="s">
        <v>838</v>
      </c>
      <c r="AY35" t="s">
        <v>739</v>
      </c>
      <c r="BA35" t="s">
        <v>1049</v>
      </c>
      <c r="BB35" t="s">
        <v>1043</v>
      </c>
      <c r="BC35" t="s">
        <v>1044</v>
      </c>
      <c r="BD35" s="143"/>
    </row>
    <row r="36" spans="1:56" ht="15" customHeight="1" x14ac:dyDescent="0.25">
      <c r="A36" s="188">
        <v>5</v>
      </c>
      <c r="B36" s="188" t="s">
        <v>492</v>
      </c>
      <c r="C36" s="188" t="s">
        <v>964</v>
      </c>
      <c r="D36" s="188" t="s">
        <v>727</v>
      </c>
      <c r="E36" s="188" t="s">
        <v>815</v>
      </c>
      <c r="F36" s="188" t="s">
        <v>965</v>
      </c>
      <c r="G36" s="188" t="s">
        <v>730</v>
      </c>
      <c r="H36" s="188" t="s">
        <v>731</v>
      </c>
      <c r="I36" t="s">
        <v>966</v>
      </c>
      <c r="J36" s="74">
        <v>44197</v>
      </c>
      <c r="K36" s="74">
        <v>44561</v>
      </c>
      <c r="L36" s="188" t="s">
        <v>733</v>
      </c>
      <c r="M36" s="188" t="str">
        <f t="shared" si="14"/>
        <v>Caldas</v>
      </c>
      <c r="N36" s="188" t="s">
        <v>30</v>
      </c>
      <c r="O36" s="188" t="s">
        <v>967</v>
      </c>
      <c r="P36" s="188" t="s">
        <v>735</v>
      </c>
      <c r="Q36" s="75">
        <v>0.1</v>
      </c>
      <c r="R36" s="190">
        <v>40</v>
      </c>
      <c r="S36" s="190">
        <v>0</v>
      </c>
      <c r="T36" s="190">
        <v>0</v>
      </c>
      <c r="U36" s="190">
        <v>0</v>
      </c>
      <c r="V36" s="190">
        <v>40</v>
      </c>
      <c r="W36" s="190">
        <v>0</v>
      </c>
      <c r="X36" s="190" t="s">
        <v>1050</v>
      </c>
      <c r="Y36" s="190">
        <v>3</v>
      </c>
      <c r="Z36" s="190" t="s">
        <v>1051</v>
      </c>
      <c r="AA36" s="190">
        <v>15</v>
      </c>
      <c r="AB36" s="190" t="s">
        <v>1052</v>
      </c>
      <c r="AC36" s="190"/>
      <c r="AD36" s="190"/>
      <c r="AE36" s="190">
        <f t="shared" si="5"/>
        <v>18</v>
      </c>
      <c r="AF36" s="74">
        <v>44299</v>
      </c>
      <c r="AG36" s="74">
        <v>44391</v>
      </c>
      <c r="AH36" s="74">
        <v>44480</v>
      </c>
      <c r="AI36" s="74"/>
      <c r="AJ36" s="75">
        <f t="shared" si="6"/>
        <v>0.45</v>
      </c>
      <c r="AK36" s="75" t="str">
        <f t="shared" si="7"/>
        <v/>
      </c>
      <c r="AL36" s="75" t="str">
        <f t="shared" si="8"/>
        <v/>
      </c>
      <c r="AM36" s="75" t="str">
        <f t="shared" si="9"/>
        <v/>
      </c>
      <c r="AN36" s="75">
        <f t="shared" si="10"/>
        <v>0</v>
      </c>
      <c r="AO36" s="188" t="s">
        <v>828</v>
      </c>
      <c r="AP36" s="188" t="s">
        <v>739</v>
      </c>
      <c r="AQ36" s="188" t="s">
        <v>739</v>
      </c>
      <c r="AR36" s="188"/>
      <c r="AS36" s="188" t="s">
        <v>1053</v>
      </c>
      <c r="AT36" s="188" t="s">
        <v>1040</v>
      </c>
      <c r="AU36" s="188" t="s">
        <v>1041</v>
      </c>
      <c r="AV36" s="188"/>
      <c r="AW36" s="188" t="s">
        <v>838</v>
      </c>
      <c r="AX36" t="s">
        <v>838</v>
      </c>
      <c r="AY36" t="s">
        <v>739</v>
      </c>
      <c r="BA36" t="s">
        <v>1054</v>
      </c>
      <c r="BB36" t="s">
        <v>1055</v>
      </c>
      <c r="BC36" t="s">
        <v>1056</v>
      </c>
      <c r="BD36" s="143"/>
    </row>
    <row r="37" spans="1:56" ht="15" customHeight="1" x14ac:dyDescent="0.25">
      <c r="A37" s="188">
        <v>6</v>
      </c>
      <c r="B37" s="188" t="s">
        <v>492</v>
      </c>
      <c r="C37" s="188" t="s">
        <v>756</v>
      </c>
      <c r="D37" s="188" t="s">
        <v>727</v>
      </c>
      <c r="E37" s="188" t="s">
        <v>728</v>
      </c>
      <c r="F37" s="188" t="s">
        <v>757</v>
      </c>
      <c r="G37" s="188" t="s">
        <v>730</v>
      </c>
      <c r="H37" s="188" t="s">
        <v>731</v>
      </c>
      <c r="I37" t="s">
        <v>758</v>
      </c>
      <c r="J37" s="74">
        <v>44197</v>
      </c>
      <c r="K37" s="74">
        <v>44561</v>
      </c>
      <c r="L37" s="188" t="s">
        <v>733</v>
      </c>
      <c r="M37" s="188" t="str">
        <f t="shared" si="14"/>
        <v>Caldas</v>
      </c>
      <c r="N37" s="188" t="s">
        <v>60</v>
      </c>
      <c r="O37" s="188" t="s">
        <v>759</v>
      </c>
      <c r="P37" s="188" t="s">
        <v>735</v>
      </c>
      <c r="Q37" s="75">
        <v>0.1</v>
      </c>
      <c r="R37" s="189">
        <v>1</v>
      </c>
      <c r="S37" s="189">
        <v>0.25</v>
      </c>
      <c r="T37" s="189">
        <v>0.25</v>
      </c>
      <c r="U37" s="189">
        <v>0.25</v>
      </c>
      <c r="V37" s="189">
        <v>0.25</v>
      </c>
      <c r="W37" s="189">
        <v>0.25</v>
      </c>
      <c r="X37" s="189" t="s">
        <v>1057</v>
      </c>
      <c r="Y37" s="189">
        <v>0.25</v>
      </c>
      <c r="Z37" s="189" t="s">
        <v>1058</v>
      </c>
      <c r="AA37" s="189">
        <v>0.25</v>
      </c>
      <c r="AB37" s="189" t="s">
        <v>1059</v>
      </c>
      <c r="AC37" s="189"/>
      <c r="AD37" s="189"/>
      <c r="AE37" s="189">
        <f t="shared" si="5"/>
        <v>0.75</v>
      </c>
      <c r="AF37" s="74">
        <v>44300</v>
      </c>
      <c r="AG37" s="74">
        <v>44389</v>
      </c>
      <c r="AH37" s="74">
        <v>44480</v>
      </c>
      <c r="AI37" s="74"/>
      <c r="AJ37" s="75">
        <f t="shared" si="6"/>
        <v>0.75</v>
      </c>
      <c r="AK37" s="75">
        <f t="shared" si="7"/>
        <v>1</v>
      </c>
      <c r="AL37" s="75">
        <f t="shared" si="8"/>
        <v>1</v>
      </c>
      <c r="AM37" s="75">
        <f t="shared" si="9"/>
        <v>1</v>
      </c>
      <c r="AN37" s="75">
        <f t="shared" si="10"/>
        <v>0</v>
      </c>
      <c r="AO37" s="188" t="s">
        <v>739</v>
      </c>
      <c r="AP37" s="188" t="s">
        <v>739</v>
      </c>
      <c r="AQ37" s="188" t="s">
        <v>739</v>
      </c>
      <c r="AR37" s="188"/>
      <c r="AS37" s="188" t="s">
        <v>1060</v>
      </c>
      <c r="AT37" s="188" t="s">
        <v>1040</v>
      </c>
      <c r="AU37" s="188" t="s">
        <v>1041</v>
      </c>
      <c r="AV37" s="188"/>
      <c r="AW37" s="188" t="s">
        <v>739</v>
      </c>
      <c r="AX37" t="s">
        <v>739</v>
      </c>
      <c r="AY37" t="s">
        <v>739</v>
      </c>
      <c r="BA37" t="s">
        <v>1061</v>
      </c>
      <c r="BB37" t="s">
        <v>1062</v>
      </c>
      <c r="BC37" t="s">
        <v>1063</v>
      </c>
      <c r="BD37" s="143"/>
    </row>
    <row r="38" spans="1:56" ht="15" customHeight="1" x14ac:dyDescent="0.25">
      <c r="A38" s="188">
        <v>7</v>
      </c>
      <c r="B38" s="188" t="s">
        <v>492</v>
      </c>
      <c r="C38" s="188" t="s">
        <v>768</v>
      </c>
      <c r="D38" s="188" t="s">
        <v>727</v>
      </c>
      <c r="E38" s="188" t="s">
        <v>728</v>
      </c>
      <c r="F38" s="188" t="s">
        <v>757</v>
      </c>
      <c r="G38" s="188" t="s">
        <v>730</v>
      </c>
      <c r="H38" s="188" t="s">
        <v>731</v>
      </c>
      <c r="I38" t="s">
        <v>769</v>
      </c>
      <c r="J38" s="74">
        <v>44197</v>
      </c>
      <c r="K38" s="74">
        <v>44561</v>
      </c>
      <c r="L38" s="188" t="s">
        <v>733</v>
      </c>
      <c r="M38" s="188" t="str">
        <f t="shared" si="14"/>
        <v>Caldas</v>
      </c>
      <c r="N38" s="188" t="s">
        <v>60</v>
      </c>
      <c r="O38" s="188" t="s">
        <v>759</v>
      </c>
      <c r="P38" s="188" t="s">
        <v>735</v>
      </c>
      <c r="Q38" s="75">
        <v>0.1</v>
      </c>
      <c r="R38" s="189">
        <v>1</v>
      </c>
      <c r="S38" s="189">
        <v>0.25</v>
      </c>
      <c r="T38" s="189">
        <v>0.25</v>
      </c>
      <c r="U38" s="189">
        <v>0.25</v>
      </c>
      <c r="V38" s="189">
        <v>0.25</v>
      </c>
      <c r="W38" s="189">
        <v>0.24</v>
      </c>
      <c r="X38" s="189" t="s">
        <v>1064</v>
      </c>
      <c r="Y38" s="189">
        <v>0.24</v>
      </c>
      <c r="Z38" s="189" t="s">
        <v>1065</v>
      </c>
      <c r="AA38" s="189">
        <v>0.24</v>
      </c>
      <c r="AB38" s="189" t="s">
        <v>1066</v>
      </c>
      <c r="AC38" s="189"/>
      <c r="AD38" s="189"/>
      <c r="AE38" s="189">
        <f t="shared" si="5"/>
        <v>0.72</v>
      </c>
      <c r="AF38" s="74">
        <v>44300</v>
      </c>
      <c r="AG38" s="74">
        <v>44389</v>
      </c>
      <c r="AH38" s="74">
        <v>44480</v>
      </c>
      <c r="AI38" s="74"/>
      <c r="AJ38" s="75">
        <f t="shared" si="6"/>
        <v>0.72</v>
      </c>
      <c r="AK38" s="75">
        <f t="shared" si="7"/>
        <v>0.96</v>
      </c>
      <c r="AL38" s="75">
        <f t="shared" si="8"/>
        <v>0.96</v>
      </c>
      <c r="AM38" s="75">
        <f t="shared" si="9"/>
        <v>0.96</v>
      </c>
      <c r="AN38" s="75">
        <f t="shared" si="10"/>
        <v>0</v>
      </c>
      <c r="AO38" s="188" t="s">
        <v>739</v>
      </c>
      <c r="AP38" s="188" t="s">
        <v>739</v>
      </c>
      <c r="AQ38" s="188" t="s">
        <v>739</v>
      </c>
      <c r="AR38" s="188"/>
      <c r="AS38" s="188" t="s">
        <v>1060</v>
      </c>
      <c r="AT38" s="188" t="s">
        <v>1040</v>
      </c>
      <c r="AU38" s="188" t="s">
        <v>1041</v>
      </c>
      <c r="AV38" s="188"/>
      <c r="AW38" s="188" t="s">
        <v>739</v>
      </c>
      <c r="AX38" t="s">
        <v>739</v>
      </c>
      <c r="AY38" t="s">
        <v>828</v>
      </c>
      <c r="BA38" t="s">
        <v>1067</v>
      </c>
      <c r="BB38" t="s">
        <v>1068</v>
      </c>
      <c r="BC38" t="s">
        <v>1069</v>
      </c>
      <c r="BD38" s="143"/>
    </row>
    <row r="39" spans="1:56" ht="15" customHeight="1" x14ac:dyDescent="0.25">
      <c r="A39" s="188">
        <v>8</v>
      </c>
      <c r="B39" s="188" t="s">
        <v>492</v>
      </c>
      <c r="C39" s="188" t="s">
        <v>777</v>
      </c>
      <c r="D39" s="188" t="s">
        <v>778</v>
      </c>
      <c r="E39" s="188" t="s">
        <v>779</v>
      </c>
      <c r="F39" s="188" t="s">
        <v>780</v>
      </c>
      <c r="G39" s="188" t="s">
        <v>730</v>
      </c>
      <c r="H39" s="188" t="s">
        <v>781</v>
      </c>
      <c r="I39" t="s">
        <v>782</v>
      </c>
      <c r="J39" s="74">
        <v>44197</v>
      </c>
      <c r="K39" s="74">
        <v>44561</v>
      </c>
      <c r="L39" s="188" t="s">
        <v>733</v>
      </c>
      <c r="M39" s="188" t="str">
        <f t="shared" si="14"/>
        <v>Caldas</v>
      </c>
      <c r="N39" s="188" t="s">
        <v>60</v>
      </c>
      <c r="O39" s="188" t="s">
        <v>759</v>
      </c>
      <c r="P39" s="188" t="s">
        <v>735</v>
      </c>
      <c r="Q39" s="75">
        <v>0.1</v>
      </c>
      <c r="R39" s="189">
        <v>1</v>
      </c>
      <c r="S39" s="189">
        <v>0.25</v>
      </c>
      <c r="T39" s="189">
        <v>0.25</v>
      </c>
      <c r="U39" s="189">
        <v>0.25</v>
      </c>
      <c r="V39" s="189">
        <v>0.25</v>
      </c>
      <c r="W39" s="189">
        <v>0.21</v>
      </c>
      <c r="X39" s="189" t="s">
        <v>1070</v>
      </c>
      <c r="Y39" s="189">
        <v>0.22</v>
      </c>
      <c r="Z39" s="189" t="s">
        <v>1071</v>
      </c>
      <c r="AA39" s="189">
        <v>0.24</v>
      </c>
      <c r="AB39" s="189" t="s">
        <v>1072</v>
      </c>
      <c r="AC39" s="189"/>
      <c r="AD39" s="189"/>
      <c r="AE39" s="189">
        <f t="shared" si="5"/>
        <v>0.66999999999999993</v>
      </c>
      <c r="AF39" s="74">
        <v>44300</v>
      </c>
      <c r="AG39" s="74">
        <v>44391</v>
      </c>
      <c r="AH39" s="74">
        <v>44480</v>
      </c>
      <c r="AI39" s="74"/>
      <c r="AJ39" s="75">
        <f t="shared" si="6"/>
        <v>0.66999999999999993</v>
      </c>
      <c r="AK39" s="75">
        <f t="shared" si="7"/>
        <v>0.84</v>
      </c>
      <c r="AL39" s="75">
        <f t="shared" si="8"/>
        <v>0.88</v>
      </c>
      <c r="AM39" s="75">
        <f t="shared" si="9"/>
        <v>0.96</v>
      </c>
      <c r="AN39" s="75">
        <f t="shared" si="10"/>
        <v>0</v>
      </c>
      <c r="AO39" s="188" t="s">
        <v>739</v>
      </c>
      <c r="AP39" s="188" t="s">
        <v>739</v>
      </c>
      <c r="AQ39" s="188" t="s">
        <v>739</v>
      </c>
      <c r="AR39" s="188"/>
      <c r="AS39" s="188" t="s">
        <v>1060</v>
      </c>
      <c r="AT39" s="188" t="s">
        <v>1060</v>
      </c>
      <c r="AU39" s="188" t="s">
        <v>1041</v>
      </c>
      <c r="AV39" s="188"/>
      <c r="AW39" s="188" t="s">
        <v>739</v>
      </c>
      <c r="AX39" t="s">
        <v>739</v>
      </c>
      <c r="AY39" t="s">
        <v>828</v>
      </c>
      <c r="BA39" t="s">
        <v>1073</v>
      </c>
      <c r="BB39" t="s">
        <v>1074</v>
      </c>
      <c r="BC39" t="s">
        <v>1075</v>
      </c>
      <c r="BD39" s="143"/>
    </row>
    <row r="40" spans="1:56" ht="15" customHeight="1" x14ac:dyDescent="0.25">
      <c r="A40" s="188">
        <v>9</v>
      </c>
      <c r="B40" s="188" t="s">
        <v>492</v>
      </c>
      <c r="C40" s="188" t="s">
        <v>790</v>
      </c>
      <c r="D40" s="188" t="s">
        <v>791</v>
      </c>
      <c r="E40" s="188" t="s">
        <v>792</v>
      </c>
      <c r="F40" s="188" t="s">
        <v>793</v>
      </c>
      <c r="G40" s="188" t="s">
        <v>794</v>
      </c>
      <c r="H40" s="188" t="s">
        <v>794</v>
      </c>
      <c r="I40" t="s">
        <v>795</v>
      </c>
      <c r="J40" s="74">
        <v>44197</v>
      </c>
      <c r="K40" s="74">
        <v>44561</v>
      </c>
      <c r="L40" s="188" t="s">
        <v>733</v>
      </c>
      <c r="M40" s="188" t="str">
        <f t="shared" si="14"/>
        <v>Caldas</v>
      </c>
      <c r="N40" s="188" t="s">
        <v>60</v>
      </c>
      <c r="O40" s="188" t="s">
        <v>796</v>
      </c>
      <c r="P40" s="188" t="s">
        <v>735</v>
      </c>
      <c r="Q40" s="75">
        <v>0.1</v>
      </c>
      <c r="R40" s="189">
        <v>1</v>
      </c>
      <c r="S40" s="189">
        <v>0.25</v>
      </c>
      <c r="T40" s="189">
        <v>0.25</v>
      </c>
      <c r="U40" s="189">
        <v>0.25</v>
      </c>
      <c r="V40" s="189">
        <v>0.25</v>
      </c>
      <c r="W40" s="189">
        <v>0.25</v>
      </c>
      <c r="X40" s="189" t="s">
        <v>1076</v>
      </c>
      <c r="Y40" s="189">
        <v>0.25</v>
      </c>
      <c r="Z40" s="189" t="s">
        <v>1077</v>
      </c>
      <c r="AA40" s="189">
        <v>0.25</v>
      </c>
      <c r="AB40" s="189" t="s">
        <v>1078</v>
      </c>
      <c r="AC40" s="189"/>
      <c r="AD40" s="189"/>
      <c r="AE40" s="189">
        <f t="shared" si="5"/>
        <v>0.75</v>
      </c>
      <c r="AF40" s="74">
        <v>44300</v>
      </c>
      <c r="AG40" s="74">
        <v>44389</v>
      </c>
      <c r="AH40" s="74">
        <v>44480</v>
      </c>
      <c r="AI40" s="74"/>
      <c r="AJ40" s="75">
        <f t="shared" si="6"/>
        <v>0.75</v>
      </c>
      <c r="AK40" s="75">
        <f t="shared" si="7"/>
        <v>1</v>
      </c>
      <c r="AL40" s="75">
        <f t="shared" si="8"/>
        <v>1</v>
      </c>
      <c r="AM40" s="75">
        <f t="shared" si="9"/>
        <v>1</v>
      </c>
      <c r="AN40" s="75">
        <f t="shared" si="10"/>
        <v>0</v>
      </c>
      <c r="AO40" s="188" t="s">
        <v>739</v>
      </c>
      <c r="AP40" s="188" t="s">
        <v>739</v>
      </c>
      <c r="AQ40" s="188" t="s">
        <v>739</v>
      </c>
      <c r="AR40" s="188"/>
      <c r="AS40" s="188" t="s">
        <v>1060</v>
      </c>
      <c r="AT40" s="188" t="s">
        <v>1040</v>
      </c>
      <c r="AU40" s="188" t="s">
        <v>1041</v>
      </c>
      <c r="AV40" s="188"/>
      <c r="AW40" s="188" t="s">
        <v>739</v>
      </c>
      <c r="AX40" t="s">
        <v>739</v>
      </c>
      <c r="AY40" t="s">
        <v>739</v>
      </c>
      <c r="BA40" t="s">
        <v>1079</v>
      </c>
      <c r="BB40" t="s">
        <v>1079</v>
      </c>
      <c r="BC40" t="s">
        <v>1080</v>
      </c>
      <c r="BD40" s="143"/>
    </row>
    <row r="41" spans="1:56" ht="15" customHeight="1" x14ac:dyDescent="0.25">
      <c r="A41" s="188">
        <v>10</v>
      </c>
      <c r="B41" s="188" t="s">
        <v>492</v>
      </c>
      <c r="C41" s="188" t="s">
        <v>790</v>
      </c>
      <c r="D41" s="188" t="s">
        <v>791</v>
      </c>
      <c r="E41" s="188" t="s">
        <v>792</v>
      </c>
      <c r="F41" s="188" t="s">
        <v>793</v>
      </c>
      <c r="G41" s="188" t="s">
        <v>794</v>
      </c>
      <c r="H41" s="188" t="s">
        <v>794</v>
      </c>
      <c r="I41" t="s">
        <v>805</v>
      </c>
      <c r="J41" s="74">
        <v>44197</v>
      </c>
      <c r="K41" s="74">
        <v>44561</v>
      </c>
      <c r="L41" s="188" t="s">
        <v>733</v>
      </c>
      <c r="M41" s="188" t="str">
        <f t="shared" si="14"/>
        <v>Caldas</v>
      </c>
      <c r="N41" s="188" t="s">
        <v>60</v>
      </c>
      <c r="O41" s="188" t="s">
        <v>806</v>
      </c>
      <c r="P41" s="188" t="s">
        <v>735</v>
      </c>
      <c r="Q41" s="75">
        <v>0.1</v>
      </c>
      <c r="R41" s="189">
        <v>1</v>
      </c>
      <c r="S41" s="189">
        <v>0.25</v>
      </c>
      <c r="T41" s="189">
        <v>0.25</v>
      </c>
      <c r="U41" s="189">
        <v>0.25</v>
      </c>
      <c r="V41" s="189">
        <v>0.25</v>
      </c>
      <c r="W41" s="189">
        <v>0.25</v>
      </c>
      <c r="X41" s="189" t="s">
        <v>1081</v>
      </c>
      <c r="Y41" s="189">
        <v>0.25</v>
      </c>
      <c r="Z41" s="189" t="s">
        <v>1082</v>
      </c>
      <c r="AA41" s="189">
        <v>0.25</v>
      </c>
      <c r="AB41" s="189" t="s">
        <v>1082</v>
      </c>
      <c r="AC41" s="189"/>
      <c r="AD41" s="189"/>
      <c r="AE41" s="189">
        <f t="shared" si="5"/>
        <v>0.75</v>
      </c>
      <c r="AF41" s="74">
        <v>44300</v>
      </c>
      <c r="AG41" s="74">
        <v>44389</v>
      </c>
      <c r="AH41" s="74">
        <v>44480</v>
      </c>
      <c r="AI41" s="74"/>
      <c r="AJ41" s="75">
        <f t="shared" si="6"/>
        <v>0.75</v>
      </c>
      <c r="AK41" s="75">
        <f t="shared" si="7"/>
        <v>1</v>
      </c>
      <c r="AL41" s="75">
        <f t="shared" si="8"/>
        <v>1</v>
      </c>
      <c r="AM41" s="75">
        <f t="shared" si="9"/>
        <v>1</v>
      </c>
      <c r="AN41" s="75">
        <f t="shared" si="10"/>
        <v>0</v>
      </c>
      <c r="AO41" s="188" t="s">
        <v>739</v>
      </c>
      <c r="AP41" s="188" t="s">
        <v>739</v>
      </c>
      <c r="AQ41" s="188" t="s">
        <v>739</v>
      </c>
      <c r="AR41" s="188"/>
      <c r="AS41" s="188" t="s">
        <v>1060</v>
      </c>
      <c r="AT41" s="188" t="s">
        <v>1040</v>
      </c>
      <c r="AU41" s="188" t="s">
        <v>1041</v>
      </c>
      <c r="AV41" s="188"/>
      <c r="AW41" s="188" t="s">
        <v>739</v>
      </c>
      <c r="AX41" t="s">
        <v>739</v>
      </c>
      <c r="AY41" t="s">
        <v>739</v>
      </c>
      <c r="BA41" t="s">
        <v>1083</v>
      </c>
      <c r="BB41" t="s">
        <v>1084</v>
      </c>
      <c r="BC41" t="s">
        <v>1085</v>
      </c>
      <c r="BD41" s="143"/>
    </row>
    <row r="42" spans="1:56" ht="15" customHeight="1" x14ac:dyDescent="0.25">
      <c r="A42" s="188">
        <v>12</v>
      </c>
      <c r="B42" s="188" t="s">
        <v>492</v>
      </c>
      <c r="C42" s="188" t="s">
        <v>814</v>
      </c>
      <c r="D42" s="188" t="s">
        <v>727</v>
      </c>
      <c r="E42" s="188" t="s">
        <v>815</v>
      </c>
      <c r="F42" s="188" t="s">
        <v>816</v>
      </c>
      <c r="G42" s="188" t="s">
        <v>817</v>
      </c>
      <c r="H42" s="188" t="s">
        <v>818</v>
      </c>
      <c r="I42" t="s">
        <v>819</v>
      </c>
      <c r="J42" s="74">
        <v>44197</v>
      </c>
      <c r="K42" s="74">
        <v>44561</v>
      </c>
      <c r="L42" s="188" t="s">
        <v>733</v>
      </c>
      <c r="M42" s="188" t="str">
        <f t="shared" si="14"/>
        <v>Caldas</v>
      </c>
      <c r="N42" s="188" t="s">
        <v>30</v>
      </c>
      <c r="O42" s="188" t="s">
        <v>820</v>
      </c>
      <c r="P42" s="188" t="s">
        <v>821</v>
      </c>
      <c r="Q42" s="75">
        <v>0.1</v>
      </c>
      <c r="R42" s="190">
        <f>SUM(S42:V42)</f>
        <v>187394188.88479376</v>
      </c>
      <c r="S42" s="190">
        <v>37001770.005417816</v>
      </c>
      <c r="T42" s="190">
        <v>47966507.4383891</v>
      </c>
      <c r="U42" s="190">
        <v>48835595.040952027</v>
      </c>
      <c r="V42" s="190">
        <v>53590316.400034815</v>
      </c>
      <c r="W42" s="190">
        <v>32520643</v>
      </c>
      <c r="X42" s="190" t="s">
        <v>1086</v>
      </c>
      <c r="Y42" s="190">
        <v>35375340</v>
      </c>
      <c r="Z42" s="190" t="s">
        <v>1087</v>
      </c>
      <c r="AA42" s="190">
        <v>36764709</v>
      </c>
      <c r="AB42" s="190" t="s">
        <v>1088</v>
      </c>
      <c r="AC42" s="190"/>
      <c r="AD42" s="190"/>
      <c r="AE42" s="190">
        <f t="shared" si="5"/>
        <v>104660692</v>
      </c>
      <c r="AF42" s="74">
        <v>44299</v>
      </c>
      <c r="AG42" s="74">
        <v>44389</v>
      </c>
      <c r="AH42" s="74">
        <v>44480</v>
      </c>
      <c r="AI42" s="74"/>
      <c r="AJ42" s="75">
        <f t="shared" si="6"/>
        <v>0.55850553649955137</v>
      </c>
      <c r="AK42" s="75">
        <f t="shared" si="7"/>
        <v>0.87889425276786248</v>
      </c>
      <c r="AL42" s="75">
        <f t="shared" si="8"/>
        <v>0.73750084984690811</v>
      </c>
      <c r="AM42" s="75">
        <f t="shared" si="9"/>
        <v>0.75282606814087649</v>
      </c>
      <c r="AN42" s="75">
        <f t="shared" si="10"/>
        <v>0</v>
      </c>
      <c r="AO42" s="188" t="s">
        <v>739</v>
      </c>
      <c r="AP42" s="188" t="s">
        <v>739</v>
      </c>
      <c r="AQ42" s="188" t="s">
        <v>739</v>
      </c>
      <c r="AR42" s="188"/>
      <c r="AS42" s="188" t="s">
        <v>1060</v>
      </c>
      <c r="AT42" s="188" t="s">
        <v>1040</v>
      </c>
      <c r="AU42" s="188" t="s">
        <v>1041</v>
      </c>
      <c r="AV42" s="188"/>
      <c r="AW42" s="188" t="s">
        <v>739</v>
      </c>
      <c r="AX42" t="s">
        <v>739</v>
      </c>
      <c r="AY42" t="s">
        <v>828</v>
      </c>
      <c r="BA42" t="s">
        <v>1089</v>
      </c>
      <c r="BB42" t="s">
        <v>1090</v>
      </c>
      <c r="BC42" t="s">
        <v>1091</v>
      </c>
      <c r="BD42" s="143"/>
    </row>
    <row r="43" spans="1:56" ht="15" customHeight="1" x14ac:dyDescent="0.25">
      <c r="A43" s="188">
        <v>13</v>
      </c>
      <c r="B43" s="188" t="s">
        <v>492</v>
      </c>
      <c r="C43" s="188" t="s">
        <v>814</v>
      </c>
      <c r="D43" s="188" t="s">
        <v>727</v>
      </c>
      <c r="E43" s="188" t="s">
        <v>815</v>
      </c>
      <c r="F43" s="188" t="s">
        <v>816</v>
      </c>
      <c r="G43" s="188" t="s">
        <v>817</v>
      </c>
      <c r="H43" s="188" t="s">
        <v>818</v>
      </c>
      <c r="I43" t="s">
        <v>923</v>
      </c>
      <c r="J43" s="74">
        <v>44197</v>
      </c>
      <c r="K43" s="74">
        <v>44561</v>
      </c>
      <c r="L43" s="188" t="s">
        <v>733</v>
      </c>
      <c r="M43" s="188" t="str">
        <f t="shared" si="14"/>
        <v>Caldas</v>
      </c>
      <c r="N43" s="188" t="s">
        <v>60</v>
      </c>
      <c r="O43" s="188" t="s">
        <v>924</v>
      </c>
      <c r="P43" s="188" t="s">
        <v>821</v>
      </c>
      <c r="Q43" s="75">
        <v>0.1</v>
      </c>
      <c r="R43" s="189">
        <v>1</v>
      </c>
      <c r="S43" s="189">
        <v>0.25</v>
      </c>
      <c r="T43" s="189">
        <v>0.25</v>
      </c>
      <c r="U43" s="189">
        <v>0.25</v>
      </c>
      <c r="V43" s="189">
        <v>0.25</v>
      </c>
      <c r="W43" s="189">
        <v>0</v>
      </c>
      <c r="X43" s="189" t="s">
        <v>1092</v>
      </c>
      <c r="Y43" s="189">
        <v>0.24</v>
      </c>
      <c r="Z43" s="189" t="s">
        <v>1093</v>
      </c>
      <c r="AA43" s="189">
        <v>0.72</v>
      </c>
      <c r="AB43" s="189" t="s">
        <v>1094</v>
      </c>
      <c r="AC43" s="189"/>
      <c r="AD43" s="189"/>
      <c r="AE43" s="189">
        <f t="shared" si="5"/>
        <v>0.96</v>
      </c>
      <c r="AF43" s="60">
        <v>44299</v>
      </c>
      <c r="AG43" s="60">
        <v>44389</v>
      </c>
      <c r="AH43" s="60">
        <v>44477</v>
      </c>
      <c r="AI43" s="60"/>
      <c r="AJ43" s="75">
        <f t="shared" si="6"/>
        <v>0.96</v>
      </c>
      <c r="AK43" s="75">
        <f t="shared" si="7"/>
        <v>0</v>
      </c>
      <c r="AL43" s="75">
        <f t="shared" si="8"/>
        <v>0.96</v>
      </c>
      <c r="AM43" s="75">
        <f t="shared" si="9"/>
        <v>1</v>
      </c>
      <c r="AN43" s="75">
        <f t="shared" si="10"/>
        <v>0</v>
      </c>
      <c r="AO43" s="188" t="s">
        <v>828</v>
      </c>
      <c r="AP43" s="188" t="s">
        <v>739</v>
      </c>
      <c r="AQ43" s="188" t="s">
        <v>739</v>
      </c>
      <c r="AR43" s="188"/>
      <c r="AS43" s="188" t="s">
        <v>1053</v>
      </c>
      <c r="AT43" s="188" t="s">
        <v>1040</v>
      </c>
      <c r="AU43" s="188" t="s">
        <v>1041</v>
      </c>
      <c r="AV43" s="188"/>
      <c r="AW43" s="188" t="s">
        <v>828</v>
      </c>
      <c r="AX43" t="s">
        <v>739</v>
      </c>
      <c r="AY43" t="s">
        <v>739</v>
      </c>
      <c r="BA43" t="s">
        <v>1095</v>
      </c>
      <c r="BB43" t="s">
        <v>1096</v>
      </c>
      <c r="BC43" t="s">
        <v>1097</v>
      </c>
      <c r="BD43" s="143"/>
    </row>
    <row r="44" spans="1:56" ht="15" customHeight="1" x14ac:dyDescent="0.25">
      <c r="A44" s="188">
        <v>1</v>
      </c>
      <c r="B44" s="188" t="s">
        <v>493</v>
      </c>
      <c r="C44" s="188" t="s">
        <v>726</v>
      </c>
      <c r="D44" s="188" t="s">
        <v>727</v>
      </c>
      <c r="E44" s="188" t="s">
        <v>728</v>
      </c>
      <c r="F44" s="188" t="s">
        <v>729</v>
      </c>
      <c r="G44" s="188" t="s">
        <v>730</v>
      </c>
      <c r="H44" s="188" t="s">
        <v>731</v>
      </c>
      <c r="I44" s="188" t="s">
        <v>732</v>
      </c>
      <c r="J44" s="74">
        <v>44197</v>
      </c>
      <c r="K44" s="74">
        <v>44561</v>
      </c>
      <c r="L44" s="188" t="s">
        <v>733</v>
      </c>
      <c r="M44" s="188" t="str">
        <f>B44</f>
        <v>Caquetá</v>
      </c>
      <c r="N44" s="188" t="s">
        <v>30</v>
      </c>
      <c r="O44" s="188" t="s">
        <v>734</v>
      </c>
      <c r="P44" s="188" t="s">
        <v>735</v>
      </c>
      <c r="Q44" s="75">
        <v>0.1111111111111111</v>
      </c>
      <c r="R44" s="190">
        <v>3256</v>
      </c>
      <c r="S44" s="190">
        <v>0</v>
      </c>
      <c r="T44" s="190">
        <v>0</v>
      </c>
      <c r="U44" s="190">
        <v>0</v>
      </c>
      <c r="V44" s="190">
        <v>3256</v>
      </c>
      <c r="W44" s="190">
        <v>1165</v>
      </c>
      <c r="X44" s="190" t="s">
        <v>1098</v>
      </c>
      <c r="Y44" s="190">
        <v>689</v>
      </c>
      <c r="Z44" s="190" t="s">
        <v>1099</v>
      </c>
      <c r="AA44" s="190">
        <v>1121</v>
      </c>
      <c r="AB44" s="190" t="s">
        <v>1100</v>
      </c>
      <c r="AC44" s="190"/>
      <c r="AD44" s="190"/>
      <c r="AE44" s="190">
        <f t="shared" si="5"/>
        <v>2975</v>
      </c>
      <c r="AF44" s="74">
        <v>44300</v>
      </c>
      <c r="AG44" s="74">
        <v>44392</v>
      </c>
      <c r="AH44" s="74">
        <v>44482</v>
      </c>
      <c r="AI44" s="74"/>
      <c r="AJ44" s="75">
        <f t="shared" si="6"/>
        <v>0.91369778869778873</v>
      </c>
      <c r="AK44" s="75" t="str">
        <f t="shared" si="7"/>
        <v/>
      </c>
      <c r="AL44" s="75" t="str">
        <f t="shared" si="8"/>
        <v/>
      </c>
      <c r="AM44" s="75" t="str">
        <f t="shared" si="9"/>
        <v/>
      </c>
      <c r="AN44" s="75">
        <f t="shared" si="10"/>
        <v>0</v>
      </c>
      <c r="AO44" s="188" t="s">
        <v>739</v>
      </c>
      <c r="AP44" s="188" t="s">
        <v>739</v>
      </c>
      <c r="AQ44" s="188" t="s">
        <v>739</v>
      </c>
      <c r="AR44" s="188"/>
      <c r="AS44" s="188" t="s">
        <v>1101</v>
      </c>
      <c r="AT44" s="188" t="s">
        <v>1102</v>
      </c>
      <c r="AU44" s="188" t="s">
        <v>1103</v>
      </c>
      <c r="AV44" s="188"/>
      <c r="AW44" s="188" t="s">
        <v>739</v>
      </c>
      <c r="AX44" s="188" t="s">
        <v>739</v>
      </c>
      <c r="AY44" s="188" t="s">
        <v>739</v>
      </c>
      <c r="AZ44" s="188"/>
      <c r="BA44" s="188" t="s">
        <v>1104</v>
      </c>
      <c r="BB44" s="188" t="s">
        <v>1105</v>
      </c>
      <c r="BC44" s="188" t="s">
        <v>1106</v>
      </c>
      <c r="BD44" s="143"/>
    </row>
    <row r="45" spans="1:56" ht="15" customHeight="1" x14ac:dyDescent="0.25">
      <c r="A45" s="188">
        <v>3</v>
      </c>
      <c r="B45" s="188" t="s">
        <v>493</v>
      </c>
      <c r="C45" s="188" t="s">
        <v>726</v>
      </c>
      <c r="D45" s="188" t="s">
        <v>727</v>
      </c>
      <c r="E45" s="188" t="s">
        <v>728</v>
      </c>
      <c r="F45" s="188" t="s">
        <v>729</v>
      </c>
      <c r="G45" s="188" t="s">
        <v>730</v>
      </c>
      <c r="H45" s="188" t="s">
        <v>731</v>
      </c>
      <c r="I45" s="188" t="s">
        <v>746</v>
      </c>
      <c r="J45" s="74">
        <v>44197</v>
      </c>
      <c r="K45" s="74">
        <v>44561</v>
      </c>
      <c r="L45" s="188" t="s">
        <v>733</v>
      </c>
      <c r="M45" s="188" t="str">
        <f t="shared" ref="M45:M52" si="15">B45</f>
        <v>Caquetá</v>
      </c>
      <c r="N45" s="188" t="s">
        <v>30</v>
      </c>
      <c r="O45" s="188" t="s">
        <v>747</v>
      </c>
      <c r="P45" s="188" t="s">
        <v>735</v>
      </c>
      <c r="Q45" s="75">
        <v>0.1111111111111111</v>
      </c>
      <c r="R45" s="190">
        <v>3209</v>
      </c>
      <c r="S45" s="190">
        <v>0</v>
      </c>
      <c r="T45" s="190">
        <v>0</v>
      </c>
      <c r="U45" s="190">
        <v>0</v>
      </c>
      <c r="V45" s="190">
        <v>3209</v>
      </c>
      <c r="W45" s="190">
        <v>293</v>
      </c>
      <c r="X45" s="190" t="s">
        <v>1107</v>
      </c>
      <c r="Y45" s="190">
        <v>868</v>
      </c>
      <c r="Z45" s="190" t="s">
        <v>1108</v>
      </c>
      <c r="AA45" s="190">
        <v>487</v>
      </c>
      <c r="AB45" s="190" t="s">
        <v>1109</v>
      </c>
      <c r="AC45" s="190"/>
      <c r="AD45" s="190"/>
      <c r="AE45" s="190">
        <f t="shared" si="5"/>
        <v>1648</v>
      </c>
      <c r="AF45" s="74">
        <v>44300</v>
      </c>
      <c r="AG45" s="74">
        <v>44392</v>
      </c>
      <c r="AH45" s="74">
        <v>44483</v>
      </c>
      <c r="AI45" s="74"/>
      <c r="AJ45" s="75">
        <f t="shared" si="6"/>
        <v>0.51355562480523531</v>
      </c>
      <c r="AK45" s="75" t="str">
        <f t="shared" si="7"/>
        <v/>
      </c>
      <c r="AL45" s="75" t="str">
        <f t="shared" si="8"/>
        <v/>
      </c>
      <c r="AM45" s="75" t="str">
        <f t="shared" si="9"/>
        <v/>
      </c>
      <c r="AN45" s="75">
        <f t="shared" si="10"/>
        <v>0</v>
      </c>
      <c r="AO45" s="188" t="s">
        <v>739</v>
      </c>
      <c r="AP45" s="188" t="s">
        <v>739</v>
      </c>
      <c r="AQ45" s="188" t="s">
        <v>739</v>
      </c>
      <c r="AR45" s="188"/>
      <c r="AS45" s="188" t="s">
        <v>1101</v>
      </c>
      <c r="AT45" s="188" t="s">
        <v>1110</v>
      </c>
      <c r="AU45" s="188" t="s">
        <v>945</v>
      </c>
      <c r="AV45" s="188"/>
      <c r="AW45" s="188" t="s">
        <v>739</v>
      </c>
      <c r="AX45" t="s">
        <v>739</v>
      </c>
      <c r="AY45" t="s">
        <v>739</v>
      </c>
      <c r="BA45" t="s">
        <v>1111</v>
      </c>
      <c r="BB45" t="s">
        <v>1112</v>
      </c>
      <c r="BC45" t="s">
        <v>1113</v>
      </c>
      <c r="BD45" s="143"/>
    </row>
    <row r="46" spans="1:56" ht="15" customHeight="1" x14ac:dyDescent="0.25">
      <c r="A46" s="188">
        <v>5</v>
      </c>
      <c r="B46" s="188" t="s">
        <v>493</v>
      </c>
      <c r="C46" s="188" t="s">
        <v>964</v>
      </c>
      <c r="D46" s="188" t="s">
        <v>727</v>
      </c>
      <c r="E46" s="188" t="s">
        <v>815</v>
      </c>
      <c r="F46" s="188" t="s">
        <v>965</v>
      </c>
      <c r="G46" s="188" t="s">
        <v>730</v>
      </c>
      <c r="H46" s="188" t="s">
        <v>731</v>
      </c>
      <c r="I46" t="s">
        <v>966</v>
      </c>
      <c r="J46" s="74">
        <v>44197</v>
      </c>
      <c r="K46" s="74">
        <v>44561</v>
      </c>
      <c r="L46" s="188" t="s">
        <v>733</v>
      </c>
      <c r="M46" s="188" t="str">
        <f t="shared" si="15"/>
        <v>Caquetá</v>
      </c>
      <c r="N46" s="188" t="s">
        <v>30</v>
      </c>
      <c r="O46" s="188" t="s">
        <v>967</v>
      </c>
      <c r="P46" s="188" t="s">
        <v>735</v>
      </c>
      <c r="Q46" s="75">
        <v>0.1111111111111111</v>
      </c>
      <c r="R46" s="190">
        <v>20</v>
      </c>
      <c r="S46" s="190">
        <v>0</v>
      </c>
      <c r="T46" s="190">
        <v>0</v>
      </c>
      <c r="U46" s="190">
        <v>0</v>
      </c>
      <c r="V46" s="190">
        <v>20</v>
      </c>
      <c r="W46" s="190">
        <v>0</v>
      </c>
      <c r="X46" s="190" t="s">
        <v>1114</v>
      </c>
      <c r="Y46" s="190">
        <v>1</v>
      </c>
      <c r="Z46" s="190" t="s">
        <v>1115</v>
      </c>
      <c r="AA46" s="190">
        <v>1</v>
      </c>
      <c r="AB46" s="190" t="s">
        <v>1116</v>
      </c>
      <c r="AC46" s="190"/>
      <c r="AD46" s="190"/>
      <c r="AE46" s="190">
        <f t="shared" si="5"/>
        <v>2</v>
      </c>
      <c r="AF46" s="74">
        <v>44300</v>
      </c>
      <c r="AG46" s="74">
        <v>44392</v>
      </c>
      <c r="AH46" s="74">
        <v>44483</v>
      </c>
      <c r="AI46" s="74"/>
      <c r="AJ46" s="75">
        <f t="shared" si="6"/>
        <v>0.1</v>
      </c>
      <c r="AK46" s="75" t="str">
        <f t="shared" si="7"/>
        <v/>
      </c>
      <c r="AL46" s="75" t="str">
        <f t="shared" si="8"/>
        <v/>
      </c>
      <c r="AM46" s="75" t="str">
        <f t="shared" si="9"/>
        <v/>
      </c>
      <c r="AN46" s="75">
        <f t="shared" si="10"/>
        <v>0</v>
      </c>
      <c r="AO46" s="188" t="s">
        <v>838</v>
      </c>
      <c r="AP46" s="188" t="s">
        <v>739</v>
      </c>
      <c r="AQ46" s="188" t="s">
        <v>739</v>
      </c>
      <c r="AR46" s="188"/>
      <c r="AS46" s="188" t="s">
        <v>1117</v>
      </c>
      <c r="AT46" s="188" t="s">
        <v>1118</v>
      </c>
      <c r="AU46" s="188" t="s">
        <v>1103</v>
      </c>
      <c r="AV46" s="188"/>
      <c r="AW46" s="188" t="s">
        <v>838</v>
      </c>
      <c r="AX46" t="s">
        <v>739</v>
      </c>
      <c r="AY46" t="s">
        <v>739</v>
      </c>
      <c r="BA46" t="s">
        <v>1119</v>
      </c>
      <c r="BB46" t="s">
        <v>1120</v>
      </c>
      <c r="BC46" t="s">
        <v>1121</v>
      </c>
      <c r="BD46" s="143"/>
    </row>
    <row r="47" spans="1:56" ht="15" customHeight="1" x14ac:dyDescent="0.25">
      <c r="A47" s="188">
        <v>6</v>
      </c>
      <c r="B47" s="188" t="s">
        <v>493</v>
      </c>
      <c r="C47" s="188" t="s">
        <v>756</v>
      </c>
      <c r="D47" s="188" t="s">
        <v>727</v>
      </c>
      <c r="E47" s="188" t="s">
        <v>728</v>
      </c>
      <c r="F47" s="188" t="s">
        <v>757</v>
      </c>
      <c r="G47" s="188" t="s">
        <v>730</v>
      </c>
      <c r="H47" s="188" t="s">
        <v>731</v>
      </c>
      <c r="I47" t="s">
        <v>758</v>
      </c>
      <c r="J47" s="74">
        <v>44197</v>
      </c>
      <c r="K47" s="74">
        <v>44561</v>
      </c>
      <c r="L47" s="188" t="s">
        <v>733</v>
      </c>
      <c r="M47" s="188" t="str">
        <f t="shared" si="15"/>
        <v>Caquetá</v>
      </c>
      <c r="N47" s="188" t="s">
        <v>60</v>
      </c>
      <c r="O47" s="188" t="s">
        <v>759</v>
      </c>
      <c r="P47" s="188" t="s">
        <v>735</v>
      </c>
      <c r="Q47" s="75">
        <v>0.1111111111111111</v>
      </c>
      <c r="R47" s="189">
        <v>1</v>
      </c>
      <c r="S47" s="189">
        <v>0.25</v>
      </c>
      <c r="T47" s="189">
        <v>0.25</v>
      </c>
      <c r="U47" s="189">
        <v>0.25</v>
      </c>
      <c r="V47" s="189">
        <v>0.25</v>
      </c>
      <c r="W47" s="189">
        <v>0.25</v>
      </c>
      <c r="X47" s="189" t="s">
        <v>1122</v>
      </c>
      <c r="Y47" s="189">
        <v>0.25</v>
      </c>
      <c r="Z47" s="189" t="s">
        <v>1123</v>
      </c>
      <c r="AA47" s="189">
        <v>0.25</v>
      </c>
      <c r="AB47" s="189" t="s">
        <v>1124</v>
      </c>
      <c r="AC47" s="189"/>
      <c r="AD47" s="189"/>
      <c r="AE47" s="189">
        <f t="shared" si="5"/>
        <v>0.75</v>
      </c>
      <c r="AF47" s="74">
        <v>44300</v>
      </c>
      <c r="AG47" s="74">
        <v>44392</v>
      </c>
      <c r="AH47" s="74">
        <v>44483</v>
      </c>
      <c r="AI47" s="74"/>
      <c r="AJ47" s="75">
        <f t="shared" si="6"/>
        <v>0.75</v>
      </c>
      <c r="AK47" s="75">
        <f t="shared" si="7"/>
        <v>1</v>
      </c>
      <c r="AL47" s="75">
        <f t="shared" si="8"/>
        <v>1</v>
      </c>
      <c r="AM47" s="75">
        <f t="shared" si="9"/>
        <v>1</v>
      </c>
      <c r="AN47" s="75">
        <f t="shared" si="10"/>
        <v>0</v>
      </c>
      <c r="AO47" s="188" t="s">
        <v>739</v>
      </c>
      <c r="AP47" s="188" t="s">
        <v>739</v>
      </c>
      <c r="AQ47" s="188" t="s">
        <v>739</v>
      </c>
      <c r="AR47" s="188"/>
      <c r="AS47" s="188" t="s">
        <v>1125</v>
      </c>
      <c r="AT47" s="188" t="s">
        <v>1126</v>
      </c>
      <c r="AU47" s="188" t="s">
        <v>1127</v>
      </c>
      <c r="AV47" s="188"/>
      <c r="AW47" s="188" t="s">
        <v>739</v>
      </c>
      <c r="AX47" t="s">
        <v>739</v>
      </c>
      <c r="AY47" t="s">
        <v>739</v>
      </c>
      <c r="BA47" t="s">
        <v>1128</v>
      </c>
      <c r="BB47" t="s">
        <v>1129</v>
      </c>
      <c r="BC47" t="s">
        <v>1130</v>
      </c>
      <c r="BD47" s="143"/>
    </row>
    <row r="48" spans="1:56" ht="15" customHeight="1" x14ac:dyDescent="0.25">
      <c r="A48" s="188">
        <v>7</v>
      </c>
      <c r="B48" s="188" t="s">
        <v>493</v>
      </c>
      <c r="C48" s="188" t="s">
        <v>768</v>
      </c>
      <c r="D48" s="188" t="s">
        <v>727</v>
      </c>
      <c r="E48" s="188" t="s">
        <v>728</v>
      </c>
      <c r="F48" s="188" t="s">
        <v>757</v>
      </c>
      <c r="G48" s="188" t="s">
        <v>730</v>
      </c>
      <c r="H48" s="188" t="s">
        <v>731</v>
      </c>
      <c r="I48" t="s">
        <v>769</v>
      </c>
      <c r="J48" s="74">
        <v>44197</v>
      </c>
      <c r="K48" s="74">
        <v>44561</v>
      </c>
      <c r="L48" s="188" t="s">
        <v>733</v>
      </c>
      <c r="M48" s="188" t="str">
        <f t="shared" si="15"/>
        <v>Caquetá</v>
      </c>
      <c r="N48" s="188" t="s">
        <v>60</v>
      </c>
      <c r="O48" s="188" t="s">
        <v>759</v>
      </c>
      <c r="P48" s="188" t="s">
        <v>735</v>
      </c>
      <c r="Q48" s="75">
        <v>0.1111111111111111</v>
      </c>
      <c r="R48" s="189">
        <v>1</v>
      </c>
      <c r="S48" s="189">
        <v>0.25</v>
      </c>
      <c r="T48" s="189">
        <v>0.25</v>
      </c>
      <c r="U48" s="189">
        <v>0.25</v>
      </c>
      <c r="V48" s="189">
        <v>0.25</v>
      </c>
      <c r="W48" s="189">
        <v>0.25</v>
      </c>
      <c r="X48" s="189" t="s">
        <v>1131</v>
      </c>
      <c r="Y48" s="189">
        <v>0.25</v>
      </c>
      <c r="Z48" s="189" t="s">
        <v>1132</v>
      </c>
      <c r="AA48" s="189">
        <v>0.25</v>
      </c>
      <c r="AB48" s="189" t="s">
        <v>1133</v>
      </c>
      <c r="AC48" s="189"/>
      <c r="AD48" s="189"/>
      <c r="AE48" s="189">
        <f t="shared" si="5"/>
        <v>0.75</v>
      </c>
      <c r="AF48" s="74">
        <v>44300</v>
      </c>
      <c r="AG48" s="74">
        <v>44392</v>
      </c>
      <c r="AH48" s="74">
        <v>44483</v>
      </c>
      <c r="AI48" s="74"/>
      <c r="AJ48" s="75">
        <f t="shared" si="6"/>
        <v>0.75</v>
      </c>
      <c r="AK48" s="75">
        <f t="shared" si="7"/>
        <v>1</v>
      </c>
      <c r="AL48" s="75">
        <f t="shared" si="8"/>
        <v>1</v>
      </c>
      <c r="AM48" s="75">
        <f t="shared" si="9"/>
        <v>1</v>
      </c>
      <c r="AN48" s="75">
        <f t="shared" si="10"/>
        <v>0</v>
      </c>
      <c r="AO48" s="188" t="s">
        <v>739</v>
      </c>
      <c r="AP48" s="188" t="s">
        <v>739</v>
      </c>
      <c r="AQ48" s="188" t="s">
        <v>739</v>
      </c>
      <c r="AR48" s="188"/>
      <c r="AS48" s="188" t="s">
        <v>1134</v>
      </c>
      <c r="AT48" s="188" t="s">
        <v>1135</v>
      </c>
      <c r="AU48" s="188" t="s">
        <v>1136</v>
      </c>
      <c r="AV48" s="188"/>
      <c r="AW48" s="188" t="s">
        <v>739</v>
      </c>
      <c r="AX48" t="s">
        <v>739</v>
      </c>
      <c r="AY48" t="s">
        <v>828</v>
      </c>
      <c r="BA48" t="s">
        <v>1137</v>
      </c>
      <c r="BB48" t="s">
        <v>1138</v>
      </c>
      <c r="BC48" t="s">
        <v>1139</v>
      </c>
      <c r="BD48" s="143"/>
    </row>
    <row r="49" spans="1:56" ht="15" customHeight="1" x14ac:dyDescent="0.25">
      <c r="A49" s="188">
        <v>8</v>
      </c>
      <c r="B49" s="188" t="s">
        <v>493</v>
      </c>
      <c r="C49" s="188" t="s">
        <v>777</v>
      </c>
      <c r="D49" s="188" t="s">
        <v>778</v>
      </c>
      <c r="E49" s="188" t="s">
        <v>779</v>
      </c>
      <c r="F49" s="188" t="s">
        <v>780</v>
      </c>
      <c r="G49" s="188" t="s">
        <v>730</v>
      </c>
      <c r="H49" s="188" t="s">
        <v>781</v>
      </c>
      <c r="I49" t="s">
        <v>782</v>
      </c>
      <c r="J49" s="74">
        <v>44197</v>
      </c>
      <c r="K49" s="74">
        <v>44561</v>
      </c>
      <c r="L49" s="188" t="s">
        <v>733</v>
      </c>
      <c r="M49" s="188" t="str">
        <f t="shared" si="15"/>
        <v>Caquetá</v>
      </c>
      <c r="N49" s="188" t="s">
        <v>60</v>
      </c>
      <c r="O49" s="188" t="s">
        <v>759</v>
      </c>
      <c r="P49" s="188" t="s">
        <v>735</v>
      </c>
      <c r="Q49" s="75">
        <v>0.1111111111111111</v>
      </c>
      <c r="R49" s="189">
        <v>1</v>
      </c>
      <c r="S49" s="189">
        <v>0.25</v>
      </c>
      <c r="T49" s="189">
        <v>0.25</v>
      </c>
      <c r="U49" s="189">
        <v>0.25</v>
      </c>
      <c r="V49" s="189">
        <v>0.25</v>
      </c>
      <c r="W49" s="189">
        <v>0.25</v>
      </c>
      <c r="X49" s="189" t="s">
        <v>1140</v>
      </c>
      <c r="Y49" s="189">
        <v>0.25</v>
      </c>
      <c r="Z49" s="189" t="s">
        <v>1141</v>
      </c>
      <c r="AA49" s="189">
        <v>0.25</v>
      </c>
      <c r="AB49" s="189" t="s">
        <v>1142</v>
      </c>
      <c r="AC49" s="189"/>
      <c r="AD49" s="189"/>
      <c r="AE49" s="189">
        <f t="shared" si="5"/>
        <v>0.75</v>
      </c>
      <c r="AF49" s="74">
        <v>44300</v>
      </c>
      <c r="AG49" s="74">
        <v>44392</v>
      </c>
      <c r="AH49" s="74">
        <v>44483</v>
      </c>
      <c r="AI49" s="74"/>
      <c r="AJ49" s="75">
        <f t="shared" si="6"/>
        <v>0.75</v>
      </c>
      <c r="AK49" s="75">
        <f t="shared" si="7"/>
        <v>1</v>
      </c>
      <c r="AL49" s="75">
        <f t="shared" si="8"/>
        <v>1</v>
      </c>
      <c r="AM49" s="75">
        <f t="shared" si="9"/>
        <v>1</v>
      </c>
      <c r="AN49" s="75">
        <f t="shared" si="10"/>
        <v>0</v>
      </c>
      <c r="AO49" s="188" t="s">
        <v>739</v>
      </c>
      <c r="AP49" s="188" t="s">
        <v>739</v>
      </c>
      <c r="AQ49" s="188" t="s">
        <v>739</v>
      </c>
      <c r="AR49" s="188"/>
      <c r="AS49" s="188" t="s">
        <v>1143</v>
      </c>
      <c r="AT49" s="188" t="s">
        <v>1144</v>
      </c>
      <c r="AU49" s="188" t="s">
        <v>1145</v>
      </c>
      <c r="AV49" s="188"/>
      <c r="AW49" s="188" t="s">
        <v>739</v>
      </c>
      <c r="AX49" t="s">
        <v>739</v>
      </c>
      <c r="AY49" t="s">
        <v>739</v>
      </c>
      <c r="BA49" t="s">
        <v>1146</v>
      </c>
      <c r="BB49" t="s">
        <v>1147</v>
      </c>
      <c r="BC49" t="s">
        <v>1148</v>
      </c>
      <c r="BD49" s="143"/>
    </row>
    <row r="50" spans="1:56" ht="15" customHeight="1" x14ac:dyDescent="0.25">
      <c r="A50" s="188">
        <v>9</v>
      </c>
      <c r="B50" s="188" t="s">
        <v>493</v>
      </c>
      <c r="C50" s="188" t="s">
        <v>790</v>
      </c>
      <c r="D50" s="188" t="s">
        <v>791</v>
      </c>
      <c r="E50" s="188" t="s">
        <v>792</v>
      </c>
      <c r="F50" s="188" t="s">
        <v>793</v>
      </c>
      <c r="G50" s="188" t="s">
        <v>794</v>
      </c>
      <c r="H50" s="188" t="s">
        <v>794</v>
      </c>
      <c r="I50" t="s">
        <v>795</v>
      </c>
      <c r="J50" s="74">
        <v>44197</v>
      </c>
      <c r="K50" s="74">
        <v>44561</v>
      </c>
      <c r="L50" s="188" t="s">
        <v>733</v>
      </c>
      <c r="M50" s="188" t="str">
        <f t="shared" si="15"/>
        <v>Caquetá</v>
      </c>
      <c r="N50" s="188" t="s">
        <v>60</v>
      </c>
      <c r="O50" s="188" t="s">
        <v>796</v>
      </c>
      <c r="P50" s="188" t="s">
        <v>735</v>
      </c>
      <c r="Q50" s="75">
        <v>0.1111111111111111</v>
      </c>
      <c r="R50" s="189">
        <v>1</v>
      </c>
      <c r="S50" s="189">
        <v>0.25</v>
      </c>
      <c r="T50" s="189">
        <v>0.25</v>
      </c>
      <c r="U50" s="189">
        <v>0.25</v>
      </c>
      <c r="V50" s="189">
        <v>0.25</v>
      </c>
      <c r="W50" s="189">
        <v>0.25</v>
      </c>
      <c r="X50" s="189" t="s">
        <v>1149</v>
      </c>
      <c r="Y50" s="189">
        <v>0.25</v>
      </c>
      <c r="Z50" s="189" t="s">
        <v>1150</v>
      </c>
      <c r="AA50" s="189">
        <v>0.25</v>
      </c>
      <c r="AB50" s="189" t="s">
        <v>1151</v>
      </c>
      <c r="AC50" s="189"/>
      <c r="AD50" s="189"/>
      <c r="AE50" s="189">
        <f t="shared" si="5"/>
        <v>0.75</v>
      </c>
      <c r="AF50" s="74">
        <v>44300</v>
      </c>
      <c r="AG50" s="74">
        <v>44392</v>
      </c>
      <c r="AH50" s="74">
        <v>44483</v>
      </c>
      <c r="AI50" s="74"/>
      <c r="AJ50" s="75">
        <f t="shared" si="6"/>
        <v>0.75</v>
      </c>
      <c r="AK50" s="75">
        <f t="shared" si="7"/>
        <v>1</v>
      </c>
      <c r="AL50" s="75">
        <f t="shared" si="8"/>
        <v>1</v>
      </c>
      <c r="AM50" s="75">
        <f t="shared" si="9"/>
        <v>1</v>
      </c>
      <c r="AN50" s="75">
        <f t="shared" si="10"/>
        <v>0</v>
      </c>
      <c r="AO50" s="188" t="s">
        <v>739</v>
      </c>
      <c r="AP50" s="188" t="s">
        <v>739</v>
      </c>
      <c r="AQ50" s="188" t="s">
        <v>739</v>
      </c>
      <c r="AR50" s="188"/>
      <c r="AS50" s="188" t="s">
        <v>1152</v>
      </c>
      <c r="AT50" s="188" t="s">
        <v>1153</v>
      </c>
      <c r="AU50" s="188" t="s">
        <v>1154</v>
      </c>
      <c r="AV50" s="188"/>
      <c r="AW50" s="188" t="s">
        <v>739</v>
      </c>
      <c r="AX50" t="s">
        <v>739</v>
      </c>
      <c r="AY50" t="s">
        <v>739</v>
      </c>
      <c r="BA50" t="s">
        <v>1155</v>
      </c>
      <c r="BB50" t="s">
        <v>1156</v>
      </c>
      <c r="BC50" t="s">
        <v>1157</v>
      </c>
      <c r="BD50" s="143"/>
    </row>
    <row r="51" spans="1:56" ht="15" customHeight="1" x14ac:dyDescent="0.25">
      <c r="A51" s="188">
        <v>10</v>
      </c>
      <c r="B51" s="188" t="s">
        <v>493</v>
      </c>
      <c r="C51" s="188" t="s">
        <v>790</v>
      </c>
      <c r="D51" s="188" t="s">
        <v>791</v>
      </c>
      <c r="E51" s="188" t="s">
        <v>792</v>
      </c>
      <c r="F51" s="188" t="s">
        <v>793</v>
      </c>
      <c r="G51" s="188" t="s">
        <v>794</v>
      </c>
      <c r="H51" s="188" t="s">
        <v>794</v>
      </c>
      <c r="I51" t="s">
        <v>805</v>
      </c>
      <c r="J51" s="74">
        <v>44197</v>
      </c>
      <c r="K51" s="74">
        <v>44561</v>
      </c>
      <c r="L51" s="188" t="s">
        <v>733</v>
      </c>
      <c r="M51" s="188" t="str">
        <f t="shared" si="15"/>
        <v>Caquetá</v>
      </c>
      <c r="N51" s="188" t="s">
        <v>60</v>
      </c>
      <c r="O51" s="188" t="s">
        <v>806</v>
      </c>
      <c r="P51" s="188" t="s">
        <v>735</v>
      </c>
      <c r="Q51" s="75">
        <v>0.1111111111111111</v>
      </c>
      <c r="R51" s="189">
        <v>1</v>
      </c>
      <c r="S51" s="189">
        <v>0.25</v>
      </c>
      <c r="T51" s="189">
        <v>0.25</v>
      </c>
      <c r="U51" s="189">
        <v>0.25</v>
      </c>
      <c r="V51" s="189">
        <v>0.25</v>
      </c>
      <c r="W51" s="189">
        <v>0.25</v>
      </c>
      <c r="X51" s="189" t="s">
        <v>1158</v>
      </c>
      <c r="Y51" s="189">
        <v>0.25</v>
      </c>
      <c r="Z51" s="189" t="s">
        <v>1159</v>
      </c>
      <c r="AA51" s="189">
        <v>0.25</v>
      </c>
      <c r="AB51" s="189" t="s">
        <v>1160</v>
      </c>
      <c r="AC51" s="189"/>
      <c r="AD51" s="189"/>
      <c r="AE51" s="189">
        <f t="shared" si="5"/>
        <v>0.75</v>
      </c>
      <c r="AF51" s="74">
        <v>44300</v>
      </c>
      <c r="AG51" s="74">
        <v>44392</v>
      </c>
      <c r="AH51" s="74">
        <v>44483</v>
      </c>
      <c r="AI51" s="74"/>
      <c r="AJ51" s="75">
        <f t="shared" si="6"/>
        <v>0.75</v>
      </c>
      <c r="AK51" s="75">
        <f t="shared" si="7"/>
        <v>1</v>
      </c>
      <c r="AL51" s="75">
        <f t="shared" si="8"/>
        <v>1</v>
      </c>
      <c r="AM51" s="75">
        <f t="shared" si="9"/>
        <v>1</v>
      </c>
      <c r="AN51" s="75">
        <f t="shared" si="10"/>
        <v>0</v>
      </c>
      <c r="AO51" s="188" t="s">
        <v>739</v>
      </c>
      <c r="AP51" s="188" t="s">
        <v>739</v>
      </c>
      <c r="AQ51" s="188" t="s">
        <v>739</v>
      </c>
      <c r="AR51" s="188"/>
      <c r="AS51" s="188" t="s">
        <v>1161</v>
      </c>
      <c r="AT51" s="188" t="s">
        <v>1162</v>
      </c>
      <c r="AU51" s="188" t="s">
        <v>1103</v>
      </c>
      <c r="AV51" s="188"/>
      <c r="AW51" s="188" t="s">
        <v>739</v>
      </c>
      <c r="AX51" t="s">
        <v>739</v>
      </c>
      <c r="AY51" t="s">
        <v>739</v>
      </c>
      <c r="BA51" t="s">
        <v>1163</v>
      </c>
      <c r="BB51" t="s">
        <v>1164</v>
      </c>
      <c r="BC51" t="s">
        <v>1165</v>
      </c>
      <c r="BD51" s="143"/>
    </row>
    <row r="52" spans="1:56" ht="15" customHeight="1" x14ac:dyDescent="0.25">
      <c r="A52" s="188">
        <v>12</v>
      </c>
      <c r="B52" s="188" t="s">
        <v>493</v>
      </c>
      <c r="C52" s="188" t="s">
        <v>814</v>
      </c>
      <c r="D52" s="188" t="s">
        <v>727</v>
      </c>
      <c r="E52" s="188" t="s">
        <v>815</v>
      </c>
      <c r="F52" s="188" t="s">
        <v>816</v>
      </c>
      <c r="G52" s="188" t="s">
        <v>817</v>
      </c>
      <c r="H52" s="188" t="s">
        <v>818</v>
      </c>
      <c r="I52" t="s">
        <v>819</v>
      </c>
      <c r="J52" s="74">
        <v>44197</v>
      </c>
      <c r="K52" s="74">
        <v>44561</v>
      </c>
      <c r="L52" s="188" t="s">
        <v>733</v>
      </c>
      <c r="M52" s="188" t="str">
        <f t="shared" si="15"/>
        <v>Caquetá</v>
      </c>
      <c r="N52" s="188" t="s">
        <v>30</v>
      </c>
      <c r="O52" s="188" t="s">
        <v>820</v>
      </c>
      <c r="P52" s="188" t="s">
        <v>821</v>
      </c>
      <c r="Q52" s="75">
        <v>0.1111111111111111</v>
      </c>
      <c r="R52" s="190">
        <f>SUM(S52:V52)</f>
        <v>102297250.41641048</v>
      </c>
      <c r="S52" s="190">
        <v>20199021.936703201</v>
      </c>
      <c r="T52" s="190">
        <v>26184599.705181543</v>
      </c>
      <c r="U52" s="190">
        <v>26659028.88915072</v>
      </c>
      <c r="V52" s="190">
        <v>29254599.885375008</v>
      </c>
      <c r="W52" s="190">
        <v>22555302</v>
      </c>
      <c r="X52" s="190" t="s">
        <v>1166</v>
      </c>
      <c r="Y52" s="190">
        <v>23023789</v>
      </c>
      <c r="Z52" s="190" t="s">
        <v>1167</v>
      </c>
      <c r="AA52" s="190">
        <v>27211925</v>
      </c>
      <c r="AB52" s="190" t="s">
        <v>1168</v>
      </c>
      <c r="AC52" s="190"/>
      <c r="AD52" s="190"/>
      <c r="AE52" s="190">
        <f t="shared" si="5"/>
        <v>72791016</v>
      </c>
      <c r="AF52" s="74">
        <v>44300</v>
      </c>
      <c r="AG52" s="74">
        <v>44392</v>
      </c>
      <c r="AH52" s="74">
        <v>44483</v>
      </c>
      <c r="AI52" s="74"/>
      <c r="AJ52" s="75">
        <f t="shared" si="6"/>
        <v>0.71156375859270304</v>
      </c>
      <c r="AK52" s="75">
        <f t="shared" si="7"/>
        <v>1</v>
      </c>
      <c r="AL52" s="75">
        <f t="shared" si="8"/>
        <v>0.87928741547436884</v>
      </c>
      <c r="AM52" s="75">
        <f t="shared" si="9"/>
        <v>1</v>
      </c>
      <c r="AN52" s="75">
        <f t="shared" si="10"/>
        <v>0</v>
      </c>
      <c r="AO52" s="188" t="s">
        <v>739</v>
      </c>
      <c r="AP52" s="188" t="s">
        <v>739</v>
      </c>
      <c r="AQ52" s="188" t="s">
        <v>739</v>
      </c>
      <c r="AR52" s="188"/>
      <c r="AS52" s="188" t="s">
        <v>1169</v>
      </c>
      <c r="AT52" s="188" t="s">
        <v>1170</v>
      </c>
      <c r="AU52" s="188" t="s">
        <v>1171</v>
      </c>
      <c r="AV52" s="188"/>
      <c r="AW52" s="188" t="s">
        <v>739</v>
      </c>
      <c r="AX52" t="s">
        <v>739</v>
      </c>
      <c r="AY52" t="s">
        <v>739</v>
      </c>
      <c r="BA52" t="s">
        <v>1172</v>
      </c>
      <c r="BB52" t="s">
        <v>1173</v>
      </c>
      <c r="BC52" t="s">
        <v>1174</v>
      </c>
      <c r="BD52" s="143"/>
    </row>
    <row r="53" spans="1:56" ht="15" customHeight="1" x14ac:dyDescent="0.25">
      <c r="A53" s="188">
        <v>1</v>
      </c>
      <c r="B53" s="188" t="s">
        <v>494</v>
      </c>
      <c r="C53" s="188" t="s">
        <v>832</v>
      </c>
      <c r="D53" s="188" t="s">
        <v>727</v>
      </c>
      <c r="E53" s="188" t="s">
        <v>728</v>
      </c>
      <c r="F53" s="188" t="s">
        <v>729</v>
      </c>
      <c r="G53" s="188" t="s">
        <v>730</v>
      </c>
      <c r="H53" s="188" t="s">
        <v>731</v>
      </c>
      <c r="I53" s="188" t="s">
        <v>833</v>
      </c>
      <c r="J53" s="74">
        <v>44197</v>
      </c>
      <c r="K53" s="74">
        <v>44561</v>
      </c>
      <c r="L53" s="188" t="s">
        <v>733</v>
      </c>
      <c r="M53" s="188" t="str">
        <f>B53</f>
        <v>Casanare</v>
      </c>
      <c r="N53" s="188" t="s">
        <v>30</v>
      </c>
      <c r="O53" s="188" t="s">
        <v>834</v>
      </c>
      <c r="P53" s="188" t="s">
        <v>735</v>
      </c>
      <c r="Q53" s="75">
        <v>0.1</v>
      </c>
      <c r="R53" s="190">
        <v>258</v>
      </c>
      <c r="S53" s="190">
        <v>0</v>
      </c>
      <c r="T53" s="190">
        <v>0</v>
      </c>
      <c r="U53" s="190">
        <v>0</v>
      </c>
      <c r="V53" s="190">
        <v>258</v>
      </c>
      <c r="W53" s="190">
        <v>0</v>
      </c>
      <c r="X53" s="190" t="s">
        <v>1175</v>
      </c>
      <c r="Y53" s="190">
        <v>0</v>
      </c>
      <c r="Z53" s="190" t="s">
        <v>1176</v>
      </c>
      <c r="AA53" s="190">
        <v>0</v>
      </c>
      <c r="AB53" s="190" t="s">
        <v>1177</v>
      </c>
      <c r="AC53" s="190"/>
      <c r="AD53" s="190"/>
      <c r="AE53" s="190">
        <f t="shared" si="5"/>
        <v>0</v>
      </c>
      <c r="AF53" s="74">
        <v>44300</v>
      </c>
      <c r="AG53" s="74">
        <v>44392</v>
      </c>
      <c r="AH53" s="74">
        <v>44483</v>
      </c>
      <c r="AI53" s="74"/>
      <c r="AJ53" s="75">
        <f t="shared" si="6"/>
        <v>0</v>
      </c>
      <c r="AK53" s="75" t="str">
        <f t="shared" si="7"/>
        <v/>
      </c>
      <c r="AL53" s="75" t="str">
        <f t="shared" si="8"/>
        <v/>
      </c>
      <c r="AM53" s="75" t="str">
        <f t="shared" si="9"/>
        <v/>
      </c>
      <c r="AN53" s="75">
        <f t="shared" si="10"/>
        <v>0</v>
      </c>
      <c r="AO53" s="188" t="s">
        <v>838</v>
      </c>
      <c r="AP53" s="188" t="s">
        <v>838</v>
      </c>
      <c r="AQ53" s="188" t="s">
        <v>838</v>
      </c>
      <c r="AR53" s="188"/>
      <c r="AS53" s="188" t="s">
        <v>1178</v>
      </c>
      <c r="AT53" s="188" t="s">
        <v>1179</v>
      </c>
      <c r="AU53" s="188" t="s">
        <v>838</v>
      </c>
      <c r="AV53" s="188"/>
      <c r="AW53" s="188" t="s">
        <v>838</v>
      </c>
      <c r="AX53" s="188" t="s">
        <v>838</v>
      </c>
      <c r="AY53" s="188" t="s">
        <v>838</v>
      </c>
      <c r="AZ53" s="188"/>
      <c r="BA53" s="188" t="s">
        <v>838</v>
      </c>
      <c r="BB53" s="188" t="s">
        <v>838</v>
      </c>
      <c r="BC53" s="188" t="s">
        <v>841</v>
      </c>
      <c r="BD53" s="143"/>
    </row>
    <row r="54" spans="1:56" ht="15" customHeight="1" x14ac:dyDescent="0.25">
      <c r="A54" s="188">
        <v>2</v>
      </c>
      <c r="B54" s="188" t="s">
        <v>494</v>
      </c>
      <c r="C54" s="188" t="s">
        <v>832</v>
      </c>
      <c r="D54" s="188" t="s">
        <v>727</v>
      </c>
      <c r="E54" s="188" t="s">
        <v>728</v>
      </c>
      <c r="F54" s="188" t="s">
        <v>729</v>
      </c>
      <c r="G54" s="188" t="s">
        <v>730</v>
      </c>
      <c r="H54" s="188" t="s">
        <v>731</v>
      </c>
      <c r="I54" s="188" t="s">
        <v>844</v>
      </c>
      <c r="J54" s="74">
        <v>44197</v>
      </c>
      <c r="K54" s="74">
        <v>44561</v>
      </c>
      <c r="L54" s="188" t="s">
        <v>733</v>
      </c>
      <c r="M54" s="188" t="str">
        <f t="shared" ref="M54:M62" si="16">B54</f>
        <v>Casanare</v>
      </c>
      <c r="N54" s="188" t="s">
        <v>30</v>
      </c>
      <c r="O54" s="188" t="s">
        <v>845</v>
      </c>
      <c r="P54" s="188" t="s">
        <v>735</v>
      </c>
      <c r="Q54" s="75">
        <v>0.1</v>
      </c>
      <c r="R54" s="190">
        <v>129197</v>
      </c>
      <c r="S54" s="190">
        <v>0</v>
      </c>
      <c r="T54" s="190">
        <v>0</v>
      </c>
      <c r="U54" s="190">
        <v>0</v>
      </c>
      <c r="V54" s="190">
        <v>129197</v>
      </c>
      <c r="W54" s="190">
        <v>0</v>
      </c>
      <c r="X54" s="190" t="s">
        <v>1180</v>
      </c>
      <c r="Y54" s="190">
        <v>0</v>
      </c>
      <c r="Z54" s="190" t="s">
        <v>1181</v>
      </c>
      <c r="AA54" s="190">
        <v>0</v>
      </c>
      <c r="AB54" s="190" t="s">
        <v>1182</v>
      </c>
      <c r="AC54" s="190"/>
      <c r="AD54" s="190"/>
      <c r="AE54" s="190">
        <f t="shared" si="5"/>
        <v>0</v>
      </c>
      <c r="AF54" s="74">
        <v>44300</v>
      </c>
      <c r="AG54" s="74">
        <v>44392</v>
      </c>
      <c r="AH54" s="74">
        <v>44483</v>
      </c>
      <c r="AI54" s="74"/>
      <c r="AJ54" s="75">
        <f t="shared" si="6"/>
        <v>0</v>
      </c>
      <c r="AK54" s="75" t="str">
        <f t="shared" si="7"/>
        <v/>
      </c>
      <c r="AL54" s="75" t="str">
        <f t="shared" si="8"/>
        <v/>
      </c>
      <c r="AM54" s="75" t="str">
        <f t="shared" si="9"/>
        <v/>
      </c>
      <c r="AN54" s="75">
        <f t="shared" si="10"/>
        <v>0</v>
      </c>
      <c r="AO54" s="188" t="s">
        <v>838</v>
      </c>
      <c r="AP54" s="188" t="s">
        <v>838</v>
      </c>
      <c r="AQ54" s="188" t="s">
        <v>838</v>
      </c>
      <c r="AR54" s="188"/>
      <c r="AS54" s="188" t="s">
        <v>1183</v>
      </c>
      <c r="AT54" s="188" t="s">
        <v>1184</v>
      </c>
      <c r="AU54" s="188" t="s">
        <v>838</v>
      </c>
      <c r="AV54" s="188"/>
      <c r="AW54" s="188" t="s">
        <v>838</v>
      </c>
      <c r="AX54" t="s">
        <v>838</v>
      </c>
      <c r="AY54" t="s">
        <v>838</v>
      </c>
      <c r="BA54" t="s">
        <v>838</v>
      </c>
      <c r="BB54" t="s">
        <v>838</v>
      </c>
      <c r="BC54" t="s">
        <v>838</v>
      </c>
      <c r="BD54" s="143"/>
    </row>
    <row r="55" spans="1:56" ht="15" customHeight="1" x14ac:dyDescent="0.25">
      <c r="A55" s="188">
        <v>3</v>
      </c>
      <c r="B55" s="188" t="s">
        <v>494</v>
      </c>
      <c r="C55" s="188" t="s">
        <v>726</v>
      </c>
      <c r="D55" s="188" t="s">
        <v>727</v>
      </c>
      <c r="E55" s="188" t="s">
        <v>728</v>
      </c>
      <c r="F55" s="188" t="s">
        <v>729</v>
      </c>
      <c r="G55" s="188" t="s">
        <v>730</v>
      </c>
      <c r="H55" s="188" t="s">
        <v>731</v>
      </c>
      <c r="I55" s="188" t="s">
        <v>732</v>
      </c>
      <c r="J55" s="74">
        <v>44197</v>
      </c>
      <c r="K55" s="74">
        <v>44561</v>
      </c>
      <c r="L55" s="188" t="s">
        <v>733</v>
      </c>
      <c r="M55" s="188" t="str">
        <f t="shared" si="16"/>
        <v>Casanare</v>
      </c>
      <c r="N55" s="188" t="s">
        <v>30</v>
      </c>
      <c r="O55" s="188" t="s">
        <v>734</v>
      </c>
      <c r="P55" s="188" t="s">
        <v>735</v>
      </c>
      <c r="Q55" s="75">
        <v>0.1</v>
      </c>
      <c r="R55" s="190">
        <v>17725</v>
      </c>
      <c r="S55" s="190">
        <v>0</v>
      </c>
      <c r="T55" s="190">
        <v>0</v>
      </c>
      <c r="U55" s="190">
        <v>0</v>
      </c>
      <c r="V55" s="190">
        <v>17725</v>
      </c>
      <c r="W55" s="190">
        <v>35</v>
      </c>
      <c r="X55" s="190" t="s">
        <v>1185</v>
      </c>
      <c r="Y55" s="190">
        <v>40</v>
      </c>
      <c r="Z55" s="190" t="s">
        <v>1186</v>
      </c>
      <c r="AA55" s="190">
        <v>12397</v>
      </c>
      <c r="AB55" s="190" t="s">
        <v>1187</v>
      </c>
      <c r="AC55" s="190"/>
      <c r="AD55" s="190"/>
      <c r="AE55" s="190">
        <f t="shared" si="5"/>
        <v>12472</v>
      </c>
      <c r="AF55" s="74">
        <v>44300</v>
      </c>
      <c r="AG55" s="74">
        <v>44391</v>
      </c>
      <c r="AH55" s="74">
        <v>44482</v>
      </c>
      <c r="AI55" s="74"/>
      <c r="AJ55" s="75">
        <f t="shared" si="6"/>
        <v>0.70363892806770101</v>
      </c>
      <c r="AK55" s="75" t="str">
        <f t="shared" si="7"/>
        <v/>
      </c>
      <c r="AL55" s="75" t="str">
        <f t="shared" si="8"/>
        <v/>
      </c>
      <c r="AM55" s="75" t="str">
        <f t="shared" si="9"/>
        <v/>
      </c>
      <c r="AN55" s="75">
        <f t="shared" si="10"/>
        <v>0</v>
      </c>
      <c r="AO55" s="188" t="s">
        <v>739</v>
      </c>
      <c r="AP55" s="188" t="s">
        <v>739</v>
      </c>
      <c r="AQ55" s="188" t="s">
        <v>739</v>
      </c>
      <c r="AR55" s="188"/>
      <c r="AS55" s="188" t="s">
        <v>1188</v>
      </c>
      <c r="AT55" s="188" t="s">
        <v>1189</v>
      </c>
      <c r="AU55" s="188" t="s">
        <v>1190</v>
      </c>
      <c r="AV55" s="188"/>
      <c r="AW55" s="188" t="s">
        <v>739</v>
      </c>
      <c r="AX55" t="s">
        <v>739</v>
      </c>
      <c r="AY55" t="s">
        <v>739</v>
      </c>
      <c r="BA55" t="s">
        <v>1191</v>
      </c>
      <c r="BB55" t="s">
        <v>1192</v>
      </c>
      <c r="BC55" t="s">
        <v>1193</v>
      </c>
      <c r="BD55" s="143"/>
    </row>
    <row r="56" spans="1:56" ht="15" customHeight="1" x14ac:dyDescent="0.25">
      <c r="A56" s="188">
        <v>5</v>
      </c>
      <c r="B56" s="188" t="s">
        <v>494</v>
      </c>
      <c r="C56" s="188" t="s">
        <v>726</v>
      </c>
      <c r="D56" s="188" t="s">
        <v>727</v>
      </c>
      <c r="E56" s="188" t="s">
        <v>728</v>
      </c>
      <c r="F56" s="188" t="s">
        <v>729</v>
      </c>
      <c r="G56" s="188" t="s">
        <v>730</v>
      </c>
      <c r="H56" s="188" t="s">
        <v>731</v>
      </c>
      <c r="I56" t="s">
        <v>746</v>
      </c>
      <c r="J56" s="74">
        <v>44197</v>
      </c>
      <c r="K56" s="74">
        <v>44561</v>
      </c>
      <c r="L56" s="188" t="s">
        <v>733</v>
      </c>
      <c r="M56" s="188" t="str">
        <f t="shared" si="16"/>
        <v>Casanare</v>
      </c>
      <c r="N56" s="188" t="s">
        <v>30</v>
      </c>
      <c r="O56" s="188" t="s">
        <v>747</v>
      </c>
      <c r="P56" s="188" t="s">
        <v>735</v>
      </c>
      <c r="Q56" s="75">
        <v>0.1</v>
      </c>
      <c r="R56" s="190">
        <v>16539</v>
      </c>
      <c r="S56" s="190">
        <v>0</v>
      </c>
      <c r="T56" s="190">
        <v>0</v>
      </c>
      <c r="U56" s="190">
        <v>0</v>
      </c>
      <c r="V56" s="190">
        <v>16539</v>
      </c>
      <c r="W56" s="190">
        <v>0</v>
      </c>
      <c r="X56" s="190" t="s">
        <v>1194</v>
      </c>
      <c r="Y56" s="190">
        <v>0</v>
      </c>
      <c r="Z56" s="190" t="s">
        <v>1195</v>
      </c>
      <c r="AA56" s="190">
        <v>391</v>
      </c>
      <c r="AB56" s="190" t="s">
        <v>1196</v>
      </c>
      <c r="AC56" s="190"/>
      <c r="AD56" s="190"/>
      <c r="AE56" s="190">
        <f t="shared" si="5"/>
        <v>391</v>
      </c>
      <c r="AF56" s="74">
        <v>44300</v>
      </c>
      <c r="AG56" s="74">
        <v>44392</v>
      </c>
      <c r="AH56" s="74">
        <v>44482</v>
      </c>
      <c r="AI56" s="74"/>
      <c r="AJ56" s="75">
        <f t="shared" si="6"/>
        <v>2.3641090755184713E-2</v>
      </c>
      <c r="AK56" s="75" t="str">
        <f t="shared" si="7"/>
        <v/>
      </c>
      <c r="AL56" s="75" t="str">
        <f t="shared" si="8"/>
        <v/>
      </c>
      <c r="AM56" s="75" t="str">
        <f t="shared" si="9"/>
        <v/>
      </c>
      <c r="AN56" s="75">
        <f t="shared" si="10"/>
        <v>0</v>
      </c>
      <c r="AO56" s="188" t="s">
        <v>828</v>
      </c>
      <c r="AP56" s="188" t="s">
        <v>838</v>
      </c>
      <c r="AQ56" s="188" t="s">
        <v>739</v>
      </c>
      <c r="AR56" s="188"/>
      <c r="AS56" s="188" t="s">
        <v>1197</v>
      </c>
      <c r="AT56" s="188" t="s">
        <v>1198</v>
      </c>
      <c r="AU56" s="188" t="s">
        <v>1199</v>
      </c>
      <c r="AV56" s="188"/>
      <c r="AW56" s="188" t="s">
        <v>828</v>
      </c>
      <c r="AX56" t="s">
        <v>838</v>
      </c>
      <c r="AY56" t="s">
        <v>739</v>
      </c>
      <c r="BA56" t="s">
        <v>1200</v>
      </c>
      <c r="BB56" t="s">
        <v>838</v>
      </c>
      <c r="BC56" t="s">
        <v>1201</v>
      </c>
      <c r="BD56" s="143"/>
    </row>
    <row r="57" spans="1:56" ht="15" customHeight="1" x14ac:dyDescent="0.25">
      <c r="A57" s="188">
        <v>7</v>
      </c>
      <c r="B57" s="188" t="s">
        <v>494</v>
      </c>
      <c r="C57" s="188" t="s">
        <v>756</v>
      </c>
      <c r="D57" s="188" t="s">
        <v>727</v>
      </c>
      <c r="E57" s="188" t="s">
        <v>728</v>
      </c>
      <c r="F57" s="188" t="s">
        <v>757</v>
      </c>
      <c r="G57" s="188" t="s">
        <v>730</v>
      </c>
      <c r="H57" s="188" t="s">
        <v>731</v>
      </c>
      <c r="I57" t="s">
        <v>758</v>
      </c>
      <c r="J57" s="74">
        <v>44197</v>
      </c>
      <c r="K57" s="74">
        <v>44561</v>
      </c>
      <c r="L57" s="188" t="s">
        <v>733</v>
      </c>
      <c r="M57" s="188" t="str">
        <f t="shared" si="16"/>
        <v>Casanare</v>
      </c>
      <c r="N57" s="188" t="s">
        <v>60</v>
      </c>
      <c r="O57" s="188" t="s">
        <v>759</v>
      </c>
      <c r="P57" s="188" t="s">
        <v>735</v>
      </c>
      <c r="Q57" s="75">
        <v>0.1</v>
      </c>
      <c r="R57" s="189">
        <v>1</v>
      </c>
      <c r="S57" s="189">
        <v>0.25</v>
      </c>
      <c r="T57" s="189">
        <v>0.25</v>
      </c>
      <c r="U57" s="189">
        <v>0.25</v>
      </c>
      <c r="V57" s="189">
        <v>0.25</v>
      </c>
      <c r="W57" s="189">
        <v>0.25</v>
      </c>
      <c r="X57" s="189" t="s">
        <v>1202</v>
      </c>
      <c r="Y57" s="189">
        <v>0.25</v>
      </c>
      <c r="Z57" s="189" t="s">
        <v>1203</v>
      </c>
      <c r="AA57" s="189">
        <v>0.25</v>
      </c>
      <c r="AB57" s="189" t="s">
        <v>1204</v>
      </c>
      <c r="AC57" s="189"/>
      <c r="AD57" s="189"/>
      <c r="AE57" s="189">
        <f t="shared" si="5"/>
        <v>0.75</v>
      </c>
      <c r="AF57" s="74">
        <v>44300</v>
      </c>
      <c r="AG57" s="74">
        <v>44391</v>
      </c>
      <c r="AH57" s="74">
        <v>44483</v>
      </c>
      <c r="AI57" s="74"/>
      <c r="AJ57" s="75">
        <f t="shared" si="6"/>
        <v>0.75</v>
      </c>
      <c r="AK57" s="75">
        <f t="shared" si="7"/>
        <v>1</v>
      </c>
      <c r="AL57" s="75">
        <f t="shared" si="8"/>
        <v>1</v>
      </c>
      <c r="AM57" s="75">
        <f t="shared" si="9"/>
        <v>1</v>
      </c>
      <c r="AN57" s="75">
        <f t="shared" si="10"/>
        <v>0</v>
      </c>
      <c r="AO57" s="188" t="s">
        <v>838</v>
      </c>
      <c r="AP57" s="188" t="s">
        <v>739</v>
      </c>
      <c r="AQ57" s="188" t="s">
        <v>739</v>
      </c>
      <c r="AR57" s="188"/>
      <c r="AS57" s="188" t="s">
        <v>1205</v>
      </c>
      <c r="AT57" s="188" t="s">
        <v>1206</v>
      </c>
      <c r="AU57" s="188" t="s">
        <v>1207</v>
      </c>
      <c r="AV57" s="188"/>
      <c r="AW57" s="188" t="s">
        <v>838</v>
      </c>
      <c r="AX57" t="s">
        <v>739</v>
      </c>
      <c r="AY57" t="s">
        <v>739</v>
      </c>
      <c r="BA57" t="s">
        <v>838</v>
      </c>
      <c r="BB57" t="s">
        <v>1208</v>
      </c>
      <c r="BC57" t="s">
        <v>1209</v>
      </c>
      <c r="BD57" s="143"/>
    </row>
    <row r="58" spans="1:56" ht="15" customHeight="1" x14ac:dyDescent="0.25">
      <c r="A58" s="188">
        <v>8</v>
      </c>
      <c r="B58" s="188" t="s">
        <v>494</v>
      </c>
      <c r="C58" s="188" t="s">
        <v>768</v>
      </c>
      <c r="D58" s="188" t="s">
        <v>727</v>
      </c>
      <c r="E58" s="188" t="s">
        <v>728</v>
      </c>
      <c r="F58" s="188" t="s">
        <v>757</v>
      </c>
      <c r="G58" s="188" t="s">
        <v>730</v>
      </c>
      <c r="H58" s="188" t="s">
        <v>731</v>
      </c>
      <c r="I58" t="s">
        <v>769</v>
      </c>
      <c r="J58" s="74">
        <v>44197</v>
      </c>
      <c r="K58" s="74">
        <v>44561</v>
      </c>
      <c r="L58" s="188" t="s">
        <v>733</v>
      </c>
      <c r="M58" s="188" t="str">
        <f t="shared" si="16"/>
        <v>Casanare</v>
      </c>
      <c r="N58" s="188" t="s">
        <v>60</v>
      </c>
      <c r="O58" s="188" t="s">
        <v>759</v>
      </c>
      <c r="P58" s="188" t="s">
        <v>735</v>
      </c>
      <c r="Q58" s="75">
        <v>0.1</v>
      </c>
      <c r="R58" s="189">
        <v>1</v>
      </c>
      <c r="S58" s="189">
        <v>0.25</v>
      </c>
      <c r="T58" s="189">
        <v>0.25</v>
      </c>
      <c r="U58" s="189">
        <v>0.25</v>
      </c>
      <c r="V58" s="189">
        <v>0.25</v>
      </c>
      <c r="W58" s="189">
        <v>0.25</v>
      </c>
      <c r="X58" s="189" t="s">
        <v>1210</v>
      </c>
      <c r="Y58" s="189">
        <v>0.25</v>
      </c>
      <c r="Z58" s="189" t="s">
        <v>1211</v>
      </c>
      <c r="AA58" s="189">
        <v>0.25</v>
      </c>
      <c r="AB58" s="189" t="s">
        <v>1212</v>
      </c>
      <c r="AC58" s="189"/>
      <c r="AD58" s="189"/>
      <c r="AE58" s="189">
        <f t="shared" si="5"/>
        <v>0.75</v>
      </c>
      <c r="AF58" s="74">
        <v>44300</v>
      </c>
      <c r="AG58" s="74">
        <v>44392</v>
      </c>
      <c r="AH58" s="74">
        <v>44482</v>
      </c>
      <c r="AI58" s="74"/>
      <c r="AJ58" s="75">
        <f t="shared" si="6"/>
        <v>0.75</v>
      </c>
      <c r="AK58" s="75">
        <f t="shared" si="7"/>
        <v>1</v>
      </c>
      <c r="AL58" s="75">
        <f t="shared" si="8"/>
        <v>1</v>
      </c>
      <c r="AM58" s="75">
        <f t="shared" si="9"/>
        <v>1</v>
      </c>
      <c r="AN58" s="75">
        <f t="shared" si="10"/>
        <v>0</v>
      </c>
      <c r="AO58" s="188" t="s">
        <v>739</v>
      </c>
      <c r="AP58" s="188" t="s">
        <v>739</v>
      </c>
      <c r="AQ58" s="188" t="s">
        <v>739</v>
      </c>
      <c r="AR58" s="188"/>
      <c r="AS58" s="188" t="s">
        <v>1213</v>
      </c>
      <c r="AT58" s="188" t="s">
        <v>1214</v>
      </c>
      <c r="AU58" s="188" t="s">
        <v>1215</v>
      </c>
      <c r="AV58" s="188"/>
      <c r="AW58" s="188" t="s">
        <v>739</v>
      </c>
      <c r="AX58" t="s">
        <v>739</v>
      </c>
      <c r="AY58" t="s">
        <v>739</v>
      </c>
      <c r="BA58" t="s">
        <v>1216</v>
      </c>
      <c r="BB58" t="s">
        <v>1217</v>
      </c>
      <c r="BC58" t="s">
        <v>1218</v>
      </c>
      <c r="BD58" s="143"/>
    </row>
    <row r="59" spans="1:56" ht="15" customHeight="1" x14ac:dyDescent="0.25">
      <c r="A59" s="188">
        <v>9</v>
      </c>
      <c r="B59" s="188" t="s">
        <v>494</v>
      </c>
      <c r="C59" s="188" t="s">
        <v>777</v>
      </c>
      <c r="D59" s="188" t="s">
        <v>778</v>
      </c>
      <c r="E59" s="188" t="s">
        <v>779</v>
      </c>
      <c r="F59" s="188" t="s">
        <v>780</v>
      </c>
      <c r="G59" s="188" t="s">
        <v>730</v>
      </c>
      <c r="H59" s="188" t="s">
        <v>781</v>
      </c>
      <c r="I59" t="s">
        <v>782</v>
      </c>
      <c r="J59" s="74">
        <v>44197</v>
      </c>
      <c r="K59" s="74">
        <v>44561</v>
      </c>
      <c r="L59" s="188" t="s">
        <v>733</v>
      </c>
      <c r="M59" s="188" t="str">
        <f t="shared" si="16"/>
        <v>Casanare</v>
      </c>
      <c r="N59" s="188" t="s">
        <v>60</v>
      </c>
      <c r="O59" s="188" t="s">
        <v>759</v>
      </c>
      <c r="P59" s="188" t="s">
        <v>735</v>
      </c>
      <c r="Q59" s="75">
        <v>0.1</v>
      </c>
      <c r="R59" s="189">
        <v>1</v>
      </c>
      <c r="S59" s="189">
        <v>0.25</v>
      </c>
      <c r="T59" s="189">
        <v>0.25</v>
      </c>
      <c r="U59" s="189">
        <v>0.25</v>
      </c>
      <c r="V59" s="189">
        <v>0.25</v>
      </c>
      <c r="W59" s="189">
        <v>0.17</v>
      </c>
      <c r="X59" s="189" t="s">
        <v>1219</v>
      </c>
      <c r="Y59" s="189">
        <v>0.1</v>
      </c>
      <c r="Z59" s="189" t="s">
        <v>1220</v>
      </c>
      <c r="AA59" s="189">
        <v>0.25</v>
      </c>
      <c r="AB59" s="189" t="s">
        <v>1221</v>
      </c>
      <c r="AC59" s="189"/>
      <c r="AD59" s="189"/>
      <c r="AE59" s="189">
        <f t="shared" si="5"/>
        <v>0.52</v>
      </c>
      <c r="AF59" s="74">
        <v>44300</v>
      </c>
      <c r="AG59" s="74">
        <v>44392</v>
      </c>
      <c r="AH59" s="74">
        <v>44483</v>
      </c>
      <c r="AI59" s="74"/>
      <c r="AJ59" s="75">
        <f t="shared" si="6"/>
        <v>0.52</v>
      </c>
      <c r="AK59" s="75">
        <f t="shared" si="7"/>
        <v>0.68</v>
      </c>
      <c r="AL59" s="75">
        <f t="shared" si="8"/>
        <v>0.4</v>
      </c>
      <c r="AM59" s="75">
        <f t="shared" si="9"/>
        <v>1</v>
      </c>
      <c r="AN59" s="75">
        <f t="shared" si="10"/>
        <v>0</v>
      </c>
      <c r="AO59" s="188" t="s">
        <v>739</v>
      </c>
      <c r="AP59" s="188" t="s">
        <v>739</v>
      </c>
      <c r="AQ59" s="188" t="s">
        <v>828</v>
      </c>
      <c r="AR59" s="188"/>
      <c r="AS59" s="188" t="s">
        <v>1222</v>
      </c>
      <c r="AT59" s="188" t="s">
        <v>1223</v>
      </c>
      <c r="AU59" s="188" t="s">
        <v>1224</v>
      </c>
      <c r="AV59" s="188"/>
      <c r="AW59" s="188" t="s">
        <v>739</v>
      </c>
      <c r="AX59" t="s">
        <v>739</v>
      </c>
      <c r="AY59" t="s">
        <v>828</v>
      </c>
      <c r="BA59" t="s">
        <v>1225</v>
      </c>
      <c r="BB59" t="s">
        <v>1226</v>
      </c>
      <c r="BC59" t="s">
        <v>1227</v>
      </c>
      <c r="BD59" s="143"/>
    </row>
    <row r="60" spans="1:56" ht="15" customHeight="1" x14ac:dyDescent="0.25">
      <c r="A60" s="188">
        <v>10</v>
      </c>
      <c r="B60" s="188" t="s">
        <v>494</v>
      </c>
      <c r="C60" s="188" t="s">
        <v>790</v>
      </c>
      <c r="D60" s="188" t="s">
        <v>791</v>
      </c>
      <c r="E60" s="188" t="s">
        <v>792</v>
      </c>
      <c r="F60" s="188" t="s">
        <v>793</v>
      </c>
      <c r="G60" s="188" t="s">
        <v>794</v>
      </c>
      <c r="H60" s="188" t="s">
        <v>794</v>
      </c>
      <c r="I60" t="s">
        <v>795</v>
      </c>
      <c r="J60" s="74">
        <v>44197</v>
      </c>
      <c r="K60" s="74">
        <v>44561</v>
      </c>
      <c r="L60" s="188" t="s">
        <v>733</v>
      </c>
      <c r="M60" s="188" t="str">
        <f t="shared" si="16"/>
        <v>Casanare</v>
      </c>
      <c r="N60" s="188" t="s">
        <v>60</v>
      </c>
      <c r="O60" s="188" t="s">
        <v>796</v>
      </c>
      <c r="P60" s="188" t="s">
        <v>735</v>
      </c>
      <c r="Q60" s="75">
        <v>0.1</v>
      </c>
      <c r="R60" s="189">
        <v>1</v>
      </c>
      <c r="S60" s="189">
        <v>0.25</v>
      </c>
      <c r="T60" s="189">
        <v>0.25</v>
      </c>
      <c r="U60" s="189">
        <v>0.25</v>
      </c>
      <c r="V60" s="189">
        <v>0.25</v>
      </c>
      <c r="W60" s="189">
        <v>0.25</v>
      </c>
      <c r="X60" s="189" t="s">
        <v>1228</v>
      </c>
      <c r="Y60" s="189">
        <v>0.25</v>
      </c>
      <c r="Z60" s="189" t="s">
        <v>1229</v>
      </c>
      <c r="AA60" s="189">
        <v>0.25</v>
      </c>
      <c r="AB60" s="189" t="s">
        <v>1230</v>
      </c>
      <c r="AC60" s="189"/>
      <c r="AD60" s="189"/>
      <c r="AE60" s="189">
        <f t="shared" si="5"/>
        <v>0.75</v>
      </c>
      <c r="AF60" s="74">
        <v>44299</v>
      </c>
      <c r="AG60" s="74">
        <v>44392</v>
      </c>
      <c r="AH60" s="74">
        <v>44483</v>
      </c>
      <c r="AI60" s="74"/>
      <c r="AJ60" s="75">
        <f t="shared" si="6"/>
        <v>0.75</v>
      </c>
      <c r="AK60" s="75">
        <f t="shared" si="7"/>
        <v>1</v>
      </c>
      <c r="AL60" s="75">
        <f t="shared" si="8"/>
        <v>1</v>
      </c>
      <c r="AM60" s="75">
        <f t="shared" si="9"/>
        <v>1</v>
      </c>
      <c r="AN60" s="75">
        <f t="shared" si="10"/>
        <v>0</v>
      </c>
      <c r="AO60" s="188" t="s">
        <v>739</v>
      </c>
      <c r="AP60" s="188" t="s">
        <v>838</v>
      </c>
      <c r="AQ60" s="188" t="s">
        <v>739</v>
      </c>
      <c r="AR60" s="188"/>
      <c r="AS60" s="188" t="s">
        <v>1231</v>
      </c>
      <c r="AT60" s="188" t="s">
        <v>1232</v>
      </c>
      <c r="AU60" s="188" t="s">
        <v>1233</v>
      </c>
      <c r="AV60" s="188"/>
      <c r="AW60" s="188" t="s">
        <v>739</v>
      </c>
      <c r="AX60" t="s">
        <v>838</v>
      </c>
      <c r="AY60" t="s">
        <v>739</v>
      </c>
      <c r="BA60" t="s">
        <v>1234</v>
      </c>
      <c r="BB60" t="s">
        <v>838</v>
      </c>
      <c r="BC60" t="s">
        <v>1235</v>
      </c>
      <c r="BD60" s="143"/>
    </row>
    <row r="61" spans="1:56" ht="15" customHeight="1" x14ac:dyDescent="0.25">
      <c r="A61" s="188">
        <v>11</v>
      </c>
      <c r="B61" s="188" t="s">
        <v>494</v>
      </c>
      <c r="C61" s="188" t="s">
        <v>790</v>
      </c>
      <c r="D61" s="188" t="s">
        <v>791</v>
      </c>
      <c r="E61" s="188" t="s">
        <v>792</v>
      </c>
      <c r="F61" s="188" t="s">
        <v>793</v>
      </c>
      <c r="G61" s="188" t="s">
        <v>794</v>
      </c>
      <c r="H61" s="188" t="s">
        <v>794</v>
      </c>
      <c r="I61" s="188" t="s">
        <v>805</v>
      </c>
      <c r="J61" s="74">
        <v>44197</v>
      </c>
      <c r="K61" s="74">
        <v>44561</v>
      </c>
      <c r="L61" s="188" t="s">
        <v>733</v>
      </c>
      <c r="M61" s="188" t="str">
        <f t="shared" si="16"/>
        <v>Casanare</v>
      </c>
      <c r="N61" s="188" t="s">
        <v>60</v>
      </c>
      <c r="O61" s="188" t="s">
        <v>806</v>
      </c>
      <c r="P61" s="188" t="s">
        <v>735</v>
      </c>
      <c r="Q61" s="75">
        <v>0.1</v>
      </c>
      <c r="R61" s="189">
        <v>1</v>
      </c>
      <c r="S61" s="189">
        <v>0.25</v>
      </c>
      <c r="T61" s="189">
        <v>0.25</v>
      </c>
      <c r="U61" s="189">
        <v>0.25</v>
      </c>
      <c r="V61" s="189">
        <v>0.25</v>
      </c>
      <c r="W61" s="189">
        <v>0</v>
      </c>
      <c r="X61" s="189" t="s">
        <v>1236</v>
      </c>
      <c r="Y61" s="189">
        <v>0.25</v>
      </c>
      <c r="Z61" s="189" t="s">
        <v>1237</v>
      </c>
      <c r="AA61" s="189">
        <v>0.25</v>
      </c>
      <c r="AB61" s="189" t="s">
        <v>1238</v>
      </c>
      <c r="AC61" s="189"/>
      <c r="AD61" s="189"/>
      <c r="AE61" s="189">
        <f t="shared" si="5"/>
        <v>0.5</v>
      </c>
      <c r="AF61" s="74">
        <v>44300</v>
      </c>
      <c r="AG61" s="74">
        <v>44392</v>
      </c>
      <c r="AH61" s="74">
        <v>44482</v>
      </c>
      <c r="AI61" s="74"/>
      <c r="AJ61" s="75">
        <f t="shared" si="6"/>
        <v>0.5</v>
      </c>
      <c r="AK61" s="75">
        <f t="shared" si="7"/>
        <v>0</v>
      </c>
      <c r="AL61" s="75">
        <f t="shared" si="8"/>
        <v>1</v>
      </c>
      <c r="AM61" s="75">
        <f t="shared" si="9"/>
        <v>1</v>
      </c>
      <c r="AN61" s="75">
        <f t="shared" si="10"/>
        <v>0</v>
      </c>
      <c r="AO61" s="188" t="s">
        <v>739</v>
      </c>
      <c r="AP61" s="188" t="s">
        <v>739</v>
      </c>
      <c r="AQ61" s="188" t="s">
        <v>739</v>
      </c>
      <c r="AR61" s="188"/>
      <c r="AS61" s="188" t="s">
        <v>1239</v>
      </c>
      <c r="AT61" s="188" t="s">
        <v>1240</v>
      </c>
      <c r="AU61" s="188" t="s">
        <v>1241</v>
      </c>
      <c r="AV61" s="188"/>
      <c r="AW61" s="188" t="s">
        <v>739</v>
      </c>
      <c r="AX61" t="s">
        <v>739</v>
      </c>
      <c r="AY61" t="s">
        <v>739</v>
      </c>
      <c r="BA61" t="s">
        <v>1242</v>
      </c>
      <c r="BB61" t="s">
        <v>1243</v>
      </c>
      <c r="BC61" t="s">
        <v>1244</v>
      </c>
      <c r="BD61" s="143"/>
    </row>
    <row r="62" spans="1:56" ht="15" customHeight="1" x14ac:dyDescent="0.25">
      <c r="A62" s="188">
        <v>13</v>
      </c>
      <c r="B62" s="188" t="s">
        <v>494</v>
      </c>
      <c r="C62" s="188" t="s">
        <v>814</v>
      </c>
      <c r="D62" s="188" t="s">
        <v>727</v>
      </c>
      <c r="E62" s="188" t="s">
        <v>815</v>
      </c>
      <c r="F62" s="188" t="s">
        <v>816</v>
      </c>
      <c r="G62" s="188" t="s">
        <v>817</v>
      </c>
      <c r="H62" s="188" t="s">
        <v>818</v>
      </c>
      <c r="I62" t="s">
        <v>819</v>
      </c>
      <c r="J62" s="74">
        <v>44197</v>
      </c>
      <c r="K62" s="74">
        <v>44561</v>
      </c>
      <c r="L62" s="188" t="s">
        <v>733</v>
      </c>
      <c r="M62" s="188" t="str">
        <f t="shared" si="16"/>
        <v>Casanare</v>
      </c>
      <c r="N62" s="188" t="s">
        <v>30</v>
      </c>
      <c r="O62" s="188" t="s">
        <v>820</v>
      </c>
      <c r="P62" s="188" t="s">
        <v>821</v>
      </c>
      <c r="Q62" s="75">
        <v>0.1</v>
      </c>
      <c r="R62" s="190">
        <f>SUM(S62:V62)</f>
        <v>229167265.84571284</v>
      </c>
      <c r="S62" s="190">
        <v>45250039.577302985</v>
      </c>
      <c r="T62" s="190">
        <v>58658987.385044038</v>
      </c>
      <c r="U62" s="190">
        <v>59721808.120548248</v>
      </c>
      <c r="V62" s="190">
        <v>65536430.762817577</v>
      </c>
      <c r="W62" s="190">
        <v>19535840</v>
      </c>
      <c r="X62" s="190" t="s">
        <v>1245</v>
      </c>
      <c r="Y62" s="190">
        <v>10000841</v>
      </c>
      <c r="Z62" s="190" t="s">
        <v>1246</v>
      </c>
      <c r="AA62" s="190">
        <v>17098625</v>
      </c>
      <c r="AB62" s="190" t="s">
        <v>1247</v>
      </c>
      <c r="AC62" s="190"/>
      <c r="AD62" s="190"/>
      <c r="AE62" s="190">
        <f t="shared" si="5"/>
        <v>46635306</v>
      </c>
      <c r="AF62" s="60">
        <v>44299</v>
      </c>
      <c r="AG62" s="60">
        <v>44390</v>
      </c>
      <c r="AH62" s="60">
        <v>44482</v>
      </c>
      <c r="AI62" s="60"/>
      <c r="AJ62" s="75">
        <f t="shared" si="6"/>
        <v>0.20349898502256986</v>
      </c>
      <c r="AK62" s="75">
        <f t="shared" si="7"/>
        <v>0.43173089311062179</v>
      </c>
      <c r="AL62" s="75">
        <f t="shared" si="8"/>
        <v>0.17049119744180685</v>
      </c>
      <c r="AM62" s="75">
        <f t="shared" si="9"/>
        <v>0.2863045433166807</v>
      </c>
      <c r="AN62" s="75">
        <f t="shared" si="10"/>
        <v>0</v>
      </c>
      <c r="AO62" s="188" t="s">
        <v>739</v>
      </c>
      <c r="AP62" s="188" t="s">
        <v>739</v>
      </c>
      <c r="AQ62" s="188" t="s">
        <v>739</v>
      </c>
      <c r="AR62" s="188"/>
      <c r="AS62" s="188" t="s">
        <v>1248</v>
      </c>
      <c r="AT62" s="188" t="s">
        <v>1249</v>
      </c>
      <c r="AU62" s="188" t="s">
        <v>1250</v>
      </c>
      <c r="AV62" s="188"/>
      <c r="AW62" s="188" t="s">
        <v>739</v>
      </c>
      <c r="AX62" t="s">
        <v>739</v>
      </c>
      <c r="AY62" t="s">
        <v>739</v>
      </c>
      <c r="BA62" t="s">
        <v>1251</v>
      </c>
      <c r="BB62" t="s">
        <v>1252</v>
      </c>
      <c r="BC62" t="s">
        <v>1253</v>
      </c>
      <c r="BD62" s="143"/>
    </row>
    <row r="63" spans="1:56" ht="15" customHeight="1" x14ac:dyDescent="0.25">
      <c r="A63" s="188">
        <v>1</v>
      </c>
      <c r="B63" s="188" t="s">
        <v>495</v>
      </c>
      <c r="C63" s="188" t="s">
        <v>832</v>
      </c>
      <c r="D63" s="188" t="s">
        <v>727</v>
      </c>
      <c r="E63" s="188" t="s">
        <v>728</v>
      </c>
      <c r="F63" s="188" t="s">
        <v>729</v>
      </c>
      <c r="G63" s="188" t="s">
        <v>730</v>
      </c>
      <c r="H63" s="188" t="s">
        <v>731</v>
      </c>
      <c r="I63" s="188" t="s">
        <v>833</v>
      </c>
      <c r="J63" s="74">
        <v>44197</v>
      </c>
      <c r="K63" s="74">
        <v>44561</v>
      </c>
      <c r="L63" s="188" t="s">
        <v>733</v>
      </c>
      <c r="M63" s="188" t="str">
        <f>B63</f>
        <v>Cauca</v>
      </c>
      <c r="N63" s="188" t="s">
        <v>30</v>
      </c>
      <c r="O63" s="188" t="s">
        <v>834</v>
      </c>
      <c r="P63" s="188" t="s">
        <v>735</v>
      </c>
      <c r="Q63" s="75">
        <v>9.0909090909090912E-2</v>
      </c>
      <c r="R63" s="190">
        <v>3200</v>
      </c>
      <c r="S63" s="190">
        <v>0</v>
      </c>
      <c r="T63" s="190">
        <v>0</v>
      </c>
      <c r="U63" s="190">
        <v>0</v>
      </c>
      <c r="V63" s="190">
        <v>3200</v>
      </c>
      <c r="W63" s="190">
        <v>0</v>
      </c>
      <c r="X63" s="190" t="s">
        <v>1254</v>
      </c>
      <c r="Y63" s="190">
        <v>561</v>
      </c>
      <c r="Z63" s="190" t="s">
        <v>1255</v>
      </c>
      <c r="AA63" s="190">
        <v>1322</v>
      </c>
      <c r="AB63" s="190" t="s">
        <v>1256</v>
      </c>
      <c r="AC63" s="190"/>
      <c r="AD63" s="190"/>
      <c r="AE63" s="190">
        <f t="shared" si="5"/>
        <v>1883</v>
      </c>
      <c r="AF63" s="74">
        <v>44304</v>
      </c>
      <c r="AG63" s="74">
        <v>44392</v>
      </c>
      <c r="AH63" s="74">
        <v>44483</v>
      </c>
      <c r="AI63" s="74"/>
      <c r="AJ63" s="75">
        <f t="shared" si="6"/>
        <v>0.58843749999999995</v>
      </c>
      <c r="AK63" s="75" t="str">
        <f t="shared" si="7"/>
        <v/>
      </c>
      <c r="AL63" s="75" t="str">
        <f t="shared" si="8"/>
        <v/>
      </c>
      <c r="AM63" s="75" t="str">
        <f t="shared" si="9"/>
        <v/>
      </c>
      <c r="AN63" s="75">
        <f t="shared" si="10"/>
        <v>0</v>
      </c>
      <c r="AO63" s="188" t="s">
        <v>739</v>
      </c>
      <c r="AP63" s="188" t="s">
        <v>739</v>
      </c>
      <c r="AQ63" s="188" t="s">
        <v>739</v>
      </c>
      <c r="AR63" s="188"/>
      <c r="AS63" s="188" t="s">
        <v>1257</v>
      </c>
      <c r="AT63" s="188" t="s">
        <v>1258</v>
      </c>
      <c r="AU63" s="188" t="s">
        <v>1259</v>
      </c>
      <c r="AV63" s="188"/>
      <c r="AW63" s="188" t="s">
        <v>739</v>
      </c>
      <c r="AX63" s="188" t="s">
        <v>739</v>
      </c>
      <c r="AY63" s="188" t="s">
        <v>739</v>
      </c>
      <c r="AZ63" s="188"/>
      <c r="BA63" s="188" t="s">
        <v>1260</v>
      </c>
      <c r="BB63" s="188" t="s">
        <v>1261</v>
      </c>
      <c r="BC63" s="188" t="s">
        <v>1262</v>
      </c>
      <c r="BD63" s="143"/>
    </row>
    <row r="64" spans="1:56" ht="15" customHeight="1" x14ac:dyDescent="0.25">
      <c r="A64" s="188">
        <v>2</v>
      </c>
      <c r="B64" s="188" t="s">
        <v>495</v>
      </c>
      <c r="C64" s="188" t="s">
        <v>832</v>
      </c>
      <c r="D64" s="188" t="s">
        <v>727</v>
      </c>
      <c r="E64" s="188" t="s">
        <v>728</v>
      </c>
      <c r="F64" s="188" t="s">
        <v>729</v>
      </c>
      <c r="G64" s="188" t="s">
        <v>730</v>
      </c>
      <c r="H64" s="188" t="s">
        <v>731</v>
      </c>
      <c r="I64" s="188" t="s">
        <v>844</v>
      </c>
      <c r="J64" s="74">
        <v>44197</v>
      </c>
      <c r="K64" s="74">
        <v>44561</v>
      </c>
      <c r="L64" s="188" t="s">
        <v>733</v>
      </c>
      <c r="M64" s="188" t="str">
        <f t="shared" ref="M64:M73" si="17">B64</f>
        <v>Cauca</v>
      </c>
      <c r="N64" s="188" t="s">
        <v>30</v>
      </c>
      <c r="O64" s="188" t="s">
        <v>845</v>
      </c>
      <c r="P64" s="188" t="s">
        <v>735</v>
      </c>
      <c r="Q64" s="75">
        <v>9.0909090909090912E-2</v>
      </c>
      <c r="R64" s="190">
        <v>44818</v>
      </c>
      <c r="S64" s="190">
        <v>0</v>
      </c>
      <c r="T64" s="190">
        <v>0</v>
      </c>
      <c r="U64" s="190">
        <v>0</v>
      </c>
      <c r="V64" s="190">
        <v>44818</v>
      </c>
      <c r="W64" s="190">
        <v>0</v>
      </c>
      <c r="X64" s="190" t="s">
        <v>1254</v>
      </c>
      <c r="Y64" s="190">
        <v>0</v>
      </c>
      <c r="Z64" s="190" t="s">
        <v>1263</v>
      </c>
      <c r="AA64" s="190">
        <v>1138</v>
      </c>
      <c r="AB64" s="190" t="s">
        <v>1264</v>
      </c>
      <c r="AC64" s="190"/>
      <c r="AD64" s="190"/>
      <c r="AE64" s="190">
        <f t="shared" si="5"/>
        <v>1138</v>
      </c>
      <c r="AF64" s="74">
        <v>44304</v>
      </c>
      <c r="AG64" s="74">
        <v>44392</v>
      </c>
      <c r="AH64" s="74">
        <v>44481</v>
      </c>
      <c r="AI64" s="74"/>
      <c r="AJ64" s="75">
        <f t="shared" si="6"/>
        <v>2.5391583738676424E-2</v>
      </c>
      <c r="AK64" s="75" t="str">
        <f t="shared" si="7"/>
        <v/>
      </c>
      <c r="AL64" s="75" t="str">
        <f t="shared" si="8"/>
        <v/>
      </c>
      <c r="AM64" s="75" t="str">
        <f t="shared" si="9"/>
        <v/>
      </c>
      <c r="AN64" s="75">
        <f t="shared" si="10"/>
        <v>0</v>
      </c>
      <c r="AO64" s="188" t="s">
        <v>739</v>
      </c>
      <c r="AP64" s="188" t="s">
        <v>739</v>
      </c>
      <c r="AQ64" s="188" t="s">
        <v>739</v>
      </c>
      <c r="AR64" s="188"/>
      <c r="AS64" s="188" t="s">
        <v>1257</v>
      </c>
      <c r="AT64" s="188" t="s">
        <v>1258</v>
      </c>
      <c r="AU64" s="188" t="s">
        <v>1265</v>
      </c>
      <c r="AV64" s="188"/>
      <c r="AW64" s="188" t="s">
        <v>739</v>
      </c>
      <c r="AX64" t="s">
        <v>828</v>
      </c>
      <c r="AY64" t="s">
        <v>739</v>
      </c>
      <c r="BA64" t="s">
        <v>1266</v>
      </c>
      <c r="BB64" t="s">
        <v>1263</v>
      </c>
      <c r="BC64" t="s">
        <v>1267</v>
      </c>
      <c r="BD64" s="143"/>
    </row>
    <row r="65" spans="1:56" ht="15" customHeight="1" x14ac:dyDescent="0.25">
      <c r="A65" s="188">
        <v>3</v>
      </c>
      <c r="B65" s="188" t="s">
        <v>495</v>
      </c>
      <c r="C65" s="188" t="s">
        <v>726</v>
      </c>
      <c r="D65" s="188" t="s">
        <v>727</v>
      </c>
      <c r="E65" s="188" t="s">
        <v>728</v>
      </c>
      <c r="F65" s="188" t="s">
        <v>729</v>
      </c>
      <c r="G65" s="188" t="s">
        <v>730</v>
      </c>
      <c r="H65" s="188" t="s">
        <v>731</v>
      </c>
      <c r="I65" s="188" t="s">
        <v>732</v>
      </c>
      <c r="J65" s="74">
        <v>44197</v>
      </c>
      <c r="K65" s="74">
        <v>44561</v>
      </c>
      <c r="L65" s="188" t="s">
        <v>733</v>
      </c>
      <c r="M65" s="188" t="str">
        <f t="shared" si="17"/>
        <v>Cauca</v>
      </c>
      <c r="N65" s="188" t="s">
        <v>30</v>
      </c>
      <c r="O65" s="188" t="s">
        <v>734</v>
      </c>
      <c r="P65" s="188" t="s">
        <v>735</v>
      </c>
      <c r="Q65" s="75">
        <v>9.0909090909090912E-2</v>
      </c>
      <c r="R65" s="190">
        <v>6064</v>
      </c>
      <c r="S65" s="190">
        <v>0</v>
      </c>
      <c r="T65" s="190">
        <v>0</v>
      </c>
      <c r="U65" s="190">
        <v>0</v>
      </c>
      <c r="V65" s="190">
        <v>6064</v>
      </c>
      <c r="W65" s="190">
        <v>1017</v>
      </c>
      <c r="X65" s="190" t="s">
        <v>1268</v>
      </c>
      <c r="Y65" s="190">
        <v>1751</v>
      </c>
      <c r="Z65" s="190" t="s">
        <v>1269</v>
      </c>
      <c r="AA65" s="190">
        <v>12219</v>
      </c>
      <c r="AB65" s="190" t="s">
        <v>1270</v>
      </c>
      <c r="AC65" s="190"/>
      <c r="AD65" s="190"/>
      <c r="AE65" s="190">
        <f t="shared" si="5"/>
        <v>14987</v>
      </c>
      <c r="AF65" s="74">
        <v>44305</v>
      </c>
      <c r="AG65" s="74">
        <v>44392</v>
      </c>
      <c r="AH65" s="74">
        <v>44483</v>
      </c>
      <c r="AI65" s="74"/>
      <c r="AJ65" s="75">
        <f t="shared" si="6"/>
        <v>1</v>
      </c>
      <c r="AK65" s="75" t="str">
        <f t="shared" si="7"/>
        <v/>
      </c>
      <c r="AL65" s="75" t="str">
        <f t="shared" si="8"/>
        <v/>
      </c>
      <c r="AM65" s="75" t="str">
        <f t="shared" si="9"/>
        <v/>
      </c>
      <c r="AN65" s="75">
        <f t="shared" si="10"/>
        <v>0</v>
      </c>
      <c r="AO65" s="188" t="s">
        <v>739</v>
      </c>
      <c r="AP65" s="188" t="s">
        <v>739</v>
      </c>
      <c r="AQ65" s="188" t="s">
        <v>739</v>
      </c>
      <c r="AR65" s="188"/>
      <c r="AS65" s="188" t="s">
        <v>1257</v>
      </c>
      <c r="AT65" s="188" t="s">
        <v>1258</v>
      </c>
      <c r="AU65" s="188" t="s">
        <v>1271</v>
      </c>
      <c r="AV65" s="188"/>
      <c r="AW65" s="188" t="s">
        <v>739</v>
      </c>
      <c r="AX65" t="s">
        <v>739</v>
      </c>
      <c r="AY65" t="s">
        <v>739</v>
      </c>
      <c r="BA65" t="s">
        <v>1272</v>
      </c>
      <c r="BB65" t="s">
        <v>1273</v>
      </c>
      <c r="BC65" t="s">
        <v>1274</v>
      </c>
      <c r="BD65" s="143"/>
    </row>
    <row r="66" spans="1:56" ht="15" customHeight="1" x14ac:dyDescent="0.25">
      <c r="A66" s="188">
        <v>5</v>
      </c>
      <c r="B66" s="188" t="s">
        <v>495</v>
      </c>
      <c r="C66" s="188" t="s">
        <v>726</v>
      </c>
      <c r="D66" s="188" t="s">
        <v>727</v>
      </c>
      <c r="E66" s="188" t="s">
        <v>728</v>
      </c>
      <c r="F66" s="188" t="s">
        <v>729</v>
      </c>
      <c r="G66" s="188" t="s">
        <v>730</v>
      </c>
      <c r="H66" s="188" t="s">
        <v>731</v>
      </c>
      <c r="I66" t="s">
        <v>746</v>
      </c>
      <c r="J66" s="74">
        <v>44197</v>
      </c>
      <c r="K66" s="74">
        <v>44561</v>
      </c>
      <c r="L66" s="188" t="s">
        <v>733</v>
      </c>
      <c r="M66" s="188" t="str">
        <f t="shared" si="17"/>
        <v>Cauca</v>
      </c>
      <c r="N66" s="188" t="s">
        <v>30</v>
      </c>
      <c r="O66" s="188" t="s">
        <v>747</v>
      </c>
      <c r="P66" s="188" t="s">
        <v>735</v>
      </c>
      <c r="Q66" s="75">
        <v>9.0909090909090912E-2</v>
      </c>
      <c r="R66" s="190">
        <v>5038</v>
      </c>
      <c r="S66" s="190">
        <v>0</v>
      </c>
      <c r="T66" s="190">
        <v>0</v>
      </c>
      <c r="U66" s="190">
        <v>0</v>
      </c>
      <c r="V66" s="190">
        <v>5038</v>
      </c>
      <c r="W66" s="190">
        <v>121</v>
      </c>
      <c r="X66" s="190" t="s">
        <v>1275</v>
      </c>
      <c r="Y66" s="190">
        <v>402</v>
      </c>
      <c r="Z66" s="190" t="s">
        <v>1276</v>
      </c>
      <c r="AA66" s="190">
        <v>877</v>
      </c>
      <c r="AB66" s="190" t="s">
        <v>1277</v>
      </c>
      <c r="AC66" s="190"/>
      <c r="AD66" s="190"/>
      <c r="AE66" s="190">
        <f t="shared" si="5"/>
        <v>1400</v>
      </c>
      <c r="AF66" s="74">
        <v>44305</v>
      </c>
      <c r="AG66" s="74">
        <v>44392</v>
      </c>
      <c r="AH66" s="74">
        <v>44483</v>
      </c>
      <c r="AI66" s="74"/>
      <c r="AJ66" s="75">
        <f t="shared" si="6"/>
        <v>0.27788805081381501</v>
      </c>
      <c r="AK66" s="75" t="str">
        <f t="shared" si="7"/>
        <v/>
      </c>
      <c r="AL66" s="75" t="str">
        <f t="shared" si="8"/>
        <v/>
      </c>
      <c r="AM66" s="75" t="str">
        <f t="shared" si="9"/>
        <v/>
      </c>
      <c r="AN66" s="75">
        <f t="shared" si="10"/>
        <v>0</v>
      </c>
      <c r="AO66" s="188" t="s">
        <v>739</v>
      </c>
      <c r="AP66" s="188" t="s">
        <v>739</v>
      </c>
      <c r="AQ66" s="188" t="s">
        <v>739</v>
      </c>
      <c r="AR66" s="188"/>
      <c r="AS66" s="188" t="s">
        <v>1257</v>
      </c>
      <c r="AT66" s="188" t="s">
        <v>1258</v>
      </c>
      <c r="AU66" s="188" t="s">
        <v>1278</v>
      </c>
      <c r="AV66" s="188"/>
      <c r="AW66" s="188" t="s">
        <v>739</v>
      </c>
      <c r="AX66" t="s">
        <v>739</v>
      </c>
      <c r="AY66" t="s">
        <v>739</v>
      </c>
      <c r="BA66" t="s">
        <v>1279</v>
      </c>
      <c r="BB66" t="s">
        <v>1280</v>
      </c>
      <c r="BC66" t="s">
        <v>1281</v>
      </c>
      <c r="BD66" s="143"/>
    </row>
    <row r="67" spans="1:56" ht="15" customHeight="1" x14ac:dyDescent="0.25">
      <c r="A67" s="188">
        <v>7</v>
      </c>
      <c r="B67" s="188" t="s">
        <v>495</v>
      </c>
      <c r="C67" s="188" t="s">
        <v>964</v>
      </c>
      <c r="D67" s="188" t="s">
        <v>727</v>
      </c>
      <c r="E67" s="188" t="s">
        <v>815</v>
      </c>
      <c r="F67" s="188" t="s">
        <v>965</v>
      </c>
      <c r="G67" s="188" t="s">
        <v>730</v>
      </c>
      <c r="H67" s="188" t="s">
        <v>731</v>
      </c>
      <c r="I67" t="s">
        <v>966</v>
      </c>
      <c r="J67" s="74">
        <v>44197</v>
      </c>
      <c r="K67" s="74">
        <v>44561</v>
      </c>
      <c r="L67" s="188" t="s">
        <v>733</v>
      </c>
      <c r="M67" s="188" t="str">
        <f t="shared" si="17"/>
        <v>Cauca</v>
      </c>
      <c r="N67" s="188" t="s">
        <v>30</v>
      </c>
      <c r="O67" s="188" t="s">
        <v>967</v>
      </c>
      <c r="P67" s="188" t="s">
        <v>735</v>
      </c>
      <c r="Q67" s="75">
        <v>9.0909090909090912E-2</v>
      </c>
      <c r="R67" s="190">
        <v>50</v>
      </c>
      <c r="S67" s="190">
        <v>0</v>
      </c>
      <c r="T67" s="190">
        <v>0</v>
      </c>
      <c r="U67" s="190">
        <v>0</v>
      </c>
      <c r="V67" s="190">
        <v>50</v>
      </c>
      <c r="W67" s="190">
        <v>0</v>
      </c>
      <c r="X67" s="190" t="s">
        <v>1282</v>
      </c>
      <c r="Y67" s="190">
        <v>8</v>
      </c>
      <c r="Z67" s="190" t="s">
        <v>1283</v>
      </c>
      <c r="AA67" s="190">
        <v>13</v>
      </c>
      <c r="AB67" s="190" t="s">
        <v>1284</v>
      </c>
      <c r="AC67" s="190"/>
      <c r="AD67" s="190"/>
      <c r="AE67" s="190">
        <f t="shared" ref="AE67:AE130" si="18">AC67+AA67+Y67+W67</f>
        <v>21</v>
      </c>
      <c r="AF67" s="74">
        <v>44304</v>
      </c>
      <c r="AG67" s="74">
        <v>44392</v>
      </c>
      <c r="AH67" s="74">
        <v>44481</v>
      </c>
      <c r="AI67" s="74"/>
      <c r="AJ67" s="75">
        <f t="shared" ref="AJ67:AJ130" si="19">IFERROR(IF((W67+Y67+AA67+AC67)/R67&gt;1,1,(W67+Y67+AA67+AC67)/R67),0)</f>
        <v>0.42</v>
      </c>
      <c r="AK67" s="75" t="str">
        <f t="shared" ref="AK67:AK130" si="20">IFERROR(IF(S67=0,"",IF((W67/S67)&gt;1,1,(W67/S67))),"")</f>
        <v/>
      </c>
      <c r="AL67" s="75" t="str">
        <f t="shared" ref="AL67:AL130" si="21">IFERROR(IF(T67=0,"",IF((Y67/T67)&gt;1,1,(Y67/T67))),"")</f>
        <v/>
      </c>
      <c r="AM67" s="75" t="str">
        <f t="shared" ref="AM67:AM130" si="22">IFERROR(IF(U67=0,"",IF((AA67/U67)&gt;1,1,(AA67/U67))),"")</f>
        <v/>
      </c>
      <c r="AN67" s="75">
        <f t="shared" ref="AN67:AN130" si="23">IFERROR(IF(V67=0,"",IF((AC67/V67)&gt;1,1,(AC67/V67))),"")</f>
        <v>0</v>
      </c>
      <c r="AO67" s="188" t="s">
        <v>739</v>
      </c>
      <c r="AP67" s="188" t="s">
        <v>739</v>
      </c>
      <c r="AQ67" s="188" t="s">
        <v>739</v>
      </c>
      <c r="AR67" s="188"/>
      <c r="AS67" s="188" t="s">
        <v>1285</v>
      </c>
      <c r="AT67" s="188" t="s">
        <v>1258</v>
      </c>
      <c r="AU67" s="188" t="s">
        <v>1286</v>
      </c>
      <c r="AV67" s="188"/>
      <c r="AW67" s="188" t="s">
        <v>838</v>
      </c>
      <c r="AX67" t="s">
        <v>739</v>
      </c>
      <c r="AY67" t="s">
        <v>739</v>
      </c>
      <c r="BA67" t="s">
        <v>838</v>
      </c>
      <c r="BB67" t="s">
        <v>1287</v>
      </c>
      <c r="BC67" t="s">
        <v>1288</v>
      </c>
      <c r="BD67" s="143"/>
    </row>
    <row r="68" spans="1:56" ht="15" customHeight="1" x14ac:dyDescent="0.25">
      <c r="A68" s="188">
        <v>8</v>
      </c>
      <c r="B68" s="188" t="s">
        <v>495</v>
      </c>
      <c r="C68" s="188" t="s">
        <v>756</v>
      </c>
      <c r="D68" s="188" t="s">
        <v>727</v>
      </c>
      <c r="E68" s="188" t="s">
        <v>728</v>
      </c>
      <c r="F68" s="188" t="s">
        <v>757</v>
      </c>
      <c r="G68" s="188" t="s">
        <v>730</v>
      </c>
      <c r="H68" s="188" t="s">
        <v>731</v>
      </c>
      <c r="I68" t="s">
        <v>758</v>
      </c>
      <c r="J68" s="74">
        <v>44197</v>
      </c>
      <c r="K68" s="74">
        <v>44561</v>
      </c>
      <c r="L68" s="188" t="s">
        <v>733</v>
      </c>
      <c r="M68" s="188" t="str">
        <f t="shared" si="17"/>
        <v>Cauca</v>
      </c>
      <c r="N68" s="188" t="s">
        <v>60</v>
      </c>
      <c r="O68" s="188" t="s">
        <v>759</v>
      </c>
      <c r="P68" s="188" t="s">
        <v>735</v>
      </c>
      <c r="Q68" s="75">
        <v>9.0909090909090912E-2</v>
      </c>
      <c r="R68" s="189">
        <v>1</v>
      </c>
      <c r="S68" s="189">
        <v>0.25</v>
      </c>
      <c r="T68" s="189">
        <v>0.25</v>
      </c>
      <c r="U68" s="189">
        <v>0.25</v>
      </c>
      <c r="V68" s="189">
        <v>0.25</v>
      </c>
      <c r="W68" s="189">
        <v>0.2475</v>
      </c>
      <c r="X68" s="189" t="s">
        <v>1289</v>
      </c>
      <c r="Y68" s="189">
        <v>0.25</v>
      </c>
      <c r="Z68" s="189" t="s">
        <v>1290</v>
      </c>
      <c r="AA68" s="189">
        <v>0.25</v>
      </c>
      <c r="AB68" s="189" t="s">
        <v>1291</v>
      </c>
      <c r="AC68" s="189"/>
      <c r="AD68" s="189"/>
      <c r="AE68" s="189">
        <f t="shared" si="18"/>
        <v>0.74750000000000005</v>
      </c>
      <c r="AF68" s="74">
        <v>44305</v>
      </c>
      <c r="AG68" s="74">
        <v>44392</v>
      </c>
      <c r="AH68" s="74">
        <v>44481</v>
      </c>
      <c r="AI68" s="74"/>
      <c r="AJ68" s="75">
        <f t="shared" si="19"/>
        <v>0.74750000000000005</v>
      </c>
      <c r="AK68" s="75">
        <f t="shared" si="20"/>
        <v>0.99</v>
      </c>
      <c r="AL68" s="75">
        <f t="shared" si="21"/>
        <v>1</v>
      </c>
      <c r="AM68" s="75">
        <f t="shared" si="22"/>
        <v>1</v>
      </c>
      <c r="AN68" s="75">
        <f t="shared" si="23"/>
        <v>0</v>
      </c>
      <c r="AO68" s="188" t="s">
        <v>739</v>
      </c>
      <c r="AP68" s="188" t="s">
        <v>739</v>
      </c>
      <c r="AQ68" s="188" t="s">
        <v>739</v>
      </c>
      <c r="AR68" s="188"/>
      <c r="AS68" s="188" t="s">
        <v>1257</v>
      </c>
      <c r="AT68" s="188" t="s">
        <v>1258</v>
      </c>
      <c r="AU68" s="188" t="s">
        <v>1292</v>
      </c>
      <c r="AV68" s="188"/>
      <c r="AW68" s="188" t="s">
        <v>739</v>
      </c>
      <c r="AX68" t="s">
        <v>739</v>
      </c>
      <c r="AY68" t="s">
        <v>739</v>
      </c>
      <c r="BA68" t="s">
        <v>1293</v>
      </c>
      <c r="BB68" t="s">
        <v>1294</v>
      </c>
      <c r="BC68" t="s">
        <v>1295</v>
      </c>
      <c r="BD68" s="143"/>
    </row>
    <row r="69" spans="1:56" ht="15" customHeight="1" x14ac:dyDescent="0.25">
      <c r="A69" s="188">
        <v>9</v>
      </c>
      <c r="B69" s="188" t="s">
        <v>495</v>
      </c>
      <c r="C69" s="188" t="s">
        <v>768</v>
      </c>
      <c r="D69" s="188" t="s">
        <v>727</v>
      </c>
      <c r="E69" s="188" t="s">
        <v>728</v>
      </c>
      <c r="F69" s="188" t="s">
        <v>757</v>
      </c>
      <c r="G69" s="188" t="s">
        <v>730</v>
      </c>
      <c r="H69" s="188" t="s">
        <v>731</v>
      </c>
      <c r="I69" t="s">
        <v>769</v>
      </c>
      <c r="J69" s="74">
        <v>44197</v>
      </c>
      <c r="K69" s="74">
        <v>44561</v>
      </c>
      <c r="L69" s="188" t="s">
        <v>733</v>
      </c>
      <c r="M69" s="188" t="str">
        <f t="shared" si="17"/>
        <v>Cauca</v>
      </c>
      <c r="N69" s="188" t="s">
        <v>60</v>
      </c>
      <c r="O69" s="188" t="s">
        <v>759</v>
      </c>
      <c r="P69" s="188" t="s">
        <v>735</v>
      </c>
      <c r="Q69" s="75">
        <v>9.0909090909090912E-2</v>
      </c>
      <c r="R69" s="189">
        <v>1</v>
      </c>
      <c r="S69" s="189">
        <v>0.25</v>
      </c>
      <c r="T69" s="189">
        <v>0.25</v>
      </c>
      <c r="U69" s="189">
        <v>0.25</v>
      </c>
      <c r="V69" s="189">
        <v>0.25</v>
      </c>
      <c r="W69" s="189">
        <v>0.25</v>
      </c>
      <c r="X69" s="189" t="s">
        <v>1296</v>
      </c>
      <c r="Y69" s="189">
        <v>0.25</v>
      </c>
      <c r="Z69" s="189" t="s">
        <v>1297</v>
      </c>
      <c r="AA69" s="189">
        <v>0.25</v>
      </c>
      <c r="AB69" s="189" t="s">
        <v>1298</v>
      </c>
      <c r="AC69" s="189"/>
      <c r="AD69" s="189"/>
      <c r="AE69" s="189">
        <f t="shared" si="18"/>
        <v>0.75</v>
      </c>
      <c r="AF69" s="74">
        <v>44305</v>
      </c>
      <c r="AG69" s="74">
        <v>44392</v>
      </c>
      <c r="AH69" s="74">
        <v>44483</v>
      </c>
      <c r="AI69" s="74"/>
      <c r="AJ69" s="75">
        <f t="shared" si="19"/>
        <v>0.75</v>
      </c>
      <c r="AK69" s="75">
        <f t="shared" si="20"/>
        <v>1</v>
      </c>
      <c r="AL69" s="75">
        <f t="shared" si="21"/>
        <v>1</v>
      </c>
      <c r="AM69" s="75">
        <f t="shared" si="22"/>
        <v>1</v>
      </c>
      <c r="AN69" s="75">
        <f t="shared" si="23"/>
        <v>0</v>
      </c>
      <c r="AO69" s="188" t="s">
        <v>739</v>
      </c>
      <c r="AP69" s="188" t="s">
        <v>739</v>
      </c>
      <c r="AQ69" s="188" t="s">
        <v>739</v>
      </c>
      <c r="AR69" s="188"/>
      <c r="AS69" s="188" t="s">
        <v>1257</v>
      </c>
      <c r="AT69" s="188" t="s">
        <v>1258</v>
      </c>
      <c r="AU69" s="188" t="s">
        <v>1299</v>
      </c>
      <c r="AV69" s="188"/>
      <c r="AW69" s="188" t="s">
        <v>739</v>
      </c>
      <c r="AX69" t="s">
        <v>739</v>
      </c>
      <c r="AY69" t="s">
        <v>739</v>
      </c>
      <c r="BA69" t="s">
        <v>1300</v>
      </c>
      <c r="BB69" t="s">
        <v>1301</v>
      </c>
      <c r="BC69" t="s">
        <v>1302</v>
      </c>
      <c r="BD69" s="143"/>
    </row>
    <row r="70" spans="1:56" ht="15" customHeight="1" x14ac:dyDescent="0.25">
      <c r="A70" s="188">
        <v>10</v>
      </c>
      <c r="B70" s="188" t="s">
        <v>495</v>
      </c>
      <c r="C70" s="188" t="s">
        <v>777</v>
      </c>
      <c r="D70" s="188" t="s">
        <v>778</v>
      </c>
      <c r="E70" s="188" t="s">
        <v>779</v>
      </c>
      <c r="F70" s="188" t="s">
        <v>780</v>
      </c>
      <c r="G70" s="188" t="s">
        <v>730</v>
      </c>
      <c r="H70" s="188" t="s">
        <v>781</v>
      </c>
      <c r="I70" t="s">
        <v>782</v>
      </c>
      <c r="J70" s="74">
        <v>44197</v>
      </c>
      <c r="K70" s="74">
        <v>44561</v>
      </c>
      <c r="L70" s="188" t="s">
        <v>733</v>
      </c>
      <c r="M70" s="188" t="str">
        <f t="shared" si="17"/>
        <v>Cauca</v>
      </c>
      <c r="N70" s="188" t="s">
        <v>60</v>
      </c>
      <c r="O70" s="188" t="s">
        <v>759</v>
      </c>
      <c r="P70" s="188" t="s">
        <v>735</v>
      </c>
      <c r="Q70" s="75">
        <v>9.0909090909090912E-2</v>
      </c>
      <c r="R70" s="189">
        <v>1</v>
      </c>
      <c r="S70" s="189">
        <v>0.25</v>
      </c>
      <c r="T70" s="189">
        <v>0.25</v>
      </c>
      <c r="U70" s="189">
        <v>0.25</v>
      </c>
      <c r="V70" s="189">
        <v>0.25</v>
      </c>
      <c r="W70" s="189">
        <v>0.15</v>
      </c>
      <c r="X70" s="189" t="s">
        <v>1303</v>
      </c>
      <c r="Y70" s="189">
        <v>0.2</v>
      </c>
      <c r="Z70" s="189" t="s">
        <v>1304</v>
      </c>
      <c r="AA70" s="189">
        <v>0.2</v>
      </c>
      <c r="AB70" s="189" t="s">
        <v>1305</v>
      </c>
      <c r="AC70" s="189"/>
      <c r="AD70" s="189"/>
      <c r="AE70" s="189">
        <f t="shared" si="18"/>
        <v>0.55000000000000004</v>
      </c>
      <c r="AF70" s="74">
        <v>44305</v>
      </c>
      <c r="AG70" s="74">
        <v>44392</v>
      </c>
      <c r="AH70" s="74">
        <v>44481</v>
      </c>
      <c r="AI70" s="74"/>
      <c r="AJ70" s="75">
        <f t="shared" si="19"/>
        <v>0.55000000000000004</v>
      </c>
      <c r="AK70" s="75">
        <f t="shared" si="20"/>
        <v>0.6</v>
      </c>
      <c r="AL70" s="75">
        <f t="shared" si="21"/>
        <v>0.8</v>
      </c>
      <c r="AM70" s="75">
        <f t="shared" si="22"/>
        <v>0.8</v>
      </c>
      <c r="AN70" s="75">
        <f t="shared" si="23"/>
        <v>0</v>
      </c>
      <c r="AO70" s="188" t="s">
        <v>739</v>
      </c>
      <c r="AP70" s="188" t="s">
        <v>739</v>
      </c>
      <c r="AQ70" s="188" t="s">
        <v>739</v>
      </c>
      <c r="AR70" s="188"/>
      <c r="AS70" s="188" t="s">
        <v>1257</v>
      </c>
      <c r="AT70" s="188" t="s">
        <v>1258</v>
      </c>
      <c r="AU70" s="188" t="s">
        <v>1306</v>
      </c>
      <c r="AV70" s="188"/>
      <c r="AW70" s="188" t="s">
        <v>739</v>
      </c>
      <c r="AX70" t="s">
        <v>739</v>
      </c>
      <c r="AY70" t="s">
        <v>739</v>
      </c>
      <c r="BA70" t="s">
        <v>1307</v>
      </c>
      <c r="BB70" t="s">
        <v>1308</v>
      </c>
      <c r="BC70" t="s">
        <v>1309</v>
      </c>
      <c r="BD70" s="143"/>
    </row>
    <row r="71" spans="1:56" ht="15" customHeight="1" x14ac:dyDescent="0.25">
      <c r="A71" s="188">
        <v>11</v>
      </c>
      <c r="B71" s="188" t="s">
        <v>495</v>
      </c>
      <c r="C71" s="188" t="s">
        <v>790</v>
      </c>
      <c r="D71" s="188" t="s">
        <v>791</v>
      </c>
      <c r="E71" s="188" t="s">
        <v>792</v>
      </c>
      <c r="F71" s="188" t="s">
        <v>793</v>
      </c>
      <c r="G71" s="188" t="s">
        <v>794</v>
      </c>
      <c r="H71" s="188" t="s">
        <v>794</v>
      </c>
      <c r="I71" s="188" t="s">
        <v>795</v>
      </c>
      <c r="J71" s="74">
        <v>44197</v>
      </c>
      <c r="K71" s="74">
        <v>44561</v>
      </c>
      <c r="L71" s="188" t="s">
        <v>733</v>
      </c>
      <c r="M71" s="188" t="str">
        <f t="shared" si="17"/>
        <v>Cauca</v>
      </c>
      <c r="N71" s="188" t="s">
        <v>60</v>
      </c>
      <c r="O71" s="188" t="s">
        <v>796</v>
      </c>
      <c r="P71" s="188" t="s">
        <v>735</v>
      </c>
      <c r="Q71" s="75">
        <v>9.0909090909090912E-2</v>
      </c>
      <c r="R71" s="189">
        <v>1</v>
      </c>
      <c r="S71" s="189">
        <v>0.25</v>
      </c>
      <c r="T71" s="189">
        <v>0.25</v>
      </c>
      <c r="U71" s="189">
        <v>0.25</v>
      </c>
      <c r="V71" s="189">
        <v>0.25</v>
      </c>
      <c r="W71" s="189">
        <v>0.25</v>
      </c>
      <c r="X71" s="189" t="s">
        <v>1310</v>
      </c>
      <c r="Y71" s="189">
        <v>0.25</v>
      </c>
      <c r="Z71" s="189" t="s">
        <v>1311</v>
      </c>
      <c r="AA71" s="189">
        <v>0.25</v>
      </c>
      <c r="AB71" s="189" t="s">
        <v>1312</v>
      </c>
      <c r="AC71" s="189"/>
      <c r="AD71" s="189"/>
      <c r="AE71" s="189">
        <f t="shared" si="18"/>
        <v>0.75</v>
      </c>
      <c r="AF71" s="74">
        <v>44305</v>
      </c>
      <c r="AG71" s="74">
        <v>44392</v>
      </c>
      <c r="AH71" s="74">
        <v>44483</v>
      </c>
      <c r="AI71" s="74"/>
      <c r="AJ71" s="75">
        <f t="shared" si="19"/>
        <v>0.75</v>
      </c>
      <c r="AK71" s="75">
        <f t="shared" si="20"/>
        <v>1</v>
      </c>
      <c r="AL71" s="75">
        <f t="shared" si="21"/>
        <v>1</v>
      </c>
      <c r="AM71" s="75">
        <f t="shared" si="22"/>
        <v>1</v>
      </c>
      <c r="AN71" s="75">
        <f t="shared" si="23"/>
        <v>0</v>
      </c>
      <c r="AO71" s="188" t="s">
        <v>739</v>
      </c>
      <c r="AP71" s="188" t="s">
        <v>739</v>
      </c>
      <c r="AQ71" s="188" t="s">
        <v>739</v>
      </c>
      <c r="AR71" s="188"/>
      <c r="AS71" s="188" t="s">
        <v>1257</v>
      </c>
      <c r="AT71" s="188" t="s">
        <v>1258</v>
      </c>
      <c r="AU71" s="188" t="s">
        <v>1313</v>
      </c>
      <c r="AV71" s="188"/>
      <c r="AW71" s="188" t="s">
        <v>739</v>
      </c>
      <c r="AX71" t="s">
        <v>739</v>
      </c>
      <c r="AY71" t="s">
        <v>739</v>
      </c>
      <c r="BA71" t="s">
        <v>1314</v>
      </c>
      <c r="BB71" t="s">
        <v>1315</v>
      </c>
      <c r="BC71" t="s">
        <v>1316</v>
      </c>
      <c r="BD71" s="143"/>
    </row>
    <row r="72" spans="1:56" ht="15" customHeight="1" x14ac:dyDescent="0.25">
      <c r="A72" s="188">
        <v>12</v>
      </c>
      <c r="B72" s="188" t="s">
        <v>495</v>
      </c>
      <c r="C72" s="188" t="s">
        <v>790</v>
      </c>
      <c r="D72" s="188" t="s">
        <v>791</v>
      </c>
      <c r="E72" s="188" t="s">
        <v>792</v>
      </c>
      <c r="F72" s="188" t="s">
        <v>793</v>
      </c>
      <c r="G72" s="188" t="s">
        <v>794</v>
      </c>
      <c r="H72" s="188" t="s">
        <v>794</v>
      </c>
      <c r="I72" t="s">
        <v>805</v>
      </c>
      <c r="J72" s="74">
        <v>44197</v>
      </c>
      <c r="K72" s="74">
        <v>44561</v>
      </c>
      <c r="L72" s="188" t="s">
        <v>733</v>
      </c>
      <c r="M72" s="188" t="str">
        <f t="shared" si="17"/>
        <v>Cauca</v>
      </c>
      <c r="N72" s="188" t="s">
        <v>60</v>
      </c>
      <c r="O72" s="188" t="s">
        <v>806</v>
      </c>
      <c r="P72" s="188" t="s">
        <v>735</v>
      </c>
      <c r="Q72" s="75">
        <v>9.0909090909090912E-2</v>
      </c>
      <c r="R72" s="189">
        <v>1</v>
      </c>
      <c r="S72" s="189">
        <v>0.25</v>
      </c>
      <c r="T72" s="189">
        <v>0.25</v>
      </c>
      <c r="U72" s="189">
        <v>0.25</v>
      </c>
      <c r="V72" s="189">
        <v>0.25</v>
      </c>
      <c r="W72" s="189">
        <v>0.25</v>
      </c>
      <c r="X72" s="189" t="s">
        <v>1317</v>
      </c>
      <c r="Y72" s="189">
        <v>0.25</v>
      </c>
      <c r="Z72" s="189" t="s">
        <v>1318</v>
      </c>
      <c r="AA72" s="189">
        <v>0.25</v>
      </c>
      <c r="AB72" s="189" t="s">
        <v>1318</v>
      </c>
      <c r="AC72" s="189"/>
      <c r="AD72" s="189"/>
      <c r="AE72" s="189">
        <f t="shared" si="18"/>
        <v>0.75</v>
      </c>
      <c r="AF72" s="74">
        <v>44305</v>
      </c>
      <c r="AG72" s="74">
        <v>44392</v>
      </c>
      <c r="AH72" s="74">
        <v>44481</v>
      </c>
      <c r="AI72" s="74"/>
      <c r="AJ72" s="75">
        <f t="shared" si="19"/>
        <v>0.75</v>
      </c>
      <c r="AK72" s="75">
        <f t="shared" si="20"/>
        <v>1</v>
      </c>
      <c r="AL72" s="75">
        <f t="shared" si="21"/>
        <v>1</v>
      </c>
      <c r="AM72" s="75">
        <f t="shared" si="22"/>
        <v>1</v>
      </c>
      <c r="AN72" s="75">
        <f t="shared" si="23"/>
        <v>0</v>
      </c>
      <c r="AO72" s="188" t="s">
        <v>739</v>
      </c>
      <c r="AP72" s="188" t="s">
        <v>739</v>
      </c>
      <c r="AQ72" s="188" t="s">
        <v>739</v>
      </c>
      <c r="AR72" s="188"/>
      <c r="AS72" s="188" t="s">
        <v>1257</v>
      </c>
      <c r="AT72" s="188" t="s">
        <v>1258</v>
      </c>
      <c r="AU72" s="188" t="s">
        <v>1319</v>
      </c>
      <c r="AV72" s="188"/>
      <c r="AW72" s="188" t="s">
        <v>739</v>
      </c>
      <c r="AX72" t="s">
        <v>739</v>
      </c>
      <c r="AY72" t="s">
        <v>739</v>
      </c>
      <c r="BA72" t="s">
        <v>1320</v>
      </c>
      <c r="BB72" t="s">
        <v>1321</v>
      </c>
      <c r="BC72" t="s">
        <v>1322</v>
      </c>
      <c r="BD72" s="143"/>
    </row>
    <row r="73" spans="1:56" ht="15" customHeight="1" x14ac:dyDescent="0.25">
      <c r="A73" s="188">
        <v>14</v>
      </c>
      <c r="B73" s="188" t="s">
        <v>495</v>
      </c>
      <c r="C73" s="188" t="s">
        <v>814</v>
      </c>
      <c r="D73" s="188" t="s">
        <v>727</v>
      </c>
      <c r="E73" s="188" t="s">
        <v>815</v>
      </c>
      <c r="F73" s="188" t="s">
        <v>816</v>
      </c>
      <c r="G73" s="188" t="s">
        <v>817</v>
      </c>
      <c r="H73" s="188" t="s">
        <v>818</v>
      </c>
      <c r="I73" t="s">
        <v>819</v>
      </c>
      <c r="J73" s="74">
        <v>44197</v>
      </c>
      <c r="K73" s="74">
        <v>44561</v>
      </c>
      <c r="L73" s="188" t="s">
        <v>733</v>
      </c>
      <c r="M73" s="188" t="str">
        <f t="shared" si="17"/>
        <v>Cauca</v>
      </c>
      <c r="N73" s="188" t="s">
        <v>30</v>
      </c>
      <c r="O73" s="188" t="s">
        <v>820</v>
      </c>
      <c r="P73" s="188" t="s">
        <v>821</v>
      </c>
      <c r="Q73" s="75">
        <v>9.0909090909090912E-2</v>
      </c>
      <c r="R73" s="190">
        <f>SUM(S73:V73)</f>
        <v>279042227.08234406</v>
      </c>
      <c r="S73" s="190">
        <v>55098060.242669024</v>
      </c>
      <c r="T73" s="190">
        <v>71425272.793269768</v>
      </c>
      <c r="U73" s="190">
        <v>72719401.184294254</v>
      </c>
      <c r="V73" s="190">
        <v>79799492.862111002</v>
      </c>
      <c r="W73" s="190">
        <v>30828410</v>
      </c>
      <c r="X73" s="190" t="s">
        <v>1323</v>
      </c>
      <c r="Y73" s="190">
        <v>32575749</v>
      </c>
      <c r="Z73" s="190" t="s">
        <v>1324</v>
      </c>
      <c r="AA73" s="190">
        <v>47432783</v>
      </c>
      <c r="AB73" s="190" t="s">
        <v>1325</v>
      </c>
      <c r="AC73" s="190"/>
      <c r="AD73" s="190"/>
      <c r="AE73" s="190">
        <f t="shared" si="18"/>
        <v>110836942</v>
      </c>
      <c r="AF73" s="60">
        <v>44305</v>
      </c>
      <c r="AG73" s="60">
        <v>44392</v>
      </c>
      <c r="AH73" s="60">
        <v>44483</v>
      </c>
      <c r="AI73" s="60"/>
      <c r="AJ73" s="75">
        <f t="shared" si="19"/>
        <v>0.39720490751133714</v>
      </c>
      <c r="AK73" s="75">
        <f t="shared" si="20"/>
        <v>0.55951897152498797</v>
      </c>
      <c r="AL73" s="75">
        <f t="shared" si="21"/>
        <v>0.45608154825373709</v>
      </c>
      <c r="AM73" s="75">
        <f t="shared" si="22"/>
        <v>0.65227136400353647</v>
      </c>
      <c r="AN73" s="75">
        <f t="shared" si="23"/>
        <v>0</v>
      </c>
      <c r="AO73" s="188" t="s">
        <v>739</v>
      </c>
      <c r="AP73" s="188" t="s">
        <v>739</v>
      </c>
      <c r="AQ73" s="188" t="s">
        <v>739</v>
      </c>
      <c r="AR73" s="188"/>
      <c r="AS73" s="188" t="s">
        <v>1257</v>
      </c>
      <c r="AT73" s="188" t="s">
        <v>1258</v>
      </c>
      <c r="AU73" s="188" t="s">
        <v>1326</v>
      </c>
      <c r="AV73" s="188"/>
      <c r="AW73" s="188" t="s">
        <v>739</v>
      </c>
      <c r="AX73" t="s">
        <v>739</v>
      </c>
      <c r="AY73" t="s">
        <v>739</v>
      </c>
      <c r="BA73" t="s">
        <v>1327</v>
      </c>
      <c r="BB73" t="s">
        <v>1328</v>
      </c>
      <c r="BC73" t="s">
        <v>1329</v>
      </c>
      <c r="BD73" s="143"/>
    </row>
    <row r="74" spans="1:56" ht="15" customHeight="1" x14ac:dyDescent="0.25">
      <c r="A74" s="188">
        <v>1</v>
      </c>
      <c r="B74" s="188" t="s">
        <v>496</v>
      </c>
      <c r="C74" s="188" t="s">
        <v>726</v>
      </c>
      <c r="D74" s="188" t="s">
        <v>727</v>
      </c>
      <c r="E74" s="188" t="s">
        <v>728</v>
      </c>
      <c r="F74" s="188" t="s">
        <v>729</v>
      </c>
      <c r="G74" s="188" t="s">
        <v>730</v>
      </c>
      <c r="H74" s="188" t="s">
        <v>731</v>
      </c>
      <c r="I74" s="188" t="s">
        <v>732</v>
      </c>
      <c r="J74" s="74">
        <v>44197</v>
      </c>
      <c r="K74" s="74">
        <v>44561</v>
      </c>
      <c r="L74" s="188" t="s">
        <v>733</v>
      </c>
      <c r="M74" s="188" t="str">
        <f>B74</f>
        <v>Cesar</v>
      </c>
      <c r="N74" s="188" t="s">
        <v>30</v>
      </c>
      <c r="O74" s="188" t="s">
        <v>734</v>
      </c>
      <c r="P74" s="188" t="s">
        <v>735</v>
      </c>
      <c r="Q74" s="75">
        <v>0.1</v>
      </c>
      <c r="R74" s="190">
        <v>5530</v>
      </c>
      <c r="S74" s="190">
        <v>0</v>
      </c>
      <c r="T74" s="190">
        <v>0</v>
      </c>
      <c r="U74" s="190">
        <v>0</v>
      </c>
      <c r="V74" s="190">
        <v>5530</v>
      </c>
      <c r="W74" s="190">
        <v>573</v>
      </c>
      <c r="X74" s="190" t="s">
        <v>1330</v>
      </c>
      <c r="Y74" s="190">
        <v>1883</v>
      </c>
      <c r="Z74" s="190" t="s">
        <v>1331</v>
      </c>
      <c r="AA74" s="190">
        <v>1806</v>
      </c>
      <c r="AB74" s="190" t="s">
        <v>1332</v>
      </c>
      <c r="AC74" s="190"/>
      <c r="AD74" s="190"/>
      <c r="AE74" s="190">
        <f t="shared" si="18"/>
        <v>4262</v>
      </c>
      <c r="AF74" s="74">
        <v>44300</v>
      </c>
      <c r="AG74" s="74">
        <v>44387</v>
      </c>
      <c r="AH74" s="74">
        <v>44482</v>
      </c>
      <c r="AI74" s="74"/>
      <c r="AJ74" s="75">
        <f t="shared" si="19"/>
        <v>0.77070524412296559</v>
      </c>
      <c r="AK74" s="75" t="str">
        <f t="shared" si="20"/>
        <v/>
      </c>
      <c r="AL74" s="75" t="str">
        <f t="shared" si="21"/>
        <v/>
      </c>
      <c r="AM74" s="75" t="str">
        <f t="shared" si="22"/>
        <v/>
      </c>
      <c r="AN74" s="75">
        <f t="shared" si="23"/>
        <v>0</v>
      </c>
      <c r="AO74" s="188" t="s">
        <v>739</v>
      </c>
      <c r="AP74" s="188" t="s">
        <v>739</v>
      </c>
      <c r="AQ74" s="188" t="s">
        <v>739</v>
      </c>
      <c r="AR74" s="188"/>
      <c r="AS74" s="188" t="s">
        <v>1333</v>
      </c>
      <c r="AT74" s="188" t="s">
        <v>1334</v>
      </c>
      <c r="AU74" s="188" t="s">
        <v>1335</v>
      </c>
      <c r="AV74" s="188"/>
      <c r="AW74" s="188" t="s">
        <v>739</v>
      </c>
      <c r="AX74" s="188" t="s">
        <v>739</v>
      </c>
      <c r="AY74" s="188" t="s">
        <v>739</v>
      </c>
      <c r="AZ74" s="188"/>
      <c r="BA74" s="188" t="s">
        <v>1336</v>
      </c>
      <c r="BB74" s="188" t="s">
        <v>1337</v>
      </c>
      <c r="BC74" s="188" t="s">
        <v>1338</v>
      </c>
      <c r="BD74" s="143"/>
    </row>
    <row r="75" spans="1:56" ht="15" customHeight="1" x14ac:dyDescent="0.25">
      <c r="A75" s="188">
        <v>3</v>
      </c>
      <c r="B75" s="188" t="s">
        <v>496</v>
      </c>
      <c r="C75" s="188" t="s">
        <v>726</v>
      </c>
      <c r="D75" s="188" t="s">
        <v>727</v>
      </c>
      <c r="E75" s="188" t="s">
        <v>728</v>
      </c>
      <c r="F75" s="188" t="s">
        <v>729</v>
      </c>
      <c r="G75" s="188" t="s">
        <v>730</v>
      </c>
      <c r="H75" s="188" t="s">
        <v>731</v>
      </c>
      <c r="I75" s="188" t="s">
        <v>746</v>
      </c>
      <c r="J75" s="74">
        <v>44197</v>
      </c>
      <c r="K75" s="74">
        <v>44561</v>
      </c>
      <c r="L75" s="188" t="s">
        <v>733</v>
      </c>
      <c r="M75" s="188" t="str">
        <f t="shared" ref="M75:M83" si="24">B75</f>
        <v>Cesar</v>
      </c>
      <c r="N75" s="188" t="s">
        <v>30</v>
      </c>
      <c r="O75" s="188" t="s">
        <v>747</v>
      </c>
      <c r="P75" s="188" t="s">
        <v>735</v>
      </c>
      <c r="Q75" s="75">
        <v>0.1</v>
      </c>
      <c r="R75" s="190">
        <v>9524</v>
      </c>
      <c r="S75" s="190">
        <v>0</v>
      </c>
      <c r="T75" s="190">
        <v>0</v>
      </c>
      <c r="U75" s="190">
        <v>0</v>
      </c>
      <c r="V75" s="190">
        <v>9524</v>
      </c>
      <c r="W75" s="190">
        <v>724</v>
      </c>
      <c r="X75" s="190" t="s">
        <v>1339</v>
      </c>
      <c r="Y75" s="190">
        <v>1116</v>
      </c>
      <c r="Z75" s="190" t="s">
        <v>1340</v>
      </c>
      <c r="AA75" s="190">
        <v>2946</v>
      </c>
      <c r="AB75" s="190" t="s">
        <v>1341</v>
      </c>
      <c r="AC75" s="190"/>
      <c r="AD75" s="190"/>
      <c r="AE75" s="190">
        <f t="shared" si="18"/>
        <v>4786</v>
      </c>
      <c r="AF75" s="74">
        <v>44300</v>
      </c>
      <c r="AG75" s="74">
        <v>44387</v>
      </c>
      <c r="AH75" s="74">
        <v>44482</v>
      </c>
      <c r="AI75" s="74"/>
      <c r="AJ75" s="75">
        <f t="shared" si="19"/>
        <v>0.50251994960100799</v>
      </c>
      <c r="AK75" s="75" t="str">
        <f t="shared" si="20"/>
        <v/>
      </c>
      <c r="AL75" s="75" t="str">
        <f t="shared" si="21"/>
        <v/>
      </c>
      <c r="AM75" s="75" t="str">
        <f t="shared" si="22"/>
        <v/>
      </c>
      <c r="AN75" s="75">
        <f t="shared" si="23"/>
        <v>0</v>
      </c>
      <c r="AO75" s="188" t="s">
        <v>739</v>
      </c>
      <c r="AP75" s="188" t="s">
        <v>739</v>
      </c>
      <c r="AQ75" s="188" t="s">
        <v>739</v>
      </c>
      <c r="AR75" s="188"/>
      <c r="AS75" s="188" t="s">
        <v>1342</v>
      </c>
      <c r="AT75" s="188" t="s">
        <v>1343</v>
      </c>
      <c r="AU75" s="188" t="s">
        <v>1344</v>
      </c>
      <c r="AV75" s="188"/>
      <c r="AW75" s="188" t="s">
        <v>828</v>
      </c>
      <c r="AX75" t="s">
        <v>739</v>
      </c>
      <c r="AY75" t="s">
        <v>739</v>
      </c>
      <c r="BA75" t="s">
        <v>1345</v>
      </c>
      <c r="BB75" t="s">
        <v>1346</v>
      </c>
      <c r="BC75" t="s">
        <v>1347</v>
      </c>
      <c r="BD75" s="143"/>
    </row>
    <row r="76" spans="1:56" ht="15" customHeight="1" x14ac:dyDescent="0.25">
      <c r="A76" s="188">
        <v>5</v>
      </c>
      <c r="B76" s="188" t="s">
        <v>496</v>
      </c>
      <c r="C76" s="188" t="s">
        <v>964</v>
      </c>
      <c r="D76" s="188" t="s">
        <v>727</v>
      </c>
      <c r="E76" s="188" t="s">
        <v>815</v>
      </c>
      <c r="F76" s="188" t="s">
        <v>965</v>
      </c>
      <c r="G76" s="188" t="s">
        <v>730</v>
      </c>
      <c r="H76" s="188" t="s">
        <v>731</v>
      </c>
      <c r="I76" t="s">
        <v>966</v>
      </c>
      <c r="J76" s="74">
        <v>44197</v>
      </c>
      <c r="K76" s="74">
        <v>44561</v>
      </c>
      <c r="L76" s="188" t="s">
        <v>733</v>
      </c>
      <c r="M76" s="188" t="str">
        <f t="shared" si="24"/>
        <v>Cesar</v>
      </c>
      <c r="N76" s="188" t="s">
        <v>30</v>
      </c>
      <c r="O76" s="188" t="s">
        <v>967</v>
      </c>
      <c r="P76" s="188" t="s">
        <v>735</v>
      </c>
      <c r="Q76" s="75">
        <v>0.1</v>
      </c>
      <c r="R76" s="190">
        <v>90</v>
      </c>
      <c r="S76" s="190">
        <v>0</v>
      </c>
      <c r="T76" s="190">
        <v>0</v>
      </c>
      <c r="U76" s="190">
        <v>0</v>
      </c>
      <c r="V76" s="190">
        <v>90</v>
      </c>
      <c r="W76" s="190">
        <v>2</v>
      </c>
      <c r="X76" s="190" t="s">
        <v>1348</v>
      </c>
      <c r="Y76" s="190">
        <v>18</v>
      </c>
      <c r="Z76" s="190" t="s">
        <v>1349</v>
      </c>
      <c r="AA76" s="190">
        <v>52</v>
      </c>
      <c r="AB76" s="190" t="s">
        <v>1350</v>
      </c>
      <c r="AC76" s="190"/>
      <c r="AD76" s="190"/>
      <c r="AE76" s="190">
        <f t="shared" si="18"/>
        <v>72</v>
      </c>
      <c r="AF76" s="74">
        <v>44300</v>
      </c>
      <c r="AG76" s="74">
        <v>44387</v>
      </c>
      <c r="AH76" s="74">
        <v>44482</v>
      </c>
      <c r="AI76" s="74"/>
      <c r="AJ76" s="75">
        <f t="shared" si="19"/>
        <v>0.8</v>
      </c>
      <c r="AK76" s="75" t="str">
        <f t="shared" si="20"/>
        <v/>
      </c>
      <c r="AL76" s="75" t="str">
        <f t="shared" si="21"/>
        <v/>
      </c>
      <c r="AM76" s="75" t="str">
        <f t="shared" si="22"/>
        <v/>
      </c>
      <c r="AN76" s="75">
        <f t="shared" si="23"/>
        <v>0</v>
      </c>
      <c r="AO76" s="188" t="s">
        <v>739</v>
      </c>
      <c r="AP76" s="188" t="s">
        <v>828</v>
      </c>
      <c r="AQ76" s="188" t="s">
        <v>739</v>
      </c>
      <c r="AR76" s="188"/>
      <c r="AS76" s="188" t="s">
        <v>1333</v>
      </c>
      <c r="AT76" s="188" t="s">
        <v>1351</v>
      </c>
      <c r="AU76" s="188" t="s">
        <v>1352</v>
      </c>
      <c r="AV76" s="188"/>
      <c r="AW76" s="188" t="s">
        <v>739</v>
      </c>
      <c r="AX76" t="s">
        <v>739</v>
      </c>
      <c r="AY76" t="s">
        <v>739</v>
      </c>
      <c r="BA76" t="s">
        <v>1353</v>
      </c>
      <c r="BB76" t="s">
        <v>1354</v>
      </c>
      <c r="BC76" t="s">
        <v>1355</v>
      </c>
      <c r="BD76" s="143"/>
    </row>
    <row r="77" spans="1:56" ht="15" customHeight="1" x14ac:dyDescent="0.25">
      <c r="A77" s="188">
        <v>6</v>
      </c>
      <c r="B77" s="188" t="s">
        <v>496</v>
      </c>
      <c r="C77" s="188" t="s">
        <v>756</v>
      </c>
      <c r="D77" s="188" t="s">
        <v>727</v>
      </c>
      <c r="E77" s="188" t="s">
        <v>728</v>
      </c>
      <c r="F77" s="188" t="s">
        <v>757</v>
      </c>
      <c r="G77" s="188" t="s">
        <v>730</v>
      </c>
      <c r="H77" s="188" t="s">
        <v>731</v>
      </c>
      <c r="I77" t="s">
        <v>758</v>
      </c>
      <c r="J77" s="74">
        <v>44197</v>
      </c>
      <c r="K77" s="74">
        <v>44561</v>
      </c>
      <c r="L77" s="188" t="s">
        <v>733</v>
      </c>
      <c r="M77" s="188" t="str">
        <f t="shared" si="24"/>
        <v>Cesar</v>
      </c>
      <c r="N77" s="188" t="s">
        <v>60</v>
      </c>
      <c r="O77" s="188" t="s">
        <v>759</v>
      </c>
      <c r="P77" s="188" t="s">
        <v>735</v>
      </c>
      <c r="Q77" s="75">
        <v>0.1</v>
      </c>
      <c r="R77" s="189">
        <v>1</v>
      </c>
      <c r="S77" s="189">
        <v>0.25</v>
      </c>
      <c r="T77" s="189">
        <v>0.25</v>
      </c>
      <c r="U77" s="189">
        <v>0.25</v>
      </c>
      <c r="V77" s="189">
        <v>0.25</v>
      </c>
      <c r="W77" s="189">
        <v>0.2059</v>
      </c>
      <c r="X77" s="189" t="s">
        <v>1356</v>
      </c>
      <c r="Y77" s="189">
        <v>0.3</v>
      </c>
      <c r="Z77" s="189" t="s">
        <v>1357</v>
      </c>
      <c r="AA77" s="189">
        <v>0.25</v>
      </c>
      <c r="AB77" s="189" t="s">
        <v>1358</v>
      </c>
      <c r="AC77" s="189"/>
      <c r="AD77" s="189"/>
      <c r="AE77" s="189">
        <f t="shared" si="18"/>
        <v>0.75590000000000002</v>
      </c>
      <c r="AF77" s="74">
        <v>44300</v>
      </c>
      <c r="AG77" s="74">
        <v>44389</v>
      </c>
      <c r="AH77" s="74">
        <v>44482</v>
      </c>
      <c r="AI77" s="74"/>
      <c r="AJ77" s="75">
        <f t="shared" si="19"/>
        <v>0.75590000000000002</v>
      </c>
      <c r="AK77" s="75">
        <f t="shared" si="20"/>
        <v>0.8236</v>
      </c>
      <c r="AL77" s="75">
        <f t="shared" si="21"/>
        <v>1</v>
      </c>
      <c r="AM77" s="75">
        <f t="shared" si="22"/>
        <v>1</v>
      </c>
      <c r="AN77" s="75">
        <f t="shared" si="23"/>
        <v>0</v>
      </c>
      <c r="AO77" s="188" t="s">
        <v>739</v>
      </c>
      <c r="AP77" s="188" t="s">
        <v>739</v>
      </c>
      <c r="AQ77" s="188" t="s">
        <v>739</v>
      </c>
      <c r="AR77" s="188"/>
      <c r="AS77" s="188" t="s">
        <v>772</v>
      </c>
      <c r="AT77" s="188" t="s">
        <v>1359</v>
      </c>
      <c r="AU77" s="188" t="s">
        <v>1360</v>
      </c>
      <c r="AV77" s="188"/>
      <c r="AW77" s="188" t="s">
        <v>828</v>
      </c>
      <c r="AX77" t="s">
        <v>739</v>
      </c>
      <c r="AY77" t="s">
        <v>739</v>
      </c>
      <c r="BA77" t="s">
        <v>1361</v>
      </c>
      <c r="BB77" t="s">
        <v>1362</v>
      </c>
      <c r="BC77" t="s">
        <v>1363</v>
      </c>
      <c r="BD77" s="143"/>
    </row>
    <row r="78" spans="1:56" ht="15" customHeight="1" x14ac:dyDescent="0.25">
      <c r="A78" s="188">
        <v>7</v>
      </c>
      <c r="B78" s="188" t="s">
        <v>496</v>
      </c>
      <c r="C78" s="188" t="s">
        <v>768</v>
      </c>
      <c r="D78" s="188" t="s">
        <v>727</v>
      </c>
      <c r="E78" s="188" t="s">
        <v>728</v>
      </c>
      <c r="F78" s="188" t="s">
        <v>757</v>
      </c>
      <c r="G78" s="188" t="s">
        <v>730</v>
      </c>
      <c r="H78" s="188" t="s">
        <v>731</v>
      </c>
      <c r="I78" t="s">
        <v>769</v>
      </c>
      <c r="J78" s="74">
        <v>44197</v>
      </c>
      <c r="K78" s="74">
        <v>44561</v>
      </c>
      <c r="L78" s="188" t="s">
        <v>733</v>
      </c>
      <c r="M78" s="188" t="str">
        <f t="shared" si="24"/>
        <v>Cesar</v>
      </c>
      <c r="N78" s="188" t="s">
        <v>60</v>
      </c>
      <c r="O78" s="188" t="s">
        <v>759</v>
      </c>
      <c r="P78" s="188" t="s">
        <v>735</v>
      </c>
      <c r="Q78" s="75">
        <v>0.1</v>
      </c>
      <c r="R78" s="189">
        <v>1</v>
      </c>
      <c r="S78" s="189">
        <v>0.25</v>
      </c>
      <c r="T78" s="189">
        <v>0.25</v>
      </c>
      <c r="U78" s="189">
        <v>0.25</v>
      </c>
      <c r="V78" s="189">
        <v>0.25</v>
      </c>
      <c r="W78" s="189">
        <v>0.21609999999999999</v>
      </c>
      <c r="X78" s="189" t="s">
        <v>1364</v>
      </c>
      <c r="Y78" s="189">
        <v>0.21</v>
      </c>
      <c r="Z78" s="189" t="s">
        <v>1365</v>
      </c>
      <c r="AA78" s="189">
        <v>0.25</v>
      </c>
      <c r="AB78" s="189" t="s">
        <v>1366</v>
      </c>
      <c r="AC78" s="189"/>
      <c r="AD78" s="189"/>
      <c r="AE78" s="189">
        <f t="shared" si="18"/>
        <v>0.67609999999999992</v>
      </c>
      <c r="AF78" s="74">
        <v>44300</v>
      </c>
      <c r="AG78" s="74">
        <v>44390</v>
      </c>
      <c r="AH78" s="74">
        <v>44482</v>
      </c>
      <c r="AI78" s="74"/>
      <c r="AJ78" s="75">
        <f t="shared" si="19"/>
        <v>0.67609999999999992</v>
      </c>
      <c r="AK78" s="75">
        <f t="shared" si="20"/>
        <v>0.86439999999999995</v>
      </c>
      <c r="AL78" s="75">
        <f t="shared" si="21"/>
        <v>0.84</v>
      </c>
      <c r="AM78" s="75">
        <f t="shared" si="22"/>
        <v>1</v>
      </c>
      <c r="AN78" s="75">
        <f t="shared" si="23"/>
        <v>0</v>
      </c>
      <c r="AO78" s="188" t="s">
        <v>739</v>
      </c>
      <c r="AP78" s="188" t="s">
        <v>739</v>
      </c>
      <c r="AQ78" s="188" t="s">
        <v>739</v>
      </c>
      <c r="AR78" s="188"/>
      <c r="AS78" s="188" t="s">
        <v>1367</v>
      </c>
      <c r="AT78" s="188" t="s">
        <v>1368</v>
      </c>
      <c r="AU78" s="188" t="s">
        <v>1369</v>
      </c>
      <c r="AV78" s="188"/>
      <c r="AW78" s="188" t="s">
        <v>739</v>
      </c>
      <c r="AX78" t="s">
        <v>739</v>
      </c>
      <c r="BA78" t="s">
        <v>1370</v>
      </c>
      <c r="BB78" t="s">
        <v>1371</v>
      </c>
      <c r="BD78" s="143"/>
    </row>
    <row r="79" spans="1:56" ht="15" customHeight="1" x14ac:dyDescent="0.25">
      <c r="A79" s="188">
        <v>8</v>
      </c>
      <c r="B79" s="188" t="s">
        <v>496</v>
      </c>
      <c r="C79" s="188" t="s">
        <v>777</v>
      </c>
      <c r="D79" s="188" t="s">
        <v>778</v>
      </c>
      <c r="E79" s="188" t="s">
        <v>779</v>
      </c>
      <c r="F79" s="188" t="s">
        <v>780</v>
      </c>
      <c r="G79" s="188" t="s">
        <v>730</v>
      </c>
      <c r="H79" s="188" t="s">
        <v>781</v>
      </c>
      <c r="I79" t="s">
        <v>782</v>
      </c>
      <c r="J79" s="74">
        <v>44197</v>
      </c>
      <c r="K79" s="74">
        <v>44561</v>
      </c>
      <c r="L79" s="188" t="s">
        <v>733</v>
      </c>
      <c r="M79" s="188" t="str">
        <f t="shared" si="24"/>
        <v>Cesar</v>
      </c>
      <c r="N79" s="188" t="s">
        <v>60</v>
      </c>
      <c r="O79" s="188" t="s">
        <v>759</v>
      </c>
      <c r="P79" s="188" t="s">
        <v>735</v>
      </c>
      <c r="Q79" s="75">
        <v>0.1</v>
      </c>
      <c r="R79" s="189">
        <v>1</v>
      </c>
      <c r="S79" s="189">
        <v>0.25</v>
      </c>
      <c r="T79" s="189">
        <v>0.25</v>
      </c>
      <c r="U79" s="189">
        <v>0.25</v>
      </c>
      <c r="V79" s="189">
        <v>0.25</v>
      </c>
      <c r="W79" s="189">
        <v>0.151</v>
      </c>
      <c r="X79" s="189" t="s">
        <v>1372</v>
      </c>
      <c r="Y79" s="189">
        <v>0.14000000000000001</v>
      </c>
      <c r="Z79" s="189" t="s">
        <v>1373</v>
      </c>
      <c r="AA79" s="189">
        <v>0.18</v>
      </c>
      <c r="AB79" s="189" t="s">
        <v>1374</v>
      </c>
      <c r="AC79" s="189"/>
      <c r="AD79" s="189"/>
      <c r="AE79" s="189">
        <f t="shared" si="18"/>
        <v>0.47099999999999997</v>
      </c>
      <c r="AF79" s="74">
        <v>44300</v>
      </c>
      <c r="AG79" s="74">
        <v>44390</v>
      </c>
      <c r="AH79" s="74">
        <v>44482</v>
      </c>
      <c r="AI79" s="74"/>
      <c r="AJ79" s="75">
        <f t="shared" si="19"/>
        <v>0.47100000000000003</v>
      </c>
      <c r="AK79" s="75">
        <f t="shared" si="20"/>
        <v>0.60399999999999998</v>
      </c>
      <c r="AL79" s="75">
        <f t="shared" si="21"/>
        <v>0.56000000000000005</v>
      </c>
      <c r="AM79" s="75">
        <f t="shared" si="22"/>
        <v>0.72</v>
      </c>
      <c r="AN79" s="75">
        <f t="shared" si="23"/>
        <v>0</v>
      </c>
      <c r="AO79" s="188" t="s">
        <v>739</v>
      </c>
      <c r="AP79" s="188" t="s">
        <v>739</v>
      </c>
      <c r="AQ79" s="188" t="s">
        <v>739</v>
      </c>
      <c r="AR79" s="188"/>
      <c r="AS79" s="188" t="s">
        <v>1375</v>
      </c>
      <c r="AT79" s="188" t="s">
        <v>1376</v>
      </c>
      <c r="AU79" s="188" t="s">
        <v>1377</v>
      </c>
      <c r="AV79" s="188"/>
      <c r="AW79" s="188" t="s">
        <v>739</v>
      </c>
      <c r="AX79" t="s">
        <v>739</v>
      </c>
      <c r="AY79" t="s">
        <v>828</v>
      </c>
      <c r="BA79" t="s">
        <v>1378</v>
      </c>
      <c r="BB79" t="s">
        <v>1379</v>
      </c>
      <c r="BC79" t="s">
        <v>1380</v>
      </c>
      <c r="BD79" s="143"/>
    </row>
    <row r="80" spans="1:56" ht="15" customHeight="1" x14ac:dyDescent="0.25">
      <c r="A80" s="188">
        <v>9</v>
      </c>
      <c r="B80" s="188" t="s">
        <v>496</v>
      </c>
      <c r="C80" s="188" t="s">
        <v>790</v>
      </c>
      <c r="D80" s="188" t="s">
        <v>791</v>
      </c>
      <c r="E80" s="188" t="s">
        <v>792</v>
      </c>
      <c r="F80" s="188" t="s">
        <v>793</v>
      </c>
      <c r="G80" s="188" t="s">
        <v>794</v>
      </c>
      <c r="H80" s="188" t="s">
        <v>794</v>
      </c>
      <c r="I80" t="s">
        <v>795</v>
      </c>
      <c r="J80" s="74">
        <v>44197</v>
      </c>
      <c r="K80" s="74">
        <v>44561</v>
      </c>
      <c r="L80" s="188" t="s">
        <v>733</v>
      </c>
      <c r="M80" s="188" t="str">
        <f t="shared" si="24"/>
        <v>Cesar</v>
      </c>
      <c r="N80" s="188" t="s">
        <v>60</v>
      </c>
      <c r="O80" s="188" t="s">
        <v>796</v>
      </c>
      <c r="P80" s="188" t="s">
        <v>735</v>
      </c>
      <c r="Q80" s="75">
        <v>0.1</v>
      </c>
      <c r="R80" s="189">
        <v>1</v>
      </c>
      <c r="S80" s="189">
        <v>0.25</v>
      </c>
      <c r="T80" s="189">
        <v>0.25</v>
      </c>
      <c r="U80" s="189">
        <v>0.25</v>
      </c>
      <c r="V80" s="189">
        <v>0.25</v>
      </c>
      <c r="W80" s="189">
        <v>0.25</v>
      </c>
      <c r="X80" s="189" t="s">
        <v>1381</v>
      </c>
      <c r="Y80" s="189">
        <v>0.25</v>
      </c>
      <c r="Z80" s="189" t="s">
        <v>1382</v>
      </c>
      <c r="AA80" s="189">
        <v>0.25</v>
      </c>
      <c r="AB80" s="189" t="s">
        <v>1383</v>
      </c>
      <c r="AC80" s="189"/>
      <c r="AD80" s="189"/>
      <c r="AE80" s="189">
        <f t="shared" si="18"/>
        <v>0.75</v>
      </c>
      <c r="AF80" s="74">
        <v>44300</v>
      </c>
      <c r="AG80" s="74">
        <v>44390</v>
      </c>
      <c r="AH80" s="74">
        <v>44482</v>
      </c>
      <c r="AI80" s="74"/>
      <c r="AJ80" s="75">
        <f t="shared" si="19"/>
        <v>0.75</v>
      </c>
      <c r="AK80" s="75">
        <f t="shared" si="20"/>
        <v>1</v>
      </c>
      <c r="AL80" s="75">
        <f t="shared" si="21"/>
        <v>1</v>
      </c>
      <c r="AM80" s="75">
        <f t="shared" si="22"/>
        <v>1</v>
      </c>
      <c r="AN80" s="75">
        <f t="shared" si="23"/>
        <v>0</v>
      </c>
      <c r="AO80" s="188" t="s">
        <v>739</v>
      </c>
      <c r="AP80" s="188" t="s">
        <v>739</v>
      </c>
      <c r="AQ80" s="188" t="s">
        <v>739</v>
      </c>
      <c r="AR80" s="188"/>
      <c r="AS80" s="188" t="s">
        <v>1333</v>
      </c>
      <c r="AT80" s="188" t="s">
        <v>1384</v>
      </c>
      <c r="AU80" s="188" t="s">
        <v>1385</v>
      </c>
      <c r="AV80" s="188"/>
      <c r="AW80" s="188" t="s">
        <v>739</v>
      </c>
      <c r="AX80" t="s">
        <v>739</v>
      </c>
      <c r="AY80" t="s">
        <v>739</v>
      </c>
      <c r="BA80" t="s">
        <v>1386</v>
      </c>
      <c r="BB80" t="s">
        <v>1387</v>
      </c>
      <c r="BC80" t="s">
        <v>1388</v>
      </c>
      <c r="BD80" s="143"/>
    </row>
    <row r="81" spans="1:56" ht="15" customHeight="1" x14ac:dyDescent="0.25">
      <c r="A81" s="188">
        <v>10</v>
      </c>
      <c r="B81" s="188" t="s">
        <v>496</v>
      </c>
      <c r="C81" s="188" t="s">
        <v>790</v>
      </c>
      <c r="D81" s="188" t="s">
        <v>791</v>
      </c>
      <c r="E81" s="188" t="s">
        <v>792</v>
      </c>
      <c r="F81" s="188" t="s">
        <v>793</v>
      </c>
      <c r="G81" s="188" t="s">
        <v>794</v>
      </c>
      <c r="H81" s="188" t="s">
        <v>794</v>
      </c>
      <c r="I81" t="s">
        <v>805</v>
      </c>
      <c r="J81" s="74">
        <v>44197</v>
      </c>
      <c r="K81" s="74">
        <v>44561</v>
      </c>
      <c r="L81" s="188" t="s">
        <v>733</v>
      </c>
      <c r="M81" s="188" t="str">
        <f t="shared" si="24"/>
        <v>Cesar</v>
      </c>
      <c r="N81" s="188" t="s">
        <v>60</v>
      </c>
      <c r="O81" s="188" t="s">
        <v>806</v>
      </c>
      <c r="P81" s="188" t="s">
        <v>735</v>
      </c>
      <c r="Q81" s="75">
        <v>0.1</v>
      </c>
      <c r="R81" s="189">
        <v>1</v>
      </c>
      <c r="S81" s="189">
        <v>0.25</v>
      </c>
      <c r="T81" s="189">
        <v>0.25</v>
      </c>
      <c r="U81" s="189">
        <v>0.25</v>
      </c>
      <c r="V81" s="189">
        <v>0.25</v>
      </c>
      <c r="W81" s="189"/>
      <c r="X81" s="189"/>
      <c r="Y81" s="189">
        <v>0.75</v>
      </c>
      <c r="Z81" s="189" t="s">
        <v>1389</v>
      </c>
      <c r="AA81" s="189">
        <v>0.25</v>
      </c>
      <c r="AB81" s="189" t="s">
        <v>1390</v>
      </c>
      <c r="AC81" s="189"/>
      <c r="AD81" s="189"/>
      <c r="AE81" s="189">
        <f t="shared" si="18"/>
        <v>1</v>
      </c>
      <c r="AF81" s="75"/>
      <c r="AG81" s="74">
        <v>44391</v>
      </c>
      <c r="AH81" s="74">
        <v>44482</v>
      </c>
      <c r="AI81" s="74"/>
      <c r="AJ81" s="75">
        <f t="shared" si="19"/>
        <v>1</v>
      </c>
      <c r="AK81" s="75">
        <f t="shared" si="20"/>
        <v>0</v>
      </c>
      <c r="AL81" s="75">
        <f t="shared" si="21"/>
        <v>1</v>
      </c>
      <c r="AM81" s="75">
        <f t="shared" si="22"/>
        <v>1</v>
      </c>
      <c r="AN81" s="75">
        <f t="shared" si="23"/>
        <v>0</v>
      </c>
      <c r="AO81" s="188" t="s">
        <v>828</v>
      </c>
      <c r="AP81" s="188" t="s">
        <v>739</v>
      </c>
      <c r="AQ81" s="188" t="s">
        <v>739</v>
      </c>
      <c r="AR81" s="188"/>
      <c r="AS81" s="188" t="s">
        <v>1391</v>
      </c>
      <c r="AT81" s="188" t="s">
        <v>1392</v>
      </c>
      <c r="AU81" s="188" t="s">
        <v>1393</v>
      </c>
      <c r="AV81" s="188"/>
      <c r="AW81" s="188" t="s">
        <v>828</v>
      </c>
      <c r="AX81" t="s">
        <v>739</v>
      </c>
      <c r="AY81" t="s">
        <v>739</v>
      </c>
      <c r="BA81" t="s">
        <v>1394</v>
      </c>
      <c r="BB81" t="s">
        <v>1395</v>
      </c>
      <c r="BC81" t="s">
        <v>1396</v>
      </c>
      <c r="BD81" s="143"/>
    </row>
    <row r="82" spans="1:56" ht="15" customHeight="1" x14ac:dyDescent="0.25">
      <c r="A82" s="188">
        <v>12</v>
      </c>
      <c r="B82" s="188" t="s">
        <v>496</v>
      </c>
      <c r="C82" s="188" t="s">
        <v>814</v>
      </c>
      <c r="D82" s="188" t="s">
        <v>727</v>
      </c>
      <c r="E82" s="188" t="s">
        <v>815</v>
      </c>
      <c r="F82" s="188" t="s">
        <v>816</v>
      </c>
      <c r="G82" s="188" t="s">
        <v>817</v>
      </c>
      <c r="H82" s="188" t="s">
        <v>818</v>
      </c>
      <c r="I82" t="s">
        <v>819</v>
      </c>
      <c r="J82" s="74">
        <v>44197</v>
      </c>
      <c r="K82" s="74">
        <v>44561</v>
      </c>
      <c r="L82" s="188" t="s">
        <v>733</v>
      </c>
      <c r="M82" s="188" t="str">
        <f t="shared" si="24"/>
        <v>Cesar</v>
      </c>
      <c r="N82" s="188" t="s">
        <v>30</v>
      </c>
      <c r="O82" s="188" t="s">
        <v>820</v>
      </c>
      <c r="P82" s="188" t="s">
        <v>821</v>
      </c>
      <c r="Q82" s="75">
        <v>0.1</v>
      </c>
      <c r="R82" s="190">
        <f>SUM(S82:V82)</f>
        <v>244044037.19724238</v>
      </c>
      <c r="S82" s="190">
        <v>48187520.591246814</v>
      </c>
      <c r="T82" s="190">
        <v>62466932.380238384</v>
      </c>
      <c r="U82" s="190">
        <v>63598747.878198795</v>
      </c>
      <c r="V82" s="190">
        <v>69790836.347558379</v>
      </c>
      <c r="W82" s="190">
        <v>34191991</v>
      </c>
      <c r="X82" s="190" t="s">
        <v>1397</v>
      </c>
      <c r="Y82" s="190">
        <v>27404109</v>
      </c>
      <c r="Z82" s="190" t="s">
        <v>1398</v>
      </c>
      <c r="AA82" s="190">
        <v>42809582</v>
      </c>
      <c r="AB82" s="190" t="s">
        <v>1399</v>
      </c>
      <c r="AC82" s="190"/>
      <c r="AD82" s="190"/>
      <c r="AE82" s="190">
        <f t="shared" si="18"/>
        <v>104405682</v>
      </c>
      <c r="AF82" s="74">
        <v>44300</v>
      </c>
      <c r="AG82" s="74">
        <v>44390</v>
      </c>
      <c r="AH82" s="74">
        <v>44482</v>
      </c>
      <c r="AI82" s="74"/>
      <c r="AJ82" s="75">
        <f t="shared" si="19"/>
        <v>0.42781492717077435</v>
      </c>
      <c r="AK82" s="75">
        <f t="shared" si="20"/>
        <v>0.70956111832429325</v>
      </c>
      <c r="AL82" s="75">
        <f t="shared" si="21"/>
        <v>0.43869785109968645</v>
      </c>
      <c r="AM82" s="75">
        <f t="shared" si="22"/>
        <v>0.67311988723405081</v>
      </c>
      <c r="AN82" s="75">
        <f t="shared" si="23"/>
        <v>0</v>
      </c>
      <c r="AO82" s="188" t="s">
        <v>739</v>
      </c>
      <c r="AP82" s="188" t="s">
        <v>739</v>
      </c>
      <c r="AQ82" s="188" t="s">
        <v>739</v>
      </c>
      <c r="AR82" s="188"/>
      <c r="AS82" s="188" t="s">
        <v>1367</v>
      </c>
      <c r="AT82" s="188" t="s">
        <v>1400</v>
      </c>
      <c r="AU82" s="188" t="s">
        <v>1401</v>
      </c>
      <c r="AV82" s="188"/>
      <c r="AW82" s="188" t="s">
        <v>739</v>
      </c>
      <c r="AX82" t="s">
        <v>739</v>
      </c>
      <c r="AY82" t="s">
        <v>828</v>
      </c>
      <c r="BA82" t="s">
        <v>1402</v>
      </c>
      <c r="BB82" t="s">
        <v>1403</v>
      </c>
      <c r="BC82" t="s">
        <v>1404</v>
      </c>
      <c r="BD82" s="143"/>
    </row>
    <row r="83" spans="1:56" ht="15" customHeight="1" x14ac:dyDescent="0.25">
      <c r="A83" s="188">
        <v>13</v>
      </c>
      <c r="B83" s="188" t="s">
        <v>496</v>
      </c>
      <c r="C83" s="188" t="s">
        <v>814</v>
      </c>
      <c r="D83" s="188" t="s">
        <v>727</v>
      </c>
      <c r="E83" s="188" t="s">
        <v>815</v>
      </c>
      <c r="F83" s="188" t="s">
        <v>816</v>
      </c>
      <c r="G83" s="188" t="s">
        <v>817</v>
      </c>
      <c r="H83" s="188" t="s">
        <v>818</v>
      </c>
      <c r="I83" t="s">
        <v>923</v>
      </c>
      <c r="J83" s="74">
        <v>44197</v>
      </c>
      <c r="K83" s="74">
        <v>44561</v>
      </c>
      <c r="L83" s="188" t="s">
        <v>733</v>
      </c>
      <c r="M83" s="188" t="str">
        <f t="shared" si="24"/>
        <v>Cesar</v>
      </c>
      <c r="N83" s="188" t="s">
        <v>60</v>
      </c>
      <c r="O83" s="188" t="s">
        <v>924</v>
      </c>
      <c r="P83" s="188" t="s">
        <v>821</v>
      </c>
      <c r="Q83" s="75">
        <v>0.1</v>
      </c>
      <c r="R83" s="189">
        <v>1</v>
      </c>
      <c r="S83" s="189">
        <v>0.25</v>
      </c>
      <c r="T83" s="189">
        <v>0.25</v>
      </c>
      <c r="U83" s="189">
        <v>0.25</v>
      </c>
      <c r="V83" s="189">
        <v>0.25</v>
      </c>
      <c r="W83" s="189">
        <v>0.25</v>
      </c>
      <c r="X83" s="189" t="s">
        <v>1405</v>
      </c>
      <c r="Y83" s="189">
        <v>0.66</v>
      </c>
      <c r="Z83" s="189" t="s">
        <v>1406</v>
      </c>
      <c r="AA83" s="189">
        <v>0.04</v>
      </c>
      <c r="AB83" s="189" t="s">
        <v>1407</v>
      </c>
      <c r="AC83" s="189"/>
      <c r="AD83" s="189"/>
      <c r="AE83" s="189">
        <f t="shared" si="18"/>
        <v>0.95000000000000007</v>
      </c>
      <c r="AF83" s="60">
        <v>44300</v>
      </c>
      <c r="AG83" s="60">
        <v>44390</v>
      </c>
      <c r="AH83" s="60">
        <v>44482</v>
      </c>
      <c r="AI83" s="60"/>
      <c r="AJ83" s="75">
        <f t="shared" si="19"/>
        <v>0.95000000000000007</v>
      </c>
      <c r="AK83" s="75">
        <f t="shared" si="20"/>
        <v>1</v>
      </c>
      <c r="AL83" s="75">
        <f t="shared" si="21"/>
        <v>1</v>
      </c>
      <c r="AM83" s="75">
        <f t="shared" si="22"/>
        <v>0.16</v>
      </c>
      <c r="AN83" s="75">
        <f t="shared" si="23"/>
        <v>0</v>
      </c>
      <c r="AO83" s="188" t="s">
        <v>739</v>
      </c>
      <c r="AP83" s="188" t="s">
        <v>739</v>
      </c>
      <c r="AQ83" s="188" t="s">
        <v>739</v>
      </c>
      <c r="AR83" s="188"/>
      <c r="AS83" s="188" t="s">
        <v>1408</v>
      </c>
      <c r="AT83" s="188" t="s">
        <v>1409</v>
      </c>
      <c r="AU83" s="188" t="s">
        <v>1410</v>
      </c>
      <c r="AV83" s="188"/>
      <c r="AW83" s="188" t="s">
        <v>739</v>
      </c>
      <c r="AX83" t="s">
        <v>739</v>
      </c>
      <c r="AY83" t="s">
        <v>739</v>
      </c>
      <c r="BA83" t="s">
        <v>1411</v>
      </c>
      <c r="BB83" t="s">
        <v>1412</v>
      </c>
      <c r="BC83" t="s">
        <v>1413</v>
      </c>
      <c r="BD83" s="143"/>
    </row>
    <row r="84" spans="1:56" ht="15" customHeight="1" x14ac:dyDescent="0.25">
      <c r="A84" s="188">
        <v>1</v>
      </c>
      <c r="B84" s="188" t="s">
        <v>497</v>
      </c>
      <c r="C84" s="188" t="s">
        <v>832</v>
      </c>
      <c r="D84" s="188" t="s">
        <v>727</v>
      </c>
      <c r="E84" s="188" t="s">
        <v>728</v>
      </c>
      <c r="F84" s="188" t="s">
        <v>729</v>
      </c>
      <c r="G84" s="188" t="s">
        <v>730</v>
      </c>
      <c r="H84" s="188" t="s">
        <v>731</v>
      </c>
      <c r="I84" s="188" t="s">
        <v>844</v>
      </c>
      <c r="J84" s="74">
        <v>44197</v>
      </c>
      <c r="K84" s="74">
        <v>44561</v>
      </c>
      <c r="L84" s="188" t="s">
        <v>733</v>
      </c>
      <c r="M84" s="188" t="str">
        <f>B84</f>
        <v>Córdoba</v>
      </c>
      <c r="N84" s="188" t="s">
        <v>30</v>
      </c>
      <c r="O84" s="188" t="s">
        <v>845</v>
      </c>
      <c r="P84" s="188" t="s">
        <v>735</v>
      </c>
      <c r="Q84" s="75">
        <v>9.0909090909090912E-2</v>
      </c>
      <c r="R84" s="190">
        <v>91184</v>
      </c>
      <c r="S84" s="190">
        <v>0</v>
      </c>
      <c r="T84" s="190">
        <v>0</v>
      </c>
      <c r="U84" s="190">
        <v>0</v>
      </c>
      <c r="V84" s="190">
        <v>91184</v>
      </c>
      <c r="W84" s="190">
        <v>0</v>
      </c>
      <c r="X84" s="190" t="s">
        <v>1414</v>
      </c>
      <c r="Y84" s="190">
        <v>0</v>
      </c>
      <c r="Z84" s="190" t="s">
        <v>1414</v>
      </c>
      <c r="AA84" s="190">
        <v>0</v>
      </c>
      <c r="AB84" s="190" t="s">
        <v>1415</v>
      </c>
      <c r="AC84" s="190"/>
      <c r="AD84" s="190"/>
      <c r="AE84" s="190">
        <f t="shared" si="18"/>
        <v>0</v>
      </c>
      <c r="AF84" s="74">
        <v>44298</v>
      </c>
      <c r="AG84" s="74">
        <v>44386</v>
      </c>
      <c r="AH84" s="74">
        <v>44476</v>
      </c>
      <c r="AI84" s="74"/>
      <c r="AJ84" s="75">
        <f t="shared" si="19"/>
        <v>0</v>
      </c>
      <c r="AK84" s="75" t="str">
        <f t="shared" si="20"/>
        <v/>
      </c>
      <c r="AL84" s="75" t="str">
        <f t="shared" si="21"/>
        <v/>
      </c>
      <c r="AM84" s="75" t="str">
        <f t="shared" si="22"/>
        <v/>
      </c>
      <c r="AN84" s="75">
        <f t="shared" si="23"/>
        <v>0</v>
      </c>
      <c r="AO84" s="188" t="s">
        <v>838</v>
      </c>
      <c r="AP84" s="188" t="s">
        <v>838</v>
      </c>
      <c r="AQ84" s="188" t="s">
        <v>838</v>
      </c>
      <c r="AR84" s="188"/>
      <c r="AS84" s="188" t="s">
        <v>838</v>
      </c>
      <c r="AT84" s="188" t="s">
        <v>838</v>
      </c>
      <c r="AU84" s="188" t="s">
        <v>1416</v>
      </c>
      <c r="AV84" s="188"/>
      <c r="AW84" s="188" t="s">
        <v>838</v>
      </c>
      <c r="AX84" s="188" t="s">
        <v>838</v>
      </c>
      <c r="AY84" s="188" t="s">
        <v>838</v>
      </c>
      <c r="AZ84" s="188"/>
      <c r="BA84" s="188" t="s">
        <v>1417</v>
      </c>
      <c r="BB84" s="188" t="s">
        <v>1418</v>
      </c>
      <c r="BC84" s="188" t="s">
        <v>1418</v>
      </c>
      <c r="BD84" s="143"/>
    </row>
    <row r="85" spans="1:56" ht="15" customHeight="1" x14ac:dyDescent="0.25">
      <c r="A85" s="188">
        <v>2</v>
      </c>
      <c r="B85" s="188" t="s">
        <v>497</v>
      </c>
      <c r="C85" s="188" t="s">
        <v>726</v>
      </c>
      <c r="D85" s="188" t="s">
        <v>727</v>
      </c>
      <c r="E85" s="188" t="s">
        <v>728</v>
      </c>
      <c r="F85" s="188" t="s">
        <v>729</v>
      </c>
      <c r="G85" s="188" t="s">
        <v>730</v>
      </c>
      <c r="H85" s="188" t="s">
        <v>731</v>
      </c>
      <c r="I85" s="188" t="s">
        <v>732</v>
      </c>
      <c r="J85" s="74">
        <v>44197</v>
      </c>
      <c r="K85" s="74">
        <v>44561</v>
      </c>
      <c r="L85" s="188" t="s">
        <v>733</v>
      </c>
      <c r="M85" s="188" t="str">
        <f t="shared" ref="M85:M94" si="25">B85</f>
        <v>Córdoba</v>
      </c>
      <c r="N85" s="188" t="s">
        <v>30</v>
      </c>
      <c r="O85" s="188" t="s">
        <v>734</v>
      </c>
      <c r="P85" s="188" t="s">
        <v>735</v>
      </c>
      <c r="Q85" s="75">
        <v>9.0909090909090912E-2</v>
      </c>
      <c r="R85" s="190">
        <v>4778</v>
      </c>
      <c r="S85" s="190">
        <v>0</v>
      </c>
      <c r="T85" s="190">
        <v>0</v>
      </c>
      <c r="U85" s="190">
        <v>0</v>
      </c>
      <c r="V85" s="190">
        <v>4778</v>
      </c>
      <c r="W85" s="190">
        <v>1592</v>
      </c>
      <c r="X85" s="190" t="s">
        <v>1419</v>
      </c>
      <c r="Y85" s="190">
        <v>1884</v>
      </c>
      <c r="Z85" s="190" t="s">
        <v>1420</v>
      </c>
      <c r="AA85" s="190">
        <v>1056</v>
      </c>
      <c r="AB85" s="190" t="s">
        <v>1421</v>
      </c>
      <c r="AC85" s="190"/>
      <c r="AD85" s="190"/>
      <c r="AE85" s="190">
        <f t="shared" si="18"/>
        <v>4532</v>
      </c>
      <c r="AF85" s="74">
        <v>44299</v>
      </c>
      <c r="AG85" s="74">
        <v>44390</v>
      </c>
      <c r="AH85" s="74">
        <v>44474</v>
      </c>
      <c r="AI85" s="74"/>
      <c r="AJ85" s="75">
        <f t="shared" si="19"/>
        <v>0.94851402260359985</v>
      </c>
      <c r="AK85" s="75" t="str">
        <f t="shared" si="20"/>
        <v/>
      </c>
      <c r="AL85" s="75" t="str">
        <f t="shared" si="21"/>
        <v/>
      </c>
      <c r="AM85" s="75" t="str">
        <f t="shared" si="22"/>
        <v/>
      </c>
      <c r="AN85" s="75">
        <f t="shared" si="23"/>
        <v>0</v>
      </c>
      <c r="AO85" s="188" t="s">
        <v>739</v>
      </c>
      <c r="AP85" s="188" t="s">
        <v>739</v>
      </c>
      <c r="AQ85" s="188" t="s">
        <v>739</v>
      </c>
      <c r="AR85" s="188"/>
      <c r="AS85" s="188" t="s">
        <v>1422</v>
      </c>
      <c r="AT85" s="188" t="s">
        <v>1423</v>
      </c>
      <c r="AU85" s="188" t="s">
        <v>1424</v>
      </c>
      <c r="AV85" s="188"/>
      <c r="AW85" s="188" t="s">
        <v>739</v>
      </c>
      <c r="AX85" t="s">
        <v>739</v>
      </c>
      <c r="AY85" t="s">
        <v>739</v>
      </c>
      <c r="BA85" t="s">
        <v>1425</v>
      </c>
      <c r="BB85" t="s">
        <v>1426</v>
      </c>
      <c r="BC85" t="s">
        <v>1427</v>
      </c>
      <c r="BD85" s="143"/>
    </row>
    <row r="86" spans="1:56" ht="15" customHeight="1" x14ac:dyDescent="0.25">
      <c r="A86" s="188">
        <v>4</v>
      </c>
      <c r="B86" s="188" t="s">
        <v>497</v>
      </c>
      <c r="C86" s="188" t="s">
        <v>726</v>
      </c>
      <c r="D86" s="188" t="s">
        <v>727</v>
      </c>
      <c r="E86" s="188" t="s">
        <v>728</v>
      </c>
      <c r="F86" s="188" t="s">
        <v>729</v>
      </c>
      <c r="G86" s="188" t="s">
        <v>730</v>
      </c>
      <c r="H86" s="188" t="s">
        <v>731</v>
      </c>
      <c r="I86" s="188" t="s">
        <v>746</v>
      </c>
      <c r="J86" s="74">
        <v>44197</v>
      </c>
      <c r="K86" s="74">
        <v>44561</v>
      </c>
      <c r="L86" s="188" t="s">
        <v>733</v>
      </c>
      <c r="M86" s="188" t="str">
        <f t="shared" si="25"/>
        <v>Córdoba</v>
      </c>
      <c r="N86" s="188" t="s">
        <v>30</v>
      </c>
      <c r="O86" s="188" t="s">
        <v>747</v>
      </c>
      <c r="P86" s="188" t="s">
        <v>735</v>
      </c>
      <c r="Q86" s="75">
        <v>9.0909090909090912E-2</v>
      </c>
      <c r="R86" s="190">
        <v>8072</v>
      </c>
      <c r="S86" s="190">
        <v>0</v>
      </c>
      <c r="T86" s="190">
        <v>0</v>
      </c>
      <c r="U86" s="190">
        <v>0</v>
      </c>
      <c r="V86" s="190">
        <v>8072</v>
      </c>
      <c r="W86" s="190">
        <v>904</v>
      </c>
      <c r="X86" s="190" t="s">
        <v>1428</v>
      </c>
      <c r="Y86" s="190">
        <v>1716</v>
      </c>
      <c r="Z86" s="190" t="s">
        <v>1429</v>
      </c>
      <c r="AA86" s="190">
        <v>1066</v>
      </c>
      <c r="AB86" s="190" t="s">
        <v>1430</v>
      </c>
      <c r="AC86" s="190"/>
      <c r="AD86" s="190"/>
      <c r="AE86" s="190">
        <f t="shared" si="18"/>
        <v>3686</v>
      </c>
      <c r="AF86" s="74">
        <v>44299</v>
      </c>
      <c r="AG86" s="74">
        <v>44390</v>
      </c>
      <c r="AH86" s="74">
        <v>44474</v>
      </c>
      <c r="AI86" s="74"/>
      <c r="AJ86" s="75">
        <f t="shared" si="19"/>
        <v>0.45664023785926661</v>
      </c>
      <c r="AK86" s="75" t="str">
        <f t="shared" si="20"/>
        <v/>
      </c>
      <c r="AL86" s="75" t="str">
        <f t="shared" si="21"/>
        <v/>
      </c>
      <c r="AM86" s="75" t="str">
        <f t="shared" si="22"/>
        <v/>
      </c>
      <c r="AN86" s="75">
        <f t="shared" si="23"/>
        <v>0</v>
      </c>
      <c r="AO86" s="188" t="s">
        <v>739</v>
      </c>
      <c r="AP86" s="188" t="s">
        <v>739</v>
      </c>
      <c r="AQ86" s="188" t="s">
        <v>739</v>
      </c>
      <c r="AR86" s="188"/>
      <c r="AS86" s="188" t="s">
        <v>1431</v>
      </c>
      <c r="AT86" s="188" t="s">
        <v>1423</v>
      </c>
      <c r="AU86" s="188" t="s">
        <v>1424</v>
      </c>
      <c r="AV86" s="188"/>
      <c r="AW86" s="188" t="s">
        <v>739</v>
      </c>
      <c r="AX86" t="s">
        <v>739</v>
      </c>
      <c r="AY86" t="s">
        <v>739</v>
      </c>
      <c r="BA86" t="s">
        <v>1432</v>
      </c>
      <c r="BB86" t="s">
        <v>1433</v>
      </c>
      <c r="BC86" t="s">
        <v>1434</v>
      </c>
      <c r="BD86" s="143"/>
    </row>
    <row r="87" spans="1:56" ht="15" customHeight="1" x14ac:dyDescent="0.25">
      <c r="A87" s="188">
        <v>6</v>
      </c>
      <c r="B87" s="188" t="s">
        <v>497</v>
      </c>
      <c r="C87" s="188" t="s">
        <v>964</v>
      </c>
      <c r="D87" s="188" t="s">
        <v>727</v>
      </c>
      <c r="E87" s="188" t="s">
        <v>815</v>
      </c>
      <c r="F87" s="188" t="s">
        <v>965</v>
      </c>
      <c r="G87" s="188" t="s">
        <v>730</v>
      </c>
      <c r="H87" s="188" t="s">
        <v>731</v>
      </c>
      <c r="I87" t="s">
        <v>966</v>
      </c>
      <c r="J87" s="74">
        <v>44197</v>
      </c>
      <c r="K87" s="74">
        <v>44561</v>
      </c>
      <c r="L87" s="188" t="s">
        <v>733</v>
      </c>
      <c r="M87" s="188" t="str">
        <f t="shared" si="25"/>
        <v>Córdoba</v>
      </c>
      <c r="N87" s="188" t="s">
        <v>30</v>
      </c>
      <c r="O87" s="188" t="s">
        <v>967</v>
      </c>
      <c r="P87" s="188" t="s">
        <v>735</v>
      </c>
      <c r="Q87" s="75">
        <v>9.0909090909090912E-2</v>
      </c>
      <c r="R87" s="190">
        <v>40</v>
      </c>
      <c r="S87" s="190">
        <v>0</v>
      </c>
      <c r="T87" s="190">
        <v>0</v>
      </c>
      <c r="U87" s="190">
        <v>0</v>
      </c>
      <c r="V87" s="190">
        <v>40</v>
      </c>
      <c r="W87" s="190">
        <v>6</v>
      </c>
      <c r="X87" s="190" t="s">
        <v>1435</v>
      </c>
      <c r="Y87" s="190">
        <v>9</v>
      </c>
      <c r="Z87" s="190" t="s">
        <v>1436</v>
      </c>
      <c r="AA87" s="190">
        <v>17</v>
      </c>
      <c r="AB87" s="190" t="s">
        <v>1437</v>
      </c>
      <c r="AC87" s="190"/>
      <c r="AD87" s="190"/>
      <c r="AE87" s="190">
        <f t="shared" si="18"/>
        <v>32</v>
      </c>
      <c r="AF87" s="74">
        <v>44298</v>
      </c>
      <c r="AG87" s="74">
        <v>44391</v>
      </c>
      <c r="AH87" s="74">
        <v>44480</v>
      </c>
      <c r="AI87" s="74"/>
      <c r="AJ87" s="75">
        <f t="shared" si="19"/>
        <v>0.8</v>
      </c>
      <c r="AK87" s="75" t="str">
        <f t="shared" si="20"/>
        <v/>
      </c>
      <c r="AL87" s="75" t="str">
        <f t="shared" si="21"/>
        <v/>
      </c>
      <c r="AM87" s="75" t="str">
        <f t="shared" si="22"/>
        <v/>
      </c>
      <c r="AN87" s="75">
        <f t="shared" si="23"/>
        <v>0</v>
      </c>
      <c r="AO87" s="188" t="s">
        <v>739</v>
      </c>
      <c r="AP87" s="188" t="s">
        <v>739</v>
      </c>
      <c r="AQ87" s="188" t="s">
        <v>739</v>
      </c>
      <c r="AR87" s="188"/>
      <c r="AS87" s="188" t="s">
        <v>1438</v>
      </c>
      <c r="AT87" s="188" t="s">
        <v>1423</v>
      </c>
      <c r="AU87" s="188" t="s">
        <v>1424</v>
      </c>
      <c r="AV87" s="188"/>
      <c r="AW87" s="188" t="s">
        <v>739</v>
      </c>
      <c r="AX87" t="s">
        <v>739</v>
      </c>
      <c r="AY87" t="s">
        <v>739</v>
      </c>
      <c r="BA87" t="s">
        <v>1439</v>
      </c>
      <c r="BB87" t="s">
        <v>1423</v>
      </c>
      <c r="BC87" t="s">
        <v>1440</v>
      </c>
      <c r="BD87" s="143"/>
    </row>
    <row r="88" spans="1:56" ht="15" customHeight="1" x14ac:dyDescent="0.25">
      <c r="A88" s="188">
        <v>7</v>
      </c>
      <c r="B88" s="188" t="s">
        <v>497</v>
      </c>
      <c r="C88" s="188" t="s">
        <v>756</v>
      </c>
      <c r="D88" s="188" t="s">
        <v>727</v>
      </c>
      <c r="E88" s="188" t="s">
        <v>728</v>
      </c>
      <c r="F88" s="188" t="s">
        <v>757</v>
      </c>
      <c r="G88" s="188" t="s">
        <v>730</v>
      </c>
      <c r="H88" s="188" t="s">
        <v>731</v>
      </c>
      <c r="I88" t="s">
        <v>758</v>
      </c>
      <c r="J88" s="74">
        <v>44197</v>
      </c>
      <c r="K88" s="74">
        <v>44561</v>
      </c>
      <c r="L88" s="188" t="s">
        <v>733</v>
      </c>
      <c r="M88" s="188" t="str">
        <f t="shared" si="25"/>
        <v>Córdoba</v>
      </c>
      <c r="N88" s="188" t="s">
        <v>60</v>
      </c>
      <c r="O88" s="188" t="s">
        <v>759</v>
      </c>
      <c r="P88" s="188" t="s">
        <v>735</v>
      </c>
      <c r="Q88" s="75">
        <v>9.0909090909090912E-2</v>
      </c>
      <c r="R88" s="189">
        <v>1</v>
      </c>
      <c r="S88" s="189">
        <v>0.25</v>
      </c>
      <c r="T88" s="189">
        <v>0.25</v>
      </c>
      <c r="U88" s="189">
        <v>0.25</v>
      </c>
      <c r="V88" s="189">
        <v>0.25</v>
      </c>
      <c r="W88" s="189">
        <v>0.25</v>
      </c>
      <c r="X88" s="189" t="s">
        <v>1441</v>
      </c>
      <c r="Y88" s="189">
        <v>0.23</v>
      </c>
      <c r="Z88" s="189" t="s">
        <v>1442</v>
      </c>
      <c r="AA88" s="189">
        <v>0.24</v>
      </c>
      <c r="AB88" s="189" t="s">
        <v>1443</v>
      </c>
      <c r="AC88" s="189"/>
      <c r="AD88" s="189"/>
      <c r="AE88" s="189">
        <f t="shared" si="18"/>
        <v>0.72</v>
      </c>
      <c r="AF88" s="74">
        <v>44298</v>
      </c>
      <c r="AG88" s="74">
        <v>44391</v>
      </c>
      <c r="AH88" s="74">
        <v>44476</v>
      </c>
      <c r="AI88" s="74"/>
      <c r="AJ88" s="75">
        <f t="shared" si="19"/>
        <v>0.72</v>
      </c>
      <c r="AK88" s="75">
        <f t="shared" si="20"/>
        <v>1</v>
      </c>
      <c r="AL88" s="75">
        <f t="shared" si="21"/>
        <v>0.92</v>
      </c>
      <c r="AM88" s="75">
        <f t="shared" si="22"/>
        <v>0.96</v>
      </c>
      <c r="AN88" s="75">
        <f t="shared" si="23"/>
        <v>0</v>
      </c>
      <c r="AO88" s="188" t="s">
        <v>739</v>
      </c>
      <c r="AP88" s="188" t="s">
        <v>739</v>
      </c>
      <c r="AQ88" s="188" t="s">
        <v>739</v>
      </c>
      <c r="AR88" s="188"/>
      <c r="AS88" s="188" t="s">
        <v>1444</v>
      </c>
      <c r="AT88" s="188" t="s">
        <v>1423</v>
      </c>
      <c r="AU88" s="188" t="s">
        <v>1424</v>
      </c>
      <c r="AV88" s="188"/>
      <c r="AW88" s="188" t="s">
        <v>739</v>
      </c>
      <c r="AX88" t="s">
        <v>739</v>
      </c>
      <c r="AY88" t="s">
        <v>828</v>
      </c>
      <c r="BA88" t="s">
        <v>1445</v>
      </c>
      <c r="BB88" t="s">
        <v>1446</v>
      </c>
      <c r="BC88" t="s">
        <v>1447</v>
      </c>
      <c r="BD88" s="143"/>
    </row>
    <row r="89" spans="1:56" ht="15" customHeight="1" x14ac:dyDescent="0.25">
      <c r="A89" s="188">
        <v>8</v>
      </c>
      <c r="B89" s="188" t="s">
        <v>497</v>
      </c>
      <c r="C89" s="188" t="s">
        <v>768</v>
      </c>
      <c r="D89" s="188" t="s">
        <v>727</v>
      </c>
      <c r="E89" s="188" t="s">
        <v>728</v>
      </c>
      <c r="F89" s="188" t="s">
        <v>757</v>
      </c>
      <c r="G89" s="188" t="s">
        <v>730</v>
      </c>
      <c r="H89" s="188" t="s">
        <v>731</v>
      </c>
      <c r="I89" t="s">
        <v>769</v>
      </c>
      <c r="J89" s="74">
        <v>44197</v>
      </c>
      <c r="K89" s="74">
        <v>44561</v>
      </c>
      <c r="L89" s="188" t="s">
        <v>733</v>
      </c>
      <c r="M89" s="188" t="str">
        <f t="shared" si="25"/>
        <v>Córdoba</v>
      </c>
      <c r="N89" s="188" t="s">
        <v>60</v>
      </c>
      <c r="O89" s="188" t="s">
        <v>759</v>
      </c>
      <c r="P89" s="188" t="s">
        <v>735</v>
      </c>
      <c r="Q89" s="75">
        <v>9.0909090909090912E-2</v>
      </c>
      <c r="R89" s="189">
        <v>1</v>
      </c>
      <c r="S89" s="189">
        <v>0.25</v>
      </c>
      <c r="T89" s="189">
        <v>0.25</v>
      </c>
      <c r="U89" s="189">
        <v>0.25</v>
      </c>
      <c r="V89" s="189">
        <v>0.25</v>
      </c>
      <c r="W89" s="189">
        <v>0.25</v>
      </c>
      <c r="X89" s="189" t="s">
        <v>1448</v>
      </c>
      <c r="Y89" s="189">
        <v>0.25</v>
      </c>
      <c r="Z89" s="189" t="s">
        <v>1449</v>
      </c>
      <c r="AA89" s="189">
        <v>0.22</v>
      </c>
      <c r="AB89" s="189" t="s">
        <v>1450</v>
      </c>
      <c r="AC89" s="189"/>
      <c r="AD89" s="189"/>
      <c r="AE89" s="189">
        <f t="shared" si="18"/>
        <v>0.72</v>
      </c>
      <c r="AF89" s="74">
        <v>44298</v>
      </c>
      <c r="AG89" s="74">
        <v>44392</v>
      </c>
      <c r="AH89" s="74">
        <v>44481</v>
      </c>
      <c r="AI89" s="74"/>
      <c r="AJ89" s="75">
        <f t="shared" si="19"/>
        <v>0.72</v>
      </c>
      <c r="AK89" s="75">
        <f t="shared" si="20"/>
        <v>1</v>
      </c>
      <c r="AL89" s="75">
        <f t="shared" si="21"/>
        <v>1</v>
      </c>
      <c r="AM89" s="75">
        <f t="shared" si="22"/>
        <v>0.88</v>
      </c>
      <c r="AN89" s="75">
        <f t="shared" si="23"/>
        <v>0</v>
      </c>
      <c r="AO89" s="188" t="s">
        <v>739</v>
      </c>
      <c r="AP89" s="188" t="s">
        <v>739</v>
      </c>
      <c r="AQ89" s="188" t="s">
        <v>739</v>
      </c>
      <c r="AR89" s="188"/>
      <c r="AS89" s="188" t="s">
        <v>1451</v>
      </c>
      <c r="AT89" s="188" t="s">
        <v>1423</v>
      </c>
      <c r="AU89" s="188" t="s">
        <v>1452</v>
      </c>
      <c r="AV89" s="188"/>
      <c r="AW89" s="188" t="s">
        <v>739</v>
      </c>
      <c r="AX89" t="s">
        <v>739</v>
      </c>
      <c r="AY89" t="s">
        <v>739</v>
      </c>
      <c r="BA89" t="s">
        <v>1453</v>
      </c>
      <c r="BB89" t="s">
        <v>1423</v>
      </c>
      <c r="BC89" t="s">
        <v>1454</v>
      </c>
      <c r="BD89" s="143"/>
    </row>
    <row r="90" spans="1:56" ht="15" customHeight="1" x14ac:dyDescent="0.25">
      <c r="A90" s="188">
        <v>9</v>
      </c>
      <c r="B90" s="188" t="s">
        <v>497</v>
      </c>
      <c r="C90" s="188" t="s">
        <v>777</v>
      </c>
      <c r="D90" s="188" t="s">
        <v>778</v>
      </c>
      <c r="E90" s="188" t="s">
        <v>779</v>
      </c>
      <c r="F90" s="188" t="s">
        <v>780</v>
      </c>
      <c r="G90" s="188" t="s">
        <v>730</v>
      </c>
      <c r="H90" s="188" t="s">
        <v>781</v>
      </c>
      <c r="I90" t="s">
        <v>782</v>
      </c>
      <c r="J90" s="74">
        <v>44197</v>
      </c>
      <c r="K90" s="74">
        <v>44561</v>
      </c>
      <c r="L90" s="188" t="s">
        <v>733</v>
      </c>
      <c r="M90" s="188" t="str">
        <f t="shared" si="25"/>
        <v>Córdoba</v>
      </c>
      <c r="N90" s="188" t="s">
        <v>60</v>
      </c>
      <c r="O90" s="188" t="s">
        <v>759</v>
      </c>
      <c r="P90" s="188" t="s">
        <v>735</v>
      </c>
      <c r="Q90" s="75">
        <v>9.0909090909090912E-2</v>
      </c>
      <c r="R90" s="189">
        <v>1</v>
      </c>
      <c r="S90" s="189">
        <v>0.25</v>
      </c>
      <c r="T90" s="189">
        <v>0.25</v>
      </c>
      <c r="U90" s="189">
        <v>0.25</v>
      </c>
      <c r="V90" s="189">
        <v>0.25</v>
      </c>
      <c r="W90" s="189">
        <v>0.24</v>
      </c>
      <c r="X90" s="189" t="s">
        <v>1455</v>
      </c>
      <c r="Y90" s="189">
        <v>0.24</v>
      </c>
      <c r="Z90" s="189" t="s">
        <v>1456</v>
      </c>
      <c r="AA90" s="189">
        <v>0.24</v>
      </c>
      <c r="AB90" s="189" t="s">
        <v>1457</v>
      </c>
      <c r="AC90" s="189"/>
      <c r="AD90" s="189"/>
      <c r="AE90" s="189">
        <f t="shared" si="18"/>
        <v>0.72</v>
      </c>
      <c r="AF90" s="74">
        <v>44298</v>
      </c>
      <c r="AG90" s="74">
        <v>44391</v>
      </c>
      <c r="AH90" s="74">
        <v>44476</v>
      </c>
      <c r="AI90" s="74"/>
      <c r="AJ90" s="75">
        <f t="shared" si="19"/>
        <v>0.72</v>
      </c>
      <c r="AK90" s="75">
        <f t="shared" si="20"/>
        <v>0.96</v>
      </c>
      <c r="AL90" s="75">
        <f t="shared" si="21"/>
        <v>0.96</v>
      </c>
      <c r="AM90" s="75">
        <f t="shared" si="22"/>
        <v>0.96</v>
      </c>
      <c r="AN90" s="75">
        <f t="shared" si="23"/>
        <v>0</v>
      </c>
      <c r="AO90" s="188" t="s">
        <v>828</v>
      </c>
      <c r="AP90" s="188" t="s">
        <v>739</v>
      </c>
      <c r="AQ90" s="188" t="s">
        <v>739</v>
      </c>
      <c r="AR90" s="188"/>
      <c r="AS90" s="188" t="s">
        <v>1458</v>
      </c>
      <c r="AT90" s="188" t="s">
        <v>1423</v>
      </c>
      <c r="AU90" s="188" t="s">
        <v>1452</v>
      </c>
      <c r="AV90" s="188"/>
      <c r="AW90" s="188" t="s">
        <v>739</v>
      </c>
      <c r="AX90" t="s">
        <v>739</v>
      </c>
      <c r="AY90" t="s">
        <v>739</v>
      </c>
      <c r="BA90" t="s">
        <v>1459</v>
      </c>
      <c r="BB90" t="s">
        <v>1423</v>
      </c>
      <c r="BC90" t="s">
        <v>1460</v>
      </c>
      <c r="BD90" s="143"/>
    </row>
    <row r="91" spans="1:56" ht="15" customHeight="1" x14ac:dyDescent="0.25">
      <c r="A91" s="188">
        <v>10</v>
      </c>
      <c r="B91" s="188" t="s">
        <v>497</v>
      </c>
      <c r="C91" s="188" t="s">
        <v>790</v>
      </c>
      <c r="D91" s="188" t="s">
        <v>791</v>
      </c>
      <c r="E91" s="188" t="s">
        <v>792</v>
      </c>
      <c r="F91" s="188" t="s">
        <v>793</v>
      </c>
      <c r="G91" s="188" t="s">
        <v>794</v>
      </c>
      <c r="H91" s="188" t="s">
        <v>794</v>
      </c>
      <c r="I91" t="s">
        <v>795</v>
      </c>
      <c r="J91" s="74">
        <v>44197</v>
      </c>
      <c r="K91" s="74">
        <v>44561</v>
      </c>
      <c r="L91" s="188" t="s">
        <v>733</v>
      </c>
      <c r="M91" s="188" t="str">
        <f t="shared" si="25"/>
        <v>Córdoba</v>
      </c>
      <c r="N91" s="188" t="s">
        <v>60</v>
      </c>
      <c r="O91" s="188" t="s">
        <v>796</v>
      </c>
      <c r="P91" s="188" t="s">
        <v>735</v>
      </c>
      <c r="Q91" s="75">
        <v>9.0909090909090912E-2</v>
      </c>
      <c r="R91" s="189">
        <v>1</v>
      </c>
      <c r="S91" s="189">
        <v>0.25</v>
      </c>
      <c r="T91" s="189">
        <v>0.25</v>
      </c>
      <c r="U91" s="189">
        <v>0.25</v>
      </c>
      <c r="V91" s="189">
        <v>0.25</v>
      </c>
      <c r="W91" s="189">
        <v>0.25</v>
      </c>
      <c r="X91" s="189" t="s">
        <v>1461</v>
      </c>
      <c r="Y91" s="189">
        <v>0.25</v>
      </c>
      <c r="Z91" s="189" t="s">
        <v>1462</v>
      </c>
      <c r="AA91" s="189">
        <v>0.25</v>
      </c>
      <c r="AB91" s="189" t="s">
        <v>1463</v>
      </c>
      <c r="AC91" s="189"/>
      <c r="AD91" s="189"/>
      <c r="AE91" s="189">
        <f t="shared" si="18"/>
        <v>0.75</v>
      </c>
      <c r="AF91" s="74">
        <v>44298</v>
      </c>
      <c r="AG91" s="74">
        <v>44385</v>
      </c>
      <c r="AH91" s="74">
        <v>44481</v>
      </c>
      <c r="AI91" s="74"/>
      <c r="AJ91" s="75">
        <f t="shared" si="19"/>
        <v>0.75</v>
      </c>
      <c r="AK91" s="75">
        <f t="shared" si="20"/>
        <v>1</v>
      </c>
      <c r="AL91" s="75">
        <f t="shared" si="21"/>
        <v>1</v>
      </c>
      <c r="AM91" s="75">
        <f t="shared" si="22"/>
        <v>1</v>
      </c>
      <c r="AN91" s="75">
        <f t="shared" si="23"/>
        <v>0</v>
      </c>
      <c r="AO91" s="188" t="s">
        <v>739</v>
      </c>
      <c r="AP91" s="188" t="s">
        <v>739</v>
      </c>
      <c r="AQ91" s="188" t="s">
        <v>739</v>
      </c>
      <c r="AR91" s="188"/>
      <c r="AS91" s="188" t="s">
        <v>1464</v>
      </c>
      <c r="AT91" s="188" t="s">
        <v>1423</v>
      </c>
      <c r="AU91" s="188" t="s">
        <v>1452</v>
      </c>
      <c r="AV91" s="188"/>
      <c r="AW91" s="188" t="s">
        <v>739</v>
      </c>
      <c r="AX91" t="s">
        <v>739</v>
      </c>
      <c r="AY91" t="s">
        <v>739</v>
      </c>
      <c r="BA91" t="s">
        <v>1465</v>
      </c>
      <c r="BB91" t="s">
        <v>1466</v>
      </c>
      <c r="BC91" t="s">
        <v>1466</v>
      </c>
      <c r="BD91" s="143"/>
    </row>
    <row r="92" spans="1:56" ht="15" customHeight="1" x14ac:dyDescent="0.25">
      <c r="A92" s="188">
        <v>11</v>
      </c>
      <c r="B92" s="188" t="s">
        <v>497</v>
      </c>
      <c r="C92" s="188" t="s">
        <v>790</v>
      </c>
      <c r="D92" s="188" t="s">
        <v>791</v>
      </c>
      <c r="E92" s="188" t="s">
        <v>792</v>
      </c>
      <c r="F92" s="188" t="s">
        <v>793</v>
      </c>
      <c r="G92" s="188" t="s">
        <v>794</v>
      </c>
      <c r="H92" s="188" t="s">
        <v>794</v>
      </c>
      <c r="I92" s="188" t="s">
        <v>805</v>
      </c>
      <c r="J92" s="74">
        <v>44197</v>
      </c>
      <c r="K92" s="74">
        <v>44561</v>
      </c>
      <c r="L92" s="188" t="s">
        <v>733</v>
      </c>
      <c r="M92" s="188" t="str">
        <f t="shared" si="25"/>
        <v>Córdoba</v>
      </c>
      <c r="N92" s="188" t="s">
        <v>60</v>
      </c>
      <c r="O92" s="188" t="s">
        <v>806</v>
      </c>
      <c r="P92" s="188" t="s">
        <v>735</v>
      </c>
      <c r="Q92" s="75">
        <v>9.0909090909090912E-2</v>
      </c>
      <c r="R92" s="189">
        <v>1</v>
      </c>
      <c r="S92" s="189">
        <v>0.25</v>
      </c>
      <c r="T92" s="189">
        <v>0.25</v>
      </c>
      <c r="U92" s="189">
        <v>0.25</v>
      </c>
      <c r="V92" s="189">
        <v>0.25</v>
      </c>
      <c r="W92" s="189">
        <v>0.25</v>
      </c>
      <c r="X92" s="189" t="s">
        <v>1467</v>
      </c>
      <c r="Y92" s="189">
        <v>0.25</v>
      </c>
      <c r="Z92" s="189" t="s">
        <v>1468</v>
      </c>
      <c r="AA92" s="189">
        <v>0.25</v>
      </c>
      <c r="AB92" s="189" t="s">
        <v>1469</v>
      </c>
      <c r="AC92" s="189"/>
      <c r="AD92" s="189"/>
      <c r="AE92" s="189">
        <f t="shared" si="18"/>
        <v>0.75</v>
      </c>
      <c r="AF92" s="74">
        <v>44300</v>
      </c>
      <c r="AG92" s="74">
        <v>44385</v>
      </c>
      <c r="AH92" s="74">
        <v>44481</v>
      </c>
      <c r="AI92" s="74"/>
      <c r="AJ92" s="75">
        <f t="shared" si="19"/>
        <v>0.75</v>
      </c>
      <c r="AK92" s="75">
        <f t="shared" si="20"/>
        <v>1</v>
      </c>
      <c r="AL92" s="75">
        <f t="shared" si="21"/>
        <v>1</v>
      </c>
      <c r="AM92" s="75">
        <f t="shared" si="22"/>
        <v>1</v>
      </c>
      <c r="AN92" s="75">
        <f t="shared" si="23"/>
        <v>0</v>
      </c>
      <c r="AO92" s="188" t="s">
        <v>739</v>
      </c>
      <c r="AP92" s="188" t="s">
        <v>739</v>
      </c>
      <c r="AQ92" s="188" t="s">
        <v>739</v>
      </c>
      <c r="AR92" s="188"/>
      <c r="AS92" s="188" t="s">
        <v>1470</v>
      </c>
      <c r="AT92" s="188" t="s">
        <v>1423</v>
      </c>
      <c r="AU92" s="188" t="s">
        <v>1452</v>
      </c>
      <c r="AV92" s="188"/>
      <c r="AW92" s="188" t="s">
        <v>739</v>
      </c>
      <c r="AX92" t="s">
        <v>739</v>
      </c>
      <c r="AY92" t="s">
        <v>739</v>
      </c>
      <c r="BA92" t="s">
        <v>1471</v>
      </c>
      <c r="BB92" t="s">
        <v>1472</v>
      </c>
      <c r="BC92" t="s">
        <v>1473</v>
      </c>
      <c r="BD92" s="143"/>
    </row>
    <row r="93" spans="1:56" ht="15" customHeight="1" x14ac:dyDescent="0.25">
      <c r="A93" s="188">
        <v>13</v>
      </c>
      <c r="B93" s="188" t="s">
        <v>497</v>
      </c>
      <c r="C93" s="188" t="s">
        <v>814</v>
      </c>
      <c r="D93" s="188" t="s">
        <v>727</v>
      </c>
      <c r="E93" s="188" t="s">
        <v>815</v>
      </c>
      <c r="F93" s="188" t="s">
        <v>816</v>
      </c>
      <c r="G93" s="188" t="s">
        <v>817</v>
      </c>
      <c r="H93" s="188" t="s">
        <v>818</v>
      </c>
      <c r="I93" t="s">
        <v>819</v>
      </c>
      <c r="J93" s="74">
        <v>44197</v>
      </c>
      <c r="K93" s="74">
        <v>44561</v>
      </c>
      <c r="L93" s="188" t="s">
        <v>733</v>
      </c>
      <c r="M93" s="188" t="str">
        <f t="shared" si="25"/>
        <v>Córdoba</v>
      </c>
      <c r="N93" s="188" t="s">
        <v>30</v>
      </c>
      <c r="O93" s="188" t="s">
        <v>820</v>
      </c>
      <c r="P93" s="188" t="s">
        <v>821</v>
      </c>
      <c r="Q93" s="75">
        <v>9.0909090909090912E-2</v>
      </c>
      <c r="R93" s="190">
        <f>SUM(S93:V93)</f>
        <v>471432492.01579696</v>
      </c>
      <c r="S93" s="190">
        <v>93086326.456865847</v>
      </c>
      <c r="T93" s="190">
        <v>120670604.94002855</v>
      </c>
      <c r="U93" s="190">
        <v>122856991.4907244</v>
      </c>
      <c r="V93" s="190">
        <v>134818569.12817818</v>
      </c>
      <c r="W93" s="190">
        <v>65263147</v>
      </c>
      <c r="X93" s="190" t="s">
        <v>1474</v>
      </c>
      <c r="Y93" s="190">
        <v>47748497</v>
      </c>
      <c r="Z93" s="190" t="s">
        <v>1475</v>
      </c>
      <c r="AA93" s="190">
        <v>51922819</v>
      </c>
      <c r="AB93" s="190" t="s">
        <v>1476</v>
      </c>
      <c r="AC93" s="190"/>
      <c r="AD93" s="190"/>
      <c r="AE93" s="190">
        <f t="shared" si="18"/>
        <v>164934463</v>
      </c>
      <c r="AF93" s="60">
        <v>44298</v>
      </c>
      <c r="AG93" s="60">
        <v>44392</v>
      </c>
      <c r="AH93" s="60">
        <v>44483</v>
      </c>
      <c r="AI93" s="60"/>
      <c r="AJ93" s="75">
        <f t="shared" si="19"/>
        <v>0.34985807256253626</v>
      </c>
      <c r="AK93" s="75">
        <f t="shared" si="20"/>
        <v>0.70110347549531349</v>
      </c>
      <c r="AL93" s="75">
        <f t="shared" si="21"/>
        <v>0.39569286176803603</v>
      </c>
      <c r="AM93" s="75">
        <f t="shared" si="22"/>
        <v>0.4226281172115478</v>
      </c>
      <c r="AN93" s="75">
        <f t="shared" si="23"/>
        <v>0</v>
      </c>
      <c r="AO93" s="188" t="s">
        <v>739</v>
      </c>
      <c r="AP93" s="188" t="s">
        <v>739</v>
      </c>
      <c r="AQ93" s="188" t="s">
        <v>739</v>
      </c>
      <c r="AR93" s="188"/>
      <c r="AS93" s="188" t="s">
        <v>1477</v>
      </c>
      <c r="AT93" s="188" t="s">
        <v>1423</v>
      </c>
      <c r="AU93" s="188" t="s">
        <v>1452</v>
      </c>
      <c r="AV93" s="188"/>
      <c r="AW93" s="188" t="s">
        <v>739</v>
      </c>
      <c r="AX93" t="s">
        <v>739</v>
      </c>
      <c r="AY93" t="s">
        <v>739</v>
      </c>
      <c r="BA93" t="s">
        <v>1478</v>
      </c>
      <c r="BB93" t="s">
        <v>1423</v>
      </c>
      <c r="BC93" t="s">
        <v>1479</v>
      </c>
      <c r="BD93" s="143"/>
    </row>
    <row r="94" spans="1:56" ht="15" customHeight="1" x14ac:dyDescent="0.25">
      <c r="A94" s="188">
        <v>14</v>
      </c>
      <c r="B94" s="188" t="s">
        <v>497</v>
      </c>
      <c r="C94" s="188" t="s">
        <v>814</v>
      </c>
      <c r="D94" s="188" t="s">
        <v>727</v>
      </c>
      <c r="E94" s="188" t="s">
        <v>815</v>
      </c>
      <c r="F94" s="188" t="s">
        <v>816</v>
      </c>
      <c r="G94" s="188" t="s">
        <v>817</v>
      </c>
      <c r="H94" s="188" t="s">
        <v>818</v>
      </c>
      <c r="I94" t="s">
        <v>1480</v>
      </c>
      <c r="J94" s="74">
        <v>44197</v>
      </c>
      <c r="K94" s="74">
        <v>44561</v>
      </c>
      <c r="L94" s="188" t="s">
        <v>733</v>
      </c>
      <c r="M94" s="188" t="str">
        <f t="shared" si="25"/>
        <v>Córdoba</v>
      </c>
      <c r="N94" s="188" t="s">
        <v>60</v>
      </c>
      <c r="O94" s="188" t="s">
        <v>924</v>
      </c>
      <c r="P94" s="188" t="s">
        <v>821</v>
      </c>
      <c r="Q94" s="75">
        <v>9.0909090909090912E-2</v>
      </c>
      <c r="R94" s="189">
        <v>1</v>
      </c>
      <c r="S94" s="189">
        <v>0.25</v>
      </c>
      <c r="T94" s="189">
        <v>0.25</v>
      </c>
      <c r="U94" s="189">
        <v>0.25</v>
      </c>
      <c r="V94" s="189">
        <v>0.25</v>
      </c>
      <c r="W94" s="189">
        <v>0</v>
      </c>
      <c r="X94" s="189" t="s">
        <v>1481</v>
      </c>
      <c r="Y94" s="189">
        <v>0</v>
      </c>
      <c r="Z94" s="189" t="s">
        <v>1482</v>
      </c>
      <c r="AA94" s="189">
        <v>0</v>
      </c>
      <c r="AB94" s="189" t="s">
        <v>1483</v>
      </c>
      <c r="AC94" s="189"/>
      <c r="AD94" s="189"/>
      <c r="AE94" s="189">
        <f t="shared" si="18"/>
        <v>0</v>
      </c>
      <c r="AF94" s="60">
        <v>44298</v>
      </c>
      <c r="AG94" s="60">
        <v>44390</v>
      </c>
      <c r="AH94" s="60">
        <v>44482</v>
      </c>
      <c r="AI94" s="60"/>
      <c r="AJ94" s="75">
        <f t="shared" si="19"/>
        <v>0</v>
      </c>
      <c r="AK94" s="75">
        <f t="shared" si="20"/>
        <v>0</v>
      </c>
      <c r="AL94" s="75">
        <f t="shared" si="21"/>
        <v>0</v>
      </c>
      <c r="AM94" s="75">
        <f t="shared" si="22"/>
        <v>0</v>
      </c>
      <c r="AN94" s="75">
        <f t="shared" si="23"/>
        <v>0</v>
      </c>
      <c r="AO94" s="188" t="s">
        <v>838</v>
      </c>
      <c r="AP94" s="188" t="s">
        <v>838</v>
      </c>
      <c r="AQ94" s="188" t="s">
        <v>739</v>
      </c>
      <c r="AR94" s="188"/>
      <c r="AS94" s="188" t="s">
        <v>838</v>
      </c>
      <c r="AT94" s="188" t="s">
        <v>1484</v>
      </c>
      <c r="AU94" s="188" t="s">
        <v>1452</v>
      </c>
      <c r="AV94" s="188"/>
      <c r="AW94" s="188" t="s">
        <v>838</v>
      </c>
      <c r="AX94" t="s">
        <v>838</v>
      </c>
      <c r="AY94" t="s">
        <v>739</v>
      </c>
      <c r="BA94" t="s">
        <v>1485</v>
      </c>
      <c r="BB94" t="s">
        <v>1486</v>
      </c>
      <c r="BC94" t="s">
        <v>1487</v>
      </c>
      <c r="BD94" s="143"/>
    </row>
    <row r="95" spans="1:56" ht="15" customHeight="1" x14ac:dyDescent="0.25">
      <c r="A95" s="188">
        <v>1</v>
      </c>
      <c r="B95" s="188" t="s">
        <v>498</v>
      </c>
      <c r="C95" s="188" t="s">
        <v>726</v>
      </c>
      <c r="D95" s="188" t="s">
        <v>727</v>
      </c>
      <c r="E95" s="188" t="s">
        <v>728</v>
      </c>
      <c r="F95" s="188" t="s">
        <v>729</v>
      </c>
      <c r="G95" s="188" t="s">
        <v>730</v>
      </c>
      <c r="H95" s="188" t="s">
        <v>731</v>
      </c>
      <c r="I95" s="188" t="s">
        <v>732</v>
      </c>
      <c r="J95" s="74">
        <v>44197</v>
      </c>
      <c r="K95" s="74">
        <v>44561</v>
      </c>
      <c r="L95" s="188" t="s">
        <v>733</v>
      </c>
      <c r="M95" s="188" t="str">
        <f>B95</f>
        <v>Cundinamarca</v>
      </c>
      <c r="N95" s="188" t="s">
        <v>30</v>
      </c>
      <c r="O95" s="188" t="s">
        <v>734</v>
      </c>
      <c r="P95" s="188" t="s">
        <v>735</v>
      </c>
      <c r="Q95" s="75">
        <v>0.1</v>
      </c>
      <c r="R95" s="190">
        <v>15284</v>
      </c>
      <c r="S95" s="190">
        <v>0</v>
      </c>
      <c r="T95" s="190">
        <v>0</v>
      </c>
      <c r="U95" s="190">
        <v>0</v>
      </c>
      <c r="V95" s="190">
        <v>15284</v>
      </c>
      <c r="W95" s="190">
        <v>2477</v>
      </c>
      <c r="X95" s="190" t="s">
        <v>1488</v>
      </c>
      <c r="Y95" s="190">
        <v>5726</v>
      </c>
      <c r="Z95" s="190" t="s">
        <v>1489</v>
      </c>
      <c r="AA95" s="190">
        <v>8756</v>
      </c>
      <c r="AB95" s="190" t="s">
        <v>1490</v>
      </c>
      <c r="AC95" s="190"/>
      <c r="AD95" s="190"/>
      <c r="AE95" s="190">
        <f t="shared" si="18"/>
        <v>16959</v>
      </c>
      <c r="AF95" s="74">
        <v>44300</v>
      </c>
      <c r="AG95" s="74">
        <v>44392</v>
      </c>
      <c r="AH95" s="74">
        <v>44483</v>
      </c>
      <c r="AI95" s="74"/>
      <c r="AJ95" s="75">
        <f t="shared" si="19"/>
        <v>1</v>
      </c>
      <c r="AK95" s="75" t="str">
        <f t="shared" si="20"/>
        <v/>
      </c>
      <c r="AL95" s="75" t="str">
        <f t="shared" si="21"/>
        <v/>
      </c>
      <c r="AM95" s="75" t="str">
        <f t="shared" si="22"/>
        <v/>
      </c>
      <c r="AN95" s="75">
        <f t="shared" si="23"/>
        <v>0</v>
      </c>
      <c r="AO95" s="188" t="s">
        <v>739</v>
      </c>
      <c r="AP95" s="188" t="s">
        <v>739</v>
      </c>
      <c r="AQ95" s="188" t="s">
        <v>739</v>
      </c>
      <c r="AR95" s="188"/>
      <c r="AS95" s="188" t="s">
        <v>1491</v>
      </c>
      <c r="AT95" s="188" t="s">
        <v>1492</v>
      </c>
      <c r="AU95" s="188" t="s">
        <v>1493</v>
      </c>
      <c r="AV95" s="188"/>
      <c r="AW95" s="188" t="s">
        <v>739</v>
      </c>
      <c r="AX95" s="188" t="s">
        <v>739</v>
      </c>
      <c r="AY95" s="188" t="s">
        <v>739</v>
      </c>
      <c r="AZ95" s="188"/>
      <c r="BA95" s="188" t="s">
        <v>1494</v>
      </c>
      <c r="BB95" s="188" t="s">
        <v>1495</v>
      </c>
      <c r="BC95" s="188" t="s">
        <v>1496</v>
      </c>
      <c r="BD95" s="143"/>
    </row>
    <row r="96" spans="1:56" ht="15" customHeight="1" x14ac:dyDescent="0.25">
      <c r="A96" s="188">
        <v>3</v>
      </c>
      <c r="B96" s="188" t="s">
        <v>498</v>
      </c>
      <c r="C96" s="188" t="s">
        <v>726</v>
      </c>
      <c r="D96" s="188" t="s">
        <v>727</v>
      </c>
      <c r="E96" s="188" t="s">
        <v>728</v>
      </c>
      <c r="F96" s="188" t="s">
        <v>729</v>
      </c>
      <c r="G96" s="188" t="s">
        <v>730</v>
      </c>
      <c r="H96" s="188" t="s">
        <v>731</v>
      </c>
      <c r="I96" s="188" t="s">
        <v>746</v>
      </c>
      <c r="J96" s="74">
        <v>44197</v>
      </c>
      <c r="K96" s="74">
        <v>44561</v>
      </c>
      <c r="L96" s="188" t="s">
        <v>733</v>
      </c>
      <c r="M96" s="188" t="str">
        <f t="shared" ref="M96:M104" si="26">B96</f>
        <v>Cundinamarca</v>
      </c>
      <c r="N96" s="188" t="s">
        <v>30</v>
      </c>
      <c r="O96" s="188" t="s">
        <v>747</v>
      </c>
      <c r="P96" s="188" t="s">
        <v>735</v>
      </c>
      <c r="Q96" s="75">
        <v>0.1</v>
      </c>
      <c r="R96" s="190">
        <v>43978</v>
      </c>
      <c r="S96" s="190">
        <v>0</v>
      </c>
      <c r="T96" s="190">
        <v>0</v>
      </c>
      <c r="U96" s="190">
        <v>0</v>
      </c>
      <c r="V96" s="190">
        <v>43978</v>
      </c>
      <c r="W96" s="190">
        <v>5590</v>
      </c>
      <c r="X96" s="190" t="s">
        <v>1497</v>
      </c>
      <c r="Y96" s="190">
        <v>12416</v>
      </c>
      <c r="Z96" s="190" t="s">
        <v>1498</v>
      </c>
      <c r="AA96" s="190">
        <v>3060</v>
      </c>
      <c r="AB96" s="190" t="s">
        <v>1499</v>
      </c>
      <c r="AC96" s="190"/>
      <c r="AD96" s="190"/>
      <c r="AE96" s="190">
        <f t="shared" si="18"/>
        <v>21066</v>
      </c>
      <c r="AF96" s="74">
        <v>44300</v>
      </c>
      <c r="AG96" s="74">
        <v>44392</v>
      </c>
      <c r="AH96" s="74">
        <v>44483</v>
      </c>
      <c r="AI96" s="74"/>
      <c r="AJ96" s="75">
        <f t="shared" si="19"/>
        <v>0.479012233389422</v>
      </c>
      <c r="AK96" s="75" t="str">
        <f t="shared" si="20"/>
        <v/>
      </c>
      <c r="AL96" s="75" t="str">
        <f t="shared" si="21"/>
        <v/>
      </c>
      <c r="AM96" s="75" t="str">
        <f t="shared" si="22"/>
        <v/>
      </c>
      <c r="AN96" s="75">
        <f t="shared" si="23"/>
        <v>0</v>
      </c>
      <c r="AO96" s="188" t="s">
        <v>739</v>
      </c>
      <c r="AP96" s="188" t="s">
        <v>739</v>
      </c>
      <c r="AQ96" s="188" t="s">
        <v>739</v>
      </c>
      <c r="AR96" s="188"/>
      <c r="AS96" s="188" t="s">
        <v>1500</v>
      </c>
      <c r="AT96" s="188" t="s">
        <v>1501</v>
      </c>
      <c r="AU96" s="188" t="s">
        <v>1502</v>
      </c>
      <c r="AV96" s="188"/>
      <c r="AW96" s="188" t="s">
        <v>739</v>
      </c>
      <c r="AX96" t="s">
        <v>739</v>
      </c>
      <c r="AY96" t="s">
        <v>739</v>
      </c>
      <c r="BA96" t="s">
        <v>1503</v>
      </c>
      <c r="BB96" t="s">
        <v>1504</v>
      </c>
      <c r="BC96" t="s">
        <v>1505</v>
      </c>
      <c r="BD96" s="143"/>
    </row>
    <row r="97" spans="1:56" ht="15" customHeight="1" x14ac:dyDescent="0.25">
      <c r="A97" s="188">
        <v>5</v>
      </c>
      <c r="B97" s="188" t="s">
        <v>498</v>
      </c>
      <c r="C97" s="188" t="s">
        <v>964</v>
      </c>
      <c r="D97" s="188" t="s">
        <v>727</v>
      </c>
      <c r="E97" s="188" t="s">
        <v>815</v>
      </c>
      <c r="F97" s="188" t="s">
        <v>965</v>
      </c>
      <c r="G97" s="188" t="s">
        <v>730</v>
      </c>
      <c r="H97" s="188" t="s">
        <v>731</v>
      </c>
      <c r="I97" t="s">
        <v>966</v>
      </c>
      <c r="J97" s="74">
        <v>44197</v>
      </c>
      <c r="K97" s="74">
        <v>44561</v>
      </c>
      <c r="L97" s="188" t="s">
        <v>733</v>
      </c>
      <c r="M97" s="188" t="str">
        <f t="shared" si="26"/>
        <v>Cundinamarca</v>
      </c>
      <c r="N97" s="188" t="s">
        <v>30</v>
      </c>
      <c r="O97" s="188" t="s">
        <v>967</v>
      </c>
      <c r="P97" s="188" t="s">
        <v>735</v>
      </c>
      <c r="Q97" s="75">
        <v>0.1</v>
      </c>
      <c r="R97" s="190">
        <v>40</v>
      </c>
      <c r="S97" s="190">
        <v>0</v>
      </c>
      <c r="T97" s="190">
        <v>0</v>
      </c>
      <c r="U97" s="190">
        <v>0</v>
      </c>
      <c r="V97" s="190">
        <v>40</v>
      </c>
      <c r="W97" s="190">
        <v>0</v>
      </c>
      <c r="X97" s="190" t="s">
        <v>1506</v>
      </c>
      <c r="Y97" s="190">
        <v>0</v>
      </c>
      <c r="Z97" s="190" t="s">
        <v>1507</v>
      </c>
      <c r="AA97" s="190">
        <v>17</v>
      </c>
      <c r="AB97" s="190" t="s">
        <v>1508</v>
      </c>
      <c r="AC97" s="190"/>
      <c r="AD97" s="190"/>
      <c r="AE97" s="190">
        <f t="shared" si="18"/>
        <v>17</v>
      </c>
      <c r="AF97" s="74">
        <v>44300</v>
      </c>
      <c r="AG97" s="74">
        <v>44392</v>
      </c>
      <c r="AH97" s="74">
        <v>44482</v>
      </c>
      <c r="AI97" s="74"/>
      <c r="AJ97" s="75">
        <f t="shared" si="19"/>
        <v>0.42499999999999999</v>
      </c>
      <c r="AK97" s="75" t="str">
        <f t="shared" si="20"/>
        <v/>
      </c>
      <c r="AL97" s="75" t="str">
        <f t="shared" si="21"/>
        <v/>
      </c>
      <c r="AM97" s="75" t="str">
        <f t="shared" si="22"/>
        <v/>
      </c>
      <c r="AN97" s="75">
        <f t="shared" si="23"/>
        <v>0</v>
      </c>
      <c r="AO97" s="188" t="s">
        <v>838</v>
      </c>
      <c r="AP97" s="188" t="s">
        <v>838</v>
      </c>
      <c r="AQ97" s="188" t="s">
        <v>739</v>
      </c>
      <c r="AR97" s="188"/>
      <c r="AS97" s="188" t="s">
        <v>838</v>
      </c>
      <c r="AT97" s="188" t="s">
        <v>1509</v>
      </c>
      <c r="AU97" s="188" t="s">
        <v>1510</v>
      </c>
      <c r="AV97" s="188"/>
      <c r="AW97" s="188" t="s">
        <v>838</v>
      </c>
      <c r="AX97" t="s">
        <v>739</v>
      </c>
      <c r="AY97" t="s">
        <v>739</v>
      </c>
      <c r="BA97" t="s">
        <v>1511</v>
      </c>
      <c r="BB97" t="s">
        <v>1512</v>
      </c>
      <c r="BC97" t="s">
        <v>1513</v>
      </c>
      <c r="BD97" s="143"/>
    </row>
    <row r="98" spans="1:56" ht="15" customHeight="1" x14ac:dyDescent="0.25">
      <c r="A98" s="188">
        <v>6</v>
      </c>
      <c r="B98" s="188" t="s">
        <v>498</v>
      </c>
      <c r="C98" s="188" t="s">
        <v>756</v>
      </c>
      <c r="D98" s="188" t="s">
        <v>727</v>
      </c>
      <c r="E98" s="188" t="s">
        <v>728</v>
      </c>
      <c r="F98" s="188" t="s">
        <v>757</v>
      </c>
      <c r="G98" s="188" t="s">
        <v>730</v>
      </c>
      <c r="H98" s="188" t="s">
        <v>731</v>
      </c>
      <c r="I98" t="s">
        <v>758</v>
      </c>
      <c r="J98" s="74">
        <v>44197</v>
      </c>
      <c r="K98" s="74">
        <v>44561</v>
      </c>
      <c r="L98" s="188" t="s">
        <v>733</v>
      </c>
      <c r="M98" s="188" t="str">
        <f t="shared" si="26"/>
        <v>Cundinamarca</v>
      </c>
      <c r="N98" s="188" t="s">
        <v>60</v>
      </c>
      <c r="O98" s="188" t="s">
        <v>759</v>
      </c>
      <c r="P98" s="188" t="s">
        <v>735</v>
      </c>
      <c r="Q98" s="75">
        <v>0.1</v>
      </c>
      <c r="R98" s="189">
        <v>1</v>
      </c>
      <c r="S98" s="189">
        <v>0.25</v>
      </c>
      <c r="T98" s="189">
        <v>0.25</v>
      </c>
      <c r="U98" s="189">
        <v>0.25</v>
      </c>
      <c r="V98" s="189">
        <v>0.25</v>
      </c>
      <c r="W98" s="189">
        <v>0.25</v>
      </c>
      <c r="X98" s="189" t="s">
        <v>1514</v>
      </c>
      <c r="Y98" s="189">
        <v>0.25</v>
      </c>
      <c r="Z98" s="189" t="s">
        <v>1515</v>
      </c>
      <c r="AA98" s="189">
        <v>0.25</v>
      </c>
      <c r="AB98" s="189" t="s">
        <v>1516</v>
      </c>
      <c r="AC98" s="189"/>
      <c r="AD98" s="189"/>
      <c r="AE98" s="189">
        <f t="shared" si="18"/>
        <v>0.75</v>
      </c>
      <c r="AF98" s="74">
        <v>44300</v>
      </c>
      <c r="AG98" s="74">
        <v>44392</v>
      </c>
      <c r="AH98" s="74">
        <v>44482</v>
      </c>
      <c r="AI98" s="74"/>
      <c r="AJ98" s="75">
        <f t="shared" si="19"/>
        <v>0.75</v>
      </c>
      <c r="AK98" s="75">
        <f t="shared" si="20"/>
        <v>1</v>
      </c>
      <c r="AL98" s="75">
        <f t="shared" si="21"/>
        <v>1</v>
      </c>
      <c r="AM98" s="75">
        <f t="shared" si="22"/>
        <v>1</v>
      </c>
      <c r="AN98" s="75">
        <f t="shared" si="23"/>
        <v>0</v>
      </c>
      <c r="AO98" s="188" t="s">
        <v>838</v>
      </c>
      <c r="AP98" s="188" t="s">
        <v>739</v>
      </c>
      <c r="AQ98" s="188" t="s">
        <v>739</v>
      </c>
      <c r="AR98" s="188"/>
      <c r="AS98" s="188" t="s">
        <v>1517</v>
      </c>
      <c r="AT98" s="188" t="s">
        <v>1517</v>
      </c>
      <c r="AU98" s="188" t="s">
        <v>1518</v>
      </c>
      <c r="AV98" s="188"/>
      <c r="AW98" s="188" t="s">
        <v>838</v>
      </c>
      <c r="AX98" t="s">
        <v>739</v>
      </c>
      <c r="AY98" t="s">
        <v>739</v>
      </c>
      <c r="BA98" t="s">
        <v>1519</v>
      </c>
      <c r="BB98" t="s">
        <v>1520</v>
      </c>
      <c r="BC98" t="s">
        <v>1521</v>
      </c>
      <c r="BD98" s="143"/>
    </row>
    <row r="99" spans="1:56" ht="15" customHeight="1" x14ac:dyDescent="0.25">
      <c r="A99" s="188">
        <v>7</v>
      </c>
      <c r="B99" s="188" t="s">
        <v>498</v>
      </c>
      <c r="C99" s="188" t="s">
        <v>768</v>
      </c>
      <c r="D99" s="188" t="s">
        <v>727</v>
      </c>
      <c r="E99" s="188" t="s">
        <v>728</v>
      </c>
      <c r="F99" s="188" t="s">
        <v>757</v>
      </c>
      <c r="G99" s="188" t="s">
        <v>730</v>
      </c>
      <c r="H99" s="188" t="s">
        <v>731</v>
      </c>
      <c r="I99" t="s">
        <v>769</v>
      </c>
      <c r="J99" s="74">
        <v>44197</v>
      </c>
      <c r="K99" s="74">
        <v>44561</v>
      </c>
      <c r="L99" s="188" t="s">
        <v>733</v>
      </c>
      <c r="M99" s="188" t="str">
        <f t="shared" si="26"/>
        <v>Cundinamarca</v>
      </c>
      <c r="N99" s="188" t="s">
        <v>60</v>
      </c>
      <c r="O99" s="188" t="s">
        <v>759</v>
      </c>
      <c r="P99" s="188" t="s">
        <v>735</v>
      </c>
      <c r="Q99" s="75">
        <v>0.1</v>
      </c>
      <c r="R99" s="189">
        <v>1</v>
      </c>
      <c r="S99" s="189">
        <v>0.25</v>
      </c>
      <c r="T99" s="189">
        <v>0.25</v>
      </c>
      <c r="U99" s="189">
        <v>0.25</v>
      </c>
      <c r="V99" s="189">
        <v>0.25</v>
      </c>
      <c r="W99" s="189">
        <v>0.25</v>
      </c>
      <c r="X99" s="189" t="s">
        <v>1522</v>
      </c>
      <c r="Y99" s="189">
        <v>0.25</v>
      </c>
      <c r="Z99" s="189" t="s">
        <v>1523</v>
      </c>
      <c r="AA99" s="189">
        <v>0.25</v>
      </c>
      <c r="AB99" s="189" t="s">
        <v>1524</v>
      </c>
      <c r="AC99" s="189"/>
      <c r="AD99" s="189"/>
      <c r="AE99" s="189">
        <f t="shared" si="18"/>
        <v>0.75</v>
      </c>
      <c r="AF99" s="74">
        <v>44300</v>
      </c>
      <c r="AG99" s="74">
        <v>44392</v>
      </c>
      <c r="AH99" s="74">
        <v>44482</v>
      </c>
      <c r="AI99" s="74"/>
      <c r="AJ99" s="75">
        <f t="shared" si="19"/>
        <v>0.75</v>
      </c>
      <c r="AK99" s="75">
        <f t="shared" si="20"/>
        <v>1</v>
      </c>
      <c r="AL99" s="75">
        <f t="shared" si="21"/>
        <v>1</v>
      </c>
      <c r="AM99" s="75">
        <f t="shared" si="22"/>
        <v>1</v>
      </c>
      <c r="AN99" s="75">
        <f t="shared" si="23"/>
        <v>0</v>
      </c>
      <c r="AO99" s="188" t="s">
        <v>739</v>
      </c>
      <c r="AP99" s="188" t="s">
        <v>739</v>
      </c>
      <c r="AQ99" s="188" t="s">
        <v>739</v>
      </c>
      <c r="AR99" s="188"/>
      <c r="AS99" s="188" t="s">
        <v>1525</v>
      </c>
      <c r="AT99" s="188" t="s">
        <v>1526</v>
      </c>
      <c r="AU99" s="188" t="s">
        <v>1527</v>
      </c>
      <c r="AV99" s="188"/>
      <c r="AW99" s="188" t="s">
        <v>739</v>
      </c>
      <c r="AX99" t="s">
        <v>739</v>
      </c>
      <c r="AY99" t="s">
        <v>739</v>
      </c>
      <c r="BA99" t="s">
        <v>1528</v>
      </c>
      <c r="BB99" t="s">
        <v>1529</v>
      </c>
      <c r="BC99" t="s">
        <v>1530</v>
      </c>
      <c r="BD99" s="143"/>
    </row>
    <row r="100" spans="1:56" ht="15" customHeight="1" x14ac:dyDescent="0.25">
      <c r="A100" s="188">
        <v>8</v>
      </c>
      <c r="B100" s="188" t="s">
        <v>498</v>
      </c>
      <c r="C100" s="188" t="s">
        <v>777</v>
      </c>
      <c r="D100" s="188" t="s">
        <v>778</v>
      </c>
      <c r="E100" s="188" t="s">
        <v>779</v>
      </c>
      <c r="F100" s="188" t="s">
        <v>780</v>
      </c>
      <c r="G100" s="188" t="s">
        <v>730</v>
      </c>
      <c r="H100" s="188" t="s">
        <v>781</v>
      </c>
      <c r="I100" t="s">
        <v>782</v>
      </c>
      <c r="J100" s="74">
        <v>44197</v>
      </c>
      <c r="K100" s="74">
        <v>44561</v>
      </c>
      <c r="L100" s="188" t="s">
        <v>733</v>
      </c>
      <c r="M100" s="188" t="str">
        <f t="shared" si="26"/>
        <v>Cundinamarca</v>
      </c>
      <c r="N100" s="188" t="s">
        <v>60</v>
      </c>
      <c r="O100" s="188" t="s">
        <v>759</v>
      </c>
      <c r="P100" s="188" t="s">
        <v>735</v>
      </c>
      <c r="Q100" s="75">
        <v>0.1</v>
      </c>
      <c r="R100" s="189">
        <v>1</v>
      </c>
      <c r="S100" s="189">
        <v>0.25</v>
      </c>
      <c r="T100" s="189">
        <v>0.25</v>
      </c>
      <c r="U100" s="189">
        <v>0.25</v>
      </c>
      <c r="V100" s="189">
        <v>0.25</v>
      </c>
      <c r="W100" s="189">
        <v>0.25</v>
      </c>
      <c r="X100" s="189" t="s">
        <v>1531</v>
      </c>
      <c r="Y100" s="189">
        <v>0.25</v>
      </c>
      <c r="Z100" s="189" t="s">
        <v>1532</v>
      </c>
      <c r="AA100" s="189">
        <v>0.25</v>
      </c>
      <c r="AB100" s="189" t="s">
        <v>1533</v>
      </c>
      <c r="AC100" s="189"/>
      <c r="AD100" s="189"/>
      <c r="AE100" s="189">
        <f t="shared" si="18"/>
        <v>0.75</v>
      </c>
      <c r="AF100" s="74">
        <v>44300</v>
      </c>
      <c r="AG100" s="74">
        <v>44392</v>
      </c>
      <c r="AH100" s="74">
        <v>44482</v>
      </c>
      <c r="AI100" s="74"/>
      <c r="AJ100" s="75">
        <f t="shared" si="19"/>
        <v>0.75</v>
      </c>
      <c r="AK100" s="75">
        <f t="shared" si="20"/>
        <v>1</v>
      </c>
      <c r="AL100" s="75">
        <f t="shared" si="21"/>
        <v>1</v>
      </c>
      <c r="AM100" s="75">
        <f t="shared" si="22"/>
        <v>1</v>
      </c>
      <c r="AN100" s="75">
        <f t="shared" si="23"/>
        <v>0</v>
      </c>
      <c r="AO100" s="188" t="s">
        <v>739</v>
      </c>
      <c r="AP100" s="188" t="s">
        <v>739</v>
      </c>
      <c r="AQ100" s="188" t="s">
        <v>739</v>
      </c>
      <c r="AR100" s="188"/>
      <c r="AS100" s="188" t="s">
        <v>1534</v>
      </c>
      <c r="AT100" s="188" t="s">
        <v>1535</v>
      </c>
      <c r="AU100" s="188" t="s">
        <v>1536</v>
      </c>
      <c r="AV100" s="188"/>
      <c r="AW100" s="188" t="s">
        <v>828</v>
      </c>
      <c r="AX100" t="s">
        <v>739</v>
      </c>
      <c r="AY100" t="s">
        <v>739</v>
      </c>
      <c r="BA100" t="s">
        <v>1537</v>
      </c>
      <c r="BB100" t="s">
        <v>1538</v>
      </c>
      <c r="BC100" t="s">
        <v>1539</v>
      </c>
      <c r="BD100" s="143"/>
    </row>
    <row r="101" spans="1:56" ht="15" customHeight="1" x14ac:dyDescent="0.25">
      <c r="A101" s="188">
        <v>9</v>
      </c>
      <c r="B101" s="188" t="s">
        <v>498</v>
      </c>
      <c r="C101" s="188" t="s">
        <v>790</v>
      </c>
      <c r="D101" s="188" t="s">
        <v>791</v>
      </c>
      <c r="E101" s="188" t="s">
        <v>792</v>
      </c>
      <c r="F101" s="188" t="s">
        <v>793</v>
      </c>
      <c r="G101" s="188" t="s">
        <v>794</v>
      </c>
      <c r="H101" s="188" t="s">
        <v>794</v>
      </c>
      <c r="I101" t="s">
        <v>795</v>
      </c>
      <c r="J101" s="74">
        <v>44197</v>
      </c>
      <c r="K101" s="74">
        <v>44561</v>
      </c>
      <c r="L101" s="188" t="s">
        <v>733</v>
      </c>
      <c r="M101" s="188" t="str">
        <f t="shared" si="26"/>
        <v>Cundinamarca</v>
      </c>
      <c r="N101" s="188" t="s">
        <v>60</v>
      </c>
      <c r="O101" s="188" t="s">
        <v>796</v>
      </c>
      <c r="P101" s="188" t="s">
        <v>735</v>
      </c>
      <c r="Q101" s="75">
        <v>0.1</v>
      </c>
      <c r="R101" s="189">
        <v>1</v>
      </c>
      <c r="S101" s="189">
        <v>0.25</v>
      </c>
      <c r="T101" s="189">
        <v>0.25</v>
      </c>
      <c r="U101" s="189">
        <v>0.25</v>
      </c>
      <c r="V101" s="189">
        <v>0.25</v>
      </c>
      <c r="W101" s="189">
        <v>0.25</v>
      </c>
      <c r="X101" s="189" t="s">
        <v>1540</v>
      </c>
      <c r="Y101" s="189">
        <v>0.25</v>
      </c>
      <c r="Z101" s="189" t="s">
        <v>1541</v>
      </c>
      <c r="AA101" s="189">
        <v>0.25</v>
      </c>
      <c r="AB101" s="189" t="s">
        <v>1542</v>
      </c>
      <c r="AC101" s="189"/>
      <c r="AD101" s="189"/>
      <c r="AE101" s="189">
        <f t="shared" si="18"/>
        <v>0.75</v>
      </c>
      <c r="AF101" s="74">
        <v>44300</v>
      </c>
      <c r="AG101" s="74">
        <v>44392</v>
      </c>
      <c r="AH101" s="74">
        <v>44483</v>
      </c>
      <c r="AI101" s="74"/>
      <c r="AJ101" s="75">
        <f t="shared" si="19"/>
        <v>0.75</v>
      </c>
      <c r="AK101" s="75">
        <f t="shared" si="20"/>
        <v>1</v>
      </c>
      <c r="AL101" s="75">
        <f t="shared" si="21"/>
        <v>1</v>
      </c>
      <c r="AM101" s="75">
        <f t="shared" si="22"/>
        <v>1</v>
      </c>
      <c r="AN101" s="75">
        <f t="shared" si="23"/>
        <v>0</v>
      </c>
      <c r="AO101" s="188" t="s">
        <v>739</v>
      </c>
      <c r="AP101" s="188" t="s">
        <v>739</v>
      </c>
      <c r="AQ101" s="188" t="s">
        <v>739</v>
      </c>
      <c r="AR101" s="188"/>
      <c r="AS101" s="188" t="s">
        <v>1543</v>
      </c>
      <c r="AT101" s="188" t="s">
        <v>1544</v>
      </c>
      <c r="AU101" s="188" t="s">
        <v>1545</v>
      </c>
      <c r="AV101" s="188"/>
      <c r="AW101" s="188" t="s">
        <v>739</v>
      </c>
      <c r="AX101" t="s">
        <v>739</v>
      </c>
      <c r="AY101" t="s">
        <v>739</v>
      </c>
      <c r="BA101" t="s">
        <v>1465</v>
      </c>
      <c r="BB101" t="s">
        <v>1546</v>
      </c>
      <c r="BC101" t="s">
        <v>1547</v>
      </c>
      <c r="BD101" s="143"/>
    </row>
    <row r="102" spans="1:56" ht="15" customHeight="1" x14ac:dyDescent="0.25">
      <c r="A102" s="188">
        <v>10</v>
      </c>
      <c r="B102" s="188" t="s">
        <v>498</v>
      </c>
      <c r="C102" s="188" t="s">
        <v>790</v>
      </c>
      <c r="D102" s="188" t="s">
        <v>791</v>
      </c>
      <c r="E102" s="188" t="s">
        <v>792</v>
      </c>
      <c r="F102" s="188" t="s">
        <v>793</v>
      </c>
      <c r="G102" s="188" t="s">
        <v>794</v>
      </c>
      <c r="H102" s="188" t="s">
        <v>794</v>
      </c>
      <c r="I102" t="s">
        <v>805</v>
      </c>
      <c r="J102" s="74">
        <v>44197</v>
      </c>
      <c r="K102" s="74">
        <v>44561</v>
      </c>
      <c r="L102" s="188" t="s">
        <v>733</v>
      </c>
      <c r="M102" s="188" t="str">
        <f t="shared" si="26"/>
        <v>Cundinamarca</v>
      </c>
      <c r="N102" s="188" t="s">
        <v>60</v>
      </c>
      <c r="O102" s="188" t="s">
        <v>806</v>
      </c>
      <c r="P102" s="188" t="s">
        <v>735</v>
      </c>
      <c r="Q102" s="75">
        <v>0.1</v>
      </c>
      <c r="R102" s="189">
        <v>1</v>
      </c>
      <c r="S102" s="189">
        <v>0.25</v>
      </c>
      <c r="T102" s="189">
        <v>0.25</v>
      </c>
      <c r="U102" s="189">
        <v>0.25</v>
      </c>
      <c r="V102" s="189">
        <v>0.25</v>
      </c>
      <c r="W102" s="189">
        <v>0.25</v>
      </c>
      <c r="X102" s="189" t="s">
        <v>1548</v>
      </c>
      <c r="Y102" s="189">
        <v>0.25</v>
      </c>
      <c r="Z102" s="189" t="s">
        <v>1549</v>
      </c>
      <c r="AA102" s="189">
        <v>0.25</v>
      </c>
      <c r="AB102" s="189" t="s">
        <v>1550</v>
      </c>
      <c r="AC102" s="189"/>
      <c r="AD102" s="189"/>
      <c r="AE102" s="189">
        <f t="shared" si="18"/>
        <v>0.75</v>
      </c>
      <c r="AF102" s="74">
        <v>44300</v>
      </c>
      <c r="AG102" s="74">
        <v>44392</v>
      </c>
      <c r="AH102" s="74">
        <v>44482</v>
      </c>
      <c r="AI102" s="74"/>
      <c r="AJ102" s="75">
        <f t="shared" si="19"/>
        <v>0.75</v>
      </c>
      <c r="AK102" s="75">
        <f t="shared" si="20"/>
        <v>1</v>
      </c>
      <c r="AL102" s="75">
        <f t="shared" si="21"/>
        <v>1</v>
      </c>
      <c r="AM102" s="75">
        <f t="shared" si="22"/>
        <v>1</v>
      </c>
      <c r="AN102" s="75">
        <f t="shared" si="23"/>
        <v>0</v>
      </c>
      <c r="AO102" s="188" t="s">
        <v>739</v>
      </c>
      <c r="AP102" s="188" t="s">
        <v>739</v>
      </c>
      <c r="AQ102" s="188" t="s">
        <v>739</v>
      </c>
      <c r="AR102" s="188"/>
      <c r="AS102" s="188" t="s">
        <v>1551</v>
      </c>
      <c r="AT102" s="188" t="s">
        <v>1552</v>
      </c>
      <c r="AU102" s="188" t="s">
        <v>1553</v>
      </c>
      <c r="AV102" s="188"/>
      <c r="AW102" s="188" t="s">
        <v>739</v>
      </c>
      <c r="AX102" t="s">
        <v>739</v>
      </c>
      <c r="AY102" t="s">
        <v>739</v>
      </c>
      <c r="BA102" t="s">
        <v>1554</v>
      </c>
      <c r="BB102" t="s">
        <v>1555</v>
      </c>
      <c r="BC102" t="s">
        <v>1556</v>
      </c>
      <c r="BD102" s="143"/>
    </row>
    <row r="103" spans="1:56" ht="15" customHeight="1" x14ac:dyDescent="0.25">
      <c r="A103" s="188">
        <v>12</v>
      </c>
      <c r="B103" s="188" t="s">
        <v>498</v>
      </c>
      <c r="C103" s="188" t="s">
        <v>814</v>
      </c>
      <c r="D103" s="188" t="s">
        <v>727</v>
      </c>
      <c r="E103" s="188" t="s">
        <v>815</v>
      </c>
      <c r="F103" s="188" t="s">
        <v>816</v>
      </c>
      <c r="G103" s="188" t="s">
        <v>817</v>
      </c>
      <c r="H103" s="188" t="s">
        <v>818</v>
      </c>
      <c r="I103" t="s">
        <v>819</v>
      </c>
      <c r="J103" s="74">
        <v>44197</v>
      </c>
      <c r="K103" s="74">
        <v>44561</v>
      </c>
      <c r="L103" s="188" t="s">
        <v>733</v>
      </c>
      <c r="M103" s="188" t="str">
        <f t="shared" si="26"/>
        <v>Cundinamarca</v>
      </c>
      <c r="N103" s="188" t="s">
        <v>30</v>
      </c>
      <c r="O103" s="188" t="s">
        <v>820</v>
      </c>
      <c r="P103" s="188" t="s">
        <v>821</v>
      </c>
      <c r="Q103" s="75">
        <v>0.1</v>
      </c>
      <c r="R103" s="190">
        <f>SUM(S103:V103)</f>
        <v>429679945.57058656</v>
      </c>
      <c r="S103" s="190">
        <v>84842110.721574351</v>
      </c>
      <c r="T103" s="190">
        <v>109983380.10368578</v>
      </c>
      <c r="U103" s="190">
        <v>111976128.73686185</v>
      </c>
      <c r="V103" s="190">
        <v>122878326.00846455</v>
      </c>
      <c r="W103" s="190">
        <v>33109583</v>
      </c>
      <c r="X103" s="190" t="s">
        <v>1557</v>
      </c>
      <c r="Y103" s="190">
        <v>32805866</v>
      </c>
      <c r="Z103" s="190" t="s">
        <v>1558</v>
      </c>
      <c r="AA103" s="190">
        <v>46301901</v>
      </c>
      <c r="AB103" s="190" t="s">
        <v>1559</v>
      </c>
      <c r="AC103" s="190"/>
      <c r="AD103" s="190"/>
      <c r="AE103" s="190">
        <f t="shared" si="18"/>
        <v>112217350</v>
      </c>
      <c r="AF103" s="74">
        <v>44300</v>
      </c>
      <c r="AG103" s="74">
        <v>44392</v>
      </c>
      <c r="AH103" s="74">
        <v>44482</v>
      </c>
      <c r="AI103" s="74"/>
      <c r="AJ103" s="75">
        <f t="shared" si="19"/>
        <v>0.26116496977996678</v>
      </c>
      <c r="AK103" s="75">
        <f t="shared" si="20"/>
        <v>0.39024940231220134</v>
      </c>
      <c r="AL103" s="75">
        <f t="shared" si="21"/>
        <v>0.29828021260187298</v>
      </c>
      <c r="AM103" s="75">
        <f t="shared" si="22"/>
        <v>0.41349796177368381</v>
      </c>
      <c r="AN103" s="75">
        <f t="shared" si="23"/>
        <v>0</v>
      </c>
      <c r="AO103" s="188" t="s">
        <v>739</v>
      </c>
      <c r="AP103" s="188" t="s">
        <v>739</v>
      </c>
      <c r="AQ103" s="188" t="s">
        <v>739</v>
      </c>
      <c r="AR103" s="188"/>
      <c r="AS103" s="188" t="s">
        <v>1560</v>
      </c>
      <c r="AT103" s="188" t="s">
        <v>1561</v>
      </c>
      <c r="AU103" s="188" t="s">
        <v>1562</v>
      </c>
      <c r="AV103" s="188"/>
      <c r="AW103" s="188" t="s">
        <v>739</v>
      </c>
      <c r="AX103" t="s">
        <v>739</v>
      </c>
      <c r="AY103" t="s">
        <v>739</v>
      </c>
      <c r="BA103" t="s">
        <v>1563</v>
      </c>
      <c r="BB103" t="s">
        <v>1564</v>
      </c>
      <c r="BC103" s="188" t="s">
        <v>1565</v>
      </c>
      <c r="BD103" s="143"/>
    </row>
    <row r="104" spans="1:56" ht="15" customHeight="1" x14ac:dyDescent="0.25">
      <c r="A104" s="188">
        <v>13</v>
      </c>
      <c r="B104" s="188" t="s">
        <v>498</v>
      </c>
      <c r="C104" s="188" t="s">
        <v>814</v>
      </c>
      <c r="D104" s="188" t="s">
        <v>727</v>
      </c>
      <c r="E104" s="188" t="s">
        <v>815</v>
      </c>
      <c r="F104" s="188" t="s">
        <v>816</v>
      </c>
      <c r="G104" s="188" t="s">
        <v>817</v>
      </c>
      <c r="H104" s="188" t="s">
        <v>818</v>
      </c>
      <c r="I104" t="s">
        <v>923</v>
      </c>
      <c r="J104" s="74">
        <v>44197</v>
      </c>
      <c r="K104" s="74">
        <v>44561</v>
      </c>
      <c r="L104" s="188" t="s">
        <v>733</v>
      </c>
      <c r="M104" s="188" t="str">
        <f t="shared" si="26"/>
        <v>Cundinamarca</v>
      </c>
      <c r="N104" s="188" t="s">
        <v>60</v>
      </c>
      <c r="O104" s="188" t="s">
        <v>924</v>
      </c>
      <c r="P104" s="188" t="s">
        <v>821</v>
      </c>
      <c r="Q104" s="75">
        <v>0.1</v>
      </c>
      <c r="R104" s="189">
        <v>1</v>
      </c>
      <c r="S104" s="189">
        <v>0.25</v>
      </c>
      <c r="T104" s="189">
        <v>0.25</v>
      </c>
      <c r="U104" s="189">
        <v>0.25</v>
      </c>
      <c r="V104" s="189">
        <v>0.25</v>
      </c>
      <c r="W104" s="189">
        <v>0.25</v>
      </c>
      <c r="X104" s="189" t="s">
        <v>1566</v>
      </c>
      <c r="Y104" s="189">
        <v>0.25</v>
      </c>
      <c r="Z104" s="189" t="s">
        <v>1567</v>
      </c>
      <c r="AA104" s="189">
        <v>0.25</v>
      </c>
      <c r="AB104" s="189" t="s">
        <v>1568</v>
      </c>
      <c r="AC104" s="189"/>
      <c r="AD104" s="189"/>
      <c r="AE104" s="189">
        <f t="shared" si="18"/>
        <v>0.75</v>
      </c>
      <c r="AF104" s="60">
        <v>44300</v>
      </c>
      <c r="AG104" s="60">
        <v>44392</v>
      </c>
      <c r="AH104" s="60">
        <v>44482</v>
      </c>
      <c r="AI104" s="60"/>
      <c r="AJ104" s="75">
        <f t="shared" si="19"/>
        <v>0.75</v>
      </c>
      <c r="AK104" s="75">
        <f t="shared" si="20"/>
        <v>1</v>
      </c>
      <c r="AL104" s="75">
        <f t="shared" si="21"/>
        <v>1</v>
      </c>
      <c r="AM104" s="75">
        <f t="shared" si="22"/>
        <v>1</v>
      </c>
      <c r="AN104" s="75">
        <f t="shared" si="23"/>
        <v>0</v>
      </c>
      <c r="AO104" s="188" t="s">
        <v>739</v>
      </c>
      <c r="AP104" s="188" t="s">
        <v>739</v>
      </c>
      <c r="AQ104" s="188" t="s">
        <v>739</v>
      </c>
      <c r="AR104" s="188"/>
      <c r="AS104" s="188" t="s">
        <v>1569</v>
      </c>
      <c r="AT104" s="188" t="s">
        <v>1570</v>
      </c>
      <c r="AU104" s="188" t="s">
        <v>1571</v>
      </c>
      <c r="AV104" s="188"/>
      <c r="AW104" s="188" t="s">
        <v>739</v>
      </c>
      <c r="AX104" t="s">
        <v>739</v>
      </c>
      <c r="AY104" t="s">
        <v>838</v>
      </c>
      <c r="BA104" t="s">
        <v>1572</v>
      </c>
      <c r="BB104" t="s">
        <v>1573</v>
      </c>
      <c r="BC104" t="s">
        <v>1574</v>
      </c>
      <c r="BD104" s="143"/>
    </row>
    <row r="105" spans="1:56" ht="15" customHeight="1" x14ac:dyDescent="0.25">
      <c r="A105" s="188">
        <v>1</v>
      </c>
      <c r="B105" s="188" t="s">
        <v>499</v>
      </c>
      <c r="C105" s="188" t="s">
        <v>832</v>
      </c>
      <c r="D105" s="188" t="s">
        <v>727</v>
      </c>
      <c r="E105" s="188" t="s">
        <v>728</v>
      </c>
      <c r="F105" s="188" t="s">
        <v>729</v>
      </c>
      <c r="G105" s="188" t="s">
        <v>730</v>
      </c>
      <c r="H105" s="188" t="s">
        <v>731</v>
      </c>
      <c r="I105" s="188" t="s">
        <v>844</v>
      </c>
      <c r="J105" s="74">
        <v>44197</v>
      </c>
      <c r="K105" s="74">
        <v>44561</v>
      </c>
      <c r="L105" s="188" t="s">
        <v>733</v>
      </c>
      <c r="M105" s="188" t="str">
        <f>B105</f>
        <v>Guajira</v>
      </c>
      <c r="N105" s="188" t="s">
        <v>30</v>
      </c>
      <c r="O105" s="188" t="s">
        <v>845</v>
      </c>
      <c r="P105" s="188" t="s">
        <v>735</v>
      </c>
      <c r="Q105" s="75">
        <v>0.1</v>
      </c>
      <c r="R105" s="190">
        <v>177498</v>
      </c>
      <c r="S105" s="190">
        <v>0</v>
      </c>
      <c r="T105" s="190">
        <v>0</v>
      </c>
      <c r="U105" s="190">
        <v>0</v>
      </c>
      <c r="V105" s="190">
        <v>177498</v>
      </c>
      <c r="W105" s="190">
        <v>0</v>
      </c>
      <c r="X105" s="190" t="s">
        <v>1575</v>
      </c>
      <c r="Y105" s="190">
        <v>0</v>
      </c>
      <c r="Z105" s="190" t="s">
        <v>1575</v>
      </c>
      <c r="AA105" s="190">
        <v>0</v>
      </c>
      <c r="AB105" s="190" t="s">
        <v>1575</v>
      </c>
      <c r="AC105" s="190"/>
      <c r="AD105" s="190"/>
      <c r="AE105" s="190">
        <f t="shared" si="18"/>
        <v>0</v>
      </c>
      <c r="AF105" s="74">
        <v>44298</v>
      </c>
      <c r="AG105" s="74">
        <v>44389</v>
      </c>
      <c r="AH105" s="74">
        <v>44476</v>
      </c>
      <c r="AI105" s="74"/>
      <c r="AJ105" s="75">
        <f t="shared" si="19"/>
        <v>0</v>
      </c>
      <c r="AK105" s="75" t="str">
        <f t="shared" si="20"/>
        <v/>
      </c>
      <c r="AL105" s="75" t="str">
        <f t="shared" si="21"/>
        <v/>
      </c>
      <c r="AM105" s="75" t="str">
        <f t="shared" si="22"/>
        <v/>
      </c>
      <c r="AN105" s="75">
        <f t="shared" si="23"/>
        <v>0</v>
      </c>
      <c r="AO105" s="188" t="s">
        <v>838</v>
      </c>
      <c r="AP105" s="188" t="s">
        <v>838</v>
      </c>
      <c r="AQ105" s="188" t="s">
        <v>838</v>
      </c>
      <c r="AR105" s="188"/>
      <c r="AS105" s="188" t="s">
        <v>1576</v>
      </c>
      <c r="AT105" s="188" t="s">
        <v>1577</v>
      </c>
      <c r="AU105" s="188" t="s">
        <v>1578</v>
      </c>
      <c r="AV105" s="188"/>
      <c r="AW105" s="188" t="s">
        <v>838</v>
      </c>
      <c r="AX105" s="188" t="s">
        <v>838</v>
      </c>
      <c r="AY105" s="188" t="s">
        <v>838</v>
      </c>
      <c r="AZ105" s="188"/>
      <c r="BA105" s="188" t="s">
        <v>1417</v>
      </c>
      <c r="BB105" s="188" t="s">
        <v>1579</v>
      </c>
      <c r="BC105" s="188" t="s">
        <v>1580</v>
      </c>
      <c r="BD105" s="143"/>
    </row>
    <row r="106" spans="1:56" ht="15" customHeight="1" x14ac:dyDescent="0.25">
      <c r="A106" s="188">
        <v>2</v>
      </c>
      <c r="B106" s="188" t="s">
        <v>499</v>
      </c>
      <c r="C106" s="188" t="s">
        <v>726</v>
      </c>
      <c r="D106" s="188" t="s">
        <v>727</v>
      </c>
      <c r="E106" s="188" t="s">
        <v>728</v>
      </c>
      <c r="F106" s="188" t="s">
        <v>729</v>
      </c>
      <c r="G106" s="188" t="s">
        <v>730</v>
      </c>
      <c r="H106" s="188" t="s">
        <v>731</v>
      </c>
      <c r="I106" s="188" t="s">
        <v>732</v>
      </c>
      <c r="J106" s="74">
        <v>44197</v>
      </c>
      <c r="K106" s="74">
        <v>44561</v>
      </c>
      <c r="L106" s="188" t="s">
        <v>733</v>
      </c>
      <c r="M106" s="188" t="str">
        <f t="shared" ref="M106:M114" si="27">B106</f>
        <v>Guajira</v>
      </c>
      <c r="N106" s="188" t="s">
        <v>30</v>
      </c>
      <c r="O106" s="188" t="s">
        <v>734</v>
      </c>
      <c r="P106" s="188" t="s">
        <v>735</v>
      </c>
      <c r="Q106" s="75">
        <v>0.1</v>
      </c>
      <c r="R106" s="190">
        <v>3393</v>
      </c>
      <c r="S106" s="190">
        <v>0</v>
      </c>
      <c r="T106" s="190">
        <v>0</v>
      </c>
      <c r="U106" s="190">
        <v>0</v>
      </c>
      <c r="V106" s="190">
        <v>3393</v>
      </c>
      <c r="W106" s="190">
        <v>634</v>
      </c>
      <c r="X106" s="190" t="s">
        <v>1581</v>
      </c>
      <c r="Y106" s="190">
        <v>1719</v>
      </c>
      <c r="Z106" s="190" t="s">
        <v>1582</v>
      </c>
      <c r="AA106" s="190">
        <v>1461</v>
      </c>
      <c r="AB106" s="190" t="s">
        <v>1583</v>
      </c>
      <c r="AC106" s="190"/>
      <c r="AD106" s="190"/>
      <c r="AE106" s="190">
        <f t="shared" si="18"/>
        <v>3814</v>
      </c>
      <c r="AF106" s="74">
        <v>44298</v>
      </c>
      <c r="AG106" s="74">
        <v>44389</v>
      </c>
      <c r="AH106" s="74">
        <v>44476</v>
      </c>
      <c r="AI106" s="74"/>
      <c r="AJ106" s="75">
        <f t="shared" si="19"/>
        <v>1</v>
      </c>
      <c r="AK106" s="75" t="str">
        <f t="shared" si="20"/>
        <v/>
      </c>
      <c r="AL106" s="75" t="str">
        <f t="shared" si="21"/>
        <v/>
      </c>
      <c r="AM106" s="75" t="str">
        <f t="shared" si="22"/>
        <v/>
      </c>
      <c r="AN106" s="75">
        <f t="shared" si="23"/>
        <v>0</v>
      </c>
      <c r="AO106" s="188" t="s">
        <v>739</v>
      </c>
      <c r="AP106" s="188" t="s">
        <v>739</v>
      </c>
      <c r="AQ106" s="188" t="s">
        <v>739</v>
      </c>
      <c r="AR106" s="188"/>
      <c r="AS106" s="188" t="s">
        <v>1584</v>
      </c>
      <c r="AT106" s="188" t="s">
        <v>1585</v>
      </c>
      <c r="AU106" s="188" t="s">
        <v>1586</v>
      </c>
      <c r="AV106" s="188"/>
      <c r="AW106" s="188" t="s">
        <v>739</v>
      </c>
      <c r="AX106" t="s">
        <v>739</v>
      </c>
      <c r="AY106" t="s">
        <v>739</v>
      </c>
      <c r="BA106" t="s">
        <v>1587</v>
      </c>
      <c r="BB106" t="s">
        <v>1588</v>
      </c>
      <c r="BC106" t="s">
        <v>1589</v>
      </c>
      <c r="BD106" s="143"/>
    </row>
    <row r="107" spans="1:56" ht="15" customHeight="1" x14ac:dyDescent="0.25">
      <c r="A107" s="188">
        <v>4</v>
      </c>
      <c r="B107" s="188" t="s">
        <v>499</v>
      </c>
      <c r="C107" s="188" t="s">
        <v>726</v>
      </c>
      <c r="D107" s="188" t="s">
        <v>727</v>
      </c>
      <c r="E107" s="188" t="s">
        <v>728</v>
      </c>
      <c r="F107" s="188" t="s">
        <v>729</v>
      </c>
      <c r="G107" s="188" t="s">
        <v>730</v>
      </c>
      <c r="H107" s="188" t="s">
        <v>731</v>
      </c>
      <c r="I107" s="188" t="s">
        <v>746</v>
      </c>
      <c r="J107" s="74">
        <v>44197</v>
      </c>
      <c r="K107" s="74">
        <v>44561</v>
      </c>
      <c r="L107" s="188" t="s">
        <v>733</v>
      </c>
      <c r="M107" s="188" t="str">
        <f t="shared" si="27"/>
        <v>Guajira</v>
      </c>
      <c r="N107" s="188" t="s">
        <v>30</v>
      </c>
      <c r="O107" s="188" t="s">
        <v>747</v>
      </c>
      <c r="P107" s="188" t="s">
        <v>735</v>
      </c>
      <c r="Q107" s="75">
        <v>0.1</v>
      </c>
      <c r="R107" s="190">
        <v>5062</v>
      </c>
      <c r="S107" s="190">
        <v>0</v>
      </c>
      <c r="T107" s="190">
        <v>0</v>
      </c>
      <c r="U107" s="190">
        <v>0</v>
      </c>
      <c r="V107" s="190">
        <v>5062</v>
      </c>
      <c r="W107" s="190">
        <v>88</v>
      </c>
      <c r="X107" s="190" t="s">
        <v>1590</v>
      </c>
      <c r="Y107" s="190">
        <v>543</v>
      </c>
      <c r="Z107" s="190" t="s">
        <v>1591</v>
      </c>
      <c r="AA107" s="190">
        <v>211</v>
      </c>
      <c r="AB107" s="190" t="s">
        <v>1592</v>
      </c>
      <c r="AC107" s="190"/>
      <c r="AD107" s="190"/>
      <c r="AE107" s="190">
        <f t="shared" si="18"/>
        <v>842</v>
      </c>
      <c r="AF107" s="74">
        <v>44298</v>
      </c>
      <c r="AG107" s="74">
        <v>44389</v>
      </c>
      <c r="AH107" s="74">
        <v>44476</v>
      </c>
      <c r="AI107" s="74"/>
      <c r="AJ107" s="75">
        <f t="shared" si="19"/>
        <v>0.16633741604109048</v>
      </c>
      <c r="AK107" s="75" t="str">
        <f t="shared" si="20"/>
        <v/>
      </c>
      <c r="AL107" s="75" t="str">
        <f t="shared" si="21"/>
        <v/>
      </c>
      <c r="AM107" s="75" t="str">
        <f t="shared" si="22"/>
        <v/>
      </c>
      <c r="AN107" s="75">
        <f t="shared" si="23"/>
        <v>0</v>
      </c>
      <c r="AO107" s="188" t="s">
        <v>739</v>
      </c>
      <c r="AP107" s="188" t="s">
        <v>739</v>
      </c>
      <c r="AQ107" s="188" t="s">
        <v>739</v>
      </c>
      <c r="AR107" s="188"/>
      <c r="AS107" s="188" t="s">
        <v>1584</v>
      </c>
      <c r="AT107" s="188" t="s">
        <v>1585</v>
      </c>
      <c r="AU107" s="188" t="s">
        <v>1593</v>
      </c>
      <c r="AV107" s="188"/>
      <c r="AW107" s="188" t="s">
        <v>739</v>
      </c>
      <c r="AX107" t="s">
        <v>739</v>
      </c>
      <c r="AY107" t="s">
        <v>739</v>
      </c>
      <c r="BA107" t="s">
        <v>1594</v>
      </c>
      <c r="BB107" t="s">
        <v>1595</v>
      </c>
      <c r="BC107" t="s">
        <v>1596</v>
      </c>
      <c r="BD107" s="143"/>
    </row>
    <row r="108" spans="1:56" ht="15" customHeight="1" x14ac:dyDescent="0.25">
      <c r="A108" s="188">
        <v>6</v>
      </c>
      <c r="B108" s="188" t="s">
        <v>499</v>
      </c>
      <c r="C108" s="188" t="s">
        <v>756</v>
      </c>
      <c r="D108" s="188" t="s">
        <v>727</v>
      </c>
      <c r="E108" s="188" t="s">
        <v>728</v>
      </c>
      <c r="F108" s="188" t="s">
        <v>757</v>
      </c>
      <c r="G108" s="188" t="s">
        <v>730</v>
      </c>
      <c r="H108" s="188" t="s">
        <v>731</v>
      </c>
      <c r="I108" t="s">
        <v>758</v>
      </c>
      <c r="J108" s="74">
        <v>44197</v>
      </c>
      <c r="K108" s="74">
        <v>44561</v>
      </c>
      <c r="L108" s="188" t="s">
        <v>733</v>
      </c>
      <c r="M108" s="188" t="str">
        <f t="shared" si="27"/>
        <v>Guajira</v>
      </c>
      <c r="N108" s="188" t="s">
        <v>60</v>
      </c>
      <c r="O108" s="188" t="s">
        <v>759</v>
      </c>
      <c r="P108" s="188" t="s">
        <v>735</v>
      </c>
      <c r="Q108" s="75">
        <v>0.1</v>
      </c>
      <c r="R108" s="189">
        <v>1</v>
      </c>
      <c r="S108" s="189">
        <v>0.25</v>
      </c>
      <c r="T108" s="189">
        <v>0.25</v>
      </c>
      <c r="U108" s="189">
        <v>0.25</v>
      </c>
      <c r="V108" s="189">
        <v>0.25</v>
      </c>
      <c r="W108" s="189">
        <v>0</v>
      </c>
      <c r="X108" s="189" t="s">
        <v>1597</v>
      </c>
      <c r="Y108" s="189">
        <v>0.5</v>
      </c>
      <c r="Z108" s="189" t="s">
        <v>1598</v>
      </c>
      <c r="AA108" s="189">
        <v>0.25</v>
      </c>
      <c r="AB108" s="189" t="s">
        <v>1599</v>
      </c>
      <c r="AC108" s="189"/>
      <c r="AD108" s="189"/>
      <c r="AE108" s="189">
        <f t="shared" si="18"/>
        <v>0.75</v>
      </c>
      <c r="AF108" s="74">
        <v>44298</v>
      </c>
      <c r="AG108" s="74">
        <v>44390</v>
      </c>
      <c r="AH108" s="74">
        <v>44476</v>
      </c>
      <c r="AI108" s="74"/>
      <c r="AJ108" s="75">
        <f t="shared" si="19"/>
        <v>0.75</v>
      </c>
      <c r="AK108" s="75">
        <f t="shared" si="20"/>
        <v>0</v>
      </c>
      <c r="AL108" s="75">
        <f t="shared" si="21"/>
        <v>1</v>
      </c>
      <c r="AM108" s="75">
        <f t="shared" si="22"/>
        <v>1</v>
      </c>
      <c r="AN108" s="75">
        <f t="shared" si="23"/>
        <v>0</v>
      </c>
      <c r="AO108" s="188" t="s">
        <v>739</v>
      </c>
      <c r="AP108" s="188" t="s">
        <v>739</v>
      </c>
      <c r="AQ108" s="188" t="s">
        <v>739</v>
      </c>
      <c r="AR108" s="188"/>
      <c r="AS108" s="188" t="s">
        <v>1600</v>
      </c>
      <c r="AT108" s="188" t="s">
        <v>1601</v>
      </c>
      <c r="AU108" s="188" t="s">
        <v>1602</v>
      </c>
      <c r="AV108" s="188"/>
      <c r="AW108" s="188" t="s">
        <v>828</v>
      </c>
      <c r="AX108" t="s">
        <v>739</v>
      </c>
      <c r="AY108" t="s">
        <v>739</v>
      </c>
      <c r="BA108" t="s">
        <v>1603</v>
      </c>
      <c r="BB108" t="s">
        <v>1604</v>
      </c>
      <c r="BC108" t="s">
        <v>1604</v>
      </c>
      <c r="BD108" s="143"/>
    </row>
    <row r="109" spans="1:56" ht="15" customHeight="1" x14ac:dyDescent="0.25">
      <c r="A109" s="188">
        <v>7</v>
      </c>
      <c r="B109" s="188" t="s">
        <v>499</v>
      </c>
      <c r="C109" s="188" t="s">
        <v>768</v>
      </c>
      <c r="D109" s="188" t="s">
        <v>727</v>
      </c>
      <c r="E109" s="188" t="s">
        <v>728</v>
      </c>
      <c r="F109" s="188" t="s">
        <v>757</v>
      </c>
      <c r="G109" s="188" t="s">
        <v>730</v>
      </c>
      <c r="H109" s="188" t="s">
        <v>731</v>
      </c>
      <c r="I109" t="s">
        <v>769</v>
      </c>
      <c r="J109" s="74">
        <v>44197</v>
      </c>
      <c r="K109" s="74">
        <v>44561</v>
      </c>
      <c r="L109" s="188" t="s">
        <v>733</v>
      </c>
      <c r="M109" s="188" t="str">
        <f t="shared" si="27"/>
        <v>Guajira</v>
      </c>
      <c r="N109" s="188" t="s">
        <v>60</v>
      </c>
      <c r="O109" s="188" t="s">
        <v>759</v>
      </c>
      <c r="P109" s="188" t="s">
        <v>735</v>
      </c>
      <c r="Q109" s="75">
        <v>0.1</v>
      </c>
      <c r="R109" s="189">
        <v>1</v>
      </c>
      <c r="S109" s="189">
        <v>0.25</v>
      </c>
      <c r="T109" s="189">
        <v>0.25</v>
      </c>
      <c r="U109" s="189">
        <v>0.25</v>
      </c>
      <c r="V109" s="189">
        <v>0.25</v>
      </c>
      <c r="W109" s="189">
        <v>0.25</v>
      </c>
      <c r="X109" s="189" t="s">
        <v>1605</v>
      </c>
      <c r="Y109" s="189">
        <v>0.25</v>
      </c>
      <c r="Z109" s="189" t="s">
        <v>1606</v>
      </c>
      <c r="AA109" s="189">
        <v>0.25</v>
      </c>
      <c r="AB109" s="189" t="s">
        <v>1607</v>
      </c>
      <c r="AC109" s="189"/>
      <c r="AD109" s="189"/>
      <c r="AE109" s="189">
        <f t="shared" si="18"/>
        <v>0.75</v>
      </c>
      <c r="AF109" s="74">
        <v>44298</v>
      </c>
      <c r="AG109" s="74">
        <v>44390</v>
      </c>
      <c r="AH109" s="74">
        <v>44476</v>
      </c>
      <c r="AI109" s="74"/>
      <c r="AJ109" s="75">
        <f t="shared" si="19"/>
        <v>0.75</v>
      </c>
      <c r="AK109" s="75">
        <f t="shared" si="20"/>
        <v>1</v>
      </c>
      <c r="AL109" s="75">
        <f t="shared" si="21"/>
        <v>1</v>
      </c>
      <c r="AM109" s="75">
        <f t="shared" si="22"/>
        <v>1</v>
      </c>
      <c r="AN109" s="75">
        <f t="shared" si="23"/>
        <v>0</v>
      </c>
      <c r="AO109" s="188" t="s">
        <v>739</v>
      </c>
      <c r="AP109" s="188" t="s">
        <v>739</v>
      </c>
      <c r="AQ109" s="188" t="s">
        <v>739</v>
      </c>
      <c r="AR109" s="188"/>
      <c r="AS109" s="188" t="s">
        <v>1584</v>
      </c>
      <c r="AT109" s="188" t="s">
        <v>1608</v>
      </c>
      <c r="AU109" s="188" t="s">
        <v>1609</v>
      </c>
      <c r="AV109" s="188"/>
      <c r="AW109" s="188" t="s">
        <v>739</v>
      </c>
      <c r="AX109" t="s">
        <v>739</v>
      </c>
      <c r="AY109" t="s">
        <v>739</v>
      </c>
      <c r="BA109" t="s">
        <v>1610</v>
      </c>
      <c r="BB109" t="s">
        <v>1611</v>
      </c>
      <c r="BC109" t="s">
        <v>1610</v>
      </c>
      <c r="BD109" s="143"/>
    </row>
    <row r="110" spans="1:56" ht="15" customHeight="1" x14ac:dyDescent="0.25">
      <c r="A110" s="188">
        <v>8</v>
      </c>
      <c r="B110" s="188" t="s">
        <v>499</v>
      </c>
      <c r="C110" s="188" t="s">
        <v>777</v>
      </c>
      <c r="D110" s="188" t="s">
        <v>778</v>
      </c>
      <c r="E110" s="188" t="s">
        <v>779</v>
      </c>
      <c r="F110" s="188" t="s">
        <v>780</v>
      </c>
      <c r="G110" s="188" t="s">
        <v>730</v>
      </c>
      <c r="H110" s="188" t="s">
        <v>781</v>
      </c>
      <c r="I110" t="s">
        <v>782</v>
      </c>
      <c r="J110" s="74">
        <v>44197</v>
      </c>
      <c r="K110" s="74">
        <v>44561</v>
      </c>
      <c r="L110" s="188" t="s">
        <v>733</v>
      </c>
      <c r="M110" s="188" t="str">
        <f t="shared" si="27"/>
        <v>Guajira</v>
      </c>
      <c r="N110" s="188" t="s">
        <v>60</v>
      </c>
      <c r="O110" s="188" t="s">
        <v>759</v>
      </c>
      <c r="P110" s="188" t="s">
        <v>735</v>
      </c>
      <c r="Q110" s="75">
        <v>0.1</v>
      </c>
      <c r="R110" s="189">
        <v>1</v>
      </c>
      <c r="S110" s="189">
        <v>0.25</v>
      </c>
      <c r="T110" s="189">
        <v>0.25</v>
      </c>
      <c r="U110" s="189">
        <v>0.25</v>
      </c>
      <c r="V110" s="189">
        <v>0.25</v>
      </c>
      <c r="W110" s="189">
        <v>0.25</v>
      </c>
      <c r="X110" s="189" t="s">
        <v>1612</v>
      </c>
      <c r="Y110" s="189">
        <v>0.25</v>
      </c>
      <c r="Z110" s="189" t="s">
        <v>1613</v>
      </c>
      <c r="AA110" s="189">
        <v>0.25</v>
      </c>
      <c r="AB110" s="189" t="s">
        <v>1614</v>
      </c>
      <c r="AC110" s="189"/>
      <c r="AD110" s="189"/>
      <c r="AE110" s="189">
        <f t="shared" si="18"/>
        <v>0.75</v>
      </c>
      <c r="AF110" s="74">
        <v>44298</v>
      </c>
      <c r="AG110" s="74">
        <v>44390</v>
      </c>
      <c r="AH110" s="74">
        <v>44476</v>
      </c>
      <c r="AI110" s="74"/>
      <c r="AJ110" s="75">
        <f t="shared" si="19"/>
        <v>0.75</v>
      </c>
      <c r="AK110" s="75">
        <f t="shared" si="20"/>
        <v>1</v>
      </c>
      <c r="AL110" s="75">
        <f t="shared" si="21"/>
        <v>1</v>
      </c>
      <c r="AM110" s="75">
        <f t="shared" si="22"/>
        <v>1</v>
      </c>
      <c r="AN110" s="75">
        <f t="shared" si="23"/>
        <v>0</v>
      </c>
      <c r="AO110" s="188" t="s">
        <v>739</v>
      </c>
      <c r="AP110" s="188" t="s">
        <v>739</v>
      </c>
      <c r="AQ110" s="188" t="s">
        <v>739</v>
      </c>
      <c r="AR110" s="188"/>
      <c r="AS110" s="188" t="s">
        <v>1584</v>
      </c>
      <c r="AT110" s="188" t="s">
        <v>1615</v>
      </c>
      <c r="AU110" s="188" t="s">
        <v>1616</v>
      </c>
      <c r="AV110" s="188"/>
      <c r="AW110" s="188" t="s">
        <v>828</v>
      </c>
      <c r="AX110" t="s">
        <v>739</v>
      </c>
      <c r="AY110" t="s">
        <v>739</v>
      </c>
      <c r="BA110" t="s">
        <v>1617</v>
      </c>
      <c r="BB110" t="s">
        <v>1618</v>
      </c>
      <c r="BC110" t="s">
        <v>1619</v>
      </c>
      <c r="BD110" s="143"/>
    </row>
    <row r="111" spans="1:56" ht="15" customHeight="1" x14ac:dyDescent="0.25">
      <c r="A111" s="188">
        <v>9</v>
      </c>
      <c r="B111" s="188" t="s">
        <v>499</v>
      </c>
      <c r="C111" s="188" t="s">
        <v>790</v>
      </c>
      <c r="D111" s="188" t="s">
        <v>791</v>
      </c>
      <c r="E111" s="188" t="s">
        <v>792</v>
      </c>
      <c r="F111" s="188" t="s">
        <v>793</v>
      </c>
      <c r="G111" s="188" t="s">
        <v>794</v>
      </c>
      <c r="H111" s="188" t="s">
        <v>794</v>
      </c>
      <c r="I111" t="s">
        <v>795</v>
      </c>
      <c r="J111" s="74">
        <v>44197</v>
      </c>
      <c r="K111" s="74">
        <v>44561</v>
      </c>
      <c r="L111" s="188" t="s">
        <v>733</v>
      </c>
      <c r="M111" s="188" t="str">
        <f t="shared" si="27"/>
        <v>Guajira</v>
      </c>
      <c r="N111" s="188" t="s">
        <v>60</v>
      </c>
      <c r="O111" s="188" t="s">
        <v>796</v>
      </c>
      <c r="P111" s="188" t="s">
        <v>735</v>
      </c>
      <c r="Q111" s="75">
        <v>0.1</v>
      </c>
      <c r="R111" s="189">
        <v>1</v>
      </c>
      <c r="S111" s="189">
        <v>0.25</v>
      </c>
      <c r="T111" s="189">
        <v>0.25</v>
      </c>
      <c r="U111" s="189">
        <v>0.25</v>
      </c>
      <c r="V111" s="189">
        <v>0.25</v>
      </c>
      <c r="W111" s="189">
        <v>0.25</v>
      </c>
      <c r="X111" s="189" t="s">
        <v>1620</v>
      </c>
      <c r="Y111" s="189">
        <v>0.25</v>
      </c>
      <c r="Z111" s="189" t="s">
        <v>1621</v>
      </c>
      <c r="AA111" s="189">
        <v>0.25</v>
      </c>
      <c r="AB111" s="189" t="s">
        <v>1622</v>
      </c>
      <c r="AC111" s="189"/>
      <c r="AD111" s="189"/>
      <c r="AE111" s="189">
        <f t="shared" si="18"/>
        <v>0.75</v>
      </c>
      <c r="AF111" s="74">
        <v>44298</v>
      </c>
      <c r="AG111" s="74">
        <v>44389</v>
      </c>
      <c r="AH111" s="74">
        <v>44476</v>
      </c>
      <c r="AI111" s="74"/>
      <c r="AJ111" s="75">
        <f t="shared" si="19"/>
        <v>0.75</v>
      </c>
      <c r="AK111" s="75">
        <f t="shared" si="20"/>
        <v>1</v>
      </c>
      <c r="AL111" s="75">
        <f t="shared" si="21"/>
        <v>1</v>
      </c>
      <c r="AM111" s="75">
        <f t="shared" si="22"/>
        <v>1</v>
      </c>
      <c r="AN111" s="75">
        <f t="shared" si="23"/>
        <v>0</v>
      </c>
      <c r="AO111" s="188" t="s">
        <v>739</v>
      </c>
      <c r="AP111" s="188" t="s">
        <v>739</v>
      </c>
      <c r="AQ111" s="188" t="s">
        <v>739</v>
      </c>
      <c r="AR111" s="188"/>
      <c r="AS111" s="188" t="s">
        <v>1584</v>
      </c>
      <c r="AT111" s="188" t="s">
        <v>1623</v>
      </c>
      <c r="AU111" s="188" t="s">
        <v>1624</v>
      </c>
      <c r="AV111" s="188"/>
      <c r="AW111" s="188" t="s">
        <v>739</v>
      </c>
      <c r="AX111" t="s">
        <v>739</v>
      </c>
      <c r="AY111" t="s">
        <v>739</v>
      </c>
      <c r="BA111" t="s">
        <v>1625</v>
      </c>
      <c r="BB111" t="s">
        <v>1626</v>
      </c>
      <c r="BC111" t="s">
        <v>1388</v>
      </c>
      <c r="BD111" s="143"/>
    </row>
    <row r="112" spans="1:56" ht="15" customHeight="1" x14ac:dyDescent="0.25">
      <c r="A112" s="188">
        <v>10</v>
      </c>
      <c r="B112" s="188" t="s">
        <v>499</v>
      </c>
      <c r="C112" s="188" t="s">
        <v>790</v>
      </c>
      <c r="D112" s="188" t="s">
        <v>791</v>
      </c>
      <c r="E112" s="188" t="s">
        <v>792</v>
      </c>
      <c r="F112" s="188" t="s">
        <v>793</v>
      </c>
      <c r="G112" s="188" t="s">
        <v>794</v>
      </c>
      <c r="H112" s="188" t="s">
        <v>794</v>
      </c>
      <c r="I112" t="s">
        <v>805</v>
      </c>
      <c r="J112" s="74">
        <v>44197</v>
      </c>
      <c r="K112" s="74">
        <v>44561</v>
      </c>
      <c r="L112" s="188" t="s">
        <v>733</v>
      </c>
      <c r="M112" s="188" t="str">
        <f t="shared" si="27"/>
        <v>Guajira</v>
      </c>
      <c r="N112" s="188" t="s">
        <v>60</v>
      </c>
      <c r="O112" s="188" t="s">
        <v>806</v>
      </c>
      <c r="P112" s="188" t="s">
        <v>735</v>
      </c>
      <c r="Q112" s="75">
        <v>0.1</v>
      </c>
      <c r="R112" s="189">
        <v>1</v>
      </c>
      <c r="S112" s="189">
        <v>0.25</v>
      </c>
      <c r="T112" s="189">
        <v>0.25</v>
      </c>
      <c r="U112" s="189">
        <v>0.25</v>
      </c>
      <c r="V112" s="189">
        <v>0.25</v>
      </c>
      <c r="W112" s="189">
        <v>0.25</v>
      </c>
      <c r="X112" s="189" t="s">
        <v>1627</v>
      </c>
      <c r="Y112" s="189">
        <v>0.25</v>
      </c>
      <c r="Z112" s="189" t="s">
        <v>1628</v>
      </c>
      <c r="AA112" s="189">
        <v>0.25</v>
      </c>
      <c r="AB112" s="189" t="s">
        <v>1629</v>
      </c>
      <c r="AC112" s="189"/>
      <c r="AD112" s="189"/>
      <c r="AE112" s="189">
        <f t="shared" si="18"/>
        <v>0.75</v>
      </c>
      <c r="AF112" s="74">
        <v>44298</v>
      </c>
      <c r="AG112" s="74">
        <v>44389</v>
      </c>
      <c r="AH112" s="74">
        <v>44476</v>
      </c>
      <c r="AI112" s="74"/>
      <c r="AJ112" s="75">
        <f t="shared" si="19"/>
        <v>0.75</v>
      </c>
      <c r="AK112" s="75">
        <f t="shared" si="20"/>
        <v>1</v>
      </c>
      <c r="AL112" s="75">
        <f t="shared" si="21"/>
        <v>1</v>
      </c>
      <c r="AM112" s="75">
        <f t="shared" si="22"/>
        <v>1</v>
      </c>
      <c r="AN112" s="75">
        <f t="shared" si="23"/>
        <v>0</v>
      </c>
      <c r="AO112" s="188" t="s">
        <v>739</v>
      </c>
      <c r="AP112" s="188" t="s">
        <v>739</v>
      </c>
      <c r="AQ112" s="188" t="s">
        <v>739</v>
      </c>
      <c r="AR112" s="188"/>
      <c r="AS112" s="188" t="s">
        <v>1584</v>
      </c>
      <c r="AT112" s="188" t="s">
        <v>1630</v>
      </c>
      <c r="AU112" s="188" t="s">
        <v>1631</v>
      </c>
      <c r="AV112" s="188"/>
      <c r="AW112" s="188" t="s">
        <v>828</v>
      </c>
      <c r="AX112" t="s">
        <v>739</v>
      </c>
      <c r="AY112" t="s">
        <v>739</v>
      </c>
      <c r="BA112" t="s">
        <v>1632</v>
      </c>
      <c r="BB112" t="s">
        <v>1633</v>
      </c>
      <c r="BC112" t="s">
        <v>1634</v>
      </c>
      <c r="BD112" s="143"/>
    </row>
    <row r="113" spans="1:56" ht="15" customHeight="1" x14ac:dyDescent="0.25">
      <c r="A113" s="188">
        <v>12</v>
      </c>
      <c r="B113" s="188" t="s">
        <v>499</v>
      </c>
      <c r="C113" s="188" t="s">
        <v>814</v>
      </c>
      <c r="D113" s="188" t="s">
        <v>727</v>
      </c>
      <c r="E113" s="188" t="s">
        <v>815</v>
      </c>
      <c r="F113" s="188" t="s">
        <v>816</v>
      </c>
      <c r="G113" s="188" t="s">
        <v>817</v>
      </c>
      <c r="H113" s="188" t="s">
        <v>818</v>
      </c>
      <c r="I113" t="s">
        <v>819</v>
      </c>
      <c r="J113" s="74">
        <v>44197</v>
      </c>
      <c r="K113" s="74">
        <v>44561</v>
      </c>
      <c r="L113" s="188" t="s">
        <v>733</v>
      </c>
      <c r="M113" s="188" t="str">
        <f t="shared" si="27"/>
        <v>Guajira</v>
      </c>
      <c r="N113" s="188" t="s">
        <v>30</v>
      </c>
      <c r="O113" s="188" t="s">
        <v>820</v>
      </c>
      <c r="P113" s="188" t="s">
        <v>821</v>
      </c>
      <c r="Q113" s="75">
        <v>0.1</v>
      </c>
      <c r="R113" s="190">
        <f>SUM(S113:V113)</f>
        <v>113644495.16247328</v>
      </c>
      <c r="S113" s="190">
        <v>22439583.091708541</v>
      </c>
      <c r="T113" s="190">
        <v>29089106.524503782</v>
      </c>
      <c r="U113" s="190">
        <v>29616161.405090004</v>
      </c>
      <c r="V113" s="190">
        <v>32499644.141170949</v>
      </c>
      <c r="W113" s="190">
        <v>23654823</v>
      </c>
      <c r="X113" s="190" t="s">
        <v>1635</v>
      </c>
      <c r="Y113" s="190">
        <v>29111743</v>
      </c>
      <c r="Z113" s="190" t="s">
        <v>1636</v>
      </c>
      <c r="AA113" s="190">
        <v>21905762</v>
      </c>
      <c r="AB113" s="190" t="s">
        <v>1637</v>
      </c>
      <c r="AC113" s="190"/>
      <c r="AD113" s="190"/>
      <c r="AE113" s="190">
        <f t="shared" si="18"/>
        <v>74672328</v>
      </c>
      <c r="AF113" s="74">
        <v>44298</v>
      </c>
      <c r="AG113" s="74">
        <v>44389</v>
      </c>
      <c r="AH113" s="74">
        <v>44476</v>
      </c>
      <c r="AI113" s="74"/>
      <c r="AJ113" s="75">
        <f t="shared" si="19"/>
        <v>0.65706946819767886</v>
      </c>
      <c r="AK113" s="75">
        <f t="shared" si="20"/>
        <v>1</v>
      </c>
      <c r="AL113" s="75">
        <f t="shared" si="21"/>
        <v>1</v>
      </c>
      <c r="AM113" s="75">
        <f t="shared" si="22"/>
        <v>0.73965567989628622</v>
      </c>
      <c r="AN113" s="75">
        <f t="shared" si="23"/>
        <v>0</v>
      </c>
      <c r="AO113" s="188" t="s">
        <v>739</v>
      </c>
      <c r="AP113" s="188" t="s">
        <v>739</v>
      </c>
      <c r="AQ113" s="188" t="s">
        <v>739</v>
      </c>
      <c r="AR113" s="188"/>
      <c r="AS113" s="188" t="s">
        <v>1584</v>
      </c>
      <c r="AT113" s="188" t="s">
        <v>1638</v>
      </c>
      <c r="AU113" s="188" t="s">
        <v>1639</v>
      </c>
      <c r="AV113" s="188"/>
      <c r="AW113" s="188" t="s">
        <v>739</v>
      </c>
      <c r="AX113" t="s">
        <v>739</v>
      </c>
      <c r="AY113" t="s">
        <v>739</v>
      </c>
      <c r="BA113" t="s">
        <v>1640</v>
      </c>
      <c r="BB113" t="s">
        <v>1641</v>
      </c>
      <c r="BC113" t="s">
        <v>1642</v>
      </c>
      <c r="BD113" s="143"/>
    </row>
    <row r="114" spans="1:56" ht="15" customHeight="1" x14ac:dyDescent="0.25">
      <c r="A114" s="188">
        <v>13</v>
      </c>
      <c r="B114" s="188" t="s">
        <v>499</v>
      </c>
      <c r="C114" s="188" t="s">
        <v>814</v>
      </c>
      <c r="D114" s="188" t="s">
        <v>727</v>
      </c>
      <c r="E114" s="188" t="s">
        <v>815</v>
      </c>
      <c r="F114" s="188" t="s">
        <v>816</v>
      </c>
      <c r="G114" s="188" t="s">
        <v>817</v>
      </c>
      <c r="H114" s="188" t="s">
        <v>818</v>
      </c>
      <c r="I114" t="s">
        <v>923</v>
      </c>
      <c r="J114" s="74">
        <v>44197</v>
      </c>
      <c r="K114" s="74">
        <v>44561</v>
      </c>
      <c r="L114" s="188" t="s">
        <v>733</v>
      </c>
      <c r="M114" s="188" t="str">
        <f t="shared" si="27"/>
        <v>Guajira</v>
      </c>
      <c r="N114" s="188" t="s">
        <v>60</v>
      </c>
      <c r="O114" s="188" t="s">
        <v>924</v>
      </c>
      <c r="P114" s="188" t="s">
        <v>821</v>
      </c>
      <c r="Q114" s="75">
        <v>0.1</v>
      </c>
      <c r="R114" s="189">
        <v>1</v>
      </c>
      <c r="S114" s="189">
        <v>0.25</v>
      </c>
      <c r="T114" s="189">
        <v>0.25</v>
      </c>
      <c r="U114" s="189">
        <v>0.25</v>
      </c>
      <c r="V114" s="189">
        <v>0.25</v>
      </c>
      <c r="W114" s="189">
        <v>0</v>
      </c>
      <c r="X114" s="189" t="s">
        <v>1643</v>
      </c>
      <c r="Y114" s="189">
        <v>0.5</v>
      </c>
      <c r="Z114" s="189" t="s">
        <v>1644</v>
      </c>
      <c r="AA114" s="189">
        <v>0.25</v>
      </c>
      <c r="AB114" s="189" t="s">
        <v>1645</v>
      </c>
      <c r="AC114" s="189"/>
      <c r="AD114" s="189"/>
      <c r="AE114" s="189">
        <f t="shared" si="18"/>
        <v>0.75</v>
      </c>
      <c r="AF114" s="60">
        <v>44298</v>
      </c>
      <c r="AG114" s="60">
        <v>44390</v>
      </c>
      <c r="AH114" s="60">
        <v>44476</v>
      </c>
      <c r="AI114" s="60"/>
      <c r="AJ114" s="75">
        <f t="shared" si="19"/>
        <v>0.75</v>
      </c>
      <c r="AK114" s="75">
        <f t="shared" si="20"/>
        <v>0</v>
      </c>
      <c r="AL114" s="75">
        <f t="shared" si="21"/>
        <v>1</v>
      </c>
      <c r="AM114" s="75">
        <f t="shared" si="22"/>
        <v>1</v>
      </c>
      <c r="AN114" s="75">
        <f t="shared" si="23"/>
        <v>0</v>
      </c>
      <c r="AO114" s="188" t="s">
        <v>739</v>
      </c>
      <c r="AP114" s="188" t="s">
        <v>739</v>
      </c>
      <c r="AQ114" s="188" t="s">
        <v>739</v>
      </c>
      <c r="AR114" s="188"/>
      <c r="AS114" s="188" t="s">
        <v>1584</v>
      </c>
      <c r="AT114" s="188" t="s">
        <v>1646</v>
      </c>
      <c r="AU114" s="188" t="s">
        <v>1647</v>
      </c>
      <c r="AV114" s="188"/>
      <c r="AW114" s="188" t="s">
        <v>739</v>
      </c>
      <c r="AX114" t="s">
        <v>739</v>
      </c>
      <c r="AY114" t="s">
        <v>739</v>
      </c>
      <c r="BA114" t="s">
        <v>1648</v>
      </c>
      <c r="BB114" t="s">
        <v>1649</v>
      </c>
      <c r="BC114" t="s">
        <v>1650</v>
      </c>
      <c r="BD114" s="143"/>
    </row>
    <row r="115" spans="1:56" ht="15" customHeight="1" x14ac:dyDescent="0.25">
      <c r="A115" s="188">
        <v>1</v>
      </c>
      <c r="B115" s="188" t="s">
        <v>500</v>
      </c>
      <c r="C115" s="188" t="s">
        <v>726</v>
      </c>
      <c r="D115" s="188" t="s">
        <v>727</v>
      </c>
      <c r="E115" s="188" t="s">
        <v>728</v>
      </c>
      <c r="F115" s="188" t="s">
        <v>729</v>
      </c>
      <c r="G115" s="188" t="s">
        <v>730</v>
      </c>
      <c r="H115" s="188" t="s">
        <v>731</v>
      </c>
      <c r="I115" s="188" t="s">
        <v>732</v>
      </c>
      <c r="J115" s="74">
        <v>44197</v>
      </c>
      <c r="K115" s="74">
        <v>44561</v>
      </c>
      <c r="L115" s="188" t="s">
        <v>733</v>
      </c>
      <c r="M115" s="188" t="str">
        <f>B115</f>
        <v>Huila</v>
      </c>
      <c r="N115" s="188" t="s">
        <v>30</v>
      </c>
      <c r="O115" s="188" t="s">
        <v>734</v>
      </c>
      <c r="P115" s="188" t="s">
        <v>735</v>
      </c>
      <c r="Q115" s="75">
        <v>0.1111111111111111</v>
      </c>
      <c r="R115" s="190">
        <v>12229</v>
      </c>
      <c r="S115" s="190">
        <v>0</v>
      </c>
      <c r="T115" s="190">
        <v>0</v>
      </c>
      <c r="U115" s="190">
        <v>0</v>
      </c>
      <c r="V115" s="190">
        <v>12229</v>
      </c>
      <c r="W115" s="190">
        <v>2409</v>
      </c>
      <c r="X115" s="190" t="s">
        <v>1651</v>
      </c>
      <c r="Y115" s="190">
        <v>6318</v>
      </c>
      <c r="Z115" s="190" t="s">
        <v>1652</v>
      </c>
      <c r="AA115" s="190">
        <v>13646</v>
      </c>
      <c r="AB115" s="190" t="s">
        <v>1653</v>
      </c>
      <c r="AC115" s="190"/>
      <c r="AD115" s="190"/>
      <c r="AE115" s="190">
        <f t="shared" si="18"/>
        <v>22373</v>
      </c>
      <c r="AF115" s="74">
        <v>44300</v>
      </c>
      <c r="AG115" s="74">
        <v>44392</v>
      </c>
      <c r="AH115" s="74">
        <v>44481</v>
      </c>
      <c r="AI115" s="74"/>
      <c r="AJ115" s="75">
        <f t="shared" si="19"/>
        <v>1</v>
      </c>
      <c r="AK115" s="75" t="str">
        <f t="shared" si="20"/>
        <v/>
      </c>
      <c r="AL115" s="75" t="str">
        <f t="shared" si="21"/>
        <v/>
      </c>
      <c r="AM115" s="75" t="str">
        <f t="shared" si="22"/>
        <v/>
      </c>
      <c r="AN115" s="75">
        <f t="shared" si="23"/>
        <v>0</v>
      </c>
      <c r="AO115" s="188" t="s">
        <v>739</v>
      </c>
      <c r="AP115" s="188" t="s">
        <v>739</v>
      </c>
      <c r="AQ115" s="188" t="s">
        <v>739</v>
      </c>
      <c r="AR115" s="188"/>
      <c r="AS115" s="188" t="s">
        <v>1654</v>
      </c>
      <c r="AT115" s="188" t="s">
        <v>1258</v>
      </c>
      <c r="AU115" s="188" t="s">
        <v>1041</v>
      </c>
      <c r="AV115" s="188"/>
      <c r="AW115" s="188" t="s">
        <v>739</v>
      </c>
      <c r="AX115" s="188" t="s">
        <v>739</v>
      </c>
      <c r="AY115" s="188" t="s">
        <v>739</v>
      </c>
      <c r="AZ115" s="188"/>
      <c r="BA115" s="188" t="s">
        <v>1655</v>
      </c>
      <c r="BB115" s="188" t="s">
        <v>1656</v>
      </c>
      <c r="BC115" s="188" t="s">
        <v>1657</v>
      </c>
      <c r="BD115" s="143"/>
    </row>
    <row r="116" spans="1:56" ht="15" customHeight="1" x14ac:dyDescent="0.25">
      <c r="A116" s="188">
        <v>3</v>
      </c>
      <c r="B116" s="188" t="s">
        <v>500</v>
      </c>
      <c r="C116" s="188" t="s">
        <v>726</v>
      </c>
      <c r="D116" s="188" t="s">
        <v>727</v>
      </c>
      <c r="E116" s="188" t="s">
        <v>728</v>
      </c>
      <c r="F116" s="188" t="s">
        <v>729</v>
      </c>
      <c r="G116" s="188" t="s">
        <v>730</v>
      </c>
      <c r="H116" s="188" t="s">
        <v>731</v>
      </c>
      <c r="I116" s="188" t="s">
        <v>746</v>
      </c>
      <c r="J116" s="74">
        <v>44197</v>
      </c>
      <c r="K116" s="74">
        <v>44561</v>
      </c>
      <c r="L116" s="188" t="s">
        <v>733</v>
      </c>
      <c r="M116" s="188" t="str">
        <f t="shared" ref="M116:M123" si="28">B116</f>
        <v>Huila</v>
      </c>
      <c r="N116" s="188" t="s">
        <v>30</v>
      </c>
      <c r="O116" s="188" t="s">
        <v>747</v>
      </c>
      <c r="P116" s="188" t="s">
        <v>735</v>
      </c>
      <c r="Q116" s="75">
        <v>0.1111111111111111</v>
      </c>
      <c r="R116" s="190">
        <v>5953</v>
      </c>
      <c r="S116" s="190">
        <v>0</v>
      </c>
      <c r="T116" s="190">
        <v>0</v>
      </c>
      <c r="U116" s="190">
        <v>0</v>
      </c>
      <c r="V116" s="190">
        <v>5953</v>
      </c>
      <c r="W116" s="190">
        <v>436</v>
      </c>
      <c r="X116" s="190" t="s">
        <v>1658</v>
      </c>
      <c r="Y116" s="190">
        <v>793</v>
      </c>
      <c r="Z116" s="190" t="s">
        <v>1659</v>
      </c>
      <c r="AA116" s="190">
        <v>1012</v>
      </c>
      <c r="AB116" s="190" t="s">
        <v>1660</v>
      </c>
      <c r="AC116" s="190"/>
      <c r="AD116" s="190"/>
      <c r="AE116" s="190">
        <f t="shared" si="18"/>
        <v>2241</v>
      </c>
      <c r="AF116" s="74">
        <v>44300</v>
      </c>
      <c r="AG116" s="74">
        <v>44392</v>
      </c>
      <c r="AH116" s="74">
        <v>44481</v>
      </c>
      <c r="AI116" s="74"/>
      <c r="AJ116" s="75">
        <f t="shared" si="19"/>
        <v>0.37644884931967076</v>
      </c>
      <c r="AK116" s="75" t="str">
        <f t="shared" si="20"/>
        <v/>
      </c>
      <c r="AL116" s="75" t="str">
        <f t="shared" si="21"/>
        <v/>
      </c>
      <c r="AM116" s="75" t="str">
        <f t="shared" si="22"/>
        <v/>
      </c>
      <c r="AN116" s="75">
        <f t="shared" si="23"/>
        <v>0</v>
      </c>
      <c r="AO116" s="188" t="s">
        <v>739</v>
      </c>
      <c r="AP116" s="188" t="s">
        <v>739</v>
      </c>
      <c r="AQ116" s="188" t="s">
        <v>739</v>
      </c>
      <c r="AR116" s="188"/>
      <c r="AS116" s="188" t="s">
        <v>1654</v>
      </c>
      <c r="AT116" s="188" t="s">
        <v>1258</v>
      </c>
      <c r="AU116" s="188" t="s">
        <v>1041</v>
      </c>
      <c r="AV116" s="188"/>
      <c r="AW116" s="188" t="s">
        <v>739</v>
      </c>
      <c r="AX116" t="s">
        <v>739</v>
      </c>
      <c r="AY116" t="s">
        <v>739</v>
      </c>
      <c r="BA116" t="s">
        <v>1661</v>
      </c>
      <c r="BB116" t="s">
        <v>1662</v>
      </c>
      <c r="BC116" t="s">
        <v>1663</v>
      </c>
      <c r="BD116" s="143"/>
    </row>
    <row r="117" spans="1:56" ht="15" customHeight="1" x14ac:dyDescent="0.25">
      <c r="A117" s="188">
        <v>5</v>
      </c>
      <c r="B117" s="188" t="s">
        <v>500</v>
      </c>
      <c r="C117" s="188" t="s">
        <v>756</v>
      </c>
      <c r="D117" s="188" t="s">
        <v>727</v>
      </c>
      <c r="E117" s="188" t="s">
        <v>728</v>
      </c>
      <c r="F117" s="188" t="s">
        <v>757</v>
      </c>
      <c r="G117" s="188" t="s">
        <v>730</v>
      </c>
      <c r="H117" s="188" t="s">
        <v>731</v>
      </c>
      <c r="I117" t="s">
        <v>758</v>
      </c>
      <c r="J117" s="74">
        <v>44197</v>
      </c>
      <c r="K117" s="74">
        <v>44561</v>
      </c>
      <c r="L117" s="188" t="s">
        <v>733</v>
      </c>
      <c r="M117" s="188" t="str">
        <f t="shared" si="28"/>
        <v>Huila</v>
      </c>
      <c r="N117" s="188" t="s">
        <v>60</v>
      </c>
      <c r="O117" s="188" t="s">
        <v>759</v>
      </c>
      <c r="P117" s="188" t="s">
        <v>735</v>
      </c>
      <c r="Q117" s="75">
        <v>0.1111111111111111</v>
      </c>
      <c r="R117" s="189">
        <v>1</v>
      </c>
      <c r="S117" s="189">
        <v>0</v>
      </c>
      <c r="T117" s="189">
        <v>0</v>
      </c>
      <c r="U117" s="189">
        <v>0</v>
      </c>
      <c r="V117" s="189">
        <v>1</v>
      </c>
      <c r="W117" s="189">
        <v>0.25</v>
      </c>
      <c r="X117" s="189" t="s">
        <v>1664</v>
      </c>
      <c r="Y117" s="189">
        <v>0.25</v>
      </c>
      <c r="Z117" s="189" t="s">
        <v>1665</v>
      </c>
      <c r="AA117" s="189">
        <v>0.25</v>
      </c>
      <c r="AB117" s="189" t="s">
        <v>1666</v>
      </c>
      <c r="AC117" s="189"/>
      <c r="AD117" s="189"/>
      <c r="AE117" s="189">
        <f t="shared" si="18"/>
        <v>0.75</v>
      </c>
      <c r="AF117" s="74">
        <v>44300</v>
      </c>
      <c r="AG117" s="74">
        <v>44392</v>
      </c>
      <c r="AH117" s="74">
        <v>44481</v>
      </c>
      <c r="AI117" s="74"/>
      <c r="AJ117" s="75">
        <f t="shared" si="19"/>
        <v>0.75</v>
      </c>
      <c r="AK117" s="75" t="str">
        <f t="shared" si="20"/>
        <v/>
      </c>
      <c r="AL117" s="75" t="str">
        <f t="shared" si="21"/>
        <v/>
      </c>
      <c r="AM117" s="75" t="str">
        <f t="shared" si="22"/>
        <v/>
      </c>
      <c r="AN117" s="75">
        <f t="shared" si="23"/>
        <v>0</v>
      </c>
      <c r="AO117" s="188" t="s">
        <v>739</v>
      </c>
      <c r="AP117" s="188" t="s">
        <v>739</v>
      </c>
      <c r="AQ117" s="188" t="s">
        <v>739</v>
      </c>
      <c r="AR117" s="188"/>
      <c r="AS117" s="188" t="s">
        <v>1654</v>
      </c>
      <c r="AT117" s="188" t="s">
        <v>1258</v>
      </c>
      <c r="AU117" s="188" t="s">
        <v>1041</v>
      </c>
      <c r="AV117" s="188"/>
      <c r="AW117" s="188" t="s">
        <v>739</v>
      </c>
      <c r="AX117" t="s">
        <v>739</v>
      </c>
      <c r="AY117" t="s">
        <v>739</v>
      </c>
      <c r="BA117" t="s">
        <v>1667</v>
      </c>
      <c r="BB117" t="s">
        <v>1668</v>
      </c>
      <c r="BC117" t="s">
        <v>1669</v>
      </c>
      <c r="BD117" s="143"/>
    </row>
    <row r="118" spans="1:56" ht="15" customHeight="1" x14ac:dyDescent="0.25">
      <c r="A118" s="188">
        <v>6</v>
      </c>
      <c r="B118" s="188" t="s">
        <v>500</v>
      </c>
      <c r="C118" s="188" t="s">
        <v>768</v>
      </c>
      <c r="D118" s="188" t="s">
        <v>727</v>
      </c>
      <c r="E118" s="188" t="s">
        <v>728</v>
      </c>
      <c r="F118" s="188" t="s">
        <v>757</v>
      </c>
      <c r="G118" s="188" t="s">
        <v>730</v>
      </c>
      <c r="H118" s="188" t="s">
        <v>731</v>
      </c>
      <c r="I118" t="s">
        <v>769</v>
      </c>
      <c r="J118" s="74">
        <v>44197</v>
      </c>
      <c r="K118" s="74">
        <v>44561</v>
      </c>
      <c r="L118" s="188" t="s">
        <v>733</v>
      </c>
      <c r="M118" s="188" t="str">
        <f t="shared" si="28"/>
        <v>Huila</v>
      </c>
      <c r="N118" s="188" t="s">
        <v>60</v>
      </c>
      <c r="O118" s="188" t="s">
        <v>759</v>
      </c>
      <c r="P118" s="188" t="s">
        <v>735</v>
      </c>
      <c r="Q118" s="75">
        <v>0.1111111111111111</v>
      </c>
      <c r="R118" s="189">
        <v>1</v>
      </c>
      <c r="S118" s="189">
        <v>0</v>
      </c>
      <c r="T118" s="189">
        <v>0</v>
      </c>
      <c r="U118" s="189">
        <v>0</v>
      </c>
      <c r="V118" s="189">
        <v>1</v>
      </c>
      <c r="W118" s="189">
        <v>0.25</v>
      </c>
      <c r="X118" s="189" t="s">
        <v>1670</v>
      </c>
      <c r="Y118" s="189">
        <v>0.25</v>
      </c>
      <c r="Z118" s="189" t="s">
        <v>1671</v>
      </c>
      <c r="AA118" s="189">
        <v>0.25</v>
      </c>
      <c r="AB118" s="189" t="s">
        <v>1672</v>
      </c>
      <c r="AC118" s="189"/>
      <c r="AD118" s="189"/>
      <c r="AE118" s="189">
        <f t="shared" si="18"/>
        <v>0.75</v>
      </c>
      <c r="AF118" s="74">
        <v>44300</v>
      </c>
      <c r="AG118" s="74">
        <v>44392</v>
      </c>
      <c r="AH118" s="74">
        <v>44481</v>
      </c>
      <c r="AI118" s="74"/>
      <c r="AJ118" s="75">
        <f t="shared" si="19"/>
        <v>0.75</v>
      </c>
      <c r="AK118" s="75" t="str">
        <f t="shared" si="20"/>
        <v/>
      </c>
      <c r="AL118" s="75" t="str">
        <f t="shared" si="21"/>
        <v/>
      </c>
      <c r="AM118" s="75" t="str">
        <f t="shared" si="22"/>
        <v/>
      </c>
      <c r="AN118" s="75">
        <f t="shared" si="23"/>
        <v>0</v>
      </c>
      <c r="AO118" s="188" t="s">
        <v>739</v>
      </c>
      <c r="AP118" s="188" t="s">
        <v>739</v>
      </c>
      <c r="AQ118" s="188" t="s">
        <v>739</v>
      </c>
      <c r="AR118" s="188"/>
      <c r="AS118" s="188" t="s">
        <v>1654</v>
      </c>
      <c r="AT118" s="188" t="s">
        <v>1258</v>
      </c>
      <c r="AU118" s="188" t="s">
        <v>1041</v>
      </c>
      <c r="AV118" s="188"/>
      <c r="AW118" s="188" t="s">
        <v>828</v>
      </c>
      <c r="AX118" t="s">
        <v>739</v>
      </c>
      <c r="AY118" t="s">
        <v>739</v>
      </c>
      <c r="BA118" t="s">
        <v>1673</v>
      </c>
      <c r="BB118" t="s">
        <v>1674</v>
      </c>
      <c r="BC118" t="s">
        <v>1675</v>
      </c>
      <c r="BD118" s="143"/>
    </row>
    <row r="119" spans="1:56" ht="15" customHeight="1" x14ac:dyDescent="0.25">
      <c r="A119" s="188">
        <v>7</v>
      </c>
      <c r="B119" s="188" t="s">
        <v>500</v>
      </c>
      <c r="C119" s="188" t="s">
        <v>777</v>
      </c>
      <c r="D119" s="188" t="s">
        <v>778</v>
      </c>
      <c r="E119" s="188" t="s">
        <v>779</v>
      </c>
      <c r="F119" s="188" t="s">
        <v>780</v>
      </c>
      <c r="G119" s="188" t="s">
        <v>730</v>
      </c>
      <c r="H119" s="188" t="s">
        <v>781</v>
      </c>
      <c r="I119" t="s">
        <v>782</v>
      </c>
      <c r="J119" s="74">
        <v>44197</v>
      </c>
      <c r="K119" s="74">
        <v>44561</v>
      </c>
      <c r="L119" s="188" t="s">
        <v>733</v>
      </c>
      <c r="M119" s="188" t="str">
        <f t="shared" si="28"/>
        <v>Huila</v>
      </c>
      <c r="N119" s="188" t="s">
        <v>60</v>
      </c>
      <c r="O119" s="188" t="s">
        <v>759</v>
      </c>
      <c r="P119" s="188" t="s">
        <v>735</v>
      </c>
      <c r="Q119" s="75">
        <v>0.1111111111111111</v>
      </c>
      <c r="R119" s="189">
        <v>1</v>
      </c>
      <c r="S119" s="189">
        <v>0</v>
      </c>
      <c r="T119" s="189">
        <v>0</v>
      </c>
      <c r="U119" s="189">
        <v>0</v>
      </c>
      <c r="V119" s="189">
        <v>1</v>
      </c>
      <c r="W119" s="189">
        <v>0.25</v>
      </c>
      <c r="X119" s="189" t="s">
        <v>1676</v>
      </c>
      <c r="Y119" s="189">
        <v>0.25</v>
      </c>
      <c r="Z119" s="189" t="s">
        <v>1677</v>
      </c>
      <c r="AA119" s="189">
        <v>0.25</v>
      </c>
      <c r="AB119" s="189" t="s">
        <v>1678</v>
      </c>
      <c r="AC119" s="189"/>
      <c r="AD119" s="189"/>
      <c r="AE119" s="189">
        <f t="shared" si="18"/>
        <v>0.75</v>
      </c>
      <c r="AF119" s="74">
        <v>44300</v>
      </c>
      <c r="AG119" s="74">
        <v>44391</v>
      </c>
      <c r="AH119" s="74">
        <v>44481</v>
      </c>
      <c r="AI119" s="74"/>
      <c r="AJ119" s="75">
        <f t="shared" si="19"/>
        <v>0.75</v>
      </c>
      <c r="AK119" s="75" t="str">
        <f t="shared" si="20"/>
        <v/>
      </c>
      <c r="AL119" s="75" t="str">
        <f t="shared" si="21"/>
        <v/>
      </c>
      <c r="AM119" s="75" t="str">
        <f t="shared" si="22"/>
        <v/>
      </c>
      <c r="AN119" s="75">
        <f t="shared" si="23"/>
        <v>0</v>
      </c>
      <c r="AO119" s="188" t="s">
        <v>739</v>
      </c>
      <c r="AP119" s="188" t="s">
        <v>739</v>
      </c>
      <c r="AQ119" s="188" t="s">
        <v>739</v>
      </c>
      <c r="AR119" s="188"/>
      <c r="AS119" s="188" t="s">
        <v>1654</v>
      </c>
      <c r="AT119" s="188" t="s">
        <v>1258</v>
      </c>
      <c r="AU119" s="188" t="s">
        <v>1041</v>
      </c>
      <c r="AV119" s="188"/>
      <c r="AW119" s="188" t="s">
        <v>828</v>
      </c>
      <c r="AX119" t="s">
        <v>828</v>
      </c>
      <c r="AY119" t="s">
        <v>739</v>
      </c>
      <c r="BA119" t="s">
        <v>1679</v>
      </c>
      <c r="BB119" t="s">
        <v>1680</v>
      </c>
      <c r="BC119" t="s">
        <v>1681</v>
      </c>
      <c r="BD119" s="143"/>
    </row>
    <row r="120" spans="1:56" ht="15" customHeight="1" x14ac:dyDescent="0.25">
      <c r="A120" s="188">
        <v>8</v>
      </c>
      <c r="B120" s="188" t="s">
        <v>500</v>
      </c>
      <c r="C120" s="188" t="s">
        <v>790</v>
      </c>
      <c r="D120" s="188" t="s">
        <v>791</v>
      </c>
      <c r="E120" s="188" t="s">
        <v>792</v>
      </c>
      <c r="F120" s="188" t="s">
        <v>793</v>
      </c>
      <c r="G120" s="188" t="s">
        <v>794</v>
      </c>
      <c r="H120" s="188" t="s">
        <v>794</v>
      </c>
      <c r="I120" t="s">
        <v>795</v>
      </c>
      <c r="J120" s="74">
        <v>44197</v>
      </c>
      <c r="K120" s="74">
        <v>44561</v>
      </c>
      <c r="L120" s="188" t="s">
        <v>733</v>
      </c>
      <c r="M120" s="188" t="str">
        <f t="shared" si="28"/>
        <v>Huila</v>
      </c>
      <c r="N120" s="188" t="s">
        <v>60</v>
      </c>
      <c r="O120" s="188" t="s">
        <v>796</v>
      </c>
      <c r="P120" s="188" t="s">
        <v>735</v>
      </c>
      <c r="Q120" s="75">
        <v>0.1111111111111111</v>
      </c>
      <c r="R120" s="189">
        <v>1</v>
      </c>
      <c r="S120" s="189">
        <v>0</v>
      </c>
      <c r="T120" s="189">
        <v>0</v>
      </c>
      <c r="U120" s="189">
        <v>0</v>
      </c>
      <c r="V120" s="189">
        <v>1</v>
      </c>
      <c r="W120" s="189">
        <v>0.25</v>
      </c>
      <c r="X120" s="189" t="s">
        <v>1682</v>
      </c>
      <c r="Y120" s="189">
        <v>0.25</v>
      </c>
      <c r="Z120" s="189" t="s">
        <v>1683</v>
      </c>
      <c r="AA120" s="189">
        <v>0.25</v>
      </c>
      <c r="AB120" s="189" t="s">
        <v>1684</v>
      </c>
      <c r="AC120" s="189"/>
      <c r="AD120" s="189"/>
      <c r="AE120" s="189">
        <f t="shared" si="18"/>
        <v>0.75</v>
      </c>
      <c r="AF120" s="74">
        <v>44300</v>
      </c>
      <c r="AG120" s="74">
        <v>44392</v>
      </c>
      <c r="AH120" s="74">
        <v>44482</v>
      </c>
      <c r="AI120" s="74"/>
      <c r="AJ120" s="75">
        <f t="shared" si="19"/>
        <v>0.75</v>
      </c>
      <c r="AK120" s="75" t="str">
        <f t="shared" si="20"/>
        <v/>
      </c>
      <c r="AL120" s="75" t="str">
        <f t="shared" si="21"/>
        <v/>
      </c>
      <c r="AM120" s="75" t="str">
        <f t="shared" si="22"/>
        <v/>
      </c>
      <c r="AN120" s="75">
        <f t="shared" si="23"/>
        <v>0</v>
      </c>
      <c r="AO120" s="188" t="s">
        <v>739</v>
      </c>
      <c r="AP120" s="188" t="s">
        <v>739</v>
      </c>
      <c r="AQ120" s="188" t="s">
        <v>739</v>
      </c>
      <c r="AR120" s="188"/>
      <c r="AS120" s="188" t="s">
        <v>1654</v>
      </c>
      <c r="AT120" s="188" t="s">
        <v>1258</v>
      </c>
      <c r="AU120" s="188" t="s">
        <v>1041</v>
      </c>
      <c r="AV120" s="188"/>
      <c r="AW120" s="188" t="s">
        <v>739</v>
      </c>
      <c r="AX120" t="s">
        <v>739</v>
      </c>
      <c r="AY120" t="s">
        <v>739</v>
      </c>
      <c r="BA120" t="s">
        <v>1685</v>
      </c>
      <c r="BB120" t="s">
        <v>1686</v>
      </c>
      <c r="BC120" t="s">
        <v>1687</v>
      </c>
      <c r="BD120" s="143"/>
    </row>
    <row r="121" spans="1:56" ht="15" customHeight="1" x14ac:dyDescent="0.25">
      <c r="A121" s="188">
        <v>9</v>
      </c>
      <c r="B121" s="188" t="s">
        <v>500</v>
      </c>
      <c r="C121" s="188" t="s">
        <v>790</v>
      </c>
      <c r="D121" s="188" t="s">
        <v>791</v>
      </c>
      <c r="E121" s="188" t="s">
        <v>792</v>
      </c>
      <c r="F121" s="188" t="s">
        <v>793</v>
      </c>
      <c r="G121" s="188" t="s">
        <v>794</v>
      </c>
      <c r="H121" s="188" t="s">
        <v>794</v>
      </c>
      <c r="I121" t="s">
        <v>805</v>
      </c>
      <c r="J121" s="74">
        <v>44197</v>
      </c>
      <c r="K121" s="74">
        <v>44561</v>
      </c>
      <c r="L121" s="188" t="s">
        <v>733</v>
      </c>
      <c r="M121" s="188" t="str">
        <f t="shared" si="28"/>
        <v>Huila</v>
      </c>
      <c r="N121" s="188" t="s">
        <v>60</v>
      </c>
      <c r="O121" s="188" t="s">
        <v>806</v>
      </c>
      <c r="P121" s="188" t="s">
        <v>735</v>
      </c>
      <c r="Q121" s="75">
        <v>0.1111111111111111</v>
      </c>
      <c r="R121" s="189">
        <v>1</v>
      </c>
      <c r="S121" s="189">
        <v>0</v>
      </c>
      <c r="T121" s="189">
        <v>0</v>
      </c>
      <c r="U121" s="189">
        <v>0</v>
      </c>
      <c r="V121" s="189">
        <v>1</v>
      </c>
      <c r="W121" s="189">
        <v>0.25</v>
      </c>
      <c r="X121" s="189" t="s">
        <v>1688</v>
      </c>
      <c r="Y121" s="189">
        <v>0.25</v>
      </c>
      <c r="Z121" s="189" t="s">
        <v>1689</v>
      </c>
      <c r="AA121" s="189">
        <v>0.25</v>
      </c>
      <c r="AB121" s="189" t="s">
        <v>1690</v>
      </c>
      <c r="AC121" s="189"/>
      <c r="AD121" s="189"/>
      <c r="AE121" s="189">
        <f t="shared" si="18"/>
        <v>0.75</v>
      </c>
      <c r="AF121" s="74">
        <v>44300</v>
      </c>
      <c r="AG121" s="74">
        <v>44392</v>
      </c>
      <c r="AH121" s="74">
        <v>44482</v>
      </c>
      <c r="AI121" s="74"/>
      <c r="AJ121" s="75">
        <f t="shared" si="19"/>
        <v>0.75</v>
      </c>
      <c r="AK121" s="75" t="str">
        <f t="shared" si="20"/>
        <v/>
      </c>
      <c r="AL121" s="75" t="str">
        <f t="shared" si="21"/>
        <v/>
      </c>
      <c r="AM121" s="75" t="str">
        <f t="shared" si="22"/>
        <v/>
      </c>
      <c r="AN121" s="75">
        <f t="shared" si="23"/>
        <v>0</v>
      </c>
      <c r="AO121" s="188" t="s">
        <v>739</v>
      </c>
      <c r="AP121" s="188" t="s">
        <v>739</v>
      </c>
      <c r="AQ121" s="188" t="s">
        <v>739</v>
      </c>
      <c r="AR121" s="188"/>
      <c r="AS121" s="188" t="s">
        <v>1654</v>
      </c>
      <c r="AT121" s="188" t="s">
        <v>1258</v>
      </c>
      <c r="AU121" s="188" t="s">
        <v>1041</v>
      </c>
      <c r="AV121" s="188"/>
      <c r="AW121" s="188" t="s">
        <v>739</v>
      </c>
      <c r="AX121" t="s">
        <v>739</v>
      </c>
      <c r="AY121" t="s">
        <v>739</v>
      </c>
      <c r="BA121" t="s">
        <v>1691</v>
      </c>
      <c r="BB121" t="s">
        <v>1692</v>
      </c>
      <c r="BC121" t="s">
        <v>1693</v>
      </c>
      <c r="BD121" s="143"/>
    </row>
    <row r="122" spans="1:56" ht="15" customHeight="1" x14ac:dyDescent="0.25">
      <c r="A122" s="188">
        <v>11</v>
      </c>
      <c r="B122" s="188" t="s">
        <v>500</v>
      </c>
      <c r="C122" s="188" t="s">
        <v>814</v>
      </c>
      <c r="D122" s="188" t="s">
        <v>727</v>
      </c>
      <c r="E122" s="188" t="s">
        <v>815</v>
      </c>
      <c r="F122" s="188" t="s">
        <v>816</v>
      </c>
      <c r="G122" s="188" t="s">
        <v>817</v>
      </c>
      <c r="H122" s="188" t="s">
        <v>818</v>
      </c>
      <c r="I122" s="188" t="s">
        <v>819</v>
      </c>
      <c r="J122" s="74">
        <v>44197</v>
      </c>
      <c r="K122" s="74">
        <v>44561</v>
      </c>
      <c r="L122" s="188" t="s">
        <v>733</v>
      </c>
      <c r="M122" s="188" t="str">
        <f t="shared" si="28"/>
        <v>Huila</v>
      </c>
      <c r="N122" s="188" t="s">
        <v>30</v>
      </c>
      <c r="O122" s="188" t="s">
        <v>820</v>
      </c>
      <c r="P122" s="188" t="s">
        <v>821</v>
      </c>
      <c r="Q122" s="75">
        <v>0.1111111111111111</v>
      </c>
      <c r="R122" s="190">
        <f>SUM(S122:V122)</f>
        <v>185918463.13188434</v>
      </c>
      <c r="S122" s="190">
        <v>36710381.754665844</v>
      </c>
      <c r="T122" s="190">
        <v>47588772.084239617</v>
      </c>
      <c r="U122" s="190">
        <v>48451015.638092875</v>
      </c>
      <c r="V122" s="190">
        <v>53168293.654886007</v>
      </c>
      <c r="W122" s="190">
        <v>23214785</v>
      </c>
      <c r="X122" s="190" t="s">
        <v>1694</v>
      </c>
      <c r="Y122" s="190">
        <v>25196080</v>
      </c>
      <c r="Z122" s="190" t="s">
        <v>1695</v>
      </c>
      <c r="AA122" s="190">
        <v>25000873</v>
      </c>
      <c r="AB122" s="190" t="s">
        <v>1696</v>
      </c>
      <c r="AC122" s="190"/>
      <c r="AD122" s="190"/>
      <c r="AE122" s="190">
        <f t="shared" si="18"/>
        <v>73411738</v>
      </c>
      <c r="AF122" s="74">
        <v>44300</v>
      </c>
      <c r="AG122" s="74">
        <v>44391</v>
      </c>
      <c r="AH122" s="74">
        <v>44482</v>
      </c>
      <c r="AI122" s="74"/>
      <c r="AJ122" s="75">
        <f t="shared" si="19"/>
        <v>0.39485985825907011</v>
      </c>
      <c r="AK122" s="75">
        <f t="shared" si="20"/>
        <v>0.63237656189858149</v>
      </c>
      <c r="AL122" s="75">
        <f t="shared" si="21"/>
        <v>0.52945429975371028</v>
      </c>
      <c r="AM122" s="75">
        <f t="shared" si="22"/>
        <v>0.51600307384153077</v>
      </c>
      <c r="AN122" s="75">
        <f t="shared" si="23"/>
        <v>0</v>
      </c>
      <c r="AO122" s="188" t="s">
        <v>739</v>
      </c>
      <c r="AP122" s="188" t="s">
        <v>739</v>
      </c>
      <c r="AQ122" s="188" t="s">
        <v>739</v>
      </c>
      <c r="AR122" s="188"/>
      <c r="AS122" s="188" t="s">
        <v>1697</v>
      </c>
      <c r="AT122" s="188" t="s">
        <v>1258</v>
      </c>
      <c r="AU122" s="188" t="s">
        <v>1041</v>
      </c>
      <c r="AV122" s="188"/>
      <c r="AW122" s="188" t="s">
        <v>739</v>
      </c>
      <c r="AX122" t="s">
        <v>739</v>
      </c>
      <c r="AY122" t="s">
        <v>739</v>
      </c>
      <c r="BA122" t="s">
        <v>1698</v>
      </c>
      <c r="BB122" t="s">
        <v>1699</v>
      </c>
      <c r="BC122" t="s">
        <v>1700</v>
      </c>
      <c r="BD122" s="143"/>
    </row>
    <row r="123" spans="1:56" ht="15" customHeight="1" x14ac:dyDescent="0.25">
      <c r="A123" s="188">
        <v>12</v>
      </c>
      <c r="B123" s="188" t="s">
        <v>500</v>
      </c>
      <c r="C123" s="188" t="s">
        <v>814</v>
      </c>
      <c r="D123" s="188" t="s">
        <v>727</v>
      </c>
      <c r="E123" s="188" t="s">
        <v>815</v>
      </c>
      <c r="F123" s="188" t="s">
        <v>816</v>
      </c>
      <c r="G123" s="188" t="s">
        <v>817</v>
      </c>
      <c r="H123" s="188" t="s">
        <v>818</v>
      </c>
      <c r="I123" t="s">
        <v>923</v>
      </c>
      <c r="J123" s="74">
        <v>44197</v>
      </c>
      <c r="K123" s="74">
        <v>44561</v>
      </c>
      <c r="L123" s="188" t="s">
        <v>733</v>
      </c>
      <c r="M123" s="188" t="str">
        <f t="shared" si="28"/>
        <v>Huila</v>
      </c>
      <c r="N123" s="188" t="s">
        <v>60</v>
      </c>
      <c r="O123" s="188" t="s">
        <v>924</v>
      </c>
      <c r="P123" s="188" t="s">
        <v>821</v>
      </c>
      <c r="Q123" s="75">
        <v>0.1111111111111111</v>
      </c>
      <c r="R123" s="189">
        <v>1</v>
      </c>
      <c r="S123" s="189">
        <v>0</v>
      </c>
      <c r="T123" s="189">
        <v>0</v>
      </c>
      <c r="U123" s="189">
        <v>0</v>
      </c>
      <c r="V123" s="189">
        <v>1</v>
      </c>
      <c r="W123" s="189">
        <v>0.25</v>
      </c>
      <c r="X123" s="189" t="s">
        <v>1701</v>
      </c>
      <c r="Y123" s="189">
        <v>0.25</v>
      </c>
      <c r="Z123" s="189" t="s">
        <v>1702</v>
      </c>
      <c r="AA123" s="189">
        <v>0.25</v>
      </c>
      <c r="AB123" s="189" t="s">
        <v>1703</v>
      </c>
      <c r="AC123" s="189"/>
      <c r="AD123" s="189"/>
      <c r="AE123" s="189">
        <f t="shared" si="18"/>
        <v>0.75</v>
      </c>
      <c r="AF123" s="74">
        <v>44300</v>
      </c>
      <c r="AG123" s="74">
        <v>44391</v>
      </c>
      <c r="AH123" s="74">
        <v>44482</v>
      </c>
      <c r="AI123" s="74"/>
      <c r="AJ123" s="75">
        <f t="shared" si="19"/>
        <v>0.75</v>
      </c>
      <c r="AK123" s="75" t="str">
        <f t="shared" si="20"/>
        <v/>
      </c>
      <c r="AL123" s="75" t="str">
        <f t="shared" si="21"/>
        <v/>
      </c>
      <c r="AM123" s="75" t="str">
        <f t="shared" si="22"/>
        <v/>
      </c>
      <c r="AN123" s="75">
        <f t="shared" si="23"/>
        <v>0</v>
      </c>
      <c r="AO123" s="188" t="s">
        <v>828</v>
      </c>
      <c r="AP123" s="188" t="s">
        <v>828</v>
      </c>
      <c r="AQ123" s="188" t="s">
        <v>739</v>
      </c>
      <c r="AR123" s="188"/>
      <c r="AS123" s="188" t="s">
        <v>1704</v>
      </c>
      <c r="AT123" s="188" t="s">
        <v>1704</v>
      </c>
      <c r="AU123" s="188" t="s">
        <v>1041</v>
      </c>
      <c r="AV123" s="188"/>
      <c r="AW123" s="188" t="s">
        <v>828</v>
      </c>
      <c r="AX123" t="s">
        <v>828</v>
      </c>
      <c r="AY123" t="s">
        <v>739</v>
      </c>
      <c r="BA123" t="s">
        <v>1705</v>
      </c>
      <c r="BB123" t="s">
        <v>1705</v>
      </c>
      <c r="BC123" t="s">
        <v>1706</v>
      </c>
      <c r="BD123" s="143"/>
    </row>
    <row r="124" spans="1:56" ht="15" customHeight="1" x14ac:dyDescent="0.25">
      <c r="A124" s="188">
        <v>1</v>
      </c>
      <c r="B124" s="188" t="s">
        <v>501</v>
      </c>
      <c r="C124" s="188" t="s">
        <v>832</v>
      </c>
      <c r="D124" s="188" t="s">
        <v>727</v>
      </c>
      <c r="E124" s="188" t="s">
        <v>728</v>
      </c>
      <c r="F124" s="188" t="s">
        <v>729</v>
      </c>
      <c r="G124" s="188" t="s">
        <v>730</v>
      </c>
      <c r="H124" s="188" t="s">
        <v>731</v>
      </c>
      <c r="I124" s="188" t="s">
        <v>844</v>
      </c>
      <c r="J124" s="74">
        <v>44197</v>
      </c>
      <c r="K124" s="74">
        <v>44561</v>
      </c>
      <c r="L124" s="188" t="s">
        <v>733</v>
      </c>
      <c r="M124" s="188" t="str">
        <f>B124</f>
        <v>Magdalena</v>
      </c>
      <c r="N124" s="188" t="s">
        <v>30</v>
      </c>
      <c r="O124" s="188" t="s">
        <v>845</v>
      </c>
      <c r="P124" s="188" t="s">
        <v>735</v>
      </c>
      <c r="Q124" s="75">
        <v>0.1</v>
      </c>
      <c r="R124" s="190">
        <v>131492</v>
      </c>
      <c r="S124" s="190">
        <v>0</v>
      </c>
      <c r="T124" s="190">
        <v>0</v>
      </c>
      <c r="U124" s="190">
        <v>0</v>
      </c>
      <c r="V124" s="190">
        <v>131492</v>
      </c>
      <c r="W124" s="190">
        <v>0</v>
      </c>
      <c r="X124" s="190" t="s">
        <v>1707</v>
      </c>
      <c r="Y124" s="190">
        <v>0</v>
      </c>
      <c r="Z124" s="190" t="s">
        <v>1708</v>
      </c>
      <c r="AA124" s="190">
        <v>0</v>
      </c>
      <c r="AB124" s="190" t="s">
        <v>1709</v>
      </c>
      <c r="AC124" s="190"/>
      <c r="AD124" s="190"/>
      <c r="AE124" s="190">
        <f t="shared" si="18"/>
        <v>0</v>
      </c>
      <c r="AF124" s="74">
        <v>44300</v>
      </c>
      <c r="AG124" s="74">
        <v>44390</v>
      </c>
      <c r="AH124" s="74">
        <v>44482</v>
      </c>
      <c r="AI124" s="74"/>
      <c r="AJ124" s="75">
        <f t="shared" si="19"/>
        <v>0</v>
      </c>
      <c r="AK124" s="75" t="str">
        <f t="shared" si="20"/>
        <v/>
      </c>
      <c r="AL124" s="75" t="str">
        <f t="shared" si="21"/>
        <v/>
      </c>
      <c r="AM124" s="75" t="str">
        <f t="shared" si="22"/>
        <v/>
      </c>
      <c r="AN124" s="75">
        <f t="shared" si="23"/>
        <v>0</v>
      </c>
      <c r="AO124" s="188" t="s">
        <v>838</v>
      </c>
      <c r="AP124" s="188" t="s">
        <v>838</v>
      </c>
      <c r="AQ124" s="188" t="s">
        <v>838</v>
      </c>
      <c r="AR124" s="188"/>
      <c r="AS124" s="188" t="s">
        <v>1710</v>
      </c>
      <c r="AT124" s="188" t="s">
        <v>1711</v>
      </c>
      <c r="AU124" s="188" t="s">
        <v>1710</v>
      </c>
      <c r="AV124" s="188"/>
      <c r="AW124" s="188" t="s">
        <v>838</v>
      </c>
      <c r="AX124" s="188" t="s">
        <v>838</v>
      </c>
      <c r="AY124" s="188" t="s">
        <v>838</v>
      </c>
      <c r="AZ124" s="188"/>
      <c r="BA124" s="188" t="s">
        <v>1712</v>
      </c>
      <c r="BB124" s="188" t="s">
        <v>1712</v>
      </c>
      <c r="BC124" s="188" t="s">
        <v>1713</v>
      </c>
      <c r="BD124" s="143"/>
    </row>
    <row r="125" spans="1:56" ht="15" customHeight="1" x14ac:dyDescent="0.25">
      <c r="A125" s="188">
        <v>2</v>
      </c>
      <c r="B125" s="188" t="s">
        <v>501</v>
      </c>
      <c r="C125" s="188" t="s">
        <v>726</v>
      </c>
      <c r="D125" s="188" t="s">
        <v>727</v>
      </c>
      <c r="E125" s="188" t="s">
        <v>728</v>
      </c>
      <c r="F125" s="188" t="s">
        <v>729</v>
      </c>
      <c r="G125" s="188" t="s">
        <v>730</v>
      </c>
      <c r="H125" s="188" t="s">
        <v>731</v>
      </c>
      <c r="I125" s="188" t="s">
        <v>732</v>
      </c>
      <c r="J125" s="74">
        <v>44197</v>
      </c>
      <c r="K125" s="74">
        <v>44561</v>
      </c>
      <c r="L125" s="188" t="s">
        <v>733</v>
      </c>
      <c r="M125" s="188" t="str">
        <f t="shared" ref="M125:M133" si="29">B125</f>
        <v>Magdalena</v>
      </c>
      <c r="N125" s="188" t="s">
        <v>30</v>
      </c>
      <c r="O125" s="188" t="s">
        <v>734</v>
      </c>
      <c r="P125" s="188" t="s">
        <v>735</v>
      </c>
      <c r="Q125" s="75">
        <v>0.1</v>
      </c>
      <c r="R125" s="190">
        <v>2960</v>
      </c>
      <c r="S125" s="190">
        <v>0</v>
      </c>
      <c r="T125" s="190">
        <v>0</v>
      </c>
      <c r="U125" s="190">
        <v>0</v>
      </c>
      <c r="V125" s="190">
        <v>2960</v>
      </c>
      <c r="W125" s="190">
        <v>690</v>
      </c>
      <c r="X125" s="190" t="s">
        <v>1714</v>
      </c>
      <c r="Y125" s="190">
        <v>1818</v>
      </c>
      <c r="Z125" s="190" t="s">
        <v>1715</v>
      </c>
      <c r="AA125" s="190">
        <v>1275</v>
      </c>
      <c r="AB125" s="190" t="s">
        <v>1716</v>
      </c>
      <c r="AC125" s="190"/>
      <c r="AD125" s="190"/>
      <c r="AE125" s="190">
        <f t="shared" si="18"/>
        <v>3783</v>
      </c>
      <c r="AF125" s="74">
        <v>44300</v>
      </c>
      <c r="AG125" s="74">
        <v>44390</v>
      </c>
      <c r="AH125" s="74">
        <v>44482</v>
      </c>
      <c r="AI125" s="74"/>
      <c r="AJ125" s="75">
        <f t="shared" si="19"/>
        <v>1</v>
      </c>
      <c r="AK125" s="75" t="str">
        <f t="shared" si="20"/>
        <v/>
      </c>
      <c r="AL125" s="75" t="str">
        <f t="shared" si="21"/>
        <v/>
      </c>
      <c r="AM125" s="75" t="str">
        <f t="shared" si="22"/>
        <v/>
      </c>
      <c r="AN125" s="75">
        <f t="shared" si="23"/>
        <v>0</v>
      </c>
      <c r="AO125" s="188" t="s">
        <v>739</v>
      </c>
      <c r="AP125" s="188" t="s">
        <v>739</v>
      </c>
      <c r="AQ125" s="188" t="s">
        <v>739</v>
      </c>
      <c r="AR125" s="188"/>
      <c r="AS125" s="188" t="s">
        <v>1717</v>
      </c>
      <c r="AT125" s="188" t="s">
        <v>1718</v>
      </c>
      <c r="AU125" s="188" t="s">
        <v>1719</v>
      </c>
      <c r="AV125" s="188"/>
      <c r="AW125" s="188" t="s">
        <v>739</v>
      </c>
      <c r="AX125" t="s">
        <v>739</v>
      </c>
      <c r="AY125" t="s">
        <v>739</v>
      </c>
      <c r="BA125" t="s">
        <v>1720</v>
      </c>
      <c r="BB125" t="s">
        <v>1721</v>
      </c>
      <c r="BC125" t="s">
        <v>1722</v>
      </c>
      <c r="BD125" s="143"/>
    </row>
    <row r="126" spans="1:56" ht="15" customHeight="1" x14ac:dyDescent="0.25">
      <c r="A126" s="188">
        <v>4</v>
      </c>
      <c r="B126" s="188" t="s">
        <v>501</v>
      </c>
      <c r="C126" s="188" t="s">
        <v>726</v>
      </c>
      <c r="D126" s="188" t="s">
        <v>727</v>
      </c>
      <c r="E126" s="188" t="s">
        <v>728</v>
      </c>
      <c r="F126" s="188" t="s">
        <v>729</v>
      </c>
      <c r="G126" s="188" t="s">
        <v>730</v>
      </c>
      <c r="H126" s="188" t="s">
        <v>731</v>
      </c>
      <c r="I126" s="188" t="s">
        <v>746</v>
      </c>
      <c r="J126" s="74">
        <v>44197</v>
      </c>
      <c r="K126" s="74">
        <v>44561</v>
      </c>
      <c r="L126" s="188" t="s">
        <v>733</v>
      </c>
      <c r="M126" s="188" t="str">
        <f t="shared" si="29"/>
        <v>Magdalena</v>
      </c>
      <c r="N126" s="188" t="s">
        <v>30</v>
      </c>
      <c r="O126" s="188" t="s">
        <v>747</v>
      </c>
      <c r="P126" s="188" t="s">
        <v>735</v>
      </c>
      <c r="Q126" s="75">
        <v>0.1</v>
      </c>
      <c r="R126" s="190">
        <v>3536</v>
      </c>
      <c r="S126" s="190">
        <v>0</v>
      </c>
      <c r="T126" s="190">
        <v>0</v>
      </c>
      <c r="U126" s="190">
        <v>0</v>
      </c>
      <c r="V126" s="190">
        <v>3536</v>
      </c>
      <c r="W126" s="190">
        <v>69</v>
      </c>
      <c r="X126" s="190" t="s">
        <v>1723</v>
      </c>
      <c r="Y126" s="190">
        <v>814</v>
      </c>
      <c r="Z126" s="190" t="s">
        <v>1724</v>
      </c>
      <c r="AA126" s="190">
        <v>823</v>
      </c>
      <c r="AB126" s="190" t="s">
        <v>1725</v>
      </c>
      <c r="AC126" s="190"/>
      <c r="AD126" s="190"/>
      <c r="AE126" s="190">
        <f t="shared" si="18"/>
        <v>1706</v>
      </c>
      <c r="AF126" s="74">
        <v>44300</v>
      </c>
      <c r="AG126" s="74">
        <v>44390</v>
      </c>
      <c r="AH126" s="74">
        <v>44482</v>
      </c>
      <c r="AI126" s="74"/>
      <c r="AJ126" s="75">
        <f t="shared" si="19"/>
        <v>0.4824660633484163</v>
      </c>
      <c r="AK126" s="75" t="str">
        <f t="shared" si="20"/>
        <v/>
      </c>
      <c r="AL126" s="75" t="str">
        <f t="shared" si="21"/>
        <v/>
      </c>
      <c r="AM126" s="75" t="str">
        <f t="shared" si="22"/>
        <v/>
      </c>
      <c r="AN126" s="75">
        <f t="shared" si="23"/>
        <v>0</v>
      </c>
      <c r="AO126" s="188" t="s">
        <v>739</v>
      </c>
      <c r="AP126" s="188" t="s">
        <v>739</v>
      </c>
      <c r="AQ126" s="188" t="s">
        <v>739</v>
      </c>
      <c r="AR126" s="188"/>
      <c r="AS126" s="188" t="s">
        <v>1584</v>
      </c>
      <c r="AT126" s="188" t="s">
        <v>1726</v>
      </c>
      <c r="AU126" s="188" t="s">
        <v>1727</v>
      </c>
      <c r="AV126" s="188"/>
      <c r="AW126" s="188" t="s">
        <v>739</v>
      </c>
      <c r="AX126" t="s">
        <v>739</v>
      </c>
      <c r="AY126" t="s">
        <v>739</v>
      </c>
      <c r="BA126" t="s">
        <v>1728</v>
      </c>
      <c r="BB126" t="s">
        <v>1729</v>
      </c>
      <c r="BC126" t="s">
        <v>1730</v>
      </c>
      <c r="BD126" s="143"/>
    </row>
    <row r="127" spans="1:56" ht="15" customHeight="1" x14ac:dyDescent="0.25">
      <c r="A127" s="188">
        <v>6</v>
      </c>
      <c r="B127" s="188" t="s">
        <v>501</v>
      </c>
      <c r="C127" s="188" t="s">
        <v>964</v>
      </c>
      <c r="D127" s="188" t="s">
        <v>727</v>
      </c>
      <c r="E127" s="188" t="s">
        <v>815</v>
      </c>
      <c r="F127" s="188" t="s">
        <v>965</v>
      </c>
      <c r="G127" s="188" t="s">
        <v>730</v>
      </c>
      <c r="H127" s="188" t="s">
        <v>731</v>
      </c>
      <c r="I127" t="s">
        <v>966</v>
      </c>
      <c r="J127" s="74">
        <v>44197</v>
      </c>
      <c r="K127" s="74">
        <v>44561</v>
      </c>
      <c r="L127" s="188" t="s">
        <v>733</v>
      </c>
      <c r="M127" s="188" t="str">
        <f t="shared" si="29"/>
        <v>Magdalena</v>
      </c>
      <c r="N127" s="188" t="s">
        <v>30</v>
      </c>
      <c r="O127" s="188" t="s">
        <v>967</v>
      </c>
      <c r="P127" s="188" t="s">
        <v>735</v>
      </c>
      <c r="Q127" s="75">
        <v>0.1</v>
      </c>
      <c r="R127" s="190">
        <v>40</v>
      </c>
      <c r="S127" s="190">
        <v>0</v>
      </c>
      <c r="T127" s="190">
        <v>0</v>
      </c>
      <c r="U127" s="190">
        <v>0</v>
      </c>
      <c r="V127" s="190">
        <v>40</v>
      </c>
      <c r="W127" s="190">
        <v>0</v>
      </c>
      <c r="X127" s="190" t="s">
        <v>1731</v>
      </c>
      <c r="Y127" s="190">
        <v>16</v>
      </c>
      <c r="Z127" s="190" t="s">
        <v>1732</v>
      </c>
      <c r="AA127" s="190">
        <v>47</v>
      </c>
      <c r="AB127" s="190" t="s">
        <v>1733</v>
      </c>
      <c r="AC127" s="190"/>
      <c r="AD127" s="190"/>
      <c r="AE127" s="190">
        <f t="shared" si="18"/>
        <v>63</v>
      </c>
      <c r="AF127" s="74">
        <v>44300</v>
      </c>
      <c r="AG127" s="74">
        <v>44390</v>
      </c>
      <c r="AH127" s="74">
        <v>44482</v>
      </c>
      <c r="AI127" s="74"/>
      <c r="AJ127" s="75">
        <f t="shared" si="19"/>
        <v>1</v>
      </c>
      <c r="AK127" s="75" t="str">
        <f t="shared" si="20"/>
        <v/>
      </c>
      <c r="AL127" s="75" t="str">
        <f t="shared" si="21"/>
        <v/>
      </c>
      <c r="AM127" s="75" t="str">
        <f t="shared" si="22"/>
        <v/>
      </c>
      <c r="AN127" s="75">
        <f t="shared" si="23"/>
        <v>0</v>
      </c>
      <c r="AO127" s="188" t="s">
        <v>838</v>
      </c>
      <c r="AP127" s="188" t="s">
        <v>739</v>
      </c>
      <c r="AQ127" s="188" t="s">
        <v>739</v>
      </c>
      <c r="AR127" s="188"/>
      <c r="AS127" s="188" t="s">
        <v>1734</v>
      </c>
      <c r="AT127" s="188" t="s">
        <v>1735</v>
      </c>
      <c r="AU127" s="188" t="s">
        <v>1736</v>
      </c>
      <c r="AV127" s="188"/>
      <c r="AW127" s="188" t="s">
        <v>838</v>
      </c>
      <c r="AX127" t="s">
        <v>739</v>
      </c>
      <c r="AY127" t="s">
        <v>739</v>
      </c>
      <c r="BA127" t="s">
        <v>1712</v>
      </c>
      <c r="BB127" t="s">
        <v>1737</v>
      </c>
      <c r="BC127" t="s">
        <v>1738</v>
      </c>
      <c r="BD127" s="143"/>
    </row>
    <row r="128" spans="1:56" ht="15" customHeight="1" x14ac:dyDescent="0.25">
      <c r="A128" s="188">
        <v>7</v>
      </c>
      <c r="B128" s="188" t="s">
        <v>501</v>
      </c>
      <c r="C128" s="188" t="s">
        <v>756</v>
      </c>
      <c r="D128" s="188" t="s">
        <v>727</v>
      </c>
      <c r="E128" s="188" t="s">
        <v>728</v>
      </c>
      <c r="F128" s="188" t="s">
        <v>757</v>
      </c>
      <c r="G128" s="188" t="s">
        <v>730</v>
      </c>
      <c r="H128" s="188" t="s">
        <v>731</v>
      </c>
      <c r="I128" t="s">
        <v>758</v>
      </c>
      <c r="J128" s="74">
        <v>44197</v>
      </c>
      <c r="K128" s="74">
        <v>44561</v>
      </c>
      <c r="L128" s="188" t="s">
        <v>733</v>
      </c>
      <c r="M128" s="188" t="str">
        <f t="shared" si="29"/>
        <v>Magdalena</v>
      </c>
      <c r="N128" s="188" t="s">
        <v>60</v>
      </c>
      <c r="O128" s="188" t="s">
        <v>759</v>
      </c>
      <c r="P128" s="188" t="s">
        <v>735</v>
      </c>
      <c r="Q128" s="75">
        <v>0.1</v>
      </c>
      <c r="R128" s="189">
        <v>1</v>
      </c>
      <c r="S128" s="189">
        <v>0.25</v>
      </c>
      <c r="T128" s="189">
        <v>0.25</v>
      </c>
      <c r="U128" s="189">
        <v>0.25</v>
      </c>
      <c r="V128" s="189">
        <v>0.25</v>
      </c>
      <c r="W128" s="189">
        <v>0.25</v>
      </c>
      <c r="X128" s="189" t="s">
        <v>1739</v>
      </c>
      <c r="Y128" s="189">
        <v>0.25</v>
      </c>
      <c r="Z128" s="189" t="s">
        <v>1740</v>
      </c>
      <c r="AA128" s="189">
        <v>0.25</v>
      </c>
      <c r="AB128" s="189" t="s">
        <v>1741</v>
      </c>
      <c r="AC128" s="189"/>
      <c r="AD128" s="189"/>
      <c r="AE128" s="189">
        <f t="shared" si="18"/>
        <v>0.75</v>
      </c>
      <c r="AF128" s="74">
        <v>44300</v>
      </c>
      <c r="AG128" s="74">
        <v>44390</v>
      </c>
      <c r="AH128" s="74">
        <v>44483</v>
      </c>
      <c r="AI128" s="74"/>
      <c r="AJ128" s="75">
        <f t="shared" si="19"/>
        <v>0.75</v>
      </c>
      <c r="AK128" s="75">
        <f t="shared" si="20"/>
        <v>1</v>
      </c>
      <c r="AL128" s="75">
        <f t="shared" si="21"/>
        <v>1</v>
      </c>
      <c r="AM128" s="75">
        <f t="shared" si="22"/>
        <v>1</v>
      </c>
      <c r="AN128" s="75">
        <f t="shared" si="23"/>
        <v>0</v>
      </c>
      <c r="AO128" s="188" t="s">
        <v>739</v>
      </c>
      <c r="AP128" s="188" t="s">
        <v>739</v>
      </c>
      <c r="AQ128" s="188" t="s">
        <v>739</v>
      </c>
      <c r="AR128" s="188"/>
      <c r="AS128" s="188" t="s">
        <v>1742</v>
      </c>
      <c r="AT128" s="188" t="s">
        <v>1743</v>
      </c>
      <c r="AU128" s="188" t="s">
        <v>1744</v>
      </c>
      <c r="AV128" s="188"/>
      <c r="AW128" s="188" t="s">
        <v>739</v>
      </c>
      <c r="AX128" t="s">
        <v>739</v>
      </c>
      <c r="AY128" t="s">
        <v>739</v>
      </c>
      <c r="BA128" t="s">
        <v>1745</v>
      </c>
      <c r="BB128" t="s">
        <v>1745</v>
      </c>
      <c r="BC128" t="s">
        <v>1746</v>
      </c>
      <c r="BD128" s="143"/>
    </row>
    <row r="129" spans="1:56" ht="15" customHeight="1" x14ac:dyDescent="0.25">
      <c r="A129" s="188">
        <v>8</v>
      </c>
      <c r="B129" s="188" t="s">
        <v>501</v>
      </c>
      <c r="C129" s="188" t="s">
        <v>768</v>
      </c>
      <c r="D129" s="188" t="s">
        <v>727</v>
      </c>
      <c r="E129" s="188" t="s">
        <v>728</v>
      </c>
      <c r="F129" s="188" t="s">
        <v>757</v>
      </c>
      <c r="G129" s="188" t="s">
        <v>730</v>
      </c>
      <c r="H129" s="188" t="s">
        <v>731</v>
      </c>
      <c r="I129" t="s">
        <v>769</v>
      </c>
      <c r="J129" s="74">
        <v>44197</v>
      </c>
      <c r="K129" s="74">
        <v>44561</v>
      </c>
      <c r="L129" s="188" t="s">
        <v>733</v>
      </c>
      <c r="M129" s="188" t="str">
        <f t="shared" si="29"/>
        <v>Magdalena</v>
      </c>
      <c r="N129" s="188" t="s">
        <v>60</v>
      </c>
      <c r="O129" s="188" t="s">
        <v>759</v>
      </c>
      <c r="P129" s="188" t="s">
        <v>735</v>
      </c>
      <c r="Q129" s="75">
        <v>0.1</v>
      </c>
      <c r="R129" s="189">
        <v>1</v>
      </c>
      <c r="S129" s="189">
        <v>0.25</v>
      </c>
      <c r="T129" s="189">
        <v>0.25</v>
      </c>
      <c r="U129" s="189">
        <v>0.25</v>
      </c>
      <c r="V129" s="189">
        <v>0.25</v>
      </c>
      <c r="W129" s="189">
        <v>0.32</v>
      </c>
      <c r="X129" s="189" t="s">
        <v>1747</v>
      </c>
      <c r="Y129" s="189">
        <v>0.25</v>
      </c>
      <c r="Z129" s="189" t="s">
        <v>1748</v>
      </c>
      <c r="AA129" s="189">
        <v>0.25</v>
      </c>
      <c r="AB129" s="189" t="s">
        <v>1749</v>
      </c>
      <c r="AC129" s="189"/>
      <c r="AD129" s="189"/>
      <c r="AE129" s="189">
        <f t="shared" si="18"/>
        <v>0.82000000000000006</v>
      </c>
      <c r="AF129" s="74">
        <v>44300</v>
      </c>
      <c r="AG129" s="74">
        <v>44390</v>
      </c>
      <c r="AH129" s="74">
        <v>44482</v>
      </c>
      <c r="AI129" s="74"/>
      <c r="AJ129" s="75">
        <f t="shared" si="19"/>
        <v>0.82000000000000006</v>
      </c>
      <c r="AK129" s="75">
        <f t="shared" si="20"/>
        <v>1</v>
      </c>
      <c r="AL129" s="75">
        <f t="shared" si="21"/>
        <v>1</v>
      </c>
      <c r="AM129" s="75">
        <f t="shared" si="22"/>
        <v>1</v>
      </c>
      <c r="AN129" s="75">
        <f t="shared" si="23"/>
        <v>0</v>
      </c>
      <c r="AO129" s="188" t="s">
        <v>739</v>
      </c>
      <c r="AP129" s="188" t="s">
        <v>739</v>
      </c>
      <c r="AQ129" s="188" t="s">
        <v>739</v>
      </c>
      <c r="AR129" s="188"/>
      <c r="AS129" s="188" t="s">
        <v>1584</v>
      </c>
      <c r="AT129" s="188" t="s">
        <v>1750</v>
      </c>
      <c r="AU129" s="188" t="s">
        <v>1751</v>
      </c>
      <c r="AV129" s="188"/>
      <c r="AW129" s="188" t="s">
        <v>739</v>
      </c>
      <c r="AX129" t="s">
        <v>739</v>
      </c>
      <c r="AY129" t="s">
        <v>739</v>
      </c>
      <c r="BA129" t="s">
        <v>1752</v>
      </c>
      <c r="BB129" t="s">
        <v>1753</v>
      </c>
      <c r="BC129" t="s">
        <v>1754</v>
      </c>
      <c r="BD129" s="143"/>
    </row>
    <row r="130" spans="1:56" ht="15" customHeight="1" x14ac:dyDescent="0.25">
      <c r="A130" s="188">
        <v>9</v>
      </c>
      <c r="B130" s="188" t="s">
        <v>501</v>
      </c>
      <c r="C130" s="188" t="s">
        <v>777</v>
      </c>
      <c r="D130" s="188" t="s">
        <v>778</v>
      </c>
      <c r="E130" s="188" t="s">
        <v>779</v>
      </c>
      <c r="F130" s="188" t="s">
        <v>780</v>
      </c>
      <c r="G130" s="188" t="s">
        <v>730</v>
      </c>
      <c r="H130" s="188" t="s">
        <v>781</v>
      </c>
      <c r="I130" t="s">
        <v>782</v>
      </c>
      <c r="J130" s="74">
        <v>44197</v>
      </c>
      <c r="K130" s="74">
        <v>44561</v>
      </c>
      <c r="L130" s="188" t="s">
        <v>733</v>
      </c>
      <c r="M130" s="188" t="str">
        <f t="shared" si="29"/>
        <v>Magdalena</v>
      </c>
      <c r="N130" s="188" t="s">
        <v>60</v>
      </c>
      <c r="O130" s="188" t="s">
        <v>759</v>
      </c>
      <c r="P130" s="188" t="s">
        <v>735</v>
      </c>
      <c r="Q130" s="75">
        <v>0.1</v>
      </c>
      <c r="R130" s="189">
        <v>1</v>
      </c>
      <c r="S130" s="189">
        <v>0.25</v>
      </c>
      <c r="T130" s="189">
        <v>0.25</v>
      </c>
      <c r="U130" s="189">
        <v>0.25</v>
      </c>
      <c r="V130" s="189">
        <v>0.25</v>
      </c>
      <c r="W130" s="189">
        <v>0.17</v>
      </c>
      <c r="X130" s="189" t="s">
        <v>1755</v>
      </c>
      <c r="Y130" s="189">
        <v>0.61</v>
      </c>
      <c r="Z130" s="189" t="s">
        <v>1756</v>
      </c>
      <c r="AA130" s="189">
        <v>0.18</v>
      </c>
      <c r="AB130" s="189" t="s">
        <v>1757</v>
      </c>
      <c r="AC130" s="189"/>
      <c r="AD130" s="189"/>
      <c r="AE130" s="189">
        <f t="shared" si="18"/>
        <v>0.96000000000000008</v>
      </c>
      <c r="AF130" s="74">
        <v>44300</v>
      </c>
      <c r="AG130" s="74">
        <v>44392</v>
      </c>
      <c r="AH130" s="74">
        <v>44482</v>
      </c>
      <c r="AI130" s="74"/>
      <c r="AJ130" s="75">
        <f t="shared" si="19"/>
        <v>0.96</v>
      </c>
      <c r="AK130" s="75">
        <f t="shared" si="20"/>
        <v>0.68</v>
      </c>
      <c r="AL130" s="75">
        <f t="shared" si="21"/>
        <v>1</v>
      </c>
      <c r="AM130" s="75">
        <f t="shared" si="22"/>
        <v>0.72</v>
      </c>
      <c r="AN130" s="75">
        <f t="shared" si="23"/>
        <v>0</v>
      </c>
      <c r="AO130" s="188" t="s">
        <v>739</v>
      </c>
      <c r="AP130" s="188" t="s">
        <v>739</v>
      </c>
      <c r="AQ130" s="188" t="s">
        <v>739</v>
      </c>
      <c r="AR130" s="188"/>
      <c r="AS130" s="188" t="s">
        <v>1758</v>
      </c>
      <c r="AT130" s="188" t="s">
        <v>1759</v>
      </c>
      <c r="AU130" s="188" t="s">
        <v>1760</v>
      </c>
      <c r="AV130" s="188"/>
      <c r="AW130" s="188" t="s">
        <v>828</v>
      </c>
      <c r="AX130" t="s">
        <v>739</v>
      </c>
      <c r="AY130" t="s">
        <v>739</v>
      </c>
      <c r="BA130" t="s">
        <v>1761</v>
      </c>
      <c r="BB130" t="s">
        <v>1762</v>
      </c>
      <c r="BC130" t="s">
        <v>1763</v>
      </c>
      <c r="BD130" s="143"/>
    </row>
    <row r="131" spans="1:56" ht="15" customHeight="1" x14ac:dyDescent="0.25">
      <c r="A131" s="188">
        <v>10</v>
      </c>
      <c r="B131" s="188" t="s">
        <v>501</v>
      </c>
      <c r="C131" s="188" t="s">
        <v>790</v>
      </c>
      <c r="D131" s="188" t="s">
        <v>791</v>
      </c>
      <c r="E131" s="188" t="s">
        <v>792</v>
      </c>
      <c r="F131" s="188" t="s">
        <v>793</v>
      </c>
      <c r="G131" s="188" t="s">
        <v>794</v>
      </c>
      <c r="H131" s="188" t="s">
        <v>794</v>
      </c>
      <c r="I131" t="s">
        <v>795</v>
      </c>
      <c r="J131" s="74">
        <v>44197</v>
      </c>
      <c r="K131" s="74">
        <v>44561</v>
      </c>
      <c r="L131" s="188" t="s">
        <v>733</v>
      </c>
      <c r="M131" s="188" t="str">
        <f t="shared" si="29"/>
        <v>Magdalena</v>
      </c>
      <c r="N131" s="188" t="s">
        <v>60</v>
      </c>
      <c r="O131" s="188" t="s">
        <v>796</v>
      </c>
      <c r="P131" s="188" t="s">
        <v>735</v>
      </c>
      <c r="Q131" s="75">
        <v>0.1</v>
      </c>
      <c r="R131" s="189">
        <v>1</v>
      </c>
      <c r="S131" s="189">
        <v>0.25</v>
      </c>
      <c r="T131" s="189">
        <v>0.25</v>
      </c>
      <c r="U131" s="189">
        <v>0.25</v>
      </c>
      <c r="V131" s="189">
        <v>0.25</v>
      </c>
      <c r="W131" s="189">
        <v>0.25</v>
      </c>
      <c r="X131" s="189" t="s">
        <v>1764</v>
      </c>
      <c r="Y131" s="189">
        <v>0.25</v>
      </c>
      <c r="Z131" s="189" t="s">
        <v>1765</v>
      </c>
      <c r="AA131" s="189">
        <v>0.25</v>
      </c>
      <c r="AB131" s="189" t="s">
        <v>1766</v>
      </c>
      <c r="AC131" s="189"/>
      <c r="AD131" s="189"/>
      <c r="AE131" s="189">
        <f t="shared" ref="AE131:AE194" si="30">AC131+AA131+Y131+W131</f>
        <v>0.75</v>
      </c>
      <c r="AF131" s="74">
        <v>44300</v>
      </c>
      <c r="AG131" s="74">
        <v>44390</v>
      </c>
      <c r="AH131" s="74">
        <v>44482</v>
      </c>
      <c r="AI131" s="74"/>
      <c r="AJ131" s="75">
        <f t="shared" ref="AJ131:AJ194" si="31">IFERROR(IF((W131+Y131+AA131+AC131)/R131&gt;1,1,(W131+Y131+AA131+AC131)/R131),0)</f>
        <v>0.75</v>
      </c>
      <c r="AK131" s="75">
        <f t="shared" ref="AK131:AK194" si="32">IFERROR(IF(S131=0,"",IF((W131/S131)&gt;1,1,(W131/S131))),"")</f>
        <v>1</v>
      </c>
      <c r="AL131" s="75">
        <f t="shared" ref="AL131:AL194" si="33">IFERROR(IF(T131=0,"",IF((Y131/T131)&gt;1,1,(Y131/T131))),"")</f>
        <v>1</v>
      </c>
      <c r="AM131" s="75">
        <f t="shared" ref="AM131:AM194" si="34">IFERROR(IF(U131=0,"",IF((AA131/U131)&gt;1,1,(AA131/U131))),"")</f>
        <v>1</v>
      </c>
      <c r="AN131" s="75">
        <f t="shared" ref="AN131:AN194" si="35">IFERROR(IF(V131=0,"",IF((AC131/V131)&gt;1,1,(AC131/V131))),"")</f>
        <v>0</v>
      </c>
      <c r="AO131" s="188" t="s">
        <v>739</v>
      </c>
      <c r="AP131" s="188" t="s">
        <v>739</v>
      </c>
      <c r="AQ131" s="188" t="s">
        <v>739</v>
      </c>
      <c r="AR131" s="188"/>
      <c r="AS131" s="188" t="s">
        <v>1758</v>
      </c>
      <c r="AT131" s="188" t="s">
        <v>1767</v>
      </c>
      <c r="AU131" s="188" t="s">
        <v>1768</v>
      </c>
      <c r="AV131" s="188"/>
      <c r="AW131" s="188" t="s">
        <v>739</v>
      </c>
      <c r="AX131" t="s">
        <v>739</v>
      </c>
      <c r="AY131" t="s">
        <v>739</v>
      </c>
      <c r="BA131" t="s">
        <v>1769</v>
      </c>
      <c r="BB131" t="s">
        <v>1770</v>
      </c>
      <c r="BC131" t="s">
        <v>1771</v>
      </c>
      <c r="BD131" s="143"/>
    </row>
    <row r="132" spans="1:56" ht="15" customHeight="1" x14ac:dyDescent="0.25">
      <c r="A132" s="188">
        <v>11</v>
      </c>
      <c r="B132" s="188" t="s">
        <v>501</v>
      </c>
      <c r="C132" s="188" t="s">
        <v>790</v>
      </c>
      <c r="D132" s="188" t="s">
        <v>791</v>
      </c>
      <c r="E132" s="188" t="s">
        <v>792</v>
      </c>
      <c r="F132" s="188" t="s">
        <v>793</v>
      </c>
      <c r="G132" s="188" t="s">
        <v>794</v>
      </c>
      <c r="H132" s="188" t="s">
        <v>794</v>
      </c>
      <c r="I132" s="188" t="s">
        <v>805</v>
      </c>
      <c r="J132" s="74">
        <v>44197</v>
      </c>
      <c r="K132" s="74">
        <v>44561</v>
      </c>
      <c r="L132" s="188" t="s">
        <v>733</v>
      </c>
      <c r="M132" s="188" t="str">
        <f t="shared" si="29"/>
        <v>Magdalena</v>
      </c>
      <c r="N132" s="188" t="s">
        <v>60</v>
      </c>
      <c r="O132" s="188" t="s">
        <v>806</v>
      </c>
      <c r="P132" s="188" t="s">
        <v>735</v>
      </c>
      <c r="Q132" s="75">
        <v>0.1</v>
      </c>
      <c r="R132" s="189">
        <v>1</v>
      </c>
      <c r="S132" s="189">
        <v>0.25</v>
      </c>
      <c r="T132" s="189">
        <v>0.25</v>
      </c>
      <c r="U132" s="189">
        <v>0.25</v>
      </c>
      <c r="V132" s="189">
        <v>0.25</v>
      </c>
      <c r="W132" s="189">
        <v>0.25</v>
      </c>
      <c r="X132" s="189" t="s">
        <v>1772</v>
      </c>
      <c r="Y132" s="189">
        <v>0.25</v>
      </c>
      <c r="Z132" s="189" t="s">
        <v>1773</v>
      </c>
      <c r="AA132" s="189">
        <v>0.25</v>
      </c>
      <c r="AB132" s="189" t="s">
        <v>1774</v>
      </c>
      <c r="AC132" s="189"/>
      <c r="AD132" s="189"/>
      <c r="AE132" s="189">
        <f t="shared" si="30"/>
        <v>0.75</v>
      </c>
      <c r="AF132" s="74">
        <v>44300</v>
      </c>
      <c r="AG132" s="74">
        <v>44390</v>
      </c>
      <c r="AH132" s="74">
        <v>44483</v>
      </c>
      <c r="AI132" s="74"/>
      <c r="AJ132" s="75">
        <f t="shared" si="31"/>
        <v>0.75</v>
      </c>
      <c r="AK132" s="75">
        <f t="shared" si="32"/>
        <v>1</v>
      </c>
      <c r="AL132" s="75">
        <f t="shared" si="33"/>
        <v>1</v>
      </c>
      <c r="AM132" s="75">
        <f t="shared" si="34"/>
        <v>1</v>
      </c>
      <c r="AN132" s="75">
        <f t="shared" si="35"/>
        <v>0</v>
      </c>
      <c r="AO132" s="188" t="s">
        <v>739</v>
      </c>
      <c r="AP132" s="188" t="s">
        <v>739</v>
      </c>
      <c r="AQ132" s="188" t="s">
        <v>739</v>
      </c>
      <c r="AR132" s="188"/>
      <c r="AS132" s="188" t="s">
        <v>1333</v>
      </c>
      <c r="AT132" s="188" t="s">
        <v>1775</v>
      </c>
      <c r="AU132" s="188" t="s">
        <v>1776</v>
      </c>
      <c r="AV132" s="188"/>
      <c r="AW132" s="188" t="s">
        <v>739</v>
      </c>
      <c r="AX132" t="s">
        <v>739</v>
      </c>
      <c r="AY132" t="s">
        <v>739</v>
      </c>
      <c r="BA132" t="s">
        <v>1777</v>
      </c>
      <c r="BB132" t="s">
        <v>1778</v>
      </c>
      <c r="BC132" t="s">
        <v>1779</v>
      </c>
      <c r="BD132" s="143"/>
    </row>
    <row r="133" spans="1:56" ht="15" customHeight="1" x14ac:dyDescent="0.25">
      <c r="A133" s="188">
        <v>13</v>
      </c>
      <c r="B133" s="188" t="s">
        <v>501</v>
      </c>
      <c r="C133" s="188" t="s">
        <v>814</v>
      </c>
      <c r="D133" s="188" t="s">
        <v>727</v>
      </c>
      <c r="E133" s="188" t="s">
        <v>815</v>
      </c>
      <c r="F133" s="188" t="s">
        <v>816</v>
      </c>
      <c r="G133" s="188" t="s">
        <v>817</v>
      </c>
      <c r="H133" s="188" t="s">
        <v>818</v>
      </c>
      <c r="I133" t="s">
        <v>819</v>
      </c>
      <c r="J133" s="74">
        <v>44197</v>
      </c>
      <c r="K133" s="74">
        <v>44561</v>
      </c>
      <c r="L133" s="188" t="s">
        <v>733</v>
      </c>
      <c r="M133" s="188" t="str">
        <f t="shared" si="29"/>
        <v>Magdalena</v>
      </c>
      <c r="N133" s="188" t="s">
        <v>30</v>
      </c>
      <c r="O133" s="188" t="s">
        <v>820</v>
      </c>
      <c r="P133" s="188" t="s">
        <v>821</v>
      </c>
      <c r="Q133" s="75">
        <v>0.1</v>
      </c>
      <c r="R133" s="190">
        <f>SUM(S133:V133)</f>
        <v>228143291.15037256</v>
      </c>
      <c r="S133" s="190">
        <v>45047851.471077122</v>
      </c>
      <c r="T133" s="190">
        <v>58396884.861304849</v>
      </c>
      <c r="U133" s="190">
        <v>59454956.657056168</v>
      </c>
      <c r="V133" s="190">
        <v>65243598.160934433</v>
      </c>
      <c r="W133" s="190">
        <v>8700523</v>
      </c>
      <c r="X133" s="190" t="s">
        <v>1780</v>
      </c>
      <c r="Y133" s="190">
        <v>8301006</v>
      </c>
      <c r="Z133" s="190" t="s">
        <v>1781</v>
      </c>
      <c r="AA133" s="190">
        <v>25969242</v>
      </c>
      <c r="AB133" s="190" t="s">
        <v>1782</v>
      </c>
      <c r="AC133" s="190"/>
      <c r="AD133" s="190"/>
      <c r="AE133" s="190">
        <f t="shared" si="30"/>
        <v>42970771</v>
      </c>
      <c r="AF133" s="60">
        <v>44300</v>
      </c>
      <c r="AG133" s="60">
        <v>44390</v>
      </c>
      <c r="AH133" s="60">
        <v>44482</v>
      </c>
      <c r="AI133" s="60"/>
      <c r="AJ133" s="75">
        <f t="shared" si="31"/>
        <v>0.18834992159237915</v>
      </c>
      <c r="AK133" s="75">
        <f t="shared" si="32"/>
        <v>0.1931395774909743</v>
      </c>
      <c r="AL133" s="75">
        <f t="shared" si="33"/>
        <v>0.14214809607935855</v>
      </c>
      <c r="AM133" s="75">
        <f t="shared" si="34"/>
        <v>0.43678851117147266</v>
      </c>
      <c r="AN133" s="75">
        <f t="shared" si="35"/>
        <v>0</v>
      </c>
      <c r="AO133" s="188" t="s">
        <v>739</v>
      </c>
      <c r="AP133" s="188" t="s">
        <v>739</v>
      </c>
      <c r="AQ133" s="188" t="s">
        <v>739</v>
      </c>
      <c r="AR133" s="188"/>
      <c r="AS133" s="188" t="s">
        <v>1333</v>
      </c>
      <c r="AT133" s="188" t="s">
        <v>1783</v>
      </c>
      <c r="AU133" s="188" t="s">
        <v>1784</v>
      </c>
      <c r="AV133" s="188"/>
      <c r="AW133" s="188" t="s">
        <v>838</v>
      </c>
      <c r="AX133" t="s">
        <v>739</v>
      </c>
      <c r="AY133" t="s">
        <v>739</v>
      </c>
      <c r="BA133" t="s">
        <v>1785</v>
      </c>
      <c r="BB133" t="s">
        <v>1786</v>
      </c>
      <c r="BC133" t="s">
        <v>1787</v>
      </c>
      <c r="BD133" s="143"/>
    </row>
    <row r="134" spans="1:56" ht="15" customHeight="1" x14ac:dyDescent="0.25">
      <c r="A134" s="188">
        <v>1</v>
      </c>
      <c r="B134" s="188" t="s">
        <v>502</v>
      </c>
      <c r="C134" s="188" t="s">
        <v>832</v>
      </c>
      <c r="D134" s="188" t="s">
        <v>727</v>
      </c>
      <c r="E134" s="188" t="s">
        <v>728</v>
      </c>
      <c r="F134" s="188" t="s">
        <v>729</v>
      </c>
      <c r="G134" s="188" t="s">
        <v>730</v>
      </c>
      <c r="H134" s="188" t="s">
        <v>731</v>
      </c>
      <c r="I134" s="188" t="s">
        <v>844</v>
      </c>
      <c r="J134" s="74">
        <v>44197</v>
      </c>
      <c r="K134" s="74">
        <v>44561</v>
      </c>
      <c r="L134" s="188" t="s">
        <v>733</v>
      </c>
      <c r="M134" s="188" t="str">
        <f>B134</f>
        <v>Meta</v>
      </c>
      <c r="N134" s="188" t="s">
        <v>30</v>
      </c>
      <c r="O134" s="188" t="s">
        <v>845</v>
      </c>
      <c r="P134" s="188" t="s">
        <v>735</v>
      </c>
      <c r="Q134" s="75">
        <v>9.0909090909090912E-2</v>
      </c>
      <c r="R134" s="190">
        <v>17614</v>
      </c>
      <c r="S134" s="190">
        <v>0</v>
      </c>
      <c r="T134" s="190">
        <v>0</v>
      </c>
      <c r="U134" s="190">
        <v>0</v>
      </c>
      <c r="V134" s="190">
        <v>17614</v>
      </c>
      <c r="W134" s="190">
        <v>17442</v>
      </c>
      <c r="X134" s="190" t="s">
        <v>1788</v>
      </c>
      <c r="Y134" s="190">
        <v>0</v>
      </c>
      <c r="Z134" s="190" t="s">
        <v>1789</v>
      </c>
      <c r="AA134" s="190">
        <v>0</v>
      </c>
      <c r="AB134" s="190" t="s">
        <v>1790</v>
      </c>
      <c r="AC134" s="190"/>
      <c r="AD134" s="190"/>
      <c r="AE134" s="190">
        <f t="shared" si="30"/>
        <v>17442</v>
      </c>
      <c r="AF134" s="74">
        <v>44300</v>
      </c>
      <c r="AG134" s="74">
        <v>44392</v>
      </c>
      <c r="AH134" s="74">
        <v>44481</v>
      </c>
      <c r="AI134" s="74"/>
      <c r="AJ134" s="75">
        <f t="shared" si="31"/>
        <v>0.99023504030884524</v>
      </c>
      <c r="AK134" s="75" t="str">
        <f t="shared" si="32"/>
        <v/>
      </c>
      <c r="AL134" s="75" t="str">
        <f t="shared" si="33"/>
        <v/>
      </c>
      <c r="AM134" s="75" t="str">
        <f t="shared" si="34"/>
        <v/>
      </c>
      <c r="AN134" s="75">
        <f t="shared" si="35"/>
        <v>0</v>
      </c>
      <c r="AO134" s="188" t="s">
        <v>739</v>
      </c>
      <c r="AP134" s="188" t="s">
        <v>838</v>
      </c>
      <c r="AQ134" s="188" t="s">
        <v>739</v>
      </c>
      <c r="AR134" s="188"/>
      <c r="AS134" s="188" t="s">
        <v>1791</v>
      </c>
      <c r="AT134" s="188" t="s">
        <v>1792</v>
      </c>
      <c r="AU134" s="188" t="s">
        <v>1793</v>
      </c>
      <c r="AV134" s="188"/>
      <c r="AW134" s="188" t="s">
        <v>838</v>
      </c>
      <c r="AX134" s="188" t="s">
        <v>838</v>
      </c>
      <c r="AY134" s="188" t="s">
        <v>838</v>
      </c>
      <c r="AZ134" s="188"/>
      <c r="BA134" s="188" t="s">
        <v>1794</v>
      </c>
      <c r="BB134" s="188" t="s">
        <v>1795</v>
      </c>
      <c r="BC134" s="188" t="s">
        <v>1796</v>
      </c>
      <c r="BD134" s="143"/>
    </row>
    <row r="135" spans="1:56" ht="15" customHeight="1" x14ac:dyDescent="0.25">
      <c r="A135" s="188">
        <v>2</v>
      </c>
      <c r="B135" s="188" t="s">
        <v>502</v>
      </c>
      <c r="C135" s="188" t="s">
        <v>726</v>
      </c>
      <c r="D135" s="188" t="s">
        <v>727</v>
      </c>
      <c r="E135" s="188" t="s">
        <v>728</v>
      </c>
      <c r="F135" s="188" t="s">
        <v>729</v>
      </c>
      <c r="G135" s="188" t="s">
        <v>730</v>
      </c>
      <c r="H135" s="188" t="s">
        <v>731</v>
      </c>
      <c r="I135" s="188" t="s">
        <v>732</v>
      </c>
      <c r="J135" s="74">
        <v>44197</v>
      </c>
      <c r="K135" s="74">
        <v>44561</v>
      </c>
      <c r="L135" s="188" t="s">
        <v>733</v>
      </c>
      <c r="M135" s="188" t="str">
        <f t="shared" ref="M135:M144" si="36">B135</f>
        <v>Meta</v>
      </c>
      <c r="N135" s="188" t="s">
        <v>30</v>
      </c>
      <c r="O135" s="188" t="s">
        <v>734</v>
      </c>
      <c r="P135" s="188" t="s">
        <v>735</v>
      </c>
      <c r="Q135" s="75">
        <v>9.0909090909090912E-2</v>
      </c>
      <c r="R135" s="190">
        <v>8351</v>
      </c>
      <c r="S135" s="190">
        <v>0</v>
      </c>
      <c r="T135" s="190">
        <v>0</v>
      </c>
      <c r="U135" s="190">
        <v>0</v>
      </c>
      <c r="V135" s="190">
        <v>8351</v>
      </c>
      <c r="W135" s="190">
        <v>379</v>
      </c>
      <c r="X135" s="190" t="s">
        <v>1797</v>
      </c>
      <c r="Y135" s="190">
        <v>668</v>
      </c>
      <c r="Z135" s="190" t="s">
        <v>1798</v>
      </c>
      <c r="AA135" s="190">
        <v>1824</v>
      </c>
      <c r="AB135" s="190" t="s">
        <v>1799</v>
      </c>
      <c r="AC135" s="190"/>
      <c r="AD135" s="190"/>
      <c r="AE135" s="190">
        <f t="shared" si="30"/>
        <v>2871</v>
      </c>
      <c r="AF135" s="74">
        <v>44300</v>
      </c>
      <c r="AG135" s="74">
        <v>44390</v>
      </c>
      <c r="AH135" s="74">
        <v>44481</v>
      </c>
      <c r="AI135" s="74"/>
      <c r="AJ135" s="75">
        <f t="shared" si="31"/>
        <v>0.34379116273500182</v>
      </c>
      <c r="AK135" s="75" t="str">
        <f t="shared" si="32"/>
        <v/>
      </c>
      <c r="AL135" s="75" t="str">
        <f t="shared" si="33"/>
        <v/>
      </c>
      <c r="AM135" s="75" t="str">
        <f t="shared" si="34"/>
        <v/>
      </c>
      <c r="AN135" s="75">
        <f t="shared" si="35"/>
        <v>0</v>
      </c>
      <c r="AO135" s="188" t="s">
        <v>739</v>
      </c>
      <c r="AP135" s="188" t="s">
        <v>739</v>
      </c>
      <c r="AQ135" s="188" t="s">
        <v>739</v>
      </c>
      <c r="AR135" s="188"/>
      <c r="AS135" s="188" t="s">
        <v>1800</v>
      </c>
      <c r="AT135" s="188" t="s">
        <v>1801</v>
      </c>
      <c r="AU135" s="188" t="s">
        <v>1802</v>
      </c>
      <c r="AV135" s="188"/>
      <c r="AW135" s="188" t="s">
        <v>739</v>
      </c>
      <c r="AX135" t="s">
        <v>739</v>
      </c>
      <c r="AY135" t="s">
        <v>739</v>
      </c>
      <c r="BA135" t="s">
        <v>1803</v>
      </c>
      <c r="BB135" t="s">
        <v>1804</v>
      </c>
      <c r="BC135" t="s">
        <v>1805</v>
      </c>
      <c r="BD135" s="143"/>
    </row>
    <row r="136" spans="1:56" ht="15" customHeight="1" x14ac:dyDescent="0.25">
      <c r="A136" s="188">
        <v>4</v>
      </c>
      <c r="B136" s="188" t="s">
        <v>502</v>
      </c>
      <c r="C136" s="188" t="s">
        <v>726</v>
      </c>
      <c r="D136" s="188" t="s">
        <v>727</v>
      </c>
      <c r="E136" s="188" t="s">
        <v>728</v>
      </c>
      <c r="F136" s="188" t="s">
        <v>729</v>
      </c>
      <c r="G136" s="188" t="s">
        <v>730</v>
      </c>
      <c r="H136" s="188" t="s">
        <v>731</v>
      </c>
      <c r="I136" s="188" t="s">
        <v>746</v>
      </c>
      <c r="J136" s="74">
        <v>44197</v>
      </c>
      <c r="K136" s="74">
        <v>44561</v>
      </c>
      <c r="L136" s="188" t="s">
        <v>733</v>
      </c>
      <c r="M136" s="188" t="str">
        <f t="shared" si="36"/>
        <v>Meta</v>
      </c>
      <c r="N136" s="188" t="s">
        <v>30</v>
      </c>
      <c r="O136" s="188" t="s">
        <v>747</v>
      </c>
      <c r="P136" s="188" t="s">
        <v>735</v>
      </c>
      <c r="Q136" s="75">
        <v>9.0909090909090912E-2</v>
      </c>
      <c r="R136" s="190">
        <v>11965</v>
      </c>
      <c r="S136" s="190">
        <v>0</v>
      </c>
      <c r="T136" s="190">
        <v>0</v>
      </c>
      <c r="U136" s="190">
        <v>0</v>
      </c>
      <c r="V136" s="190">
        <v>11965</v>
      </c>
      <c r="W136" s="190">
        <v>438</v>
      </c>
      <c r="X136" s="190" t="s">
        <v>1806</v>
      </c>
      <c r="Y136" s="190">
        <v>1737</v>
      </c>
      <c r="Z136" s="190" t="s">
        <v>1807</v>
      </c>
      <c r="AA136" s="190">
        <v>1048</v>
      </c>
      <c r="AB136" s="190" t="s">
        <v>1808</v>
      </c>
      <c r="AC136" s="190"/>
      <c r="AD136" s="190"/>
      <c r="AE136" s="190">
        <f t="shared" si="30"/>
        <v>3223</v>
      </c>
      <c r="AF136" s="74">
        <v>44300</v>
      </c>
      <c r="AG136" s="74">
        <v>44390</v>
      </c>
      <c r="AH136" s="74">
        <v>44481</v>
      </c>
      <c r="AI136" s="74"/>
      <c r="AJ136" s="75">
        <f t="shared" si="31"/>
        <v>0.26936899289594651</v>
      </c>
      <c r="AK136" s="75" t="str">
        <f t="shared" si="32"/>
        <v/>
      </c>
      <c r="AL136" s="75" t="str">
        <f t="shared" si="33"/>
        <v/>
      </c>
      <c r="AM136" s="75" t="str">
        <f t="shared" si="34"/>
        <v/>
      </c>
      <c r="AN136" s="75">
        <f t="shared" si="35"/>
        <v>0</v>
      </c>
      <c r="AO136" s="188" t="s">
        <v>739</v>
      </c>
      <c r="AP136" s="188" t="s">
        <v>739</v>
      </c>
      <c r="AQ136" s="188" t="s">
        <v>739</v>
      </c>
      <c r="AR136" s="188"/>
      <c r="AS136" s="188" t="s">
        <v>1809</v>
      </c>
      <c r="AT136" s="188" t="s">
        <v>1810</v>
      </c>
      <c r="AU136" s="188" t="s">
        <v>939</v>
      </c>
      <c r="AV136" s="188"/>
      <c r="AW136" s="188" t="s">
        <v>739</v>
      </c>
      <c r="AX136" t="s">
        <v>739</v>
      </c>
      <c r="AY136" t="s">
        <v>739</v>
      </c>
      <c r="BA136" t="s">
        <v>1811</v>
      </c>
      <c r="BB136" t="s">
        <v>1812</v>
      </c>
      <c r="BC136" t="s">
        <v>1813</v>
      </c>
      <c r="BD136" s="143"/>
    </row>
    <row r="137" spans="1:56" ht="15" customHeight="1" x14ac:dyDescent="0.25">
      <c r="A137" s="188">
        <v>6</v>
      </c>
      <c r="B137" s="188" t="s">
        <v>502</v>
      </c>
      <c r="C137" s="188" t="s">
        <v>964</v>
      </c>
      <c r="D137" s="188" t="s">
        <v>727</v>
      </c>
      <c r="E137" s="188" t="s">
        <v>815</v>
      </c>
      <c r="F137" s="188" t="s">
        <v>965</v>
      </c>
      <c r="G137" s="188" t="s">
        <v>730</v>
      </c>
      <c r="H137" s="188" t="s">
        <v>731</v>
      </c>
      <c r="I137" t="s">
        <v>966</v>
      </c>
      <c r="J137" s="74">
        <v>44197</v>
      </c>
      <c r="K137" s="74">
        <v>44561</v>
      </c>
      <c r="L137" s="188" t="s">
        <v>733</v>
      </c>
      <c r="M137" s="188" t="str">
        <f t="shared" si="36"/>
        <v>Meta</v>
      </c>
      <c r="N137" s="188" t="s">
        <v>30</v>
      </c>
      <c r="O137" s="188" t="s">
        <v>967</v>
      </c>
      <c r="P137" s="188" t="s">
        <v>735</v>
      </c>
      <c r="Q137" s="75">
        <v>9.0909090909090912E-2</v>
      </c>
      <c r="R137" s="190">
        <v>30</v>
      </c>
      <c r="S137" s="190">
        <v>0</v>
      </c>
      <c r="T137" s="190">
        <v>0</v>
      </c>
      <c r="U137" s="190">
        <v>0</v>
      </c>
      <c r="V137" s="190">
        <v>30</v>
      </c>
      <c r="W137" s="190">
        <v>11</v>
      </c>
      <c r="X137" s="190" t="s">
        <v>1814</v>
      </c>
      <c r="Y137" s="190">
        <v>2</v>
      </c>
      <c r="Z137" s="190" t="s">
        <v>1815</v>
      </c>
      <c r="AA137" s="190">
        <v>3</v>
      </c>
      <c r="AB137" s="190" t="s">
        <v>1816</v>
      </c>
      <c r="AC137" s="190"/>
      <c r="AD137" s="190"/>
      <c r="AE137" s="190">
        <f t="shared" si="30"/>
        <v>16</v>
      </c>
      <c r="AF137" s="74">
        <v>44300</v>
      </c>
      <c r="AG137" s="74">
        <v>44390</v>
      </c>
      <c r="AH137" s="74">
        <v>44482</v>
      </c>
      <c r="AI137" s="74"/>
      <c r="AJ137" s="75">
        <f t="shared" si="31"/>
        <v>0.53333333333333333</v>
      </c>
      <c r="AK137" s="75" t="str">
        <f t="shared" si="32"/>
        <v/>
      </c>
      <c r="AL137" s="75" t="str">
        <f t="shared" si="33"/>
        <v/>
      </c>
      <c r="AM137" s="75" t="str">
        <f t="shared" si="34"/>
        <v/>
      </c>
      <c r="AN137" s="75">
        <f t="shared" si="35"/>
        <v>0</v>
      </c>
      <c r="AO137" s="188" t="s">
        <v>739</v>
      </c>
      <c r="AP137" s="188" t="s">
        <v>739</v>
      </c>
      <c r="AQ137" s="188" t="s">
        <v>739</v>
      </c>
      <c r="AR137" s="188"/>
      <c r="AS137" s="188" t="s">
        <v>1817</v>
      </c>
      <c r="AT137" s="188" t="s">
        <v>1818</v>
      </c>
      <c r="AU137" s="188" t="s">
        <v>1819</v>
      </c>
      <c r="AV137" s="188"/>
      <c r="AW137" s="188" t="s">
        <v>828</v>
      </c>
      <c r="AX137" t="s">
        <v>739</v>
      </c>
      <c r="AY137" t="s">
        <v>739</v>
      </c>
      <c r="BA137" t="s">
        <v>1820</v>
      </c>
      <c r="BB137" t="s">
        <v>1821</v>
      </c>
      <c r="BC137" t="s">
        <v>1822</v>
      </c>
      <c r="BD137" s="143"/>
    </row>
    <row r="138" spans="1:56" ht="15" customHeight="1" x14ac:dyDescent="0.25">
      <c r="A138" s="188">
        <v>7</v>
      </c>
      <c r="B138" s="188" t="s">
        <v>502</v>
      </c>
      <c r="C138" s="188" t="s">
        <v>756</v>
      </c>
      <c r="D138" s="188" t="s">
        <v>727</v>
      </c>
      <c r="E138" s="188" t="s">
        <v>728</v>
      </c>
      <c r="F138" s="188" t="s">
        <v>757</v>
      </c>
      <c r="G138" s="188" t="s">
        <v>730</v>
      </c>
      <c r="H138" s="188" t="s">
        <v>731</v>
      </c>
      <c r="I138" t="s">
        <v>758</v>
      </c>
      <c r="J138" s="74">
        <v>44197</v>
      </c>
      <c r="K138" s="74">
        <v>44561</v>
      </c>
      <c r="L138" s="188" t="s">
        <v>733</v>
      </c>
      <c r="M138" s="188" t="str">
        <f t="shared" si="36"/>
        <v>Meta</v>
      </c>
      <c r="N138" s="188" t="s">
        <v>60</v>
      </c>
      <c r="O138" s="188" t="s">
        <v>759</v>
      </c>
      <c r="P138" s="188" t="s">
        <v>735</v>
      </c>
      <c r="Q138" s="75">
        <v>9.0909090909090912E-2</v>
      </c>
      <c r="R138" s="189">
        <v>1</v>
      </c>
      <c r="S138" s="189">
        <v>0.25</v>
      </c>
      <c r="T138" s="189">
        <v>0.25</v>
      </c>
      <c r="U138" s="189">
        <v>0.25</v>
      </c>
      <c r="V138" s="189">
        <v>0.25</v>
      </c>
      <c r="W138" s="189">
        <v>0.25</v>
      </c>
      <c r="X138" s="189" t="s">
        <v>1823</v>
      </c>
      <c r="Y138" s="189">
        <v>0.25</v>
      </c>
      <c r="Z138" s="189" t="s">
        <v>1824</v>
      </c>
      <c r="AA138" s="189">
        <v>0.25</v>
      </c>
      <c r="AB138" s="189" t="s">
        <v>1825</v>
      </c>
      <c r="AC138" s="189"/>
      <c r="AD138" s="189"/>
      <c r="AE138" s="189">
        <f t="shared" si="30"/>
        <v>0.75</v>
      </c>
      <c r="AF138" s="74">
        <v>44300</v>
      </c>
      <c r="AG138" s="74">
        <v>44392</v>
      </c>
      <c r="AH138" s="74">
        <v>44481</v>
      </c>
      <c r="AI138" s="74"/>
      <c r="AJ138" s="75">
        <f t="shared" si="31"/>
        <v>0.75</v>
      </c>
      <c r="AK138" s="75">
        <f t="shared" si="32"/>
        <v>1</v>
      </c>
      <c r="AL138" s="75">
        <f t="shared" si="33"/>
        <v>1</v>
      </c>
      <c r="AM138" s="75">
        <f t="shared" si="34"/>
        <v>1</v>
      </c>
      <c r="AN138" s="75">
        <f t="shared" si="35"/>
        <v>0</v>
      </c>
      <c r="AO138" s="188" t="s">
        <v>739</v>
      </c>
      <c r="AP138" s="188" t="s">
        <v>739</v>
      </c>
      <c r="AQ138" s="188" t="s">
        <v>739</v>
      </c>
      <c r="AR138" s="188"/>
      <c r="AS138" s="188" t="s">
        <v>1826</v>
      </c>
      <c r="AT138" s="188" t="s">
        <v>1827</v>
      </c>
      <c r="AU138" s="188" t="s">
        <v>939</v>
      </c>
      <c r="AV138" s="188"/>
      <c r="AW138" s="188" t="s">
        <v>739</v>
      </c>
      <c r="AX138" t="s">
        <v>739</v>
      </c>
      <c r="AY138" t="s">
        <v>739</v>
      </c>
      <c r="BA138" t="s">
        <v>1828</v>
      </c>
      <c r="BB138" t="s">
        <v>1829</v>
      </c>
      <c r="BC138" t="s">
        <v>1830</v>
      </c>
      <c r="BD138" s="143"/>
    </row>
    <row r="139" spans="1:56" ht="15" customHeight="1" x14ac:dyDescent="0.25">
      <c r="A139" s="188">
        <v>8</v>
      </c>
      <c r="B139" s="188" t="s">
        <v>502</v>
      </c>
      <c r="C139" s="188" t="s">
        <v>768</v>
      </c>
      <c r="D139" s="188" t="s">
        <v>727</v>
      </c>
      <c r="E139" s="188" t="s">
        <v>728</v>
      </c>
      <c r="F139" s="188" t="s">
        <v>757</v>
      </c>
      <c r="G139" s="188" t="s">
        <v>730</v>
      </c>
      <c r="H139" s="188" t="s">
        <v>731</v>
      </c>
      <c r="I139" t="s">
        <v>769</v>
      </c>
      <c r="J139" s="74">
        <v>44197</v>
      </c>
      <c r="K139" s="74">
        <v>44561</v>
      </c>
      <c r="L139" s="188" t="s">
        <v>733</v>
      </c>
      <c r="M139" s="188" t="str">
        <f t="shared" si="36"/>
        <v>Meta</v>
      </c>
      <c r="N139" s="188" t="s">
        <v>60</v>
      </c>
      <c r="O139" s="188" t="s">
        <v>759</v>
      </c>
      <c r="P139" s="188" t="s">
        <v>735</v>
      </c>
      <c r="Q139" s="75">
        <v>9.0909090909090912E-2</v>
      </c>
      <c r="R139" s="189">
        <v>1</v>
      </c>
      <c r="S139" s="189">
        <v>0.25</v>
      </c>
      <c r="T139" s="189">
        <v>0.25</v>
      </c>
      <c r="U139" s="189">
        <v>0.25</v>
      </c>
      <c r="V139" s="189">
        <v>0.25</v>
      </c>
      <c r="W139" s="189">
        <v>0.25</v>
      </c>
      <c r="X139" s="189" t="s">
        <v>1831</v>
      </c>
      <c r="Y139" s="189">
        <v>0.25</v>
      </c>
      <c r="Z139" s="189" t="s">
        <v>1832</v>
      </c>
      <c r="AA139" s="189">
        <v>0.25</v>
      </c>
      <c r="AB139" s="189" t="s">
        <v>1833</v>
      </c>
      <c r="AC139" s="189"/>
      <c r="AD139" s="189"/>
      <c r="AE139" s="189">
        <f t="shared" si="30"/>
        <v>0.75</v>
      </c>
      <c r="AF139" s="74">
        <v>44299</v>
      </c>
      <c r="AG139" s="74">
        <v>44391</v>
      </c>
      <c r="AH139" s="74">
        <v>44481</v>
      </c>
      <c r="AI139" s="74"/>
      <c r="AJ139" s="75">
        <f t="shared" si="31"/>
        <v>0.75</v>
      </c>
      <c r="AK139" s="75">
        <f t="shared" si="32"/>
        <v>1</v>
      </c>
      <c r="AL139" s="75">
        <f t="shared" si="33"/>
        <v>1</v>
      </c>
      <c r="AM139" s="75">
        <f t="shared" si="34"/>
        <v>1</v>
      </c>
      <c r="AN139" s="75">
        <f t="shared" si="35"/>
        <v>0</v>
      </c>
      <c r="AO139" s="188" t="s">
        <v>739</v>
      </c>
      <c r="AP139" s="188" t="s">
        <v>739</v>
      </c>
      <c r="AQ139" s="188" t="s">
        <v>739</v>
      </c>
      <c r="AR139" s="188"/>
      <c r="AS139" s="188" t="s">
        <v>1834</v>
      </c>
      <c r="AT139" s="188" t="s">
        <v>1835</v>
      </c>
      <c r="AU139" s="188" t="s">
        <v>1836</v>
      </c>
      <c r="AV139" s="188"/>
      <c r="AW139" s="188" t="s">
        <v>739</v>
      </c>
      <c r="AX139" t="s">
        <v>739</v>
      </c>
      <c r="AY139" t="s">
        <v>739</v>
      </c>
      <c r="BA139" t="s">
        <v>1837</v>
      </c>
      <c r="BB139" t="s">
        <v>1838</v>
      </c>
      <c r="BC139" t="s">
        <v>1839</v>
      </c>
      <c r="BD139" s="143"/>
    </row>
    <row r="140" spans="1:56" ht="15" customHeight="1" x14ac:dyDescent="0.25">
      <c r="A140" s="188">
        <v>9</v>
      </c>
      <c r="B140" s="188" t="s">
        <v>502</v>
      </c>
      <c r="C140" s="188" t="s">
        <v>777</v>
      </c>
      <c r="D140" s="188" t="s">
        <v>778</v>
      </c>
      <c r="E140" s="188" t="s">
        <v>779</v>
      </c>
      <c r="F140" s="188" t="s">
        <v>780</v>
      </c>
      <c r="G140" s="188" t="s">
        <v>730</v>
      </c>
      <c r="H140" s="188" t="s">
        <v>781</v>
      </c>
      <c r="I140" t="s">
        <v>782</v>
      </c>
      <c r="J140" s="74">
        <v>44197</v>
      </c>
      <c r="K140" s="74">
        <v>44561</v>
      </c>
      <c r="L140" s="188" t="s">
        <v>733</v>
      </c>
      <c r="M140" s="188" t="str">
        <f t="shared" si="36"/>
        <v>Meta</v>
      </c>
      <c r="N140" s="188" t="s">
        <v>60</v>
      </c>
      <c r="O140" s="188" t="s">
        <v>759</v>
      </c>
      <c r="P140" s="188" t="s">
        <v>735</v>
      </c>
      <c r="Q140" s="75">
        <v>9.0909090909090912E-2</v>
      </c>
      <c r="R140" s="189">
        <v>1</v>
      </c>
      <c r="S140" s="189">
        <v>0.25</v>
      </c>
      <c r="T140" s="189">
        <v>0.25</v>
      </c>
      <c r="U140" s="189">
        <v>0.25</v>
      </c>
      <c r="V140" s="189">
        <v>0.25</v>
      </c>
      <c r="W140" s="189">
        <v>0.25</v>
      </c>
      <c r="X140" s="189" t="s">
        <v>1840</v>
      </c>
      <c r="Y140" s="189">
        <v>0.25</v>
      </c>
      <c r="Z140" s="189" t="s">
        <v>1841</v>
      </c>
      <c r="AA140" s="189">
        <v>0.25</v>
      </c>
      <c r="AB140" s="189" t="s">
        <v>1842</v>
      </c>
      <c r="AC140" s="189"/>
      <c r="AD140" s="189"/>
      <c r="AE140" s="189">
        <f t="shared" si="30"/>
        <v>0.75</v>
      </c>
      <c r="AF140" s="74">
        <v>44300</v>
      </c>
      <c r="AG140" s="74">
        <v>44392</v>
      </c>
      <c r="AH140" s="74">
        <v>44483</v>
      </c>
      <c r="AI140" s="74"/>
      <c r="AJ140" s="75">
        <f t="shared" si="31"/>
        <v>0.75</v>
      </c>
      <c r="AK140" s="75">
        <f t="shared" si="32"/>
        <v>1</v>
      </c>
      <c r="AL140" s="75">
        <f t="shared" si="33"/>
        <v>1</v>
      </c>
      <c r="AM140" s="75">
        <f t="shared" si="34"/>
        <v>1</v>
      </c>
      <c r="AN140" s="75">
        <f t="shared" si="35"/>
        <v>0</v>
      </c>
      <c r="AO140" s="188" t="s">
        <v>739</v>
      </c>
      <c r="AP140" s="188" t="s">
        <v>739</v>
      </c>
      <c r="AQ140" s="188" t="s">
        <v>739</v>
      </c>
      <c r="AR140" s="188"/>
      <c r="AS140" s="188" t="s">
        <v>1843</v>
      </c>
      <c r="AT140" s="188" t="s">
        <v>1844</v>
      </c>
      <c r="AU140" s="188" t="s">
        <v>1836</v>
      </c>
      <c r="AV140" s="188"/>
      <c r="AW140" s="188" t="s">
        <v>739</v>
      </c>
      <c r="AX140" t="s">
        <v>828</v>
      </c>
      <c r="AY140" t="s">
        <v>828</v>
      </c>
      <c r="BA140" t="s">
        <v>1845</v>
      </c>
      <c r="BB140" t="s">
        <v>1846</v>
      </c>
      <c r="BC140" t="s">
        <v>1846</v>
      </c>
      <c r="BD140" s="143"/>
    </row>
    <row r="141" spans="1:56" ht="15" customHeight="1" x14ac:dyDescent="0.25">
      <c r="A141" s="188">
        <v>10</v>
      </c>
      <c r="B141" s="188" t="s">
        <v>502</v>
      </c>
      <c r="C141" s="188" t="s">
        <v>790</v>
      </c>
      <c r="D141" s="188" t="s">
        <v>791</v>
      </c>
      <c r="E141" s="188" t="s">
        <v>792</v>
      </c>
      <c r="F141" s="188" t="s">
        <v>793</v>
      </c>
      <c r="G141" s="188" t="s">
        <v>794</v>
      </c>
      <c r="H141" s="188" t="s">
        <v>794</v>
      </c>
      <c r="I141" t="s">
        <v>795</v>
      </c>
      <c r="J141" s="74">
        <v>44197</v>
      </c>
      <c r="K141" s="74">
        <v>44561</v>
      </c>
      <c r="L141" s="188" t="s">
        <v>733</v>
      </c>
      <c r="M141" s="188" t="str">
        <f t="shared" si="36"/>
        <v>Meta</v>
      </c>
      <c r="N141" s="188" t="s">
        <v>60</v>
      </c>
      <c r="O141" s="188" t="s">
        <v>796</v>
      </c>
      <c r="P141" s="188" t="s">
        <v>735</v>
      </c>
      <c r="Q141" s="75">
        <v>9.0909090909090912E-2</v>
      </c>
      <c r="R141" s="189">
        <v>1</v>
      </c>
      <c r="S141" s="189">
        <v>0.25</v>
      </c>
      <c r="T141" s="189">
        <v>0.25</v>
      </c>
      <c r="U141" s="189">
        <v>0.25</v>
      </c>
      <c r="V141" s="189">
        <v>0.25</v>
      </c>
      <c r="W141" s="189">
        <v>0.25</v>
      </c>
      <c r="X141" s="189" t="s">
        <v>1847</v>
      </c>
      <c r="Y141" s="189">
        <v>0.25</v>
      </c>
      <c r="Z141" s="189" t="s">
        <v>1848</v>
      </c>
      <c r="AA141" s="189">
        <v>0.25</v>
      </c>
      <c r="AB141" s="189" t="s">
        <v>1849</v>
      </c>
      <c r="AC141" s="189"/>
      <c r="AD141" s="189"/>
      <c r="AE141" s="189">
        <f t="shared" si="30"/>
        <v>0.75</v>
      </c>
      <c r="AF141" s="74">
        <v>44298</v>
      </c>
      <c r="AG141" s="74">
        <v>44390</v>
      </c>
      <c r="AH141" s="74">
        <v>44482</v>
      </c>
      <c r="AI141" s="74"/>
      <c r="AJ141" s="75">
        <f t="shared" si="31"/>
        <v>0.75</v>
      </c>
      <c r="AK141" s="75">
        <f t="shared" si="32"/>
        <v>1</v>
      </c>
      <c r="AL141" s="75">
        <f t="shared" si="33"/>
        <v>1</v>
      </c>
      <c r="AM141" s="75">
        <f t="shared" si="34"/>
        <v>1</v>
      </c>
      <c r="AN141" s="75">
        <f t="shared" si="35"/>
        <v>0</v>
      </c>
      <c r="AO141" s="188" t="s">
        <v>739</v>
      </c>
      <c r="AP141" s="188" t="s">
        <v>739</v>
      </c>
      <c r="AQ141" s="188" t="s">
        <v>739</v>
      </c>
      <c r="AR141" s="188"/>
      <c r="AS141" s="188" t="s">
        <v>1850</v>
      </c>
      <c r="AT141" s="188" t="s">
        <v>1851</v>
      </c>
      <c r="AU141" s="188" t="s">
        <v>1852</v>
      </c>
      <c r="AV141" s="188"/>
      <c r="AW141" s="188" t="s">
        <v>739</v>
      </c>
      <c r="AX141" t="s">
        <v>739</v>
      </c>
      <c r="AY141" t="s">
        <v>739</v>
      </c>
      <c r="BA141" t="s">
        <v>1685</v>
      </c>
      <c r="BB141" t="s">
        <v>1853</v>
      </c>
      <c r="BC141" t="s">
        <v>1854</v>
      </c>
      <c r="BD141" s="143"/>
    </row>
    <row r="142" spans="1:56" ht="15" customHeight="1" x14ac:dyDescent="0.25">
      <c r="A142" s="188">
        <v>11</v>
      </c>
      <c r="B142" s="188" t="s">
        <v>502</v>
      </c>
      <c r="C142" s="188" t="s">
        <v>790</v>
      </c>
      <c r="D142" s="188" t="s">
        <v>791</v>
      </c>
      <c r="E142" s="188" t="s">
        <v>792</v>
      </c>
      <c r="F142" s="188" t="s">
        <v>793</v>
      </c>
      <c r="G142" s="188" t="s">
        <v>794</v>
      </c>
      <c r="H142" s="188" t="s">
        <v>794</v>
      </c>
      <c r="I142" s="188" t="s">
        <v>805</v>
      </c>
      <c r="J142" s="74">
        <v>44197</v>
      </c>
      <c r="K142" s="74">
        <v>44561</v>
      </c>
      <c r="L142" s="188" t="s">
        <v>733</v>
      </c>
      <c r="M142" s="188" t="str">
        <f t="shared" si="36"/>
        <v>Meta</v>
      </c>
      <c r="N142" s="188" t="s">
        <v>60</v>
      </c>
      <c r="O142" s="188" t="s">
        <v>806</v>
      </c>
      <c r="P142" s="188" t="s">
        <v>735</v>
      </c>
      <c r="Q142" s="75">
        <v>9.0909090909090912E-2</v>
      </c>
      <c r="R142" s="189">
        <v>1</v>
      </c>
      <c r="S142" s="189">
        <v>0.25</v>
      </c>
      <c r="T142" s="189">
        <v>0.25</v>
      </c>
      <c r="U142" s="189">
        <v>0.25</v>
      </c>
      <c r="V142" s="189">
        <v>0.25</v>
      </c>
      <c r="W142" s="189">
        <v>0.25</v>
      </c>
      <c r="X142" s="189" t="s">
        <v>1855</v>
      </c>
      <c r="Y142" s="189">
        <v>0.25</v>
      </c>
      <c r="Z142" s="189" t="s">
        <v>1856</v>
      </c>
      <c r="AA142" s="189">
        <v>0.25</v>
      </c>
      <c r="AB142" s="189" t="s">
        <v>1857</v>
      </c>
      <c r="AC142" s="189"/>
      <c r="AD142" s="189"/>
      <c r="AE142" s="189">
        <f t="shared" si="30"/>
        <v>0.75</v>
      </c>
      <c r="AF142" s="74">
        <v>44299</v>
      </c>
      <c r="AG142" s="74">
        <v>44392</v>
      </c>
      <c r="AH142" s="74">
        <v>44482</v>
      </c>
      <c r="AI142" s="74"/>
      <c r="AJ142" s="75">
        <f t="shared" si="31"/>
        <v>0.75</v>
      </c>
      <c r="AK142" s="75">
        <f t="shared" si="32"/>
        <v>1</v>
      </c>
      <c r="AL142" s="75">
        <f t="shared" si="33"/>
        <v>1</v>
      </c>
      <c r="AM142" s="75">
        <f t="shared" si="34"/>
        <v>1</v>
      </c>
      <c r="AN142" s="75">
        <f t="shared" si="35"/>
        <v>0</v>
      </c>
      <c r="AO142" s="188" t="s">
        <v>739</v>
      </c>
      <c r="AP142" s="188" t="s">
        <v>739</v>
      </c>
      <c r="AQ142" s="188" t="s">
        <v>739</v>
      </c>
      <c r="AR142" s="188"/>
      <c r="AS142" s="188" t="s">
        <v>1858</v>
      </c>
      <c r="AT142" s="188" t="s">
        <v>1859</v>
      </c>
      <c r="AU142" s="188" t="s">
        <v>1860</v>
      </c>
      <c r="AV142" s="188"/>
      <c r="AW142" s="188" t="s">
        <v>739</v>
      </c>
      <c r="AX142" t="s">
        <v>739</v>
      </c>
      <c r="AY142" t="s">
        <v>739</v>
      </c>
      <c r="BA142" t="s">
        <v>1861</v>
      </c>
      <c r="BB142" t="s">
        <v>1862</v>
      </c>
      <c r="BC142" t="s">
        <v>1863</v>
      </c>
      <c r="BD142" s="143"/>
    </row>
    <row r="143" spans="1:56" ht="15" customHeight="1" x14ac:dyDescent="0.25">
      <c r="A143" s="188">
        <v>13</v>
      </c>
      <c r="B143" s="188" t="s">
        <v>502</v>
      </c>
      <c r="C143" s="188" t="s">
        <v>814</v>
      </c>
      <c r="D143" s="188" t="s">
        <v>727</v>
      </c>
      <c r="E143" s="188" t="s">
        <v>815</v>
      </c>
      <c r="F143" s="188" t="s">
        <v>816</v>
      </c>
      <c r="G143" s="188" t="s">
        <v>817</v>
      </c>
      <c r="H143" s="188" t="s">
        <v>818</v>
      </c>
      <c r="I143" t="s">
        <v>819</v>
      </c>
      <c r="J143" s="74">
        <v>44197</v>
      </c>
      <c r="K143" s="74">
        <v>44561</v>
      </c>
      <c r="L143" s="188" t="s">
        <v>733</v>
      </c>
      <c r="M143" s="188" t="str">
        <f t="shared" si="36"/>
        <v>Meta</v>
      </c>
      <c r="N143" s="188" t="s">
        <v>30</v>
      </c>
      <c r="O143" s="188" t="s">
        <v>820</v>
      </c>
      <c r="P143" s="188" t="s">
        <v>821</v>
      </c>
      <c r="Q143" s="75">
        <v>9.0909090909090912E-2</v>
      </c>
      <c r="R143" s="190">
        <f>SUM(S143:V143)</f>
        <v>537998450.13475347</v>
      </c>
      <c r="S143" s="190">
        <v>106230054.5904108</v>
      </c>
      <c r="T143" s="190">
        <v>137709215.07120705</v>
      </c>
      <c r="U143" s="190">
        <v>140204317.96630073</v>
      </c>
      <c r="V143" s="190">
        <v>153854862.50683486</v>
      </c>
      <c r="W143" s="190">
        <v>20317114</v>
      </c>
      <c r="X143" s="190" t="s">
        <v>1864</v>
      </c>
      <c r="Y143" s="190">
        <v>447444570</v>
      </c>
      <c r="Z143" s="190" t="s">
        <v>1865</v>
      </c>
      <c r="AA143" s="190">
        <v>25180149</v>
      </c>
      <c r="AB143" s="190" t="s">
        <v>1866</v>
      </c>
      <c r="AC143" s="190"/>
      <c r="AD143" s="190"/>
      <c r="AE143" s="190">
        <f t="shared" si="30"/>
        <v>492941833</v>
      </c>
      <c r="AF143" s="60">
        <v>44298</v>
      </c>
      <c r="AG143" s="60">
        <v>44390</v>
      </c>
      <c r="AH143" s="60">
        <v>44481</v>
      </c>
      <c r="AI143" s="60"/>
      <c r="AJ143" s="75">
        <f t="shared" si="31"/>
        <v>0.91625139975130399</v>
      </c>
      <c r="AK143" s="75">
        <f t="shared" si="32"/>
        <v>0.19125579929650144</v>
      </c>
      <c r="AL143" s="75">
        <f t="shared" si="33"/>
        <v>1</v>
      </c>
      <c r="AM143" s="75">
        <f t="shared" si="34"/>
        <v>0.17959610206906937</v>
      </c>
      <c r="AN143" s="75">
        <f t="shared" si="35"/>
        <v>0</v>
      </c>
      <c r="AO143" s="188" t="s">
        <v>739</v>
      </c>
      <c r="AP143" s="188" t="s">
        <v>739</v>
      </c>
      <c r="AQ143" s="188" t="s">
        <v>739</v>
      </c>
      <c r="AR143" s="188"/>
      <c r="AS143" s="188" t="s">
        <v>1867</v>
      </c>
      <c r="AT143" s="188" t="s">
        <v>1868</v>
      </c>
      <c r="AU143" s="188" t="s">
        <v>1869</v>
      </c>
      <c r="AV143" s="188"/>
      <c r="AW143" s="188" t="s">
        <v>739</v>
      </c>
      <c r="AX143" t="s">
        <v>828</v>
      </c>
      <c r="AY143" t="s">
        <v>739</v>
      </c>
      <c r="BA143" t="s">
        <v>1698</v>
      </c>
      <c r="BB143" t="s">
        <v>1870</v>
      </c>
      <c r="BC143" t="s">
        <v>1871</v>
      </c>
      <c r="BD143" s="143"/>
    </row>
    <row r="144" spans="1:56" ht="15" customHeight="1" x14ac:dyDescent="0.25">
      <c r="A144" s="188">
        <v>14</v>
      </c>
      <c r="B144" s="188" t="s">
        <v>502</v>
      </c>
      <c r="C144" s="188" t="s">
        <v>814</v>
      </c>
      <c r="D144" s="188" t="s">
        <v>727</v>
      </c>
      <c r="E144" s="188" t="s">
        <v>815</v>
      </c>
      <c r="F144" s="188" t="s">
        <v>816</v>
      </c>
      <c r="G144" s="188" t="s">
        <v>817</v>
      </c>
      <c r="H144" s="188" t="s">
        <v>818</v>
      </c>
      <c r="I144" t="s">
        <v>1480</v>
      </c>
      <c r="J144" s="74">
        <v>44197</v>
      </c>
      <c r="K144" s="74">
        <v>44561</v>
      </c>
      <c r="L144" s="188" t="s">
        <v>733</v>
      </c>
      <c r="M144" s="188" t="str">
        <f t="shared" si="36"/>
        <v>Meta</v>
      </c>
      <c r="N144" s="188" t="s">
        <v>60</v>
      </c>
      <c r="O144" s="188" t="s">
        <v>924</v>
      </c>
      <c r="P144" s="188" t="s">
        <v>821</v>
      </c>
      <c r="Q144" s="75">
        <v>9.0909090909090912E-2</v>
      </c>
      <c r="R144" s="189">
        <v>1</v>
      </c>
      <c r="S144" s="189">
        <v>0.25</v>
      </c>
      <c r="T144" s="189">
        <v>0.25</v>
      </c>
      <c r="U144" s="189">
        <v>0.25</v>
      </c>
      <c r="V144" s="189">
        <v>0.25</v>
      </c>
      <c r="W144" s="189">
        <v>0</v>
      </c>
      <c r="X144" s="189" t="s">
        <v>1872</v>
      </c>
      <c r="Y144" s="189">
        <v>0</v>
      </c>
      <c r="Z144" s="189" t="s">
        <v>1873</v>
      </c>
      <c r="AA144" s="189">
        <v>0</v>
      </c>
      <c r="AB144" s="189" t="s">
        <v>1873</v>
      </c>
      <c r="AC144" s="189"/>
      <c r="AD144" s="189"/>
      <c r="AE144" s="189">
        <f t="shared" si="30"/>
        <v>0</v>
      </c>
      <c r="AF144" s="60">
        <v>44300</v>
      </c>
      <c r="AG144" s="60">
        <v>44390</v>
      </c>
      <c r="AH144" s="60">
        <v>44481</v>
      </c>
      <c r="AI144" s="60"/>
      <c r="AJ144" s="75">
        <f t="shared" si="31"/>
        <v>0</v>
      </c>
      <c r="AK144" s="75">
        <f t="shared" si="32"/>
        <v>0</v>
      </c>
      <c r="AL144" s="75">
        <f t="shared" si="33"/>
        <v>0</v>
      </c>
      <c r="AM144" s="75">
        <f t="shared" si="34"/>
        <v>0</v>
      </c>
      <c r="AN144" s="75">
        <f t="shared" si="35"/>
        <v>0</v>
      </c>
      <c r="AO144" s="188" t="s">
        <v>838</v>
      </c>
      <c r="AP144" s="188" t="s">
        <v>838</v>
      </c>
      <c r="AQ144" s="188" t="s">
        <v>838</v>
      </c>
      <c r="AR144" s="188"/>
      <c r="AS144" s="188" t="s">
        <v>1874</v>
      </c>
      <c r="AT144" s="188" t="s">
        <v>1875</v>
      </c>
      <c r="AU144" s="188" t="s">
        <v>838</v>
      </c>
      <c r="AV144" s="188"/>
      <c r="AW144" s="188" t="s">
        <v>828</v>
      </c>
      <c r="AX144" t="s">
        <v>838</v>
      </c>
      <c r="AY144" t="s">
        <v>739</v>
      </c>
      <c r="BA144" t="s">
        <v>1876</v>
      </c>
      <c r="BB144" t="s">
        <v>1877</v>
      </c>
      <c r="BC144" t="s">
        <v>1878</v>
      </c>
      <c r="BD144" s="143"/>
    </row>
    <row r="145" spans="1:56" ht="15" customHeight="1" x14ac:dyDescent="0.25">
      <c r="A145" s="188">
        <v>1</v>
      </c>
      <c r="B145" s="188" t="s">
        <v>503</v>
      </c>
      <c r="C145" s="188" t="s">
        <v>726</v>
      </c>
      <c r="D145" s="188" t="s">
        <v>727</v>
      </c>
      <c r="E145" s="188" t="s">
        <v>728</v>
      </c>
      <c r="F145" s="188" t="s">
        <v>729</v>
      </c>
      <c r="G145" s="188" t="s">
        <v>730</v>
      </c>
      <c r="H145" s="188" t="s">
        <v>731</v>
      </c>
      <c r="I145" s="188" t="s">
        <v>732</v>
      </c>
      <c r="J145" s="74">
        <v>44197</v>
      </c>
      <c r="K145" s="74">
        <v>44561</v>
      </c>
      <c r="L145" s="188" t="s">
        <v>733</v>
      </c>
      <c r="M145" s="188" t="str">
        <f>B145</f>
        <v>Nariño</v>
      </c>
      <c r="N145" s="188" t="s">
        <v>30</v>
      </c>
      <c r="O145" s="188" t="s">
        <v>734</v>
      </c>
      <c r="P145" s="188" t="s">
        <v>735</v>
      </c>
      <c r="Q145" s="75">
        <v>0.1</v>
      </c>
      <c r="R145" s="190">
        <v>19194</v>
      </c>
      <c r="S145" s="190">
        <v>0</v>
      </c>
      <c r="T145" s="190">
        <v>0</v>
      </c>
      <c r="U145" s="190">
        <v>0</v>
      </c>
      <c r="V145" s="190">
        <v>19194</v>
      </c>
      <c r="W145" s="190">
        <v>4974</v>
      </c>
      <c r="X145" s="190" t="s">
        <v>1879</v>
      </c>
      <c r="Y145" s="190">
        <v>5872</v>
      </c>
      <c r="Z145" s="190" t="s">
        <v>1880</v>
      </c>
      <c r="AA145" s="190">
        <v>3198</v>
      </c>
      <c r="AB145" s="190" t="s">
        <v>1881</v>
      </c>
      <c r="AC145" s="190"/>
      <c r="AD145" s="190"/>
      <c r="AE145" s="190">
        <f t="shared" si="30"/>
        <v>14044</v>
      </c>
      <c r="AF145" s="74">
        <v>44300</v>
      </c>
      <c r="AG145" s="74">
        <v>44391</v>
      </c>
      <c r="AH145" s="74">
        <v>44480</v>
      </c>
      <c r="AI145" s="74"/>
      <c r="AJ145" s="75">
        <f t="shared" si="31"/>
        <v>0.73168698551630718</v>
      </c>
      <c r="AK145" s="75" t="str">
        <f t="shared" si="32"/>
        <v/>
      </c>
      <c r="AL145" s="75" t="str">
        <f t="shared" si="33"/>
        <v/>
      </c>
      <c r="AM145" s="75" t="str">
        <f t="shared" si="34"/>
        <v/>
      </c>
      <c r="AN145" s="75">
        <f t="shared" si="35"/>
        <v>0</v>
      </c>
      <c r="AO145" s="188" t="s">
        <v>739</v>
      </c>
      <c r="AP145" s="188" t="s">
        <v>739</v>
      </c>
      <c r="AQ145" s="188" t="s">
        <v>739</v>
      </c>
      <c r="AR145" s="188"/>
      <c r="AS145" s="188" t="s">
        <v>1654</v>
      </c>
      <c r="AT145" s="188" t="s">
        <v>1882</v>
      </c>
      <c r="AU145" s="188" t="s">
        <v>1883</v>
      </c>
      <c r="AV145" s="188"/>
      <c r="AW145" s="188" t="s">
        <v>739</v>
      </c>
      <c r="AX145" s="188" t="s">
        <v>739</v>
      </c>
      <c r="AY145" s="188" t="s">
        <v>739</v>
      </c>
      <c r="AZ145" s="188"/>
      <c r="BA145" s="188" t="s">
        <v>1884</v>
      </c>
      <c r="BB145" s="188" t="s">
        <v>1885</v>
      </c>
      <c r="BC145" s="188" t="s">
        <v>1886</v>
      </c>
      <c r="BD145" s="143"/>
    </row>
    <row r="146" spans="1:56" ht="15" customHeight="1" x14ac:dyDescent="0.25">
      <c r="A146" s="188">
        <v>3</v>
      </c>
      <c r="B146" s="188" t="s">
        <v>503</v>
      </c>
      <c r="C146" s="188" t="s">
        <v>726</v>
      </c>
      <c r="D146" s="188" t="s">
        <v>727</v>
      </c>
      <c r="E146" s="188" t="s">
        <v>728</v>
      </c>
      <c r="F146" s="188" t="s">
        <v>729</v>
      </c>
      <c r="G146" s="188" t="s">
        <v>730</v>
      </c>
      <c r="H146" s="188" t="s">
        <v>731</v>
      </c>
      <c r="I146" s="188" t="s">
        <v>746</v>
      </c>
      <c r="J146" s="74">
        <v>44197</v>
      </c>
      <c r="K146" s="74">
        <v>44561</v>
      </c>
      <c r="L146" s="188" t="s">
        <v>733</v>
      </c>
      <c r="M146" s="188" t="str">
        <f t="shared" ref="M146:M154" si="37">B146</f>
        <v>Nariño</v>
      </c>
      <c r="N146" s="188" t="s">
        <v>30</v>
      </c>
      <c r="O146" s="188" t="s">
        <v>747</v>
      </c>
      <c r="P146" s="188" t="s">
        <v>735</v>
      </c>
      <c r="Q146" s="75">
        <v>0.1</v>
      </c>
      <c r="R146" s="190">
        <v>9431</v>
      </c>
      <c r="S146" s="190">
        <v>0</v>
      </c>
      <c r="T146" s="190">
        <v>0</v>
      </c>
      <c r="U146" s="190">
        <v>0</v>
      </c>
      <c r="V146" s="190">
        <v>9431</v>
      </c>
      <c r="W146" s="190">
        <v>1143</v>
      </c>
      <c r="X146" s="190" t="s">
        <v>1887</v>
      </c>
      <c r="Y146" s="190">
        <v>2253</v>
      </c>
      <c r="Z146" s="190" t="s">
        <v>1888</v>
      </c>
      <c r="AA146" s="190">
        <v>1195</v>
      </c>
      <c r="AB146" s="190" t="s">
        <v>1889</v>
      </c>
      <c r="AC146" s="190"/>
      <c r="AD146" s="190"/>
      <c r="AE146" s="190">
        <f t="shared" si="30"/>
        <v>4591</v>
      </c>
      <c r="AF146" s="74">
        <v>44300</v>
      </c>
      <c r="AG146" s="74">
        <v>44390</v>
      </c>
      <c r="AH146" s="74">
        <v>44480</v>
      </c>
      <c r="AI146" s="74"/>
      <c r="AJ146" s="75">
        <f t="shared" si="31"/>
        <v>0.4867988548404199</v>
      </c>
      <c r="AK146" s="75" t="str">
        <f t="shared" si="32"/>
        <v/>
      </c>
      <c r="AL146" s="75" t="str">
        <f t="shared" si="33"/>
        <v/>
      </c>
      <c r="AM146" s="75" t="str">
        <f t="shared" si="34"/>
        <v/>
      </c>
      <c r="AN146" s="75">
        <f t="shared" si="35"/>
        <v>0</v>
      </c>
      <c r="AO146" s="188" t="s">
        <v>739</v>
      </c>
      <c r="AP146" s="188" t="s">
        <v>739</v>
      </c>
      <c r="AQ146" s="188" t="s">
        <v>739</v>
      </c>
      <c r="AR146" s="188"/>
      <c r="AS146" s="188" t="s">
        <v>1654</v>
      </c>
      <c r="AT146" s="188" t="s">
        <v>1882</v>
      </c>
      <c r="AU146" s="188" t="s">
        <v>1890</v>
      </c>
      <c r="AV146" s="188"/>
      <c r="AW146" s="188" t="s">
        <v>739</v>
      </c>
      <c r="AX146" t="s">
        <v>739</v>
      </c>
      <c r="AY146" t="s">
        <v>739</v>
      </c>
      <c r="BA146" t="s">
        <v>1891</v>
      </c>
      <c r="BB146" t="s">
        <v>1892</v>
      </c>
      <c r="BC146" t="s">
        <v>1893</v>
      </c>
      <c r="BD146" s="143"/>
    </row>
    <row r="147" spans="1:56" ht="15" customHeight="1" x14ac:dyDescent="0.25">
      <c r="A147" s="188">
        <v>5</v>
      </c>
      <c r="B147" s="188" t="s">
        <v>503</v>
      </c>
      <c r="C147" s="188" t="s">
        <v>964</v>
      </c>
      <c r="D147" s="188" t="s">
        <v>727</v>
      </c>
      <c r="E147" s="188" t="s">
        <v>815</v>
      </c>
      <c r="F147" s="188" t="s">
        <v>965</v>
      </c>
      <c r="G147" s="188" t="s">
        <v>730</v>
      </c>
      <c r="H147" s="188" t="s">
        <v>731</v>
      </c>
      <c r="I147" t="s">
        <v>966</v>
      </c>
      <c r="J147" s="74">
        <v>44197</v>
      </c>
      <c r="K147" s="74">
        <v>44561</v>
      </c>
      <c r="L147" s="188" t="s">
        <v>733</v>
      </c>
      <c r="M147" s="188" t="str">
        <f t="shared" si="37"/>
        <v>Nariño</v>
      </c>
      <c r="N147" s="188" t="s">
        <v>30</v>
      </c>
      <c r="O147" s="188" t="s">
        <v>967</v>
      </c>
      <c r="P147" s="188" t="s">
        <v>735</v>
      </c>
      <c r="Q147" s="75">
        <v>0.1</v>
      </c>
      <c r="R147" s="190">
        <v>60</v>
      </c>
      <c r="S147" s="190">
        <v>0</v>
      </c>
      <c r="T147" s="190">
        <v>0</v>
      </c>
      <c r="U147" s="190">
        <v>0</v>
      </c>
      <c r="V147" s="190">
        <v>60</v>
      </c>
      <c r="W147" s="190">
        <v>0</v>
      </c>
      <c r="X147" s="190" t="s">
        <v>1894</v>
      </c>
      <c r="Y147" s="190">
        <v>3</v>
      </c>
      <c r="Z147" s="190" t="s">
        <v>1895</v>
      </c>
      <c r="AA147" s="190">
        <v>20</v>
      </c>
      <c r="AB147" s="190" t="s">
        <v>1896</v>
      </c>
      <c r="AC147" s="190"/>
      <c r="AD147" s="190"/>
      <c r="AE147" s="190">
        <f t="shared" si="30"/>
        <v>23</v>
      </c>
      <c r="AF147" s="74">
        <v>44300</v>
      </c>
      <c r="AG147" s="74">
        <v>44390</v>
      </c>
      <c r="AH147" s="74">
        <v>44480</v>
      </c>
      <c r="AI147" s="74"/>
      <c r="AJ147" s="75">
        <f t="shared" si="31"/>
        <v>0.38333333333333336</v>
      </c>
      <c r="AK147" s="75" t="str">
        <f t="shared" si="32"/>
        <v/>
      </c>
      <c r="AL147" s="75" t="str">
        <f t="shared" si="33"/>
        <v/>
      </c>
      <c r="AM147" s="75" t="str">
        <f t="shared" si="34"/>
        <v/>
      </c>
      <c r="AN147" s="75">
        <f t="shared" si="35"/>
        <v>0</v>
      </c>
      <c r="AO147" s="188" t="s">
        <v>739</v>
      </c>
      <c r="AP147" s="188" t="s">
        <v>739</v>
      </c>
      <c r="AQ147" s="188" t="s">
        <v>739</v>
      </c>
      <c r="AR147" s="188"/>
      <c r="AS147" s="188" t="s">
        <v>1654</v>
      </c>
      <c r="AT147" s="188" t="s">
        <v>1882</v>
      </c>
      <c r="AU147" s="188" t="s">
        <v>1897</v>
      </c>
      <c r="AV147" s="188"/>
      <c r="AW147" s="188" t="s">
        <v>838</v>
      </c>
      <c r="AX147" t="s">
        <v>739</v>
      </c>
      <c r="AY147" t="s">
        <v>739</v>
      </c>
      <c r="BA147" t="s">
        <v>1898</v>
      </c>
      <c r="BB147" t="s">
        <v>1899</v>
      </c>
      <c r="BC147" t="s">
        <v>1900</v>
      </c>
      <c r="BD147" s="143"/>
    </row>
    <row r="148" spans="1:56" ht="15" customHeight="1" x14ac:dyDescent="0.25">
      <c r="A148" s="188">
        <v>6</v>
      </c>
      <c r="B148" s="188" t="s">
        <v>503</v>
      </c>
      <c r="C148" s="188" t="s">
        <v>756</v>
      </c>
      <c r="D148" s="188" t="s">
        <v>727</v>
      </c>
      <c r="E148" s="188" t="s">
        <v>728</v>
      </c>
      <c r="F148" s="188" t="s">
        <v>757</v>
      </c>
      <c r="G148" s="188" t="s">
        <v>730</v>
      </c>
      <c r="H148" s="188" t="s">
        <v>731</v>
      </c>
      <c r="I148" t="s">
        <v>758</v>
      </c>
      <c r="J148" s="74">
        <v>44197</v>
      </c>
      <c r="K148" s="74">
        <v>44561</v>
      </c>
      <c r="L148" s="188" t="s">
        <v>733</v>
      </c>
      <c r="M148" s="188" t="str">
        <f t="shared" si="37"/>
        <v>Nariño</v>
      </c>
      <c r="N148" s="188" t="s">
        <v>60</v>
      </c>
      <c r="O148" s="188" t="s">
        <v>759</v>
      </c>
      <c r="P148" s="188" t="s">
        <v>735</v>
      </c>
      <c r="Q148" s="75">
        <v>0.1</v>
      </c>
      <c r="R148" s="189">
        <v>1</v>
      </c>
      <c r="S148" s="189">
        <v>0.25</v>
      </c>
      <c r="T148" s="189">
        <v>0.25</v>
      </c>
      <c r="U148" s="189">
        <v>0.25</v>
      </c>
      <c r="V148" s="189">
        <v>0.25</v>
      </c>
      <c r="W148" s="189">
        <v>0.25</v>
      </c>
      <c r="X148" s="189" t="s">
        <v>1901</v>
      </c>
      <c r="Y148" s="189">
        <v>0.25</v>
      </c>
      <c r="Z148" s="189" t="s">
        <v>1902</v>
      </c>
      <c r="AA148" s="189">
        <v>0.25</v>
      </c>
      <c r="AB148" s="189" t="s">
        <v>1903</v>
      </c>
      <c r="AC148" s="189"/>
      <c r="AD148" s="189"/>
      <c r="AE148" s="189">
        <f t="shared" si="30"/>
        <v>0.75</v>
      </c>
      <c r="AF148" s="74">
        <v>44300</v>
      </c>
      <c r="AG148" s="74">
        <v>44390</v>
      </c>
      <c r="AH148" s="74">
        <v>44480</v>
      </c>
      <c r="AI148" s="74"/>
      <c r="AJ148" s="75">
        <f t="shared" si="31"/>
        <v>0.75</v>
      </c>
      <c r="AK148" s="75">
        <f t="shared" si="32"/>
        <v>1</v>
      </c>
      <c r="AL148" s="75">
        <f t="shared" si="33"/>
        <v>1</v>
      </c>
      <c r="AM148" s="75">
        <f t="shared" si="34"/>
        <v>1</v>
      </c>
      <c r="AN148" s="75">
        <f t="shared" si="35"/>
        <v>0</v>
      </c>
      <c r="AO148" s="188" t="s">
        <v>739</v>
      </c>
      <c r="AP148" s="188" t="s">
        <v>739</v>
      </c>
      <c r="AQ148" s="188" t="s">
        <v>739</v>
      </c>
      <c r="AR148" s="188"/>
      <c r="AS148" s="188" t="s">
        <v>1257</v>
      </c>
      <c r="AT148" s="188" t="s">
        <v>1882</v>
      </c>
      <c r="AU148" s="188" t="s">
        <v>1904</v>
      </c>
      <c r="AV148" s="188"/>
      <c r="AW148" s="188" t="s">
        <v>739</v>
      </c>
      <c r="AX148" t="s">
        <v>739</v>
      </c>
      <c r="AY148" t="s">
        <v>739</v>
      </c>
      <c r="BA148" t="s">
        <v>1905</v>
      </c>
      <c r="BB148" t="s">
        <v>1906</v>
      </c>
      <c r="BC148" t="s">
        <v>1907</v>
      </c>
      <c r="BD148" s="143"/>
    </row>
    <row r="149" spans="1:56" ht="15" customHeight="1" x14ac:dyDescent="0.25">
      <c r="A149" s="188">
        <v>7</v>
      </c>
      <c r="B149" s="188" t="s">
        <v>503</v>
      </c>
      <c r="C149" s="188" t="s">
        <v>768</v>
      </c>
      <c r="D149" s="188" t="s">
        <v>727</v>
      </c>
      <c r="E149" s="188" t="s">
        <v>728</v>
      </c>
      <c r="F149" s="188" t="s">
        <v>757</v>
      </c>
      <c r="G149" s="188" t="s">
        <v>730</v>
      </c>
      <c r="H149" s="188" t="s">
        <v>731</v>
      </c>
      <c r="I149" t="s">
        <v>769</v>
      </c>
      <c r="J149" s="74">
        <v>44197</v>
      </c>
      <c r="K149" s="74">
        <v>44561</v>
      </c>
      <c r="L149" s="188" t="s">
        <v>733</v>
      </c>
      <c r="M149" s="188" t="str">
        <f t="shared" si="37"/>
        <v>Nariño</v>
      </c>
      <c r="N149" s="188" t="s">
        <v>60</v>
      </c>
      <c r="O149" s="188" t="s">
        <v>759</v>
      </c>
      <c r="P149" s="188" t="s">
        <v>735</v>
      </c>
      <c r="Q149" s="75">
        <v>0.1</v>
      </c>
      <c r="R149" s="189">
        <v>1</v>
      </c>
      <c r="S149" s="189">
        <v>0.25</v>
      </c>
      <c r="T149" s="189">
        <v>0.25</v>
      </c>
      <c r="U149" s="189">
        <v>0.25</v>
      </c>
      <c r="V149" s="189">
        <v>0.25</v>
      </c>
      <c r="W149" s="189">
        <v>0.1910569105691057</v>
      </c>
      <c r="X149" s="189" t="s">
        <v>1908</v>
      </c>
      <c r="Y149" s="189">
        <v>0.25</v>
      </c>
      <c r="Z149" s="189" t="s">
        <v>1909</v>
      </c>
      <c r="AA149" s="189">
        <v>0.31</v>
      </c>
      <c r="AB149" s="189" t="s">
        <v>1910</v>
      </c>
      <c r="AC149" s="189"/>
      <c r="AD149" s="189"/>
      <c r="AE149" s="189">
        <f t="shared" si="30"/>
        <v>0.75105691056910573</v>
      </c>
      <c r="AF149" s="74">
        <v>44300</v>
      </c>
      <c r="AG149" s="74">
        <v>44390</v>
      </c>
      <c r="AH149" s="74">
        <v>44480</v>
      </c>
      <c r="AI149" s="74"/>
      <c r="AJ149" s="75">
        <f t="shared" si="31"/>
        <v>0.75105691056910562</v>
      </c>
      <c r="AK149" s="75">
        <f t="shared" si="32"/>
        <v>0.76422764227642281</v>
      </c>
      <c r="AL149" s="75">
        <f t="shared" si="33"/>
        <v>1</v>
      </c>
      <c r="AM149" s="75">
        <f t="shared" si="34"/>
        <v>1</v>
      </c>
      <c r="AN149" s="75">
        <f t="shared" si="35"/>
        <v>0</v>
      </c>
      <c r="AO149" s="188" t="s">
        <v>739</v>
      </c>
      <c r="AP149" s="188" t="s">
        <v>739</v>
      </c>
      <c r="AQ149" s="188" t="s">
        <v>739</v>
      </c>
      <c r="AR149" s="188"/>
      <c r="AS149" s="188" t="s">
        <v>1257</v>
      </c>
      <c r="AT149" s="188" t="s">
        <v>1882</v>
      </c>
      <c r="AU149" s="188" t="s">
        <v>1911</v>
      </c>
      <c r="AV149" s="188"/>
      <c r="AW149" s="188" t="s">
        <v>739</v>
      </c>
      <c r="AX149" t="s">
        <v>739</v>
      </c>
      <c r="AY149" t="s">
        <v>739</v>
      </c>
      <c r="BA149" t="s">
        <v>1912</v>
      </c>
      <c r="BB149" t="s">
        <v>1913</v>
      </c>
      <c r="BC149" t="s">
        <v>1914</v>
      </c>
      <c r="BD149" s="143"/>
    </row>
    <row r="150" spans="1:56" ht="15" customHeight="1" x14ac:dyDescent="0.25">
      <c r="A150" s="188">
        <v>8</v>
      </c>
      <c r="B150" s="188" t="s">
        <v>503</v>
      </c>
      <c r="C150" s="188" t="s">
        <v>777</v>
      </c>
      <c r="D150" s="188" t="s">
        <v>778</v>
      </c>
      <c r="E150" s="188" t="s">
        <v>779</v>
      </c>
      <c r="F150" s="188" t="s">
        <v>780</v>
      </c>
      <c r="G150" s="188" t="s">
        <v>730</v>
      </c>
      <c r="H150" s="188" t="s">
        <v>781</v>
      </c>
      <c r="I150" t="s">
        <v>782</v>
      </c>
      <c r="J150" s="74">
        <v>44197</v>
      </c>
      <c r="K150" s="74">
        <v>44561</v>
      </c>
      <c r="L150" s="188" t="s">
        <v>733</v>
      </c>
      <c r="M150" s="188" t="str">
        <f t="shared" si="37"/>
        <v>Nariño</v>
      </c>
      <c r="N150" s="188" t="s">
        <v>60</v>
      </c>
      <c r="O150" s="188" t="s">
        <v>759</v>
      </c>
      <c r="P150" s="188" t="s">
        <v>735</v>
      </c>
      <c r="Q150" s="75">
        <v>0.1</v>
      </c>
      <c r="R150" s="189">
        <v>1</v>
      </c>
      <c r="S150" s="189">
        <v>0.25</v>
      </c>
      <c r="T150" s="189">
        <v>0.25</v>
      </c>
      <c r="U150" s="189">
        <v>0.25</v>
      </c>
      <c r="V150" s="189">
        <v>0.25</v>
      </c>
      <c r="W150" s="189">
        <v>0.25</v>
      </c>
      <c r="X150" s="189" t="s">
        <v>1915</v>
      </c>
      <c r="Y150" s="189">
        <v>0.25</v>
      </c>
      <c r="Z150" s="189" t="s">
        <v>1916</v>
      </c>
      <c r="AA150" s="189">
        <v>0.25</v>
      </c>
      <c r="AB150" s="189" t="s">
        <v>1917</v>
      </c>
      <c r="AC150" s="189"/>
      <c r="AD150" s="189"/>
      <c r="AE150" s="189">
        <f t="shared" si="30"/>
        <v>0.75</v>
      </c>
      <c r="AF150" s="74">
        <v>44300</v>
      </c>
      <c r="AG150" s="74">
        <v>44390</v>
      </c>
      <c r="AH150" s="74">
        <v>44480</v>
      </c>
      <c r="AI150" s="74"/>
      <c r="AJ150" s="75">
        <f t="shared" si="31"/>
        <v>0.75</v>
      </c>
      <c r="AK150" s="75">
        <f t="shared" si="32"/>
        <v>1</v>
      </c>
      <c r="AL150" s="75">
        <f t="shared" si="33"/>
        <v>1</v>
      </c>
      <c r="AM150" s="75">
        <f t="shared" si="34"/>
        <v>1</v>
      </c>
      <c r="AN150" s="75">
        <f t="shared" si="35"/>
        <v>0</v>
      </c>
      <c r="AO150" s="188" t="s">
        <v>739</v>
      </c>
      <c r="AP150" s="188" t="s">
        <v>739</v>
      </c>
      <c r="AQ150" s="188" t="s">
        <v>739</v>
      </c>
      <c r="AR150" s="188"/>
      <c r="AS150" s="188" t="s">
        <v>1257</v>
      </c>
      <c r="AT150" s="188" t="s">
        <v>1882</v>
      </c>
      <c r="AU150" s="188" t="s">
        <v>1918</v>
      </c>
      <c r="AV150" s="188"/>
      <c r="AW150" s="188" t="s">
        <v>739</v>
      </c>
      <c r="AX150" t="s">
        <v>739</v>
      </c>
      <c r="AY150" t="s">
        <v>739</v>
      </c>
      <c r="BA150" t="s">
        <v>1919</v>
      </c>
      <c r="BB150" t="s">
        <v>1920</v>
      </c>
      <c r="BC150" t="s">
        <v>1921</v>
      </c>
      <c r="BD150" s="143"/>
    </row>
    <row r="151" spans="1:56" ht="15" customHeight="1" x14ac:dyDescent="0.25">
      <c r="A151" s="188">
        <v>9</v>
      </c>
      <c r="B151" s="188" t="s">
        <v>503</v>
      </c>
      <c r="C151" s="188" t="s">
        <v>790</v>
      </c>
      <c r="D151" s="188" t="s">
        <v>791</v>
      </c>
      <c r="E151" s="188" t="s">
        <v>792</v>
      </c>
      <c r="F151" s="188" t="s">
        <v>793</v>
      </c>
      <c r="G151" s="188" t="s">
        <v>794</v>
      </c>
      <c r="H151" s="188" t="s">
        <v>794</v>
      </c>
      <c r="I151" t="s">
        <v>795</v>
      </c>
      <c r="J151" s="74">
        <v>44197</v>
      </c>
      <c r="K151" s="74">
        <v>44561</v>
      </c>
      <c r="L151" s="188" t="s">
        <v>733</v>
      </c>
      <c r="M151" s="188" t="str">
        <f t="shared" si="37"/>
        <v>Nariño</v>
      </c>
      <c r="N151" s="188" t="s">
        <v>60</v>
      </c>
      <c r="O151" s="188" t="s">
        <v>796</v>
      </c>
      <c r="P151" s="188" t="s">
        <v>735</v>
      </c>
      <c r="Q151" s="75">
        <v>0.1</v>
      </c>
      <c r="R151" s="189">
        <v>1</v>
      </c>
      <c r="S151" s="189">
        <v>0.25</v>
      </c>
      <c r="T151" s="189">
        <v>0.25</v>
      </c>
      <c r="U151" s="189">
        <v>0.25</v>
      </c>
      <c r="V151" s="189">
        <v>0.25</v>
      </c>
      <c r="W151" s="189">
        <v>0.25</v>
      </c>
      <c r="X151" s="189" t="s">
        <v>1922</v>
      </c>
      <c r="Y151" s="189">
        <v>0.25</v>
      </c>
      <c r="Z151" s="189" t="s">
        <v>1923</v>
      </c>
      <c r="AA151" s="189">
        <v>0.25</v>
      </c>
      <c r="AB151" s="189" t="s">
        <v>1924</v>
      </c>
      <c r="AC151" s="189"/>
      <c r="AD151" s="189"/>
      <c r="AE151" s="189">
        <f t="shared" si="30"/>
        <v>0.75</v>
      </c>
      <c r="AF151" s="74">
        <v>44299</v>
      </c>
      <c r="AG151" s="74">
        <v>44390</v>
      </c>
      <c r="AH151" s="74">
        <v>44480</v>
      </c>
      <c r="AI151" s="74"/>
      <c r="AJ151" s="75">
        <f t="shared" si="31"/>
        <v>0.75</v>
      </c>
      <c r="AK151" s="75">
        <f t="shared" si="32"/>
        <v>1</v>
      </c>
      <c r="AL151" s="75">
        <f t="shared" si="33"/>
        <v>1</v>
      </c>
      <c r="AM151" s="75">
        <f t="shared" si="34"/>
        <v>1</v>
      </c>
      <c r="AN151" s="75">
        <f t="shared" si="35"/>
        <v>0</v>
      </c>
      <c r="AO151" s="188" t="s">
        <v>739</v>
      </c>
      <c r="AP151" s="188" t="s">
        <v>739</v>
      </c>
      <c r="AQ151" s="188" t="s">
        <v>739</v>
      </c>
      <c r="AR151" s="188"/>
      <c r="AS151" s="188" t="s">
        <v>1257</v>
      </c>
      <c r="AT151" s="188" t="s">
        <v>1882</v>
      </c>
      <c r="AU151" s="188" t="s">
        <v>1925</v>
      </c>
      <c r="AV151" s="188"/>
      <c r="AW151" s="188" t="s">
        <v>739</v>
      </c>
      <c r="AX151" t="s">
        <v>739</v>
      </c>
      <c r="AY151" t="s">
        <v>739</v>
      </c>
      <c r="BA151" t="s">
        <v>1926</v>
      </c>
      <c r="BB151" t="s">
        <v>1927</v>
      </c>
      <c r="BC151" t="s">
        <v>1928</v>
      </c>
      <c r="BD151" s="143"/>
    </row>
    <row r="152" spans="1:56" ht="15" customHeight="1" x14ac:dyDescent="0.25">
      <c r="A152" s="188">
        <v>10</v>
      </c>
      <c r="B152" s="188" t="s">
        <v>503</v>
      </c>
      <c r="C152" s="188" t="s">
        <v>790</v>
      </c>
      <c r="D152" s="188" t="s">
        <v>791</v>
      </c>
      <c r="E152" s="188" t="s">
        <v>792</v>
      </c>
      <c r="F152" s="188" t="s">
        <v>793</v>
      </c>
      <c r="G152" s="188" t="s">
        <v>794</v>
      </c>
      <c r="H152" s="188" t="s">
        <v>794</v>
      </c>
      <c r="I152" t="s">
        <v>805</v>
      </c>
      <c r="J152" s="74">
        <v>44197</v>
      </c>
      <c r="K152" s="74">
        <v>44561</v>
      </c>
      <c r="L152" s="188" t="s">
        <v>733</v>
      </c>
      <c r="M152" s="188" t="str">
        <f t="shared" si="37"/>
        <v>Nariño</v>
      </c>
      <c r="N152" s="188" t="s">
        <v>60</v>
      </c>
      <c r="O152" s="188" t="s">
        <v>806</v>
      </c>
      <c r="P152" s="188" t="s">
        <v>735</v>
      </c>
      <c r="Q152" s="75">
        <v>0.1</v>
      </c>
      <c r="R152" s="189">
        <v>1</v>
      </c>
      <c r="S152" s="189">
        <v>0.25</v>
      </c>
      <c r="T152" s="189">
        <v>0.25</v>
      </c>
      <c r="U152" s="189">
        <v>0.25</v>
      </c>
      <c r="V152" s="189">
        <v>0.25</v>
      </c>
      <c r="W152" s="189">
        <v>0.25</v>
      </c>
      <c r="X152" s="189" t="s">
        <v>1929</v>
      </c>
      <c r="Y152" s="189">
        <v>0.25</v>
      </c>
      <c r="Z152" s="189" t="s">
        <v>1930</v>
      </c>
      <c r="AA152" s="189">
        <v>0.25</v>
      </c>
      <c r="AB152" s="189" t="s">
        <v>1931</v>
      </c>
      <c r="AC152" s="189"/>
      <c r="AD152" s="189"/>
      <c r="AE152" s="189">
        <f t="shared" si="30"/>
        <v>0.75</v>
      </c>
      <c r="AF152" s="74">
        <v>44300</v>
      </c>
      <c r="AG152" s="74">
        <v>44390</v>
      </c>
      <c r="AH152" s="74">
        <v>44480</v>
      </c>
      <c r="AI152" s="74"/>
      <c r="AJ152" s="75">
        <f t="shared" si="31"/>
        <v>0.75</v>
      </c>
      <c r="AK152" s="75">
        <f t="shared" si="32"/>
        <v>1</v>
      </c>
      <c r="AL152" s="75">
        <f t="shared" si="33"/>
        <v>1</v>
      </c>
      <c r="AM152" s="75">
        <f t="shared" si="34"/>
        <v>1</v>
      </c>
      <c r="AN152" s="75">
        <f t="shared" si="35"/>
        <v>0</v>
      </c>
      <c r="AO152" s="188" t="s">
        <v>739</v>
      </c>
      <c r="AP152" s="188" t="s">
        <v>739</v>
      </c>
      <c r="AQ152" s="188" t="s">
        <v>739</v>
      </c>
      <c r="AR152" s="188"/>
      <c r="AS152" s="188" t="s">
        <v>1257</v>
      </c>
      <c r="AT152" s="188" t="s">
        <v>1882</v>
      </c>
      <c r="AU152" s="188" t="s">
        <v>1932</v>
      </c>
      <c r="AV152" s="188"/>
      <c r="AW152" s="188" t="s">
        <v>739</v>
      </c>
      <c r="AX152" t="s">
        <v>739</v>
      </c>
      <c r="AY152" t="s">
        <v>739</v>
      </c>
      <c r="BA152" t="s">
        <v>1933</v>
      </c>
      <c r="BB152" t="s">
        <v>1934</v>
      </c>
      <c r="BC152" t="s">
        <v>1935</v>
      </c>
      <c r="BD152" s="143"/>
    </row>
    <row r="153" spans="1:56" ht="15" customHeight="1" x14ac:dyDescent="0.25">
      <c r="A153" s="188">
        <v>12</v>
      </c>
      <c r="B153" s="188" t="s">
        <v>503</v>
      </c>
      <c r="C153" s="188" t="s">
        <v>814</v>
      </c>
      <c r="D153" s="188" t="s">
        <v>727</v>
      </c>
      <c r="E153" s="188" t="s">
        <v>815</v>
      </c>
      <c r="F153" s="188" t="s">
        <v>816</v>
      </c>
      <c r="G153" s="188" t="s">
        <v>817</v>
      </c>
      <c r="H153" s="188" t="s">
        <v>818</v>
      </c>
      <c r="I153" t="s">
        <v>819</v>
      </c>
      <c r="J153" s="74">
        <v>44197</v>
      </c>
      <c r="K153" s="74">
        <v>44561</v>
      </c>
      <c r="L153" s="188" t="s">
        <v>733</v>
      </c>
      <c r="M153" s="188" t="str">
        <f t="shared" si="37"/>
        <v>Nariño</v>
      </c>
      <c r="N153" s="188" t="s">
        <v>30</v>
      </c>
      <c r="O153" s="188" t="s">
        <v>820</v>
      </c>
      <c r="P153" s="188" t="s">
        <v>821</v>
      </c>
      <c r="Q153" s="75">
        <v>0.1</v>
      </c>
      <c r="R153" s="190">
        <f>SUM(S153:V153)</f>
        <v>428737869.73131013</v>
      </c>
      <c r="S153" s="190">
        <v>84656093.888608426</v>
      </c>
      <c r="T153" s="190">
        <v>109742240.88789099</v>
      </c>
      <c r="U153" s="190">
        <v>111730620.40782264</v>
      </c>
      <c r="V153" s="190">
        <v>122608914.54698808</v>
      </c>
      <c r="W153" s="190">
        <v>111614482</v>
      </c>
      <c r="X153" s="190" t="s">
        <v>1936</v>
      </c>
      <c r="Y153" s="190">
        <v>105908313</v>
      </c>
      <c r="Z153" s="190" t="s">
        <v>1937</v>
      </c>
      <c r="AA153" s="190">
        <v>113013147</v>
      </c>
      <c r="AB153" s="190" t="s">
        <v>1938</v>
      </c>
      <c r="AC153" s="190"/>
      <c r="AD153" s="190"/>
      <c r="AE153" s="190">
        <f t="shared" si="30"/>
        <v>330535942</v>
      </c>
      <c r="AF153" s="74">
        <v>44299</v>
      </c>
      <c r="AG153" s="74">
        <v>44390</v>
      </c>
      <c r="AH153" s="74">
        <v>44480</v>
      </c>
      <c r="AI153" s="74"/>
      <c r="AJ153" s="75">
        <f t="shared" si="31"/>
        <v>0.77095112266883903</v>
      </c>
      <c r="AK153" s="75">
        <f t="shared" si="32"/>
        <v>1</v>
      </c>
      <c r="AL153" s="75">
        <f t="shared" si="33"/>
        <v>0.96506424639344113</v>
      </c>
      <c r="AM153" s="75">
        <f t="shared" si="34"/>
        <v>1</v>
      </c>
      <c r="AN153" s="75">
        <f t="shared" si="35"/>
        <v>0</v>
      </c>
      <c r="AO153" s="188" t="s">
        <v>739</v>
      </c>
      <c r="AP153" s="188" t="s">
        <v>739</v>
      </c>
      <c r="AQ153" s="188" t="s">
        <v>739</v>
      </c>
      <c r="AR153" s="188"/>
      <c r="AS153" s="188" t="s">
        <v>1257</v>
      </c>
      <c r="AT153" s="188" t="s">
        <v>1882</v>
      </c>
      <c r="AU153" s="188" t="s">
        <v>1939</v>
      </c>
      <c r="AV153" s="188"/>
      <c r="AW153" s="188" t="s">
        <v>739</v>
      </c>
      <c r="AX153" t="s">
        <v>739</v>
      </c>
      <c r="AY153" t="s">
        <v>739</v>
      </c>
      <c r="BA153" t="s">
        <v>1940</v>
      </c>
      <c r="BB153" t="s">
        <v>1941</v>
      </c>
      <c r="BC153" t="s">
        <v>1942</v>
      </c>
      <c r="BD153" s="143"/>
    </row>
    <row r="154" spans="1:56" ht="15" customHeight="1" x14ac:dyDescent="0.25">
      <c r="A154" s="188">
        <v>13</v>
      </c>
      <c r="B154" s="188" t="s">
        <v>503</v>
      </c>
      <c r="C154" s="188" t="s">
        <v>814</v>
      </c>
      <c r="D154" s="188" t="s">
        <v>727</v>
      </c>
      <c r="E154" s="188" t="s">
        <v>815</v>
      </c>
      <c r="F154" s="188" t="s">
        <v>816</v>
      </c>
      <c r="G154" s="188" t="s">
        <v>817</v>
      </c>
      <c r="H154" s="188" t="s">
        <v>818</v>
      </c>
      <c r="I154" t="s">
        <v>923</v>
      </c>
      <c r="J154" s="74">
        <v>44197</v>
      </c>
      <c r="K154" s="74">
        <v>44561</v>
      </c>
      <c r="L154" s="188" t="s">
        <v>733</v>
      </c>
      <c r="M154" s="188" t="str">
        <f t="shared" si="37"/>
        <v>Nariño</v>
      </c>
      <c r="N154" s="188" t="s">
        <v>60</v>
      </c>
      <c r="O154" s="188" t="s">
        <v>924</v>
      </c>
      <c r="P154" s="188" t="s">
        <v>821</v>
      </c>
      <c r="Q154" s="75">
        <v>0.1</v>
      </c>
      <c r="R154" s="189">
        <v>1</v>
      </c>
      <c r="S154" s="189">
        <v>0.25</v>
      </c>
      <c r="T154" s="189">
        <v>0.25</v>
      </c>
      <c r="U154" s="189">
        <v>0.25</v>
      </c>
      <c r="V154" s="189">
        <v>0.25</v>
      </c>
      <c r="W154" s="189">
        <v>0.25</v>
      </c>
      <c r="X154" s="189" t="s">
        <v>1943</v>
      </c>
      <c r="Y154" s="189">
        <v>0.25</v>
      </c>
      <c r="Z154" s="189" t="s">
        <v>1944</v>
      </c>
      <c r="AA154" s="189">
        <v>0.5</v>
      </c>
      <c r="AB154" s="189" t="s">
        <v>1945</v>
      </c>
      <c r="AC154" s="189"/>
      <c r="AD154" s="189"/>
      <c r="AE154" s="189">
        <f t="shared" si="30"/>
        <v>1</v>
      </c>
      <c r="AF154" s="60">
        <v>44299</v>
      </c>
      <c r="AG154" s="60">
        <v>44390</v>
      </c>
      <c r="AH154" s="60">
        <v>44480</v>
      </c>
      <c r="AI154" s="60"/>
      <c r="AJ154" s="75">
        <f t="shared" si="31"/>
        <v>1</v>
      </c>
      <c r="AK154" s="75">
        <f t="shared" si="32"/>
        <v>1</v>
      </c>
      <c r="AL154" s="75">
        <f t="shared" si="33"/>
        <v>1</v>
      </c>
      <c r="AM154" s="75">
        <f t="shared" si="34"/>
        <v>1</v>
      </c>
      <c r="AN154" s="75">
        <f t="shared" si="35"/>
        <v>0</v>
      </c>
      <c r="AO154" s="188" t="s">
        <v>739</v>
      </c>
      <c r="AP154" s="188" t="s">
        <v>739</v>
      </c>
      <c r="AQ154" s="188" t="s">
        <v>739</v>
      </c>
      <c r="AR154" s="188"/>
      <c r="AS154" s="188" t="s">
        <v>1257</v>
      </c>
      <c r="AT154" s="188" t="s">
        <v>1882</v>
      </c>
      <c r="AU154" s="188" t="s">
        <v>1946</v>
      </c>
      <c r="AV154" s="188"/>
      <c r="AW154" s="188" t="s">
        <v>739</v>
      </c>
      <c r="AX154" t="s">
        <v>739</v>
      </c>
      <c r="AY154" t="s">
        <v>739</v>
      </c>
      <c r="BA154" t="s">
        <v>1947</v>
      </c>
      <c r="BB154" t="s">
        <v>1948</v>
      </c>
      <c r="BC154" t="s">
        <v>1949</v>
      </c>
      <c r="BD154" s="143"/>
    </row>
    <row r="155" spans="1:56" ht="15" customHeight="1" x14ac:dyDescent="0.25">
      <c r="A155" s="188">
        <v>1</v>
      </c>
      <c r="B155" s="188" t="s">
        <v>1950</v>
      </c>
      <c r="C155" s="188" t="s">
        <v>726</v>
      </c>
      <c r="D155" s="188" t="s">
        <v>727</v>
      </c>
      <c r="E155" s="188" t="s">
        <v>728</v>
      </c>
      <c r="F155" s="188" t="s">
        <v>729</v>
      </c>
      <c r="G155" s="188" t="s">
        <v>730</v>
      </c>
      <c r="H155" s="188" t="s">
        <v>731</v>
      </c>
      <c r="I155" s="188" t="s">
        <v>732</v>
      </c>
      <c r="J155" s="74">
        <v>44197</v>
      </c>
      <c r="K155" s="74">
        <v>44561</v>
      </c>
      <c r="L155" s="188" t="s">
        <v>733</v>
      </c>
      <c r="M155" s="188" t="str">
        <f>B155</f>
        <v>Norte de Santander</v>
      </c>
      <c r="N155" s="188" t="s">
        <v>30</v>
      </c>
      <c r="O155" s="188" t="s">
        <v>734</v>
      </c>
      <c r="P155" s="188" t="s">
        <v>735</v>
      </c>
      <c r="Q155" s="75">
        <v>0.1111111111111111</v>
      </c>
      <c r="R155" s="190">
        <v>9556</v>
      </c>
      <c r="S155" s="190">
        <v>0</v>
      </c>
      <c r="T155" s="190">
        <v>0</v>
      </c>
      <c r="U155" s="190">
        <v>0</v>
      </c>
      <c r="V155" s="190">
        <v>9556</v>
      </c>
      <c r="W155" s="190">
        <v>1801</v>
      </c>
      <c r="X155" s="190" t="s">
        <v>1951</v>
      </c>
      <c r="Y155" s="190">
        <v>3077</v>
      </c>
      <c r="Z155" s="190" t="s">
        <v>1952</v>
      </c>
      <c r="AA155" s="190">
        <v>3262</v>
      </c>
      <c r="AB155" s="190" t="s">
        <v>1953</v>
      </c>
      <c r="AC155" s="190"/>
      <c r="AD155" s="190"/>
      <c r="AE155" s="190">
        <f t="shared" si="30"/>
        <v>8140</v>
      </c>
      <c r="AF155" s="74">
        <v>44295</v>
      </c>
      <c r="AG155" s="74">
        <v>44392</v>
      </c>
      <c r="AH155" s="74">
        <v>44482</v>
      </c>
      <c r="AI155" s="74"/>
      <c r="AJ155" s="75">
        <f t="shared" si="31"/>
        <v>0.85182084554206783</v>
      </c>
      <c r="AK155" s="75" t="str">
        <f t="shared" si="32"/>
        <v/>
      </c>
      <c r="AL155" s="75" t="str">
        <f t="shared" si="33"/>
        <v/>
      </c>
      <c r="AM155" s="75" t="str">
        <f t="shared" si="34"/>
        <v/>
      </c>
      <c r="AN155" s="75">
        <f t="shared" si="35"/>
        <v>0</v>
      </c>
      <c r="AO155" s="188" t="s">
        <v>739</v>
      </c>
      <c r="AP155" s="188" t="s">
        <v>739</v>
      </c>
      <c r="AQ155" s="188" t="s">
        <v>739</v>
      </c>
      <c r="AR155" s="188"/>
      <c r="AS155" s="188" t="s">
        <v>1954</v>
      </c>
      <c r="AT155" s="188" t="s">
        <v>1955</v>
      </c>
      <c r="AU155" s="188" t="s">
        <v>1956</v>
      </c>
      <c r="AV155" s="188"/>
      <c r="AW155" s="188" t="s">
        <v>739</v>
      </c>
      <c r="AX155" s="188" t="s">
        <v>739</v>
      </c>
      <c r="AY155" s="188" t="s">
        <v>739</v>
      </c>
      <c r="AZ155" s="188"/>
      <c r="BA155" s="188" t="s">
        <v>1957</v>
      </c>
      <c r="BB155" s="188" t="s">
        <v>1958</v>
      </c>
      <c r="BC155" s="188" t="s">
        <v>1959</v>
      </c>
      <c r="BD155" s="143"/>
    </row>
    <row r="156" spans="1:56" ht="15" customHeight="1" x14ac:dyDescent="0.25">
      <c r="A156" s="188">
        <v>3</v>
      </c>
      <c r="B156" s="188" t="s">
        <v>1950</v>
      </c>
      <c r="C156" s="188" t="s">
        <v>726</v>
      </c>
      <c r="D156" s="188" t="s">
        <v>727</v>
      </c>
      <c r="E156" s="188" t="s">
        <v>728</v>
      </c>
      <c r="F156" s="188" t="s">
        <v>729</v>
      </c>
      <c r="G156" s="188" t="s">
        <v>730</v>
      </c>
      <c r="H156" s="188" t="s">
        <v>731</v>
      </c>
      <c r="I156" s="188" t="s">
        <v>746</v>
      </c>
      <c r="J156" s="74">
        <v>44197</v>
      </c>
      <c r="K156" s="74">
        <v>44561</v>
      </c>
      <c r="L156" s="188" t="s">
        <v>733</v>
      </c>
      <c r="M156" s="188" t="str">
        <f t="shared" ref="M156:M163" si="38">B156</f>
        <v>Norte de Santander</v>
      </c>
      <c r="N156" s="188" t="s">
        <v>30</v>
      </c>
      <c r="O156" s="188" t="s">
        <v>747</v>
      </c>
      <c r="P156" s="188" t="s">
        <v>735</v>
      </c>
      <c r="Q156" s="75">
        <v>0.1111111111111111</v>
      </c>
      <c r="R156" s="190">
        <v>9678</v>
      </c>
      <c r="S156" s="190">
        <v>0</v>
      </c>
      <c r="T156" s="190">
        <v>0</v>
      </c>
      <c r="U156" s="190">
        <v>0</v>
      </c>
      <c r="V156" s="190">
        <v>9678</v>
      </c>
      <c r="W156" s="190">
        <v>896</v>
      </c>
      <c r="X156" s="190" t="s">
        <v>1960</v>
      </c>
      <c r="Y156" s="190">
        <v>1506</v>
      </c>
      <c r="Z156" s="190" t="s">
        <v>1961</v>
      </c>
      <c r="AA156" s="190">
        <v>1436</v>
      </c>
      <c r="AB156" s="190" t="s">
        <v>1962</v>
      </c>
      <c r="AC156" s="190"/>
      <c r="AD156" s="190"/>
      <c r="AE156" s="190">
        <f t="shared" si="30"/>
        <v>3838</v>
      </c>
      <c r="AF156" s="74">
        <v>44295</v>
      </c>
      <c r="AG156" s="74">
        <v>44392</v>
      </c>
      <c r="AH156" s="74">
        <v>44482</v>
      </c>
      <c r="AI156" s="74"/>
      <c r="AJ156" s="75">
        <f t="shared" si="31"/>
        <v>0.3965695391609837</v>
      </c>
      <c r="AK156" s="75" t="str">
        <f t="shared" si="32"/>
        <v/>
      </c>
      <c r="AL156" s="75" t="str">
        <f t="shared" si="33"/>
        <v/>
      </c>
      <c r="AM156" s="75" t="str">
        <f t="shared" si="34"/>
        <v/>
      </c>
      <c r="AN156" s="75">
        <f t="shared" si="35"/>
        <v>0</v>
      </c>
      <c r="AO156" s="188" t="s">
        <v>739</v>
      </c>
      <c r="AP156" s="188" t="s">
        <v>739</v>
      </c>
      <c r="AQ156" s="188" t="s">
        <v>739</v>
      </c>
      <c r="AR156" s="188"/>
      <c r="AS156" s="188" t="s">
        <v>1500</v>
      </c>
      <c r="AT156" s="188" t="s">
        <v>1963</v>
      </c>
      <c r="AU156" s="188" t="s">
        <v>1964</v>
      </c>
      <c r="AV156" s="188"/>
      <c r="AW156" s="188" t="s">
        <v>739</v>
      </c>
      <c r="AX156" t="s">
        <v>739</v>
      </c>
      <c r="AY156" t="s">
        <v>739</v>
      </c>
      <c r="BA156" t="s">
        <v>1965</v>
      </c>
      <c r="BB156" t="s">
        <v>1966</v>
      </c>
      <c r="BC156" t="s">
        <v>1967</v>
      </c>
      <c r="BD156" s="143"/>
    </row>
    <row r="157" spans="1:56" ht="15" customHeight="1" x14ac:dyDescent="0.25">
      <c r="A157" s="188">
        <v>5</v>
      </c>
      <c r="B157" s="188" t="s">
        <v>1950</v>
      </c>
      <c r="C157" s="188" t="s">
        <v>964</v>
      </c>
      <c r="D157" s="188" t="s">
        <v>727</v>
      </c>
      <c r="E157" s="188" t="s">
        <v>815</v>
      </c>
      <c r="F157" s="188" t="s">
        <v>965</v>
      </c>
      <c r="G157" s="188" t="s">
        <v>730</v>
      </c>
      <c r="H157" s="188" t="s">
        <v>731</v>
      </c>
      <c r="I157" t="s">
        <v>966</v>
      </c>
      <c r="J157" s="74">
        <v>44197</v>
      </c>
      <c r="K157" s="74">
        <v>44561</v>
      </c>
      <c r="L157" s="188" t="s">
        <v>733</v>
      </c>
      <c r="M157" s="188" t="str">
        <f t="shared" si="38"/>
        <v>Norte de Santander</v>
      </c>
      <c r="N157" s="188" t="s">
        <v>30</v>
      </c>
      <c r="O157" s="188" t="s">
        <v>967</v>
      </c>
      <c r="P157" s="188" t="s">
        <v>735</v>
      </c>
      <c r="Q157" s="75">
        <v>0.1111111111111111</v>
      </c>
      <c r="R157" s="190">
        <v>30</v>
      </c>
      <c r="S157" s="190">
        <v>0</v>
      </c>
      <c r="T157" s="190">
        <v>0</v>
      </c>
      <c r="U157" s="190">
        <v>0</v>
      </c>
      <c r="V157" s="190">
        <v>30</v>
      </c>
      <c r="W157" s="190">
        <v>0</v>
      </c>
      <c r="X157" s="190" t="s">
        <v>1968</v>
      </c>
      <c r="Y157" s="190">
        <v>2</v>
      </c>
      <c r="Z157" s="190" t="s">
        <v>1969</v>
      </c>
      <c r="AA157" s="190">
        <v>3</v>
      </c>
      <c r="AB157" s="190" t="s">
        <v>1970</v>
      </c>
      <c r="AC157" s="190"/>
      <c r="AD157" s="190"/>
      <c r="AE157" s="190">
        <f t="shared" si="30"/>
        <v>5</v>
      </c>
      <c r="AF157" s="74">
        <v>44295</v>
      </c>
      <c r="AG157" s="74">
        <v>44392</v>
      </c>
      <c r="AH157" s="74">
        <v>44482</v>
      </c>
      <c r="AI157" s="74"/>
      <c r="AJ157" s="75">
        <f t="shared" si="31"/>
        <v>0.16666666666666666</v>
      </c>
      <c r="AK157" s="75" t="str">
        <f t="shared" si="32"/>
        <v/>
      </c>
      <c r="AL157" s="75" t="str">
        <f t="shared" si="33"/>
        <v/>
      </c>
      <c r="AM157" s="75" t="str">
        <f t="shared" si="34"/>
        <v/>
      </c>
      <c r="AN157" s="75">
        <f t="shared" si="35"/>
        <v>0</v>
      </c>
      <c r="AO157" s="188" t="s">
        <v>838</v>
      </c>
      <c r="AP157" s="188" t="s">
        <v>739</v>
      </c>
      <c r="AQ157" s="188" t="s">
        <v>739</v>
      </c>
      <c r="AR157" s="188"/>
      <c r="AS157" s="188" t="s">
        <v>1971</v>
      </c>
      <c r="AT157" s="188" t="s">
        <v>1972</v>
      </c>
      <c r="AU157" s="188" t="s">
        <v>1973</v>
      </c>
      <c r="AV157" s="188"/>
      <c r="AW157" s="188" t="s">
        <v>838</v>
      </c>
      <c r="AX157" t="s">
        <v>739</v>
      </c>
      <c r="AY157" t="s">
        <v>739</v>
      </c>
      <c r="BA157" t="s">
        <v>1974</v>
      </c>
      <c r="BB157" t="s">
        <v>1975</v>
      </c>
      <c r="BC157" t="s">
        <v>1976</v>
      </c>
      <c r="BD157" s="143"/>
    </row>
    <row r="158" spans="1:56" ht="15" customHeight="1" x14ac:dyDescent="0.25">
      <c r="A158" s="188">
        <v>6</v>
      </c>
      <c r="B158" s="188" t="s">
        <v>1950</v>
      </c>
      <c r="C158" s="188" t="s">
        <v>756</v>
      </c>
      <c r="D158" s="188" t="s">
        <v>727</v>
      </c>
      <c r="E158" s="188" t="s">
        <v>728</v>
      </c>
      <c r="F158" s="188" t="s">
        <v>757</v>
      </c>
      <c r="G158" s="188" t="s">
        <v>730</v>
      </c>
      <c r="H158" s="188" t="s">
        <v>731</v>
      </c>
      <c r="I158" t="s">
        <v>758</v>
      </c>
      <c r="J158" s="74">
        <v>44197</v>
      </c>
      <c r="K158" s="74">
        <v>44561</v>
      </c>
      <c r="L158" s="188" t="s">
        <v>733</v>
      </c>
      <c r="M158" s="188" t="str">
        <f t="shared" si="38"/>
        <v>Norte de Santander</v>
      </c>
      <c r="N158" s="188" t="s">
        <v>60</v>
      </c>
      <c r="O158" s="188" t="s">
        <v>759</v>
      </c>
      <c r="P158" s="188" t="s">
        <v>735</v>
      </c>
      <c r="Q158" s="75">
        <v>0.1111111111111111</v>
      </c>
      <c r="R158" s="189">
        <v>1</v>
      </c>
      <c r="S158" s="189">
        <v>0.25</v>
      </c>
      <c r="T158" s="189">
        <v>0.25</v>
      </c>
      <c r="U158" s="189">
        <v>0.25</v>
      </c>
      <c r="V158" s="189">
        <v>0.25</v>
      </c>
      <c r="W158" s="189">
        <v>0.25</v>
      </c>
      <c r="X158" s="189" t="s">
        <v>1977</v>
      </c>
      <c r="Y158" s="189">
        <v>0.25</v>
      </c>
      <c r="Z158" s="189" t="s">
        <v>1978</v>
      </c>
      <c r="AA158" s="189">
        <v>0.25</v>
      </c>
      <c r="AB158" s="189" t="s">
        <v>1979</v>
      </c>
      <c r="AC158" s="189"/>
      <c r="AD158" s="189"/>
      <c r="AE158" s="189">
        <f t="shared" si="30"/>
        <v>0.75</v>
      </c>
      <c r="AF158" s="74">
        <v>44300</v>
      </c>
      <c r="AG158" s="74">
        <v>44392</v>
      </c>
      <c r="AH158" s="74">
        <v>44482</v>
      </c>
      <c r="AI158" s="74"/>
      <c r="AJ158" s="75">
        <f t="shared" si="31"/>
        <v>0.75</v>
      </c>
      <c r="AK158" s="75">
        <f t="shared" si="32"/>
        <v>1</v>
      </c>
      <c r="AL158" s="75">
        <f t="shared" si="33"/>
        <v>1</v>
      </c>
      <c r="AM158" s="75">
        <f t="shared" si="34"/>
        <v>1</v>
      </c>
      <c r="AN158" s="75">
        <f t="shared" si="35"/>
        <v>0</v>
      </c>
      <c r="AO158" s="188" t="s">
        <v>739</v>
      </c>
      <c r="AP158" s="188" t="s">
        <v>739</v>
      </c>
      <c r="AQ158" s="188" t="s">
        <v>739</v>
      </c>
      <c r="AR158" s="188"/>
      <c r="AS158" s="188" t="s">
        <v>1980</v>
      </c>
      <c r="AT158" s="188" t="s">
        <v>1981</v>
      </c>
      <c r="AU158" s="188" t="s">
        <v>1982</v>
      </c>
      <c r="AV158" s="188"/>
      <c r="AW158" s="188" t="s">
        <v>739</v>
      </c>
      <c r="AX158" t="s">
        <v>739</v>
      </c>
      <c r="AY158" t="s">
        <v>739</v>
      </c>
      <c r="BA158" t="s">
        <v>1983</v>
      </c>
      <c r="BB158" t="s">
        <v>1984</v>
      </c>
      <c r="BC158" t="s">
        <v>1985</v>
      </c>
      <c r="BD158" s="143"/>
    </row>
    <row r="159" spans="1:56" ht="15" customHeight="1" x14ac:dyDescent="0.25">
      <c r="A159" s="188">
        <v>7</v>
      </c>
      <c r="B159" s="188" t="s">
        <v>1950</v>
      </c>
      <c r="C159" s="188" t="s">
        <v>768</v>
      </c>
      <c r="D159" s="188" t="s">
        <v>727</v>
      </c>
      <c r="E159" s="188" t="s">
        <v>728</v>
      </c>
      <c r="F159" s="188" t="s">
        <v>757</v>
      </c>
      <c r="G159" s="188" t="s">
        <v>730</v>
      </c>
      <c r="H159" s="188" t="s">
        <v>731</v>
      </c>
      <c r="I159" t="s">
        <v>769</v>
      </c>
      <c r="J159" s="74">
        <v>44197</v>
      </c>
      <c r="K159" s="74">
        <v>44561</v>
      </c>
      <c r="L159" s="188" t="s">
        <v>733</v>
      </c>
      <c r="M159" s="188" t="str">
        <f t="shared" si="38"/>
        <v>Norte de Santander</v>
      </c>
      <c r="N159" s="188" t="s">
        <v>60</v>
      </c>
      <c r="O159" s="188" t="s">
        <v>759</v>
      </c>
      <c r="P159" s="188" t="s">
        <v>735</v>
      </c>
      <c r="Q159" s="75">
        <v>0.1111111111111111</v>
      </c>
      <c r="R159" s="189">
        <v>1</v>
      </c>
      <c r="S159" s="189">
        <v>0.25</v>
      </c>
      <c r="T159" s="189">
        <v>0.25</v>
      </c>
      <c r="U159" s="189">
        <v>0.25</v>
      </c>
      <c r="V159" s="189">
        <v>0.25</v>
      </c>
      <c r="W159" s="189">
        <v>0.25</v>
      </c>
      <c r="X159" s="189" t="s">
        <v>1986</v>
      </c>
      <c r="Y159" s="189">
        <v>0.25</v>
      </c>
      <c r="Z159" s="189" t="s">
        <v>1987</v>
      </c>
      <c r="AA159" s="189">
        <v>0.25</v>
      </c>
      <c r="AB159" s="189" t="s">
        <v>1988</v>
      </c>
      <c r="AC159" s="189"/>
      <c r="AD159" s="189"/>
      <c r="AE159" s="189">
        <f t="shared" si="30"/>
        <v>0.75</v>
      </c>
      <c r="AF159" s="74">
        <v>44300</v>
      </c>
      <c r="AG159" s="74">
        <v>44392</v>
      </c>
      <c r="AH159" s="74">
        <v>44482</v>
      </c>
      <c r="AI159" s="74"/>
      <c r="AJ159" s="75">
        <f t="shared" si="31"/>
        <v>0.75</v>
      </c>
      <c r="AK159" s="75">
        <f t="shared" si="32"/>
        <v>1</v>
      </c>
      <c r="AL159" s="75">
        <f t="shared" si="33"/>
        <v>1</v>
      </c>
      <c r="AM159" s="75">
        <f t="shared" si="34"/>
        <v>1</v>
      </c>
      <c r="AN159" s="75">
        <f t="shared" si="35"/>
        <v>0</v>
      </c>
      <c r="AO159" s="188" t="s">
        <v>739</v>
      </c>
      <c r="AP159" s="188" t="s">
        <v>739</v>
      </c>
      <c r="AQ159" s="188" t="s">
        <v>739</v>
      </c>
      <c r="AR159" s="188"/>
      <c r="AS159" s="188" t="s">
        <v>1525</v>
      </c>
      <c r="AT159" s="188" t="s">
        <v>1989</v>
      </c>
      <c r="AU159" s="188" t="s">
        <v>1990</v>
      </c>
      <c r="AV159" s="188"/>
      <c r="AW159" s="188" t="s">
        <v>739</v>
      </c>
      <c r="AX159" t="s">
        <v>739</v>
      </c>
      <c r="AY159" t="s">
        <v>739</v>
      </c>
      <c r="BA159" t="s">
        <v>1991</v>
      </c>
      <c r="BB159" t="s">
        <v>1992</v>
      </c>
      <c r="BC159" t="s">
        <v>1993</v>
      </c>
      <c r="BD159" s="143"/>
    </row>
    <row r="160" spans="1:56" ht="15" customHeight="1" x14ac:dyDescent="0.25">
      <c r="A160" s="188">
        <v>8</v>
      </c>
      <c r="B160" s="188" t="s">
        <v>1950</v>
      </c>
      <c r="C160" s="188" t="s">
        <v>777</v>
      </c>
      <c r="D160" s="188" t="s">
        <v>778</v>
      </c>
      <c r="E160" s="188" t="s">
        <v>779</v>
      </c>
      <c r="F160" s="188" t="s">
        <v>780</v>
      </c>
      <c r="G160" s="188" t="s">
        <v>730</v>
      </c>
      <c r="H160" s="188" t="s">
        <v>781</v>
      </c>
      <c r="I160" t="s">
        <v>782</v>
      </c>
      <c r="J160" s="74">
        <v>44197</v>
      </c>
      <c r="K160" s="74">
        <v>44561</v>
      </c>
      <c r="L160" s="188" t="s">
        <v>733</v>
      </c>
      <c r="M160" s="188" t="str">
        <f t="shared" si="38"/>
        <v>Norte de Santander</v>
      </c>
      <c r="N160" s="188" t="s">
        <v>60</v>
      </c>
      <c r="O160" s="188" t="s">
        <v>759</v>
      </c>
      <c r="P160" s="188" t="s">
        <v>735</v>
      </c>
      <c r="Q160" s="75">
        <v>0.1111111111111111</v>
      </c>
      <c r="R160" s="189">
        <v>1</v>
      </c>
      <c r="S160" s="189">
        <v>0.25</v>
      </c>
      <c r="T160" s="189">
        <v>0.25</v>
      </c>
      <c r="U160" s="189">
        <v>0.25</v>
      </c>
      <c r="V160" s="189">
        <v>0.25</v>
      </c>
      <c r="W160" s="189">
        <v>0.22</v>
      </c>
      <c r="X160" s="189" t="s">
        <v>1994</v>
      </c>
      <c r="Y160" s="189">
        <v>0.25</v>
      </c>
      <c r="Z160" s="189" t="s">
        <v>1995</v>
      </c>
      <c r="AA160" s="189">
        <v>0.25</v>
      </c>
      <c r="AB160" s="189" t="s">
        <v>1996</v>
      </c>
      <c r="AC160" s="189"/>
      <c r="AD160" s="189"/>
      <c r="AE160" s="189">
        <f t="shared" si="30"/>
        <v>0.72</v>
      </c>
      <c r="AF160" s="74">
        <v>44300</v>
      </c>
      <c r="AG160" s="74">
        <v>44392</v>
      </c>
      <c r="AH160" s="74">
        <v>44482</v>
      </c>
      <c r="AI160" s="74"/>
      <c r="AJ160" s="75">
        <f t="shared" si="31"/>
        <v>0.72</v>
      </c>
      <c r="AK160" s="75">
        <f t="shared" si="32"/>
        <v>0.88</v>
      </c>
      <c r="AL160" s="75">
        <f t="shared" si="33"/>
        <v>1</v>
      </c>
      <c r="AM160" s="75">
        <f t="shared" si="34"/>
        <v>1</v>
      </c>
      <c r="AN160" s="75">
        <f t="shared" si="35"/>
        <v>0</v>
      </c>
      <c r="AO160" s="188" t="s">
        <v>739</v>
      </c>
      <c r="AP160" s="188" t="s">
        <v>739</v>
      </c>
      <c r="AQ160" s="188" t="s">
        <v>739</v>
      </c>
      <c r="AR160" s="188"/>
      <c r="AS160" s="188" t="s">
        <v>1534</v>
      </c>
      <c r="AT160" s="188" t="s">
        <v>1997</v>
      </c>
      <c r="AU160" s="188" t="s">
        <v>1998</v>
      </c>
      <c r="AV160" s="188"/>
      <c r="AW160" s="188" t="s">
        <v>739</v>
      </c>
      <c r="AX160" t="s">
        <v>739</v>
      </c>
      <c r="AY160" t="s">
        <v>739</v>
      </c>
      <c r="BA160" t="s">
        <v>1999</v>
      </c>
      <c r="BB160" t="s">
        <v>2000</v>
      </c>
      <c r="BC160" t="s">
        <v>2001</v>
      </c>
      <c r="BD160" s="143"/>
    </row>
    <row r="161" spans="1:56" ht="15" customHeight="1" x14ac:dyDescent="0.25">
      <c r="A161" s="188">
        <v>9</v>
      </c>
      <c r="B161" s="188" t="s">
        <v>1950</v>
      </c>
      <c r="C161" s="188" t="s">
        <v>790</v>
      </c>
      <c r="D161" s="188" t="s">
        <v>791</v>
      </c>
      <c r="E161" s="188" t="s">
        <v>792</v>
      </c>
      <c r="F161" s="188" t="s">
        <v>793</v>
      </c>
      <c r="G161" s="188" t="s">
        <v>794</v>
      </c>
      <c r="H161" s="188" t="s">
        <v>794</v>
      </c>
      <c r="I161" t="s">
        <v>795</v>
      </c>
      <c r="J161" s="74">
        <v>44197</v>
      </c>
      <c r="K161" s="74">
        <v>44561</v>
      </c>
      <c r="L161" s="188" t="s">
        <v>733</v>
      </c>
      <c r="M161" s="188" t="str">
        <f t="shared" si="38"/>
        <v>Norte de Santander</v>
      </c>
      <c r="N161" s="188" t="s">
        <v>60</v>
      </c>
      <c r="O161" s="188" t="s">
        <v>796</v>
      </c>
      <c r="P161" s="188" t="s">
        <v>735</v>
      </c>
      <c r="Q161" s="75">
        <v>0.1111111111111111</v>
      </c>
      <c r="R161" s="189">
        <v>1</v>
      </c>
      <c r="S161" s="189">
        <v>0.25</v>
      </c>
      <c r="T161" s="189">
        <v>0.25</v>
      </c>
      <c r="U161" s="189">
        <v>0.25</v>
      </c>
      <c r="V161" s="189">
        <v>0.25</v>
      </c>
      <c r="W161" s="189">
        <v>0.25</v>
      </c>
      <c r="X161" s="189" t="s">
        <v>2002</v>
      </c>
      <c r="Y161" s="189">
        <v>0.25</v>
      </c>
      <c r="Z161" s="189" t="s">
        <v>2003</v>
      </c>
      <c r="AA161" s="189">
        <v>0.25</v>
      </c>
      <c r="AB161" s="189" t="s">
        <v>2004</v>
      </c>
      <c r="AC161" s="189"/>
      <c r="AD161" s="189"/>
      <c r="AE161" s="189">
        <f t="shared" si="30"/>
        <v>0.75</v>
      </c>
      <c r="AF161" s="74">
        <v>44300</v>
      </c>
      <c r="AG161" s="74">
        <v>44392</v>
      </c>
      <c r="AH161" s="74">
        <v>44482</v>
      </c>
      <c r="AI161" s="74"/>
      <c r="AJ161" s="75">
        <f t="shared" si="31"/>
        <v>0.75</v>
      </c>
      <c r="AK161" s="75">
        <f t="shared" si="32"/>
        <v>1</v>
      </c>
      <c r="AL161" s="75">
        <f t="shared" si="33"/>
        <v>1</v>
      </c>
      <c r="AM161" s="75">
        <f t="shared" si="34"/>
        <v>1</v>
      </c>
      <c r="AN161" s="75">
        <f t="shared" si="35"/>
        <v>0</v>
      </c>
      <c r="AO161" s="188" t="s">
        <v>739</v>
      </c>
      <c r="AP161" s="188" t="s">
        <v>739</v>
      </c>
      <c r="AQ161" s="188" t="s">
        <v>739</v>
      </c>
      <c r="AR161" s="188"/>
      <c r="AS161" s="188" t="s">
        <v>1543</v>
      </c>
      <c r="AT161" s="188" t="s">
        <v>2005</v>
      </c>
      <c r="AU161" s="188" t="s">
        <v>2006</v>
      </c>
      <c r="AV161" s="188"/>
      <c r="AW161" s="188" t="s">
        <v>739</v>
      </c>
      <c r="AX161" t="s">
        <v>739</v>
      </c>
      <c r="AY161" t="s">
        <v>739</v>
      </c>
      <c r="BA161" t="s">
        <v>2007</v>
      </c>
      <c r="BB161" t="s">
        <v>2008</v>
      </c>
      <c r="BC161" t="s">
        <v>2009</v>
      </c>
      <c r="BD161" s="143"/>
    </row>
    <row r="162" spans="1:56" ht="15" customHeight="1" x14ac:dyDescent="0.25">
      <c r="A162" s="188">
        <v>10</v>
      </c>
      <c r="B162" s="188" t="s">
        <v>1950</v>
      </c>
      <c r="C162" s="188" t="s">
        <v>790</v>
      </c>
      <c r="D162" s="188" t="s">
        <v>791</v>
      </c>
      <c r="E162" s="188" t="s">
        <v>792</v>
      </c>
      <c r="F162" s="188" t="s">
        <v>793</v>
      </c>
      <c r="G162" s="188" t="s">
        <v>794</v>
      </c>
      <c r="H162" s="188" t="s">
        <v>794</v>
      </c>
      <c r="I162" t="s">
        <v>805</v>
      </c>
      <c r="J162" s="74">
        <v>44197</v>
      </c>
      <c r="K162" s="74">
        <v>44561</v>
      </c>
      <c r="L162" s="188" t="s">
        <v>733</v>
      </c>
      <c r="M162" s="188" t="str">
        <f t="shared" si="38"/>
        <v>Norte de Santander</v>
      </c>
      <c r="N162" s="188" t="s">
        <v>60</v>
      </c>
      <c r="O162" s="188" t="s">
        <v>806</v>
      </c>
      <c r="P162" s="188" t="s">
        <v>735</v>
      </c>
      <c r="Q162" s="75">
        <v>0.1111111111111111</v>
      </c>
      <c r="R162" s="189">
        <v>1</v>
      </c>
      <c r="S162" s="189">
        <v>0.25</v>
      </c>
      <c r="T162" s="189">
        <v>0.25</v>
      </c>
      <c r="U162" s="189">
        <v>0.25</v>
      </c>
      <c r="V162" s="189">
        <v>0.25</v>
      </c>
      <c r="W162" s="189">
        <v>0.25</v>
      </c>
      <c r="X162" s="189" t="s">
        <v>2010</v>
      </c>
      <c r="Y162" s="189">
        <v>0.25</v>
      </c>
      <c r="Z162" s="189" t="s">
        <v>2011</v>
      </c>
      <c r="AA162" s="189">
        <v>0.25</v>
      </c>
      <c r="AB162" s="189" t="s">
        <v>2012</v>
      </c>
      <c r="AC162" s="189"/>
      <c r="AD162" s="189"/>
      <c r="AE162" s="189">
        <f t="shared" si="30"/>
        <v>0.75</v>
      </c>
      <c r="AF162" s="74">
        <v>44300</v>
      </c>
      <c r="AG162" s="74">
        <v>44392</v>
      </c>
      <c r="AH162" s="74">
        <v>44482</v>
      </c>
      <c r="AI162" s="74"/>
      <c r="AJ162" s="75">
        <f t="shared" si="31"/>
        <v>0.75</v>
      </c>
      <c r="AK162" s="75">
        <f t="shared" si="32"/>
        <v>1</v>
      </c>
      <c r="AL162" s="75">
        <f t="shared" si="33"/>
        <v>1</v>
      </c>
      <c r="AM162" s="75">
        <f t="shared" si="34"/>
        <v>1</v>
      </c>
      <c r="AN162" s="75">
        <f t="shared" si="35"/>
        <v>0</v>
      </c>
      <c r="AO162" s="188" t="s">
        <v>739</v>
      </c>
      <c r="AP162" s="188" t="s">
        <v>739</v>
      </c>
      <c r="AQ162" s="188" t="s">
        <v>739</v>
      </c>
      <c r="AR162" s="188"/>
      <c r="AS162" s="188" t="s">
        <v>2013</v>
      </c>
      <c r="AT162" s="188" t="s">
        <v>2014</v>
      </c>
      <c r="AU162" s="188" t="s">
        <v>2015</v>
      </c>
      <c r="AV162" s="188"/>
      <c r="AW162" s="188" t="s">
        <v>739</v>
      </c>
      <c r="AX162" t="s">
        <v>739</v>
      </c>
      <c r="AY162" t="s">
        <v>739</v>
      </c>
      <c r="BA162" t="s">
        <v>2016</v>
      </c>
      <c r="BB162" t="s">
        <v>2017</v>
      </c>
      <c r="BC162" t="s">
        <v>2018</v>
      </c>
      <c r="BD162" s="143"/>
    </row>
    <row r="163" spans="1:56" ht="15" customHeight="1" x14ac:dyDescent="0.25">
      <c r="A163" s="188">
        <v>12</v>
      </c>
      <c r="B163" s="188" t="s">
        <v>1950</v>
      </c>
      <c r="C163" s="188" t="s">
        <v>814</v>
      </c>
      <c r="D163" s="188" t="s">
        <v>727</v>
      </c>
      <c r="E163" s="188" t="s">
        <v>815</v>
      </c>
      <c r="F163" s="188" t="s">
        <v>816</v>
      </c>
      <c r="G163" s="188" t="s">
        <v>817</v>
      </c>
      <c r="H163" s="188" t="s">
        <v>818</v>
      </c>
      <c r="I163" t="s">
        <v>819</v>
      </c>
      <c r="J163" s="74">
        <v>44197</v>
      </c>
      <c r="K163" s="74">
        <v>44561</v>
      </c>
      <c r="L163" s="188" t="s">
        <v>733</v>
      </c>
      <c r="M163" s="188" t="str">
        <f t="shared" si="38"/>
        <v>Norte de Santander</v>
      </c>
      <c r="N163" s="188" t="s">
        <v>30</v>
      </c>
      <c r="O163" s="188" t="s">
        <v>820</v>
      </c>
      <c r="P163" s="188" t="s">
        <v>821</v>
      </c>
      <c r="Q163" s="75">
        <v>0.1111111111111111</v>
      </c>
      <c r="R163" s="190">
        <f>SUM(S163:V163)</f>
        <v>226218396.26888514</v>
      </c>
      <c r="S163" s="190">
        <v>44667772.888527304</v>
      </c>
      <c r="T163" s="190">
        <v>57904177.562319465</v>
      </c>
      <c r="U163" s="190">
        <v>58953322.174748316</v>
      </c>
      <c r="V163" s="190">
        <v>64693123.643290028</v>
      </c>
      <c r="W163" s="190">
        <v>23307845</v>
      </c>
      <c r="X163" s="190" t="s">
        <v>2019</v>
      </c>
      <c r="Y163" s="190">
        <v>29496563</v>
      </c>
      <c r="Z163" s="190" t="s">
        <v>2020</v>
      </c>
      <c r="AA163" s="190">
        <v>34566541</v>
      </c>
      <c r="AB163" s="190" t="s">
        <v>2021</v>
      </c>
      <c r="AC163" s="190"/>
      <c r="AD163" s="190"/>
      <c r="AE163" s="190">
        <f t="shared" si="30"/>
        <v>87370949</v>
      </c>
      <c r="AF163" s="74">
        <v>44300</v>
      </c>
      <c r="AG163" s="74">
        <v>44392</v>
      </c>
      <c r="AH163" s="74">
        <v>44482</v>
      </c>
      <c r="AI163" s="74"/>
      <c r="AJ163" s="75">
        <f t="shared" si="31"/>
        <v>0.3862238900153378</v>
      </c>
      <c r="AK163" s="75">
        <f t="shared" si="32"/>
        <v>0.52180450227878961</v>
      </c>
      <c r="AL163" s="75">
        <f t="shared" si="33"/>
        <v>0.50940302136671012</v>
      </c>
      <c r="AM163" s="75">
        <f t="shared" si="34"/>
        <v>0.58633745690426942</v>
      </c>
      <c r="AN163" s="75">
        <f t="shared" si="35"/>
        <v>0</v>
      </c>
      <c r="AO163" s="188" t="s">
        <v>739</v>
      </c>
      <c r="AP163" s="188" t="s">
        <v>739</v>
      </c>
      <c r="AQ163" s="188" t="s">
        <v>739</v>
      </c>
      <c r="AR163" s="188"/>
      <c r="AS163" s="188" t="s">
        <v>2022</v>
      </c>
      <c r="AT163" s="188" t="s">
        <v>2023</v>
      </c>
      <c r="AU163" s="188" t="s">
        <v>1326</v>
      </c>
      <c r="AV163" s="188"/>
      <c r="AW163" s="188" t="s">
        <v>739</v>
      </c>
      <c r="AX163" t="s">
        <v>739</v>
      </c>
      <c r="AY163" t="s">
        <v>739</v>
      </c>
      <c r="BA163" t="s">
        <v>2024</v>
      </c>
      <c r="BB163" t="s">
        <v>2025</v>
      </c>
      <c r="BC163" t="s">
        <v>2026</v>
      </c>
      <c r="BD163" s="143"/>
    </row>
    <row r="164" spans="1:56" ht="15" customHeight="1" x14ac:dyDescent="0.25">
      <c r="A164" s="188">
        <v>1</v>
      </c>
      <c r="B164" s="188" t="s">
        <v>505</v>
      </c>
      <c r="C164" s="188" t="s">
        <v>726</v>
      </c>
      <c r="D164" s="188" t="s">
        <v>727</v>
      </c>
      <c r="E164" s="188" t="s">
        <v>728</v>
      </c>
      <c r="F164" s="188" t="s">
        <v>729</v>
      </c>
      <c r="G164" s="188" t="s">
        <v>730</v>
      </c>
      <c r="H164" s="188" t="s">
        <v>731</v>
      </c>
      <c r="I164" s="188" t="s">
        <v>732</v>
      </c>
      <c r="J164" s="74">
        <v>44197</v>
      </c>
      <c r="K164" s="74">
        <v>44561</v>
      </c>
      <c r="L164" s="188" t="s">
        <v>733</v>
      </c>
      <c r="M164" s="188" t="str">
        <f>B164</f>
        <v>Quindío</v>
      </c>
      <c r="N164" s="188" t="s">
        <v>30</v>
      </c>
      <c r="O164" s="188" t="s">
        <v>734</v>
      </c>
      <c r="P164" s="188" t="s">
        <v>735</v>
      </c>
      <c r="Q164" s="75">
        <v>0.1</v>
      </c>
      <c r="R164" s="190">
        <v>6504</v>
      </c>
      <c r="S164" s="190">
        <v>0</v>
      </c>
      <c r="T164" s="190">
        <v>0</v>
      </c>
      <c r="U164" s="190">
        <v>0</v>
      </c>
      <c r="V164" s="190">
        <v>6504</v>
      </c>
      <c r="W164" s="190">
        <v>1024</v>
      </c>
      <c r="X164" s="190" t="s">
        <v>2027</v>
      </c>
      <c r="Y164" s="190">
        <v>1900</v>
      </c>
      <c r="Z164" s="190" t="s">
        <v>2028</v>
      </c>
      <c r="AA164" s="190">
        <v>1393</v>
      </c>
      <c r="AB164" s="190" t="s">
        <v>2029</v>
      </c>
      <c r="AC164" s="190"/>
      <c r="AD164" s="190"/>
      <c r="AE164" s="190">
        <f t="shared" si="30"/>
        <v>4317</v>
      </c>
      <c r="AF164" s="74">
        <v>44298</v>
      </c>
      <c r="AG164" s="74">
        <v>44389</v>
      </c>
      <c r="AH164" s="74">
        <v>44483</v>
      </c>
      <c r="AI164" s="74"/>
      <c r="AJ164" s="75">
        <f t="shared" si="31"/>
        <v>0.66374538745387457</v>
      </c>
      <c r="AK164" s="75" t="str">
        <f t="shared" si="32"/>
        <v/>
      </c>
      <c r="AL164" s="75" t="str">
        <f t="shared" si="33"/>
        <v/>
      </c>
      <c r="AM164" s="75" t="str">
        <f t="shared" si="34"/>
        <v/>
      </c>
      <c r="AN164" s="75">
        <f t="shared" si="35"/>
        <v>0</v>
      </c>
      <c r="AO164" s="188" t="s">
        <v>739</v>
      </c>
      <c r="AP164" s="188" t="s">
        <v>739</v>
      </c>
      <c r="AQ164" s="188" t="s">
        <v>739</v>
      </c>
      <c r="AR164" s="188"/>
      <c r="AS164" s="188" t="s">
        <v>2030</v>
      </c>
      <c r="AT164" s="188" t="s">
        <v>1040</v>
      </c>
      <c r="AU164" s="188" t="s">
        <v>2031</v>
      </c>
      <c r="AV164" s="188"/>
      <c r="AW164" s="188" t="s">
        <v>739</v>
      </c>
      <c r="AX164" s="188" t="s">
        <v>739</v>
      </c>
      <c r="AY164" s="188" t="s">
        <v>739</v>
      </c>
      <c r="AZ164" s="188"/>
      <c r="BA164" s="188" t="s">
        <v>2032</v>
      </c>
      <c r="BB164" s="188" t="s">
        <v>2033</v>
      </c>
      <c r="BC164" s="188" t="s">
        <v>2034</v>
      </c>
      <c r="BD164" s="143"/>
    </row>
    <row r="165" spans="1:56" ht="15" customHeight="1" x14ac:dyDescent="0.25">
      <c r="A165" s="188">
        <v>3</v>
      </c>
      <c r="B165" s="188" t="s">
        <v>505</v>
      </c>
      <c r="C165" s="188" t="s">
        <v>726</v>
      </c>
      <c r="D165" s="188" t="s">
        <v>727</v>
      </c>
      <c r="E165" s="188" t="s">
        <v>728</v>
      </c>
      <c r="F165" s="188" t="s">
        <v>729</v>
      </c>
      <c r="G165" s="188" t="s">
        <v>730</v>
      </c>
      <c r="H165" s="188" t="s">
        <v>731</v>
      </c>
      <c r="I165" s="188" t="s">
        <v>746</v>
      </c>
      <c r="J165" s="74">
        <v>44197</v>
      </c>
      <c r="K165" s="74">
        <v>44561</v>
      </c>
      <c r="L165" s="188" t="s">
        <v>733</v>
      </c>
      <c r="M165" s="188" t="str">
        <f t="shared" ref="M165:M173" si="39">B165</f>
        <v>Quindío</v>
      </c>
      <c r="N165" s="188" t="s">
        <v>30</v>
      </c>
      <c r="O165" s="188" t="s">
        <v>747</v>
      </c>
      <c r="P165" s="188" t="s">
        <v>735</v>
      </c>
      <c r="Q165" s="75">
        <v>0.1</v>
      </c>
      <c r="R165" s="190">
        <v>5392</v>
      </c>
      <c r="S165" s="190">
        <v>0</v>
      </c>
      <c r="T165" s="190">
        <v>0</v>
      </c>
      <c r="U165" s="190">
        <v>0</v>
      </c>
      <c r="V165" s="190">
        <v>5392</v>
      </c>
      <c r="W165" s="190">
        <v>733</v>
      </c>
      <c r="X165" s="190" t="s">
        <v>2035</v>
      </c>
      <c r="Y165" s="190">
        <v>421</v>
      </c>
      <c r="Z165" s="190" t="s">
        <v>2036</v>
      </c>
      <c r="AA165" s="190">
        <v>173</v>
      </c>
      <c r="AB165" s="190" t="s">
        <v>2037</v>
      </c>
      <c r="AC165" s="190"/>
      <c r="AD165" s="190"/>
      <c r="AE165" s="190">
        <f t="shared" si="30"/>
        <v>1327</v>
      </c>
      <c r="AF165" s="74">
        <v>44295</v>
      </c>
      <c r="AG165" s="74">
        <v>44389</v>
      </c>
      <c r="AH165" s="74">
        <v>44483</v>
      </c>
      <c r="AI165" s="74"/>
      <c r="AJ165" s="75">
        <f t="shared" si="31"/>
        <v>0.2461053412462908</v>
      </c>
      <c r="AK165" s="75" t="str">
        <f t="shared" si="32"/>
        <v/>
      </c>
      <c r="AL165" s="75" t="str">
        <f t="shared" si="33"/>
        <v/>
      </c>
      <c r="AM165" s="75" t="str">
        <f t="shared" si="34"/>
        <v/>
      </c>
      <c r="AN165" s="75">
        <f t="shared" si="35"/>
        <v>0</v>
      </c>
      <c r="AO165" s="188" t="s">
        <v>739</v>
      </c>
      <c r="AP165" s="188" t="s">
        <v>739</v>
      </c>
      <c r="AQ165" s="188" t="s">
        <v>739</v>
      </c>
      <c r="AR165" s="188"/>
      <c r="AS165" s="188" t="s">
        <v>1040</v>
      </c>
      <c r="AT165" s="188" t="s">
        <v>2038</v>
      </c>
      <c r="AU165" s="188" t="s">
        <v>2039</v>
      </c>
      <c r="AV165" s="188"/>
      <c r="AW165" s="188" t="s">
        <v>739</v>
      </c>
      <c r="AX165" t="s">
        <v>739</v>
      </c>
      <c r="AY165" t="s">
        <v>739</v>
      </c>
      <c r="BA165" t="s">
        <v>2040</v>
      </c>
      <c r="BB165" t="s">
        <v>2041</v>
      </c>
      <c r="BC165" t="s">
        <v>2042</v>
      </c>
      <c r="BD165" s="143"/>
    </row>
    <row r="166" spans="1:56" ht="15" customHeight="1" x14ac:dyDescent="0.25">
      <c r="A166" s="188">
        <v>5</v>
      </c>
      <c r="B166" s="188" t="s">
        <v>505</v>
      </c>
      <c r="C166" s="188" t="s">
        <v>964</v>
      </c>
      <c r="D166" s="188" t="s">
        <v>727</v>
      </c>
      <c r="E166" s="188" t="s">
        <v>815</v>
      </c>
      <c r="F166" s="188" t="s">
        <v>965</v>
      </c>
      <c r="G166" s="188" t="s">
        <v>730</v>
      </c>
      <c r="H166" s="188" t="s">
        <v>731</v>
      </c>
      <c r="I166" t="s">
        <v>966</v>
      </c>
      <c r="J166" s="74">
        <v>44197</v>
      </c>
      <c r="K166" s="74">
        <v>44561</v>
      </c>
      <c r="L166" s="188" t="s">
        <v>733</v>
      </c>
      <c r="M166" s="188" t="str">
        <f t="shared" si="39"/>
        <v>Quindío</v>
      </c>
      <c r="N166" s="188" t="s">
        <v>30</v>
      </c>
      <c r="O166" s="188" t="s">
        <v>967</v>
      </c>
      <c r="P166" s="188" t="s">
        <v>735</v>
      </c>
      <c r="Q166" s="75">
        <v>0.1</v>
      </c>
      <c r="R166" s="190">
        <v>10</v>
      </c>
      <c r="S166" s="190">
        <v>0</v>
      </c>
      <c r="T166" s="190">
        <v>0</v>
      </c>
      <c r="U166" s="190">
        <v>0</v>
      </c>
      <c r="V166" s="190">
        <v>10</v>
      </c>
      <c r="W166" s="190">
        <v>0</v>
      </c>
      <c r="X166" s="190" t="s">
        <v>2043</v>
      </c>
      <c r="Y166" s="190">
        <v>1</v>
      </c>
      <c r="Z166" s="190" t="s">
        <v>2044</v>
      </c>
      <c r="AA166" s="190">
        <v>3</v>
      </c>
      <c r="AB166" s="190" t="s">
        <v>2045</v>
      </c>
      <c r="AC166" s="190"/>
      <c r="AD166" s="190"/>
      <c r="AE166" s="190">
        <f t="shared" si="30"/>
        <v>4</v>
      </c>
      <c r="AF166" s="74">
        <v>44300</v>
      </c>
      <c r="AG166" s="74">
        <v>44390</v>
      </c>
      <c r="AH166" s="74">
        <v>44474</v>
      </c>
      <c r="AI166" s="74"/>
      <c r="AJ166" s="75">
        <f t="shared" si="31"/>
        <v>0.4</v>
      </c>
      <c r="AK166" s="75" t="str">
        <f t="shared" si="32"/>
        <v/>
      </c>
      <c r="AL166" s="75" t="str">
        <f t="shared" si="33"/>
        <v/>
      </c>
      <c r="AM166" s="75" t="str">
        <f t="shared" si="34"/>
        <v/>
      </c>
      <c r="AN166" s="75">
        <f t="shared" si="35"/>
        <v>0</v>
      </c>
      <c r="AO166" s="188" t="s">
        <v>828</v>
      </c>
      <c r="AP166" s="188" t="s">
        <v>739</v>
      </c>
      <c r="AQ166" s="188" t="s">
        <v>739</v>
      </c>
      <c r="AR166" s="188"/>
      <c r="AS166" s="188" t="s">
        <v>2046</v>
      </c>
      <c r="AT166" s="188" t="s">
        <v>2047</v>
      </c>
      <c r="AU166" s="188" t="s">
        <v>1973</v>
      </c>
      <c r="AV166" s="188"/>
      <c r="AW166" s="188" t="s">
        <v>838</v>
      </c>
      <c r="AX166" t="s">
        <v>739</v>
      </c>
      <c r="AY166" t="s">
        <v>739</v>
      </c>
      <c r="BA166" t="s">
        <v>2048</v>
      </c>
      <c r="BB166" t="s">
        <v>2049</v>
      </c>
      <c r="BC166" t="s">
        <v>2050</v>
      </c>
      <c r="BD166" s="143"/>
    </row>
    <row r="167" spans="1:56" ht="15" customHeight="1" x14ac:dyDescent="0.25">
      <c r="A167" s="188">
        <v>6</v>
      </c>
      <c r="B167" s="188" t="s">
        <v>505</v>
      </c>
      <c r="C167" s="188" t="s">
        <v>756</v>
      </c>
      <c r="D167" s="188" t="s">
        <v>727</v>
      </c>
      <c r="E167" s="188" t="s">
        <v>728</v>
      </c>
      <c r="F167" s="188" t="s">
        <v>757</v>
      </c>
      <c r="G167" s="188" t="s">
        <v>730</v>
      </c>
      <c r="H167" s="188" t="s">
        <v>731</v>
      </c>
      <c r="I167" t="s">
        <v>758</v>
      </c>
      <c r="J167" s="74">
        <v>44197</v>
      </c>
      <c r="K167" s="74">
        <v>44561</v>
      </c>
      <c r="L167" s="188" t="s">
        <v>733</v>
      </c>
      <c r="M167" s="188" t="str">
        <f t="shared" si="39"/>
        <v>Quindío</v>
      </c>
      <c r="N167" s="188" t="s">
        <v>60</v>
      </c>
      <c r="O167" s="188" t="s">
        <v>759</v>
      </c>
      <c r="P167" s="188" t="s">
        <v>735</v>
      </c>
      <c r="Q167" s="75">
        <v>0.1</v>
      </c>
      <c r="R167" s="189">
        <v>1</v>
      </c>
      <c r="S167" s="189">
        <v>0.25</v>
      </c>
      <c r="T167" s="189">
        <v>0.25</v>
      </c>
      <c r="U167" s="189">
        <v>0.25</v>
      </c>
      <c r="V167" s="189">
        <v>0.25</v>
      </c>
      <c r="W167" s="189">
        <v>0.25</v>
      </c>
      <c r="X167" s="189" t="s">
        <v>2051</v>
      </c>
      <c r="Y167" s="189">
        <v>0.25</v>
      </c>
      <c r="Z167" s="189" t="s">
        <v>2052</v>
      </c>
      <c r="AA167" s="189">
        <v>0.25</v>
      </c>
      <c r="AB167" s="189" t="s">
        <v>2053</v>
      </c>
      <c r="AC167" s="189"/>
      <c r="AD167" s="189"/>
      <c r="AE167" s="189">
        <f t="shared" si="30"/>
        <v>0.75</v>
      </c>
      <c r="AF167" s="74">
        <v>44300</v>
      </c>
      <c r="AG167" s="74">
        <v>44389</v>
      </c>
      <c r="AH167" s="74">
        <v>44476</v>
      </c>
      <c r="AI167" s="74"/>
      <c r="AJ167" s="75">
        <f t="shared" si="31"/>
        <v>0.75</v>
      </c>
      <c r="AK167" s="75">
        <f t="shared" si="32"/>
        <v>1</v>
      </c>
      <c r="AL167" s="75">
        <f t="shared" si="33"/>
        <v>1</v>
      </c>
      <c r="AM167" s="75">
        <f t="shared" si="34"/>
        <v>1</v>
      </c>
      <c r="AN167" s="75">
        <f t="shared" si="35"/>
        <v>0</v>
      </c>
      <c r="AO167" s="188" t="s">
        <v>739</v>
      </c>
      <c r="AP167" s="188" t="s">
        <v>739</v>
      </c>
      <c r="AQ167" s="188" t="s">
        <v>739</v>
      </c>
      <c r="AR167" s="188"/>
      <c r="AS167" s="188" t="s">
        <v>2054</v>
      </c>
      <c r="AT167" s="188" t="s">
        <v>1048</v>
      </c>
      <c r="AU167" s="188" t="s">
        <v>2055</v>
      </c>
      <c r="AV167" s="188"/>
      <c r="AW167" s="188" t="s">
        <v>739</v>
      </c>
      <c r="AX167" t="s">
        <v>739</v>
      </c>
      <c r="AY167" t="s">
        <v>739</v>
      </c>
      <c r="BA167" t="s">
        <v>2056</v>
      </c>
      <c r="BB167" t="s">
        <v>2057</v>
      </c>
      <c r="BC167" t="s">
        <v>2058</v>
      </c>
      <c r="BD167" s="143"/>
    </row>
    <row r="168" spans="1:56" ht="15" customHeight="1" x14ac:dyDescent="0.25">
      <c r="A168" s="188">
        <v>7</v>
      </c>
      <c r="B168" s="188" t="s">
        <v>505</v>
      </c>
      <c r="C168" s="188" t="s">
        <v>768</v>
      </c>
      <c r="D168" s="188" t="s">
        <v>727</v>
      </c>
      <c r="E168" s="188" t="s">
        <v>728</v>
      </c>
      <c r="F168" s="188" t="s">
        <v>757</v>
      </c>
      <c r="G168" s="188" t="s">
        <v>730</v>
      </c>
      <c r="H168" s="188" t="s">
        <v>731</v>
      </c>
      <c r="I168" t="s">
        <v>769</v>
      </c>
      <c r="J168" s="74">
        <v>44197</v>
      </c>
      <c r="K168" s="74">
        <v>44561</v>
      </c>
      <c r="L168" s="188" t="s">
        <v>733</v>
      </c>
      <c r="M168" s="188" t="str">
        <f t="shared" si="39"/>
        <v>Quindío</v>
      </c>
      <c r="N168" s="188" t="s">
        <v>60</v>
      </c>
      <c r="O168" s="188" t="s">
        <v>759</v>
      </c>
      <c r="P168" s="188" t="s">
        <v>735</v>
      </c>
      <c r="Q168" s="75">
        <v>0.1</v>
      </c>
      <c r="R168" s="189">
        <v>1</v>
      </c>
      <c r="S168" s="189">
        <v>0.25</v>
      </c>
      <c r="T168" s="189">
        <v>0.25</v>
      </c>
      <c r="U168" s="189">
        <v>0.25</v>
      </c>
      <c r="V168" s="189">
        <v>0.25</v>
      </c>
      <c r="W168" s="189">
        <v>0.25</v>
      </c>
      <c r="X168" s="189" t="s">
        <v>2059</v>
      </c>
      <c r="Y168" s="189">
        <v>0.25</v>
      </c>
      <c r="Z168" s="189" t="s">
        <v>2060</v>
      </c>
      <c r="AA168" s="189">
        <v>0.25</v>
      </c>
      <c r="AB168" s="189" t="s">
        <v>2061</v>
      </c>
      <c r="AC168" s="189"/>
      <c r="AD168" s="189"/>
      <c r="AE168" s="189">
        <f t="shared" si="30"/>
        <v>0.75</v>
      </c>
      <c r="AF168" s="74">
        <v>44300</v>
      </c>
      <c r="AG168" s="74">
        <v>44389</v>
      </c>
      <c r="AH168" s="74">
        <v>44474</v>
      </c>
      <c r="AI168" s="74"/>
      <c r="AJ168" s="75">
        <f t="shared" si="31"/>
        <v>0.75</v>
      </c>
      <c r="AK168" s="75">
        <f t="shared" si="32"/>
        <v>1</v>
      </c>
      <c r="AL168" s="75">
        <f t="shared" si="33"/>
        <v>1</v>
      </c>
      <c r="AM168" s="75">
        <f t="shared" si="34"/>
        <v>1</v>
      </c>
      <c r="AN168" s="75">
        <f t="shared" si="35"/>
        <v>0</v>
      </c>
      <c r="AO168" s="188" t="s">
        <v>739</v>
      </c>
      <c r="AP168" s="188" t="s">
        <v>739</v>
      </c>
      <c r="AQ168" s="188" t="s">
        <v>739</v>
      </c>
      <c r="AR168" s="188"/>
      <c r="AS168" s="188" t="s">
        <v>2030</v>
      </c>
      <c r="AT168" s="188" t="s">
        <v>1048</v>
      </c>
      <c r="AU168" s="188" t="s">
        <v>2062</v>
      </c>
      <c r="AV168" s="188"/>
      <c r="AW168" s="188" t="s">
        <v>739</v>
      </c>
      <c r="AX168" t="s">
        <v>739</v>
      </c>
      <c r="AY168" t="s">
        <v>739</v>
      </c>
      <c r="BA168" t="s">
        <v>2063</v>
      </c>
      <c r="BB168" t="s">
        <v>2064</v>
      </c>
      <c r="BC168" t="s">
        <v>2065</v>
      </c>
      <c r="BD168" s="143"/>
    </row>
    <row r="169" spans="1:56" ht="15" customHeight="1" x14ac:dyDescent="0.25">
      <c r="A169" s="188">
        <v>8</v>
      </c>
      <c r="B169" s="188" t="s">
        <v>505</v>
      </c>
      <c r="C169" s="188" t="s">
        <v>777</v>
      </c>
      <c r="D169" s="188" t="s">
        <v>778</v>
      </c>
      <c r="E169" s="188" t="s">
        <v>779</v>
      </c>
      <c r="F169" s="188" t="s">
        <v>780</v>
      </c>
      <c r="G169" s="188" t="s">
        <v>730</v>
      </c>
      <c r="H169" s="188" t="s">
        <v>781</v>
      </c>
      <c r="I169" t="s">
        <v>782</v>
      </c>
      <c r="J169" s="74">
        <v>44197</v>
      </c>
      <c r="K169" s="74">
        <v>44561</v>
      </c>
      <c r="L169" s="188" t="s">
        <v>733</v>
      </c>
      <c r="M169" s="188" t="str">
        <f t="shared" si="39"/>
        <v>Quindío</v>
      </c>
      <c r="N169" s="188" t="s">
        <v>60</v>
      </c>
      <c r="O169" s="188" t="s">
        <v>759</v>
      </c>
      <c r="P169" s="188" t="s">
        <v>735</v>
      </c>
      <c r="Q169" s="75">
        <v>0.1</v>
      </c>
      <c r="R169" s="189">
        <v>1</v>
      </c>
      <c r="S169" s="189">
        <v>0.25</v>
      </c>
      <c r="T169" s="189">
        <v>0.25</v>
      </c>
      <c r="U169" s="189">
        <v>0.25</v>
      </c>
      <c r="V169" s="189">
        <v>0.25</v>
      </c>
      <c r="W169" s="189">
        <v>0.25</v>
      </c>
      <c r="X169" s="189" t="s">
        <v>2066</v>
      </c>
      <c r="Y169" s="189">
        <v>0.25</v>
      </c>
      <c r="Z169" s="189" t="s">
        <v>2067</v>
      </c>
      <c r="AA169" s="189">
        <v>0.25</v>
      </c>
      <c r="AB169" s="189" t="s">
        <v>2068</v>
      </c>
      <c r="AC169" s="189"/>
      <c r="AD169" s="189"/>
      <c r="AE169" s="189">
        <f t="shared" si="30"/>
        <v>0.75</v>
      </c>
      <c r="AF169" s="74">
        <v>44300</v>
      </c>
      <c r="AG169" s="74">
        <v>44389</v>
      </c>
      <c r="AH169" s="74">
        <v>44474</v>
      </c>
      <c r="AI169" s="74"/>
      <c r="AJ169" s="75">
        <f t="shared" si="31"/>
        <v>0.75</v>
      </c>
      <c r="AK169" s="75">
        <f t="shared" si="32"/>
        <v>1</v>
      </c>
      <c r="AL169" s="75">
        <f t="shared" si="33"/>
        <v>1</v>
      </c>
      <c r="AM169" s="75">
        <f t="shared" si="34"/>
        <v>1</v>
      </c>
      <c r="AN169" s="75">
        <f t="shared" si="35"/>
        <v>0</v>
      </c>
      <c r="AO169" s="188" t="s">
        <v>739</v>
      </c>
      <c r="AP169" s="188" t="s">
        <v>739</v>
      </c>
      <c r="AQ169" s="188" t="s">
        <v>739</v>
      </c>
      <c r="AR169" s="188"/>
      <c r="AS169" s="188" t="s">
        <v>2069</v>
      </c>
      <c r="AT169" s="188" t="s">
        <v>1048</v>
      </c>
      <c r="AU169" s="188" t="s">
        <v>2070</v>
      </c>
      <c r="AV169" s="188"/>
      <c r="AW169" s="188" t="s">
        <v>739</v>
      </c>
      <c r="AX169" t="s">
        <v>739</v>
      </c>
      <c r="AY169" t="s">
        <v>739</v>
      </c>
      <c r="BA169" t="s">
        <v>2071</v>
      </c>
      <c r="BB169" t="s">
        <v>2072</v>
      </c>
      <c r="BC169" t="s">
        <v>2073</v>
      </c>
      <c r="BD169" s="143"/>
    </row>
    <row r="170" spans="1:56" ht="15" customHeight="1" x14ac:dyDescent="0.25">
      <c r="A170" s="188">
        <v>9</v>
      </c>
      <c r="B170" s="188" t="s">
        <v>505</v>
      </c>
      <c r="C170" s="188" t="s">
        <v>790</v>
      </c>
      <c r="D170" s="188" t="s">
        <v>791</v>
      </c>
      <c r="E170" s="188" t="s">
        <v>792</v>
      </c>
      <c r="F170" s="188" t="s">
        <v>793</v>
      </c>
      <c r="G170" s="188" t="s">
        <v>794</v>
      </c>
      <c r="H170" s="188" t="s">
        <v>794</v>
      </c>
      <c r="I170" t="s">
        <v>795</v>
      </c>
      <c r="J170" s="74">
        <v>44197</v>
      </c>
      <c r="K170" s="74">
        <v>44561</v>
      </c>
      <c r="L170" s="188" t="s">
        <v>733</v>
      </c>
      <c r="M170" s="188" t="str">
        <f t="shared" si="39"/>
        <v>Quindío</v>
      </c>
      <c r="N170" s="188" t="s">
        <v>60</v>
      </c>
      <c r="O170" s="188" t="s">
        <v>796</v>
      </c>
      <c r="P170" s="188" t="s">
        <v>735</v>
      </c>
      <c r="Q170" s="75">
        <v>0.1</v>
      </c>
      <c r="R170" s="189">
        <v>1</v>
      </c>
      <c r="S170" s="189">
        <v>0.25</v>
      </c>
      <c r="T170" s="189">
        <v>0.25</v>
      </c>
      <c r="U170" s="189">
        <v>0.25</v>
      </c>
      <c r="V170" s="189">
        <v>0.25</v>
      </c>
      <c r="W170" s="189">
        <v>0.25</v>
      </c>
      <c r="X170" s="189" t="s">
        <v>2074</v>
      </c>
      <c r="Y170" s="189">
        <v>0.25</v>
      </c>
      <c r="Z170" s="189" t="s">
        <v>2075</v>
      </c>
      <c r="AA170" s="189">
        <v>0.25</v>
      </c>
      <c r="AB170" s="189" t="s">
        <v>2076</v>
      </c>
      <c r="AC170" s="189"/>
      <c r="AD170" s="189"/>
      <c r="AE170" s="189">
        <f t="shared" si="30"/>
        <v>0.75</v>
      </c>
      <c r="AF170" s="74">
        <v>44300</v>
      </c>
      <c r="AG170" s="74">
        <v>44389</v>
      </c>
      <c r="AH170" s="74">
        <v>44475</v>
      </c>
      <c r="AI170" s="74"/>
      <c r="AJ170" s="75">
        <f t="shared" si="31"/>
        <v>0.75</v>
      </c>
      <c r="AK170" s="75">
        <f t="shared" si="32"/>
        <v>1</v>
      </c>
      <c r="AL170" s="75">
        <f t="shared" si="33"/>
        <v>1</v>
      </c>
      <c r="AM170" s="75">
        <f t="shared" si="34"/>
        <v>1</v>
      </c>
      <c r="AN170" s="75">
        <f t="shared" si="35"/>
        <v>0</v>
      </c>
      <c r="AO170" s="188" t="s">
        <v>739</v>
      </c>
      <c r="AP170" s="188" t="s">
        <v>739</v>
      </c>
      <c r="AQ170" s="188" t="s">
        <v>739</v>
      </c>
      <c r="AR170" s="188"/>
      <c r="AS170" s="188" t="s">
        <v>2069</v>
      </c>
      <c r="AT170" s="188" t="s">
        <v>1048</v>
      </c>
      <c r="AU170" s="188" t="s">
        <v>2077</v>
      </c>
      <c r="AV170" s="188"/>
      <c r="AW170" s="188" t="s">
        <v>739</v>
      </c>
      <c r="AX170" t="s">
        <v>739</v>
      </c>
      <c r="AY170" t="s">
        <v>739</v>
      </c>
      <c r="BA170" t="s">
        <v>2078</v>
      </c>
      <c r="BB170" t="s">
        <v>2079</v>
      </c>
      <c r="BC170" t="s">
        <v>2080</v>
      </c>
      <c r="BD170" s="143"/>
    </row>
    <row r="171" spans="1:56" ht="15" customHeight="1" x14ac:dyDescent="0.25">
      <c r="A171" s="188">
        <v>10</v>
      </c>
      <c r="B171" s="188" t="s">
        <v>505</v>
      </c>
      <c r="C171" s="188" t="s">
        <v>790</v>
      </c>
      <c r="D171" s="188" t="s">
        <v>791</v>
      </c>
      <c r="E171" s="188" t="s">
        <v>792</v>
      </c>
      <c r="F171" s="188" t="s">
        <v>793</v>
      </c>
      <c r="G171" s="188" t="s">
        <v>794</v>
      </c>
      <c r="H171" s="188" t="s">
        <v>794</v>
      </c>
      <c r="I171" t="s">
        <v>805</v>
      </c>
      <c r="J171" s="74">
        <v>44197</v>
      </c>
      <c r="K171" s="74">
        <v>44561</v>
      </c>
      <c r="L171" s="188" t="s">
        <v>733</v>
      </c>
      <c r="M171" s="188" t="str">
        <f t="shared" si="39"/>
        <v>Quindío</v>
      </c>
      <c r="N171" s="188" t="s">
        <v>60</v>
      </c>
      <c r="O171" s="188" t="s">
        <v>806</v>
      </c>
      <c r="P171" s="188" t="s">
        <v>735</v>
      </c>
      <c r="Q171" s="75">
        <v>0.1</v>
      </c>
      <c r="R171" s="189">
        <v>1</v>
      </c>
      <c r="S171" s="189">
        <v>0.25</v>
      </c>
      <c r="T171" s="189">
        <v>0.25</v>
      </c>
      <c r="U171" s="189">
        <v>0.25</v>
      </c>
      <c r="V171" s="189">
        <v>0.25</v>
      </c>
      <c r="W171" s="189">
        <v>0.25</v>
      </c>
      <c r="X171" s="189" t="s">
        <v>2081</v>
      </c>
      <c r="Y171" s="189">
        <v>0.25</v>
      </c>
      <c r="Z171" s="189" t="s">
        <v>2082</v>
      </c>
      <c r="AA171" s="189">
        <v>0.25</v>
      </c>
      <c r="AB171" s="189" t="s">
        <v>2083</v>
      </c>
      <c r="AC171" s="189"/>
      <c r="AD171" s="189"/>
      <c r="AE171" s="189">
        <f t="shared" si="30"/>
        <v>0.75</v>
      </c>
      <c r="AF171" s="74">
        <v>44300</v>
      </c>
      <c r="AG171" s="74">
        <v>44389</v>
      </c>
      <c r="AH171" s="74">
        <v>44477</v>
      </c>
      <c r="AI171" s="74"/>
      <c r="AJ171" s="75">
        <f t="shared" si="31"/>
        <v>0.75</v>
      </c>
      <c r="AK171" s="75">
        <f t="shared" si="32"/>
        <v>1</v>
      </c>
      <c r="AL171" s="75">
        <f t="shared" si="33"/>
        <v>1</v>
      </c>
      <c r="AM171" s="75">
        <f t="shared" si="34"/>
        <v>1</v>
      </c>
      <c r="AN171" s="75">
        <f t="shared" si="35"/>
        <v>0</v>
      </c>
      <c r="AO171" s="188" t="s">
        <v>739</v>
      </c>
      <c r="AP171" s="188" t="s">
        <v>739</v>
      </c>
      <c r="AQ171" s="188" t="s">
        <v>739</v>
      </c>
      <c r="AR171" s="188"/>
      <c r="AS171" s="188" t="s">
        <v>2069</v>
      </c>
      <c r="AT171" s="188" t="s">
        <v>1048</v>
      </c>
      <c r="AU171" s="188" t="s">
        <v>2084</v>
      </c>
      <c r="AV171" s="188"/>
      <c r="AW171" s="188" t="s">
        <v>739</v>
      </c>
      <c r="AX171" t="s">
        <v>739</v>
      </c>
      <c r="AY171" t="s">
        <v>739</v>
      </c>
      <c r="BA171" t="s">
        <v>2085</v>
      </c>
      <c r="BB171" t="s">
        <v>2086</v>
      </c>
      <c r="BC171" t="s">
        <v>2087</v>
      </c>
      <c r="BD171" s="143"/>
    </row>
    <row r="172" spans="1:56" ht="15" customHeight="1" x14ac:dyDescent="0.25">
      <c r="A172" s="188">
        <v>12</v>
      </c>
      <c r="B172" s="188" t="s">
        <v>505</v>
      </c>
      <c r="C172" s="188" t="s">
        <v>814</v>
      </c>
      <c r="D172" s="188" t="s">
        <v>727</v>
      </c>
      <c r="E172" s="188" t="s">
        <v>815</v>
      </c>
      <c r="F172" s="188" t="s">
        <v>816</v>
      </c>
      <c r="G172" s="188" t="s">
        <v>817</v>
      </c>
      <c r="H172" s="188" t="s">
        <v>818</v>
      </c>
      <c r="I172" t="s">
        <v>819</v>
      </c>
      <c r="J172" s="74">
        <v>44197</v>
      </c>
      <c r="K172" s="74">
        <v>44561</v>
      </c>
      <c r="L172" s="188" t="s">
        <v>733</v>
      </c>
      <c r="M172" s="188" t="str">
        <f t="shared" si="39"/>
        <v>Quindío</v>
      </c>
      <c r="N172" s="188" t="s">
        <v>30</v>
      </c>
      <c r="O172" s="188" t="s">
        <v>820</v>
      </c>
      <c r="P172" s="188" t="s">
        <v>821</v>
      </c>
      <c r="Q172" s="75">
        <v>0.1</v>
      </c>
      <c r="R172" s="190">
        <f>SUM(S172:V172)</f>
        <v>158161439.37895647</v>
      </c>
      <c r="S172" s="190">
        <v>31229640.782638304</v>
      </c>
      <c r="T172" s="190">
        <v>40483922.706381485</v>
      </c>
      <c r="U172" s="190">
        <v>41217436.093246773</v>
      </c>
      <c r="V172" s="190">
        <v>45230439.79668992</v>
      </c>
      <c r="W172" s="190">
        <v>27612414</v>
      </c>
      <c r="X172" s="190" t="s">
        <v>2088</v>
      </c>
      <c r="Y172" s="190">
        <v>25528026</v>
      </c>
      <c r="Z172" s="190" t="s">
        <v>2089</v>
      </c>
      <c r="AA172" s="190">
        <v>19072070</v>
      </c>
      <c r="AB172" s="190" t="s">
        <v>2090</v>
      </c>
      <c r="AC172" s="190"/>
      <c r="AD172" s="190"/>
      <c r="AE172" s="190">
        <f t="shared" si="30"/>
        <v>72212510</v>
      </c>
      <c r="AF172" s="74">
        <v>44300</v>
      </c>
      <c r="AG172" s="74">
        <v>44386</v>
      </c>
      <c r="AH172" s="74">
        <v>44477</v>
      </c>
      <c r="AI172" s="74"/>
      <c r="AJ172" s="75">
        <f t="shared" si="31"/>
        <v>0.45657468902377696</v>
      </c>
      <c r="AK172" s="75">
        <f t="shared" si="32"/>
        <v>0.88417328243335891</v>
      </c>
      <c r="AL172" s="75">
        <f t="shared" si="33"/>
        <v>0.63057194790997895</v>
      </c>
      <c r="AM172" s="75">
        <f t="shared" si="34"/>
        <v>0.46271849507701046</v>
      </c>
      <c r="AN172" s="75">
        <f t="shared" si="35"/>
        <v>0</v>
      </c>
      <c r="AO172" s="188" t="s">
        <v>739</v>
      </c>
      <c r="AP172" s="188" t="s">
        <v>739</v>
      </c>
      <c r="AQ172" s="188" t="s">
        <v>739</v>
      </c>
      <c r="AR172" s="188"/>
      <c r="AS172" s="188" t="s">
        <v>2069</v>
      </c>
      <c r="AT172" s="188" t="s">
        <v>1048</v>
      </c>
      <c r="AU172" s="188" t="s">
        <v>2091</v>
      </c>
      <c r="AV172" s="188"/>
      <c r="AW172" s="188" t="s">
        <v>739</v>
      </c>
      <c r="AX172" t="s">
        <v>828</v>
      </c>
      <c r="AY172" t="s">
        <v>739</v>
      </c>
      <c r="BA172" t="s">
        <v>2092</v>
      </c>
      <c r="BB172" t="s">
        <v>2093</v>
      </c>
      <c r="BC172" t="s">
        <v>2094</v>
      </c>
      <c r="BD172" s="143"/>
    </row>
    <row r="173" spans="1:56" ht="15" customHeight="1" x14ac:dyDescent="0.25">
      <c r="A173" s="188">
        <v>13</v>
      </c>
      <c r="B173" s="188" t="s">
        <v>505</v>
      </c>
      <c r="C173" s="188" t="s">
        <v>814</v>
      </c>
      <c r="D173" s="188" t="s">
        <v>727</v>
      </c>
      <c r="E173" s="188" t="s">
        <v>815</v>
      </c>
      <c r="F173" s="188" t="s">
        <v>816</v>
      </c>
      <c r="G173" s="188" t="s">
        <v>817</v>
      </c>
      <c r="H173" s="188" t="s">
        <v>818</v>
      </c>
      <c r="I173" t="s">
        <v>1480</v>
      </c>
      <c r="J173" s="74">
        <v>44197</v>
      </c>
      <c r="K173" s="74">
        <v>44561</v>
      </c>
      <c r="L173" s="188" t="s">
        <v>733</v>
      </c>
      <c r="M173" s="188" t="str">
        <f t="shared" si="39"/>
        <v>Quindío</v>
      </c>
      <c r="N173" s="188" t="s">
        <v>60</v>
      </c>
      <c r="O173" s="188" t="s">
        <v>924</v>
      </c>
      <c r="P173" s="188" t="s">
        <v>821</v>
      </c>
      <c r="Q173" s="75">
        <v>0.1</v>
      </c>
      <c r="R173" s="189">
        <v>1</v>
      </c>
      <c r="S173" s="189">
        <v>0.25</v>
      </c>
      <c r="T173" s="189">
        <v>0.25</v>
      </c>
      <c r="U173" s="189">
        <v>0.25</v>
      </c>
      <c r="V173" s="189">
        <v>0.25</v>
      </c>
      <c r="W173" s="189">
        <v>0</v>
      </c>
      <c r="X173" s="189" t="s">
        <v>2095</v>
      </c>
      <c r="Y173" s="189">
        <v>0</v>
      </c>
      <c r="Z173" s="189" t="s">
        <v>2096</v>
      </c>
      <c r="AA173" s="189">
        <v>1</v>
      </c>
      <c r="AB173" s="189" t="s">
        <v>2097</v>
      </c>
      <c r="AC173" s="189"/>
      <c r="AD173" s="189"/>
      <c r="AE173" s="189">
        <f t="shared" si="30"/>
        <v>1</v>
      </c>
      <c r="AF173" s="60">
        <v>44300</v>
      </c>
      <c r="AG173" s="60">
        <v>44385</v>
      </c>
      <c r="AH173" s="60">
        <v>44477</v>
      </c>
      <c r="AI173" s="60"/>
      <c r="AJ173" s="75">
        <f t="shared" si="31"/>
        <v>1</v>
      </c>
      <c r="AK173" s="75">
        <f t="shared" si="32"/>
        <v>0</v>
      </c>
      <c r="AL173" s="75">
        <f t="shared" si="33"/>
        <v>0</v>
      </c>
      <c r="AM173" s="75">
        <f t="shared" si="34"/>
        <v>1</v>
      </c>
      <c r="AN173" s="75">
        <f t="shared" si="35"/>
        <v>0</v>
      </c>
      <c r="AO173" s="188" t="s">
        <v>828</v>
      </c>
      <c r="AP173" s="188" t="s">
        <v>739</v>
      </c>
      <c r="AQ173" s="188" t="s">
        <v>739</v>
      </c>
      <c r="AR173" s="188"/>
      <c r="AS173" s="188" t="s">
        <v>2098</v>
      </c>
      <c r="AT173" s="188" t="s">
        <v>2099</v>
      </c>
      <c r="AU173" s="188" t="s">
        <v>2100</v>
      </c>
      <c r="AV173" s="188"/>
      <c r="AW173" s="188" t="s">
        <v>828</v>
      </c>
      <c r="AX173" t="s">
        <v>739</v>
      </c>
      <c r="AY173" t="s">
        <v>739</v>
      </c>
      <c r="BA173" t="s">
        <v>2101</v>
      </c>
      <c r="BB173" t="s">
        <v>2102</v>
      </c>
      <c r="BC173" t="s">
        <v>2103</v>
      </c>
      <c r="BD173" s="143"/>
    </row>
    <row r="174" spans="1:56" ht="15" customHeight="1" x14ac:dyDescent="0.25">
      <c r="A174" s="188">
        <v>1</v>
      </c>
      <c r="B174" s="188" t="s">
        <v>506</v>
      </c>
      <c r="C174" s="188" t="s">
        <v>726</v>
      </c>
      <c r="D174" s="188" t="s">
        <v>727</v>
      </c>
      <c r="E174" s="188" t="s">
        <v>728</v>
      </c>
      <c r="F174" s="188" t="s">
        <v>729</v>
      </c>
      <c r="G174" s="188" t="s">
        <v>730</v>
      </c>
      <c r="H174" s="188" t="s">
        <v>731</v>
      </c>
      <c r="I174" s="188" t="s">
        <v>732</v>
      </c>
      <c r="J174" s="74">
        <v>44197</v>
      </c>
      <c r="K174" s="74">
        <v>44561</v>
      </c>
      <c r="L174" s="188" t="s">
        <v>733</v>
      </c>
      <c r="M174" s="188" t="str">
        <f>B174</f>
        <v>Risaralda</v>
      </c>
      <c r="N174" s="188" t="s">
        <v>30</v>
      </c>
      <c r="O174" s="188" t="s">
        <v>734</v>
      </c>
      <c r="P174" s="188" t="s">
        <v>735</v>
      </c>
      <c r="Q174" s="75">
        <v>0.1</v>
      </c>
      <c r="R174" s="190">
        <v>14324</v>
      </c>
      <c r="S174" s="190">
        <v>0</v>
      </c>
      <c r="T174" s="190">
        <v>0</v>
      </c>
      <c r="U174" s="190">
        <v>0</v>
      </c>
      <c r="V174" s="190">
        <v>14324</v>
      </c>
      <c r="W174" s="190">
        <v>2677</v>
      </c>
      <c r="X174" s="190" t="s">
        <v>2104</v>
      </c>
      <c r="Y174" s="190">
        <v>7195</v>
      </c>
      <c r="Z174" s="190" t="s">
        <v>2105</v>
      </c>
      <c r="AA174" s="190">
        <v>3669</v>
      </c>
      <c r="AB174" s="190" t="s">
        <v>2106</v>
      </c>
      <c r="AC174" s="190"/>
      <c r="AD174" s="190"/>
      <c r="AE174" s="190">
        <f t="shared" si="30"/>
        <v>13541</v>
      </c>
      <c r="AF174" s="74">
        <v>44298</v>
      </c>
      <c r="AG174" s="74">
        <v>44386</v>
      </c>
      <c r="AH174" s="74">
        <v>44491</v>
      </c>
      <c r="AI174" s="74"/>
      <c r="AJ174" s="75">
        <f t="shared" si="31"/>
        <v>0.94533649818486454</v>
      </c>
      <c r="AK174" s="75" t="str">
        <f t="shared" si="32"/>
        <v/>
      </c>
      <c r="AL174" s="75" t="str">
        <f t="shared" si="33"/>
        <v/>
      </c>
      <c r="AM174" s="75" t="str">
        <f t="shared" si="34"/>
        <v/>
      </c>
      <c r="AN174" s="75">
        <f t="shared" si="35"/>
        <v>0</v>
      </c>
      <c r="AO174" s="188" t="s">
        <v>739</v>
      </c>
      <c r="AP174" s="188" t="s">
        <v>739</v>
      </c>
      <c r="AQ174" s="188" t="s">
        <v>739</v>
      </c>
      <c r="AR174" s="188"/>
      <c r="AS174" s="188" t="s">
        <v>2107</v>
      </c>
      <c r="AT174" s="188" t="s">
        <v>1048</v>
      </c>
      <c r="AU174" s="188" t="s">
        <v>1452</v>
      </c>
      <c r="AV174" s="188"/>
      <c r="AW174" s="188" t="s">
        <v>739</v>
      </c>
      <c r="AX174" s="188" t="s">
        <v>739</v>
      </c>
      <c r="AY174" s="188" t="s">
        <v>739</v>
      </c>
      <c r="AZ174" s="188"/>
      <c r="BA174" s="188" t="s">
        <v>2108</v>
      </c>
      <c r="BB174" s="188" t="s">
        <v>2109</v>
      </c>
      <c r="BC174" s="188" t="s">
        <v>2110</v>
      </c>
      <c r="BD174" s="143"/>
    </row>
    <row r="175" spans="1:56" ht="15" customHeight="1" x14ac:dyDescent="0.25">
      <c r="A175" s="188">
        <v>3</v>
      </c>
      <c r="B175" s="188" t="s">
        <v>506</v>
      </c>
      <c r="C175" s="188" t="s">
        <v>726</v>
      </c>
      <c r="D175" s="188" t="s">
        <v>727</v>
      </c>
      <c r="E175" s="188" t="s">
        <v>728</v>
      </c>
      <c r="F175" s="188" t="s">
        <v>729</v>
      </c>
      <c r="G175" s="188" t="s">
        <v>730</v>
      </c>
      <c r="H175" s="188" t="s">
        <v>731</v>
      </c>
      <c r="I175" s="188" t="s">
        <v>746</v>
      </c>
      <c r="J175" s="74">
        <v>44197</v>
      </c>
      <c r="K175" s="74">
        <v>44561</v>
      </c>
      <c r="L175" s="188" t="s">
        <v>733</v>
      </c>
      <c r="M175" s="188" t="str">
        <f t="shared" ref="M175:M183" si="40">B175</f>
        <v>Risaralda</v>
      </c>
      <c r="N175" s="188" t="s">
        <v>30</v>
      </c>
      <c r="O175" s="188" t="s">
        <v>747</v>
      </c>
      <c r="P175" s="188" t="s">
        <v>735</v>
      </c>
      <c r="Q175" s="75">
        <v>0.1</v>
      </c>
      <c r="R175" s="190">
        <v>4506</v>
      </c>
      <c r="S175" s="190">
        <v>0</v>
      </c>
      <c r="T175" s="190">
        <v>0</v>
      </c>
      <c r="U175" s="190">
        <v>0</v>
      </c>
      <c r="V175" s="190">
        <v>4506</v>
      </c>
      <c r="W175" s="190">
        <v>192</v>
      </c>
      <c r="X175" s="190" t="s">
        <v>2111</v>
      </c>
      <c r="Y175" s="190">
        <v>845</v>
      </c>
      <c r="Z175" s="190" t="s">
        <v>2112</v>
      </c>
      <c r="AA175" s="190">
        <v>301</v>
      </c>
      <c r="AB175" s="190" t="s">
        <v>2113</v>
      </c>
      <c r="AC175" s="190"/>
      <c r="AD175" s="190"/>
      <c r="AE175" s="190">
        <f t="shared" si="30"/>
        <v>1338</v>
      </c>
      <c r="AF175" s="74">
        <v>44298</v>
      </c>
      <c r="AG175" s="74">
        <v>44386</v>
      </c>
      <c r="AH175" s="74">
        <v>44491</v>
      </c>
      <c r="AI175" s="74"/>
      <c r="AJ175" s="75">
        <f t="shared" si="31"/>
        <v>0.2969374167776298</v>
      </c>
      <c r="AK175" s="75" t="str">
        <f t="shared" si="32"/>
        <v/>
      </c>
      <c r="AL175" s="75" t="str">
        <f t="shared" si="33"/>
        <v/>
      </c>
      <c r="AM175" s="75" t="str">
        <f t="shared" si="34"/>
        <v/>
      </c>
      <c r="AN175" s="75">
        <f t="shared" si="35"/>
        <v>0</v>
      </c>
      <c r="AO175" s="188" t="s">
        <v>739</v>
      </c>
      <c r="AP175" s="188" t="s">
        <v>739</v>
      </c>
      <c r="AQ175" s="188" t="s">
        <v>739</v>
      </c>
      <c r="AR175" s="188"/>
      <c r="AS175" s="188" t="s">
        <v>2107</v>
      </c>
      <c r="AT175" s="188" t="s">
        <v>1048</v>
      </c>
      <c r="AU175" s="188" t="s">
        <v>1452</v>
      </c>
      <c r="AV175" s="188"/>
      <c r="AW175" s="188" t="s">
        <v>739</v>
      </c>
      <c r="AX175" t="s">
        <v>739</v>
      </c>
      <c r="AY175" t="s">
        <v>739</v>
      </c>
      <c r="BA175" t="s">
        <v>2114</v>
      </c>
      <c r="BB175" t="s">
        <v>2115</v>
      </c>
      <c r="BC175" t="s">
        <v>2110</v>
      </c>
      <c r="BD175" s="143"/>
    </row>
    <row r="176" spans="1:56" ht="15" customHeight="1" x14ac:dyDescent="0.25">
      <c r="A176" s="188">
        <v>5</v>
      </c>
      <c r="B176" s="188" t="s">
        <v>506</v>
      </c>
      <c r="C176" s="188" t="s">
        <v>964</v>
      </c>
      <c r="D176" s="188" t="s">
        <v>727</v>
      </c>
      <c r="E176" s="188" t="s">
        <v>815</v>
      </c>
      <c r="F176" s="188" t="s">
        <v>965</v>
      </c>
      <c r="G176" s="188" t="s">
        <v>730</v>
      </c>
      <c r="H176" s="188" t="s">
        <v>731</v>
      </c>
      <c r="I176" t="s">
        <v>966</v>
      </c>
      <c r="J176" s="74">
        <v>44197</v>
      </c>
      <c r="K176" s="74">
        <v>44561</v>
      </c>
      <c r="L176" s="188" t="s">
        <v>733</v>
      </c>
      <c r="M176" s="188" t="str">
        <f t="shared" si="40"/>
        <v>Risaralda</v>
      </c>
      <c r="N176" s="188" t="s">
        <v>30</v>
      </c>
      <c r="O176" s="188" t="s">
        <v>967</v>
      </c>
      <c r="P176" s="188" t="s">
        <v>735</v>
      </c>
      <c r="Q176" s="75">
        <v>0.1</v>
      </c>
      <c r="R176" s="190">
        <v>30</v>
      </c>
      <c r="S176" s="190">
        <v>0</v>
      </c>
      <c r="T176" s="190">
        <v>0</v>
      </c>
      <c r="U176" s="190">
        <v>0</v>
      </c>
      <c r="V176" s="190">
        <v>30</v>
      </c>
      <c r="W176" s="190">
        <v>0</v>
      </c>
      <c r="X176" s="190" t="s">
        <v>2116</v>
      </c>
      <c r="Y176" s="190">
        <v>1</v>
      </c>
      <c r="Z176" s="190" t="s">
        <v>2117</v>
      </c>
      <c r="AA176" s="190">
        <v>9</v>
      </c>
      <c r="AB176" s="190" t="s">
        <v>2118</v>
      </c>
      <c r="AC176" s="190"/>
      <c r="AD176" s="190"/>
      <c r="AE176" s="190">
        <f t="shared" si="30"/>
        <v>10</v>
      </c>
      <c r="AF176" s="74">
        <v>44300</v>
      </c>
      <c r="AG176" s="74">
        <v>44386</v>
      </c>
      <c r="AH176" s="74">
        <v>44491</v>
      </c>
      <c r="AI176" s="74"/>
      <c r="AJ176" s="75">
        <f t="shared" si="31"/>
        <v>0.33333333333333331</v>
      </c>
      <c r="AK176" s="75" t="str">
        <f t="shared" si="32"/>
        <v/>
      </c>
      <c r="AL176" s="75" t="str">
        <f t="shared" si="33"/>
        <v/>
      </c>
      <c r="AM176" s="75" t="str">
        <f t="shared" si="34"/>
        <v/>
      </c>
      <c r="AN176" s="75">
        <f t="shared" si="35"/>
        <v>0</v>
      </c>
      <c r="AO176" s="188" t="s">
        <v>828</v>
      </c>
      <c r="AP176" s="188" t="s">
        <v>828</v>
      </c>
      <c r="AQ176" s="188" t="s">
        <v>739</v>
      </c>
      <c r="AR176" s="188"/>
      <c r="AS176" s="188" t="s">
        <v>2119</v>
      </c>
      <c r="AT176" s="188" t="s">
        <v>1040</v>
      </c>
      <c r="AU176" s="188" t="s">
        <v>1452</v>
      </c>
      <c r="AV176" s="188"/>
      <c r="AW176" s="188" t="s">
        <v>838</v>
      </c>
      <c r="AX176" t="s">
        <v>739</v>
      </c>
      <c r="AY176" t="s">
        <v>739</v>
      </c>
      <c r="BA176" t="s">
        <v>2120</v>
      </c>
      <c r="BB176" t="s">
        <v>2121</v>
      </c>
      <c r="BC176" t="s">
        <v>2122</v>
      </c>
      <c r="BD176" s="143"/>
    </row>
    <row r="177" spans="1:56" ht="15" customHeight="1" x14ac:dyDescent="0.25">
      <c r="A177" s="188">
        <v>6</v>
      </c>
      <c r="B177" s="188" t="s">
        <v>506</v>
      </c>
      <c r="C177" s="188" t="s">
        <v>756</v>
      </c>
      <c r="D177" s="188" t="s">
        <v>727</v>
      </c>
      <c r="E177" s="188" t="s">
        <v>728</v>
      </c>
      <c r="F177" s="188" t="s">
        <v>757</v>
      </c>
      <c r="G177" s="188" t="s">
        <v>730</v>
      </c>
      <c r="H177" s="188" t="s">
        <v>731</v>
      </c>
      <c r="I177" t="s">
        <v>758</v>
      </c>
      <c r="J177" s="74">
        <v>44197</v>
      </c>
      <c r="K177" s="74">
        <v>44561</v>
      </c>
      <c r="L177" s="188" t="s">
        <v>733</v>
      </c>
      <c r="M177" s="188" t="str">
        <f t="shared" si="40"/>
        <v>Risaralda</v>
      </c>
      <c r="N177" s="188" t="s">
        <v>60</v>
      </c>
      <c r="O177" s="188" t="s">
        <v>759</v>
      </c>
      <c r="P177" s="188" t="s">
        <v>735</v>
      </c>
      <c r="Q177" s="75">
        <v>0.1</v>
      </c>
      <c r="R177" s="189">
        <v>1</v>
      </c>
      <c r="S177" s="189">
        <v>0.25</v>
      </c>
      <c r="T177" s="189">
        <v>0.25</v>
      </c>
      <c r="U177" s="189">
        <v>0.25</v>
      </c>
      <c r="V177" s="189">
        <v>0.25</v>
      </c>
      <c r="W177" s="189">
        <v>0.25</v>
      </c>
      <c r="X177" s="189" t="s">
        <v>2123</v>
      </c>
      <c r="Y177" s="189">
        <v>0.25</v>
      </c>
      <c r="Z177" s="189" t="s">
        <v>2124</v>
      </c>
      <c r="AA177" s="189">
        <v>0.25</v>
      </c>
      <c r="AB177" s="189" t="s">
        <v>2125</v>
      </c>
      <c r="AC177" s="189"/>
      <c r="AD177" s="189"/>
      <c r="AE177" s="189">
        <f t="shared" si="30"/>
        <v>0.75</v>
      </c>
      <c r="AF177" s="74">
        <v>44300</v>
      </c>
      <c r="AG177" s="74">
        <v>44390</v>
      </c>
      <c r="AH177" s="74">
        <v>44491</v>
      </c>
      <c r="AI177" s="74"/>
      <c r="AJ177" s="75">
        <f t="shared" si="31"/>
        <v>0.75</v>
      </c>
      <c r="AK177" s="75">
        <f t="shared" si="32"/>
        <v>1</v>
      </c>
      <c r="AL177" s="75">
        <f t="shared" si="33"/>
        <v>1</v>
      </c>
      <c r="AM177" s="75">
        <f t="shared" si="34"/>
        <v>1</v>
      </c>
      <c r="AN177" s="75">
        <f t="shared" si="35"/>
        <v>0</v>
      </c>
      <c r="AO177" s="188" t="s">
        <v>739</v>
      </c>
      <c r="AP177" s="188" t="s">
        <v>739</v>
      </c>
      <c r="AQ177" s="188" t="s">
        <v>739</v>
      </c>
      <c r="AR177" s="188"/>
      <c r="AS177" s="188" t="s">
        <v>2107</v>
      </c>
      <c r="AT177" s="188" t="s">
        <v>1048</v>
      </c>
      <c r="AU177" s="188" t="s">
        <v>1452</v>
      </c>
      <c r="AV177" s="188"/>
      <c r="AW177" s="188" t="s">
        <v>739</v>
      </c>
      <c r="AX177" t="s">
        <v>739</v>
      </c>
      <c r="AY177" t="s">
        <v>739</v>
      </c>
      <c r="BA177" t="s">
        <v>2126</v>
      </c>
      <c r="BB177" t="s">
        <v>2127</v>
      </c>
      <c r="BC177" t="s">
        <v>2128</v>
      </c>
      <c r="BD177" s="143"/>
    </row>
    <row r="178" spans="1:56" ht="15" customHeight="1" x14ac:dyDescent="0.25">
      <c r="A178" s="188">
        <v>7</v>
      </c>
      <c r="B178" s="188" t="s">
        <v>506</v>
      </c>
      <c r="C178" s="188" t="s">
        <v>768</v>
      </c>
      <c r="D178" s="188" t="s">
        <v>727</v>
      </c>
      <c r="E178" s="188" t="s">
        <v>728</v>
      </c>
      <c r="F178" s="188" t="s">
        <v>757</v>
      </c>
      <c r="G178" s="188" t="s">
        <v>730</v>
      </c>
      <c r="H178" s="188" t="s">
        <v>731</v>
      </c>
      <c r="I178" t="s">
        <v>769</v>
      </c>
      <c r="J178" s="74">
        <v>44197</v>
      </c>
      <c r="K178" s="74">
        <v>44561</v>
      </c>
      <c r="L178" s="188" t="s">
        <v>733</v>
      </c>
      <c r="M178" s="188" t="str">
        <f t="shared" si="40"/>
        <v>Risaralda</v>
      </c>
      <c r="N178" s="188" t="s">
        <v>60</v>
      </c>
      <c r="O178" s="188" t="s">
        <v>759</v>
      </c>
      <c r="P178" s="188" t="s">
        <v>735</v>
      </c>
      <c r="Q178" s="75">
        <v>0.1</v>
      </c>
      <c r="R178" s="189">
        <v>1</v>
      </c>
      <c r="S178" s="189">
        <v>0.25</v>
      </c>
      <c r="T178" s="189">
        <v>0.25</v>
      </c>
      <c r="U178" s="189">
        <v>0.25</v>
      </c>
      <c r="V178" s="189">
        <v>0.25</v>
      </c>
      <c r="W178" s="189">
        <v>0.25</v>
      </c>
      <c r="X178" s="189" t="s">
        <v>2129</v>
      </c>
      <c r="Y178" s="189">
        <v>0.25</v>
      </c>
      <c r="Z178" s="189" t="s">
        <v>2130</v>
      </c>
      <c r="AA178" s="189">
        <v>0.25</v>
      </c>
      <c r="AB178" s="189" t="s">
        <v>2131</v>
      </c>
      <c r="AC178" s="189"/>
      <c r="AD178" s="189"/>
      <c r="AE178" s="189">
        <f t="shared" si="30"/>
        <v>0.75</v>
      </c>
      <c r="AF178" s="74">
        <v>44300</v>
      </c>
      <c r="AG178" s="74">
        <v>44390</v>
      </c>
      <c r="AH178" s="74">
        <v>44491</v>
      </c>
      <c r="AI178" s="74"/>
      <c r="AJ178" s="75">
        <f t="shared" si="31"/>
        <v>0.75</v>
      </c>
      <c r="AK178" s="75">
        <f t="shared" si="32"/>
        <v>1</v>
      </c>
      <c r="AL178" s="75">
        <f t="shared" si="33"/>
        <v>1</v>
      </c>
      <c r="AM178" s="75">
        <f t="shared" si="34"/>
        <v>1</v>
      </c>
      <c r="AN178" s="75">
        <f t="shared" si="35"/>
        <v>0</v>
      </c>
      <c r="AO178" s="188" t="s">
        <v>739</v>
      </c>
      <c r="AP178" s="188" t="s">
        <v>739</v>
      </c>
      <c r="AQ178" s="188" t="s">
        <v>739</v>
      </c>
      <c r="AR178" s="188"/>
      <c r="AS178" s="188" t="s">
        <v>1040</v>
      </c>
      <c r="AT178" s="188" t="s">
        <v>1048</v>
      </c>
      <c r="AU178" s="188" t="s">
        <v>1452</v>
      </c>
      <c r="AV178" s="188"/>
      <c r="AW178" s="188" t="s">
        <v>739</v>
      </c>
      <c r="AX178" t="s">
        <v>739</v>
      </c>
      <c r="AY178" t="s">
        <v>739</v>
      </c>
      <c r="BA178" t="s">
        <v>2132</v>
      </c>
      <c r="BB178" t="s">
        <v>2133</v>
      </c>
      <c r="BC178" t="s">
        <v>2134</v>
      </c>
      <c r="BD178" s="143"/>
    </row>
    <row r="179" spans="1:56" ht="15" customHeight="1" x14ac:dyDescent="0.25">
      <c r="A179" s="188">
        <v>8</v>
      </c>
      <c r="B179" s="188" t="s">
        <v>506</v>
      </c>
      <c r="C179" s="188" t="s">
        <v>777</v>
      </c>
      <c r="D179" s="188" t="s">
        <v>778</v>
      </c>
      <c r="E179" s="188" t="s">
        <v>779</v>
      </c>
      <c r="F179" s="188" t="s">
        <v>780</v>
      </c>
      <c r="G179" s="188" t="s">
        <v>730</v>
      </c>
      <c r="H179" s="188" t="s">
        <v>781</v>
      </c>
      <c r="I179" t="s">
        <v>782</v>
      </c>
      <c r="J179" s="74">
        <v>44197</v>
      </c>
      <c r="K179" s="74">
        <v>44561</v>
      </c>
      <c r="L179" s="188" t="s">
        <v>733</v>
      </c>
      <c r="M179" s="188" t="str">
        <f t="shared" si="40"/>
        <v>Risaralda</v>
      </c>
      <c r="N179" s="188" t="s">
        <v>60</v>
      </c>
      <c r="O179" s="188" t="s">
        <v>759</v>
      </c>
      <c r="P179" s="188" t="s">
        <v>735</v>
      </c>
      <c r="Q179" s="75">
        <v>0.1</v>
      </c>
      <c r="R179" s="189">
        <v>1</v>
      </c>
      <c r="S179" s="189">
        <v>0.25</v>
      </c>
      <c r="T179" s="189">
        <v>0.25</v>
      </c>
      <c r="U179" s="189">
        <v>0.25</v>
      </c>
      <c r="V179" s="189">
        <v>0.25</v>
      </c>
      <c r="W179" s="189">
        <v>0.25</v>
      </c>
      <c r="X179" s="189" t="s">
        <v>2135</v>
      </c>
      <c r="Y179" s="189">
        <v>0.25</v>
      </c>
      <c r="Z179" s="189" t="s">
        <v>2136</v>
      </c>
      <c r="AA179" s="189">
        <v>0.25</v>
      </c>
      <c r="AB179" s="189" t="s">
        <v>2137</v>
      </c>
      <c r="AC179" s="189"/>
      <c r="AD179" s="189"/>
      <c r="AE179" s="189">
        <f t="shared" si="30"/>
        <v>0.75</v>
      </c>
      <c r="AF179" s="74">
        <v>44300</v>
      </c>
      <c r="AG179" s="74">
        <v>44392</v>
      </c>
      <c r="AH179" s="74">
        <v>44491</v>
      </c>
      <c r="AI179" s="74"/>
      <c r="AJ179" s="75">
        <f t="shared" si="31"/>
        <v>0.75</v>
      </c>
      <c r="AK179" s="75">
        <f t="shared" si="32"/>
        <v>1</v>
      </c>
      <c r="AL179" s="75">
        <f t="shared" si="33"/>
        <v>1</v>
      </c>
      <c r="AM179" s="75">
        <f t="shared" si="34"/>
        <v>1</v>
      </c>
      <c r="AN179" s="75">
        <f t="shared" si="35"/>
        <v>0</v>
      </c>
      <c r="AO179" s="188" t="s">
        <v>739</v>
      </c>
      <c r="AP179" s="188" t="s">
        <v>739</v>
      </c>
      <c r="AQ179" s="188" t="s">
        <v>739</v>
      </c>
      <c r="AR179" s="188"/>
      <c r="AS179" s="188" t="s">
        <v>2107</v>
      </c>
      <c r="AT179" s="188" t="s">
        <v>1048</v>
      </c>
      <c r="AU179" s="188" t="s">
        <v>1452</v>
      </c>
      <c r="AV179" s="188"/>
      <c r="AW179" s="188" t="s">
        <v>739</v>
      </c>
      <c r="AX179" t="s">
        <v>739</v>
      </c>
      <c r="AY179" t="s">
        <v>739</v>
      </c>
      <c r="BA179" t="s">
        <v>2138</v>
      </c>
      <c r="BB179" t="s">
        <v>2139</v>
      </c>
      <c r="BC179" t="s">
        <v>2140</v>
      </c>
      <c r="BD179" s="143"/>
    </row>
    <row r="180" spans="1:56" ht="15" customHeight="1" x14ac:dyDescent="0.25">
      <c r="A180" s="188">
        <v>9</v>
      </c>
      <c r="B180" s="188" t="s">
        <v>506</v>
      </c>
      <c r="C180" s="188" t="s">
        <v>790</v>
      </c>
      <c r="D180" s="188" t="s">
        <v>791</v>
      </c>
      <c r="E180" s="188" t="s">
        <v>792</v>
      </c>
      <c r="F180" s="188" t="s">
        <v>793</v>
      </c>
      <c r="G180" s="188" t="s">
        <v>794</v>
      </c>
      <c r="H180" s="188" t="s">
        <v>794</v>
      </c>
      <c r="I180" t="s">
        <v>795</v>
      </c>
      <c r="J180" s="74">
        <v>44197</v>
      </c>
      <c r="K180" s="74">
        <v>44561</v>
      </c>
      <c r="L180" s="188" t="s">
        <v>733</v>
      </c>
      <c r="M180" s="188" t="str">
        <f t="shared" si="40"/>
        <v>Risaralda</v>
      </c>
      <c r="N180" s="188" t="s">
        <v>60</v>
      </c>
      <c r="O180" s="188" t="s">
        <v>796</v>
      </c>
      <c r="P180" s="188" t="s">
        <v>735</v>
      </c>
      <c r="Q180" s="75">
        <v>0.1</v>
      </c>
      <c r="R180" s="189">
        <v>1</v>
      </c>
      <c r="S180" s="189">
        <v>0.25</v>
      </c>
      <c r="T180" s="189">
        <v>0.25</v>
      </c>
      <c r="U180" s="189">
        <v>0.25</v>
      </c>
      <c r="V180" s="189">
        <v>0.25</v>
      </c>
      <c r="W180" s="189">
        <v>0.25</v>
      </c>
      <c r="X180" s="189" t="s">
        <v>2141</v>
      </c>
      <c r="Y180" s="189">
        <v>0.25</v>
      </c>
      <c r="Z180" s="189" t="s">
        <v>2142</v>
      </c>
      <c r="AA180" s="189">
        <v>0.25</v>
      </c>
      <c r="AB180" s="189" t="s">
        <v>2143</v>
      </c>
      <c r="AC180" s="189"/>
      <c r="AD180" s="189"/>
      <c r="AE180" s="189">
        <f t="shared" si="30"/>
        <v>0.75</v>
      </c>
      <c r="AF180" s="74">
        <v>44300</v>
      </c>
      <c r="AG180" s="74">
        <v>44390</v>
      </c>
      <c r="AH180" s="74">
        <v>44491</v>
      </c>
      <c r="AI180" s="74"/>
      <c r="AJ180" s="75">
        <f t="shared" si="31"/>
        <v>0.75</v>
      </c>
      <c r="AK180" s="75">
        <f t="shared" si="32"/>
        <v>1</v>
      </c>
      <c r="AL180" s="75">
        <f t="shared" si="33"/>
        <v>1</v>
      </c>
      <c r="AM180" s="75">
        <f t="shared" si="34"/>
        <v>1</v>
      </c>
      <c r="AN180" s="75">
        <f t="shared" si="35"/>
        <v>0</v>
      </c>
      <c r="AO180" s="188" t="s">
        <v>739</v>
      </c>
      <c r="AP180" s="188" t="s">
        <v>739</v>
      </c>
      <c r="AQ180" s="188" t="s">
        <v>739</v>
      </c>
      <c r="AR180" s="188"/>
      <c r="AS180" s="188" t="s">
        <v>1048</v>
      </c>
      <c r="AT180" s="188" t="s">
        <v>1048</v>
      </c>
      <c r="AU180" s="188" t="s">
        <v>1452</v>
      </c>
      <c r="AV180" s="188"/>
      <c r="AW180" s="188" t="s">
        <v>739</v>
      </c>
      <c r="AX180" t="s">
        <v>739</v>
      </c>
      <c r="AY180" t="s">
        <v>739</v>
      </c>
      <c r="BA180" t="s">
        <v>2144</v>
      </c>
      <c r="BB180" t="s">
        <v>2145</v>
      </c>
      <c r="BC180" t="s">
        <v>2146</v>
      </c>
      <c r="BD180" s="143"/>
    </row>
    <row r="181" spans="1:56" ht="15" customHeight="1" x14ac:dyDescent="0.25">
      <c r="A181" s="188">
        <v>10</v>
      </c>
      <c r="B181" s="188" t="s">
        <v>506</v>
      </c>
      <c r="C181" s="188" t="s">
        <v>790</v>
      </c>
      <c r="D181" s="188" t="s">
        <v>791</v>
      </c>
      <c r="E181" s="188" t="s">
        <v>792</v>
      </c>
      <c r="F181" s="188" t="s">
        <v>793</v>
      </c>
      <c r="G181" s="188" t="s">
        <v>794</v>
      </c>
      <c r="H181" s="188" t="s">
        <v>794</v>
      </c>
      <c r="I181" t="s">
        <v>805</v>
      </c>
      <c r="J181" s="74">
        <v>44197</v>
      </c>
      <c r="K181" s="74">
        <v>44561</v>
      </c>
      <c r="L181" s="188" t="s">
        <v>733</v>
      </c>
      <c r="M181" s="188" t="str">
        <f t="shared" si="40"/>
        <v>Risaralda</v>
      </c>
      <c r="N181" s="188" t="s">
        <v>60</v>
      </c>
      <c r="O181" s="188" t="s">
        <v>806</v>
      </c>
      <c r="P181" s="188" t="s">
        <v>735</v>
      </c>
      <c r="Q181" s="75">
        <v>0.1</v>
      </c>
      <c r="R181" s="189">
        <v>1</v>
      </c>
      <c r="S181" s="189">
        <v>0.25</v>
      </c>
      <c r="T181" s="189">
        <v>0.25</v>
      </c>
      <c r="U181" s="189">
        <v>0.25</v>
      </c>
      <c r="V181" s="189">
        <v>0.25</v>
      </c>
      <c r="W181" s="189">
        <v>0.25</v>
      </c>
      <c r="X181" s="189" t="s">
        <v>2147</v>
      </c>
      <c r="Y181" s="189"/>
      <c r="Z181" s="189"/>
      <c r="AA181" s="189"/>
      <c r="AB181" s="189"/>
      <c r="AC181" s="189"/>
      <c r="AD181" s="189"/>
      <c r="AE181" s="189">
        <f t="shared" si="30"/>
        <v>0.25</v>
      </c>
      <c r="AF181" s="74">
        <v>44300</v>
      </c>
      <c r="AG181" s="75"/>
      <c r="AH181" s="74"/>
      <c r="AI181" s="74"/>
      <c r="AJ181" s="75">
        <f t="shared" si="31"/>
        <v>0.25</v>
      </c>
      <c r="AK181" s="75">
        <f t="shared" si="32"/>
        <v>1</v>
      </c>
      <c r="AL181" s="75">
        <f t="shared" si="33"/>
        <v>0</v>
      </c>
      <c r="AM181" s="75">
        <f t="shared" si="34"/>
        <v>0</v>
      </c>
      <c r="AN181" s="75">
        <f t="shared" si="35"/>
        <v>0</v>
      </c>
      <c r="AO181" s="188" t="s">
        <v>828</v>
      </c>
      <c r="AP181" s="188" t="s">
        <v>828</v>
      </c>
      <c r="AQ181" s="188" t="s">
        <v>828</v>
      </c>
      <c r="AR181" s="188"/>
      <c r="AS181" s="188" t="s">
        <v>2148</v>
      </c>
      <c r="AT181" s="188" t="s">
        <v>2149</v>
      </c>
      <c r="AU181" s="188" t="s">
        <v>2150</v>
      </c>
      <c r="AV181" s="188"/>
      <c r="AW181" s="188" t="s">
        <v>828</v>
      </c>
      <c r="AX181" t="s">
        <v>828</v>
      </c>
      <c r="AY181" t="s">
        <v>828</v>
      </c>
      <c r="BA181" t="s">
        <v>2151</v>
      </c>
      <c r="BB181" t="s">
        <v>2152</v>
      </c>
      <c r="BC181" t="s">
        <v>2153</v>
      </c>
      <c r="BD181" s="143"/>
    </row>
    <row r="182" spans="1:56" ht="15" customHeight="1" x14ac:dyDescent="0.25">
      <c r="A182" s="188">
        <v>12</v>
      </c>
      <c r="B182" s="188" t="s">
        <v>506</v>
      </c>
      <c r="C182" s="188" t="s">
        <v>814</v>
      </c>
      <c r="D182" s="188" t="s">
        <v>727</v>
      </c>
      <c r="E182" s="188" t="s">
        <v>815</v>
      </c>
      <c r="F182" s="188" t="s">
        <v>816</v>
      </c>
      <c r="G182" s="188" t="s">
        <v>817</v>
      </c>
      <c r="H182" s="188" t="s">
        <v>818</v>
      </c>
      <c r="I182" t="s">
        <v>819</v>
      </c>
      <c r="J182" s="74">
        <v>44197</v>
      </c>
      <c r="K182" s="74">
        <v>44561</v>
      </c>
      <c r="L182" s="188" t="s">
        <v>733</v>
      </c>
      <c r="M182" s="188" t="str">
        <f t="shared" si="40"/>
        <v>Risaralda</v>
      </c>
      <c r="N182" s="188" t="s">
        <v>30</v>
      </c>
      <c r="O182" s="188" t="s">
        <v>820</v>
      </c>
      <c r="P182" s="188" t="s">
        <v>821</v>
      </c>
      <c r="Q182" s="75">
        <v>0.1</v>
      </c>
      <c r="R182" s="190">
        <f>SUM(S182:V182)</f>
        <v>341887132.94983864</v>
      </c>
      <c r="S182" s="190">
        <v>67507050.973703712</v>
      </c>
      <c r="T182" s="190">
        <v>87511420.72932592</v>
      </c>
      <c r="U182" s="190">
        <v>89097008.150636837</v>
      </c>
      <c r="V182" s="190">
        <v>97771653.096172184</v>
      </c>
      <c r="W182" s="190">
        <v>32000000</v>
      </c>
      <c r="X182" s="190" t="s">
        <v>2154</v>
      </c>
      <c r="Y182" s="190">
        <v>21071546</v>
      </c>
      <c r="Z182" s="190" t="s">
        <v>2155</v>
      </c>
      <c r="AA182" s="190">
        <v>23036178</v>
      </c>
      <c r="AB182" s="190" t="s">
        <v>2156</v>
      </c>
      <c r="AC182" s="190"/>
      <c r="AD182" s="190"/>
      <c r="AE182" s="190">
        <f t="shared" si="30"/>
        <v>76107724</v>
      </c>
      <c r="AF182" s="74">
        <v>44300</v>
      </c>
      <c r="AG182" s="74">
        <v>44386</v>
      </c>
      <c r="AH182" s="74">
        <v>44491</v>
      </c>
      <c r="AI182" s="74"/>
      <c r="AJ182" s="75">
        <f t="shared" si="31"/>
        <v>0.22261067078873206</v>
      </c>
      <c r="AK182" s="75">
        <f t="shared" si="32"/>
        <v>0.47402455800454218</v>
      </c>
      <c r="AL182" s="75">
        <f t="shared" si="33"/>
        <v>0.240786240520247</v>
      </c>
      <c r="AM182" s="75">
        <f t="shared" si="34"/>
        <v>0.25855164475391362</v>
      </c>
      <c r="AN182" s="75">
        <f t="shared" si="35"/>
        <v>0</v>
      </c>
      <c r="AO182" s="188" t="s">
        <v>739</v>
      </c>
      <c r="AP182" s="188" t="s">
        <v>739</v>
      </c>
      <c r="AQ182" s="188" t="s">
        <v>739</v>
      </c>
      <c r="AR182" s="188"/>
      <c r="AS182" s="188" t="s">
        <v>1048</v>
      </c>
      <c r="AT182" s="188" t="s">
        <v>1048</v>
      </c>
      <c r="AU182" s="188" t="s">
        <v>1452</v>
      </c>
      <c r="AV182" s="188"/>
      <c r="AW182" s="188" t="s">
        <v>739</v>
      </c>
      <c r="AX182" t="s">
        <v>739</v>
      </c>
      <c r="AY182" t="s">
        <v>828</v>
      </c>
      <c r="BA182" t="s">
        <v>2157</v>
      </c>
      <c r="BB182" t="s">
        <v>2158</v>
      </c>
      <c r="BC182" t="s">
        <v>2159</v>
      </c>
      <c r="BD182" s="143"/>
    </row>
    <row r="183" spans="1:56" ht="15" customHeight="1" x14ac:dyDescent="0.25">
      <c r="A183" s="188">
        <v>13</v>
      </c>
      <c r="B183" s="188" t="s">
        <v>506</v>
      </c>
      <c r="C183" s="188" t="s">
        <v>814</v>
      </c>
      <c r="D183" s="188" t="s">
        <v>727</v>
      </c>
      <c r="E183" s="188" t="s">
        <v>815</v>
      </c>
      <c r="F183" s="188" t="s">
        <v>816</v>
      </c>
      <c r="G183" s="188" t="s">
        <v>817</v>
      </c>
      <c r="H183" s="188" t="s">
        <v>818</v>
      </c>
      <c r="I183" t="s">
        <v>923</v>
      </c>
      <c r="J183" s="74">
        <v>44197</v>
      </c>
      <c r="K183" s="74">
        <v>44561</v>
      </c>
      <c r="L183" s="188" t="s">
        <v>733</v>
      </c>
      <c r="M183" s="188" t="str">
        <f t="shared" si="40"/>
        <v>Risaralda</v>
      </c>
      <c r="N183" s="188" t="s">
        <v>60</v>
      </c>
      <c r="O183" s="188" t="s">
        <v>924</v>
      </c>
      <c r="P183" s="188" t="s">
        <v>821</v>
      </c>
      <c r="Q183" s="75">
        <v>0.1</v>
      </c>
      <c r="R183" s="189">
        <v>1</v>
      </c>
      <c r="S183" s="189">
        <v>0.25</v>
      </c>
      <c r="T183" s="189">
        <v>0.25</v>
      </c>
      <c r="U183" s="189">
        <v>0.25</v>
      </c>
      <c r="V183" s="189">
        <v>0.25</v>
      </c>
      <c r="W183" s="189">
        <v>0</v>
      </c>
      <c r="X183" s="189" t="s">
        <v>2160</v>
      </c>
      <c r="Y183" s="189">
        <v>1</v>
      </c>
      <c r="Z183" s="189" t="s">
        <v>2161</v>
      </c>
      <c r="AA183" s="189">
        <v>0</v>
      </c>
      <c r="AB183" s="189" t="s">
        <v>2162</v>
      </c>
      <c r="AC183" s="189"/>
      <c r="AD183" s="189"/>
      <c r="AE183" s="189">
        <f t="shared" si="30"/>
        <v>1</v>
      </c>
      <c r="AF183" s="60">
        <v>44300</v>
      </c>
      <c r="AG183" s="60">
        <v>44392</v>
      </c>
      <c r="AH183" s="60">
        <v>44491</v>
      </c>
      <c r="AI183" s="60"/>
      <c r="AJ183" s="75">
        <f t="shared" si="31"/>
        <v>1</v>
      </c>
      <c r="AK183" s="75">
        <f t="shared" si="32"/>
        <v>0</v>
      </c>
      <c r="AL183" s="75">
        <f t="shared" si="33"/>
        <v>1</v>
      </c>
      <c r="AM183" s="75">
        <f t="shared" si="34"/>
        <v>0</v>
      </c>
      <c r="AN183" s="75">
        <f t="shared" si="35"/>
        <v>0</v>
      </c>
      <c r="AO183" s="188" t="s">
        <v>828</v>
      </c>
      <c r="AP183" s="188" t="s">
        <v>739</v>
      </c>
      <c r="AQ183" s="188" t="s">
        <v>739</v>
      </c>
      <c r="AR183" s="188"/>
      <c r="AS183" s="188" t="s">
        <v>2163</v>
      </c>
      <c r="AT183" s="188" t="s">
        <v>1048</v>
      </c>
      <c r="AU183" s="188" t="s">
        <v>1452</v>
      </c>
      <c r="AV183" s="188"/>
      <c r="AW183" s="188" t="s">
        <v>828</v>
      </c>
      <c r="AX183" t="s">
        <v>739</v>
      </c>
      <c r="AY183" t="s">
        <v>828</v>
      </c>
      <c r="BA183" t="s">
        <v>2164</v>
      </c>
      <c r="BB183" t="s">
        <v>2165</v>
      </c>
      <c r="BC183" t="s">
        <v>2166</v>
      </c>
      <c r="BD183" s="143"/>
    </row>
    <row r="184" spans="1:56" ht="15" customHeight="1" x14ac:dyDescent="0.25">
      <c r="A184" s="188">
        <v>1</v>
      </c>
      <c r="B184" s="188" t="s">
        <v>507</v>
      </c>
      <c r="C184" s="188" t="s">
        <v>726</v>
      </c>
      <c r="D184" s="188" t="s">
        <v>727</v>
      </c>
      <c r="E184" s="188" t="s">
        <v>728</v>
      </c>
      <c r="F184" s="188" t="s">
        <v>729</v>
      </c>
      <c r="G184" s="188" t="s">
        <v>730</v>
      </c>
      <c r="H184" s="188" t="s">
        <v>731</v>
      </c>
      <c r="I184" s="188" t="s">
        <v>732</v>
      </c>
      <c r="J184" s="74">
        <v>44197</v>
      </c>
      <c r="K184" s="74">
        <v>44561</v>
      </c>
      <c r="L184" s="188" t="s">
        <v>733</v>
      </c>
      <c r="M184" s="188" t="str">
        <f>B184</f>
        <v>Santander</v>
      </c>
      <c r="N184" s="188" t="s">
        <v>30</v>
      </c>
      <c r="O184" s="188" t="s">
        <v>734</v>
      </c>
      <c r="P184" s="188" t="s">
        <v>735</v>
      </c>
      <c r="Q184" s="75">
        <v>0.1111111111111111</v>
      </c>
      <c r="R184" s="190">
        <v>21982</v>
      </c>
      <c r="S184" s="190">
        <v>0</v>
      </c>
      <c r="T184" s="190">
        <v>0</v>
      </c>
      <c r="U184" s="190">
        <v>0</v>
      </c>
      <c r="V184" s="190">
        <v>21982</v>
      </c>
      <c r="W184" s="190">
        <v>3605</v>
      </c>
      <c r="X184" s="190" t="s">
        <v>2167</v>
      </c>
      <c r="Y184" s="190">
        <v>5101</v>
      </c>
      <c r="Z184" s="190" t="s">
        <v>2168</v>
      </c>
      <c r="AA184" s="190">
        <v>1678</v>
      </c>
      <c r="AB184" s="190" t="s">
        <v>2169</v>
      </c>
      <c r="AC184" s="190"/>
      <c r="AD184" s="190"/>
      <c r="AE184" s="190">
        <f t="shared" si="30"/>
        <v>10384</v>
      </c>
      <c r="AF184" s="74">
        <v>44300</v>
      </c>
      <c r="AG184" s="74">
        <v>44392</v>
      </c>
      <c r="AH184" s="74">
        <v>44483</v>
      </c>
      <c r="AI184" s="74"/>
      <c r="AJ184" s="75">
        <f t="shared" si="31"/>
        <v>0.47238649804385408</v>
      </c>
      <c r="AK184" s="75" t="str">
        <f t="shared" si="32"/>
        <v/>
      </c>
      <c r="AL184" s="75" t="str">
        <f t="shared" si="33"/>
        <v/>
      </c>
      <c r="AM184" s="75" t="str">
        <f t="shared" si="34"/>
        <v/>
      </c>
      <c r="AN184" s="75">
        <f t="shared" si="35"/>
        <v>0</v>
      </c>
      <c r="AO184" s="188" t="s">
        <v>739</v>
      </c>
      <c r="AP184" s="188" t="s">
        <v>739</v>
      </c>
      <c r="AQ184" s="188" t="s">
        <v>739</v>
      </c>
      <c r="AR184" s="188"/>
      <c r="AS184" s="188" t="s">
        <v>1954</v>
      </c>
      <c r="AT184" s="188" t="s">
        <v>2170</v>
      </c>
      <c r="AU184" s="188" t="s">
        <v>2171</v>
      </c>
      <c r="AV184" s="188"/>
      <c r="AW184" s="188" t="s">
        <v>739</v>
      </c>
      <c r="AX184" s="188" t="s">
        <v>739</v>
      </c>
      <c r="AY184" s="188" t="s">
        <v>739</v>
      </c>
      <c r="AZ184" s="188"/>
      <c r="BA184" s="188" t="s">
        <v>2172</v>
      </c>
      <c r="BB184" s="188" t="s">
        <v>2173</v>
      </c>
      <c r="BC184" s="188" t="s">
        <v>2174</v>
      </c>
      <c r="BD184" s="143"/>
    </row>
    <row r="185" spans="1:56" ht="15" customHeight="1" x14ac:dyDescent="0.25">
      <c r="A185" s="188">
        <v>3</v>
      </c>
      <c r="B185" s="188" t="s">
        <v>507</v>
      </c>
      <c r="C185" s="188" t="s">
        <v>726</v>
      </c>
      <c r="D185" s="188" t="s">
        <v>727</v>
      </c>
      <c r="E185" s="188" t="s">
        <v>728</v>
      </c>
      <c r="F185" s="188" t="s">
        <v>729</v>
      </c>
      <c r="G185" s="188" t="s">
        <v>730</v>
      </c>
      <c r="H185" s="188" t="s">
        <v>731</v>
      </c>
      <c r="I185" s="188" t="s">
        <v>746</v>
      </c>
      <c r="J185" s="74">
        <v>44197</v>
      </c>
      <c r="K185" s="74">
        <v>44561</v>
      </c>
      <c r="L185" s="188" t="s">
        <v>733</v>
      </c>
      <c r="M185" s="188" t="str">
        <f t="shared" ref="M185:M192" si="41">B185</f>
        <v>Santander</v>
      </c>
      <c r="N185" s="188" t="s">
        <v>30</v>
      </c>
      <c r="O185" s="188" t="s">
        <v>747</v>
      </c>
      <c r="P185" s="188" t="s">
        <v>735</v>
      </c>
      <c r="Q185" s="75">
        <v>0.1111111111111111</v>
      </c>
      <c r="R185" s="190">
        <v>15660</v>
      </c>
      <c r="S185" s="190">
        <v>0</v>
      </c>
      <c r="T185" s="190">
        <v>0</v>
      </c>
      <c r="U185" s="190">
        <v>0</v>
      </c>
      <c r="V185" s="190">
        <v>15660</v>
      </c>
      <c r="W185" s="190">
        <v>137</v>
      </c>
      <c r="X185" s="190" t="s">
        <v>2175</v>
      </c>
      <c r="Y185" s="190">
        <v>414</v>
      </c>
      <c r="Z185" s="190" t="s">
        <v>2176</v>
      </c>
      <c r="AA185" s="190">
        <v>4790</v>
      </c>
      <c r="AB185" s="190" t="s">
        <v>2177</v>
      </c>
      <c r="AC185" s="190"/>
      <c r="AD185" s="190"/>
      <c r="AE185" s="190">
        <f t="shared" si="30"/>
        <v>5341</v>
      </c>
      <c r="AF185" s="74">
        <v>44300</v>
      </c>
      <c r="AG185" s="74">
        <v>44392</v>
      </c>
      <c r="AH185" s="74">
        <v>44483</v>
      </c>
      <c r="AI185" s="74"/>
      <c r="AJ185" s="75">
        <f t="shared" si="31"/>
        <v>0.34106002554278414</v>
      </c>
      <c r="AK185" s="75" t="str">
        <f t="shared" si="32"/>
        <v/>
      </c>
      <c r="AL185" s="75" t="str">
        <f t="shared" si="33"/>
        <v/>
      </c>
      <c r="AM185" s="75" t="str">
        <f t="shared" si="34"/>
        <v/>
      </c>
      <c r="AN185" s="75">
        <f t="shared" si="35"/>
        <v>0</v>
      </c>
      <c r="AO185" s="188" t="s">
        <v>739</v>
      </c>
      <c r="AP185" s="188" t="s">
        <v>739</v>
      </c>
      <c r="AQ185" s="188" t="s">
        <v>739</v>
      </c>
      <c r="AR185" s="188"/>
      <c r="AS185" s="188" t="s">
        <v>1500</v>
      </c>
      <c r="AT185" s="188" t="s">
        <v>2178</v>
      </c>
      <c r="AU185" s="188" t="s">
        <v>2179</v>
      </c>
      <c r="AV185" s="188"/>
      <c r="AW185" s="188" t="s">
        <v>739</v>
      </c>
      <c r="AX185" t="s">
        <v>739</v>
      </c>
      <c r="AY185" t="s">
        <v>739</v>
      </c>
      <c r="BA185" t="s">
        <v>2180</v>
      </c>
      <c r="BB185" t="s">
        <v>2181</v>
      </c>
      <c r="BC185" s="188" t="s">
        <v>2182</v>
      </c>
      <c r="BD185" s="143"/>
    </row>
    <row r="186" spans="1:56" ht="15" customHeight="1" x14ac:dyDescent="0.25">
      <c r="A186" s="188">
        <v>5</v>
      </c>
      <c r="B186" s="188" t="s">
        <v>507</v>
      </c>
      <c r="C186" s="188" t="s">
        <v>964</v>
      </c>
      <c r="D186" s="188" t="s">
        <v>727</v>
      </c>
      <c r="E186" s="188" t="s">
        <v>815</v>
      </c>
      <c r="F186" s="188" t="s">
        <v>965</v>
      </c>
      <c r="G186" s="188" t="s">
        <v>730</v>
      </c>
      <c r="H186" s="188" t="s">
        <v>731</v>
      </c>
      <c r="I186" t="s">
        <v>966</v>
      </c>
      <c r="J186" s="74">
        <v>44197</v>
      </c>
      <c r="K186" s="74">
        <v>44561</v>
      </c>
      <c r="L186" s="188" t="s">
        <v>733</v>
      </c>
      <c r="M186" s="188" t="str">
        <f t="shared" si="41"/>
        <v>Santander</v>
      </c>
      <c r="N186" s="188" t="s">
        <v>30</v>
      </c>
      <c r="O186" s="188" t="s">
        <v>967</v>
      </c>
      <c r="P186" s="188" t="s">
        <v>735</v>
      </c>
      <c r="Q186" s="75">
        <v>0.1111111111111111</v>
      </c>
      <c r="R186" s="190">
        <v>40</v>
      </c>
      <c r="S186" s="190">
        <v>0</v>
      </c>
      <c r="T186" s="190">
        <v>0</v>
      </c>
      <c r="U186" s="190">
        <v>0</v>
      </c>
      <c r="V186" s="190">
        <v>40</v>
      </c>
      <c r="W186" s="190">
        <v>1</v>
      </c>
      <c r="X186" s="190" t="s">
        <v>2183</v>
      </c>
      <c r="Y186" s="190">
        <v>4</v>
      </c>
      <c r="Z186" s="190" t="s">
        <v>2184</v>
      </c>
      <c r="AA186" s="190">
        <v>100</v>
      </c>
      <c r="AB186" s="190" t="s">
        <v>2185</v>
      </c>
      <c r="AC186" s="190"/>
      <c r="AD186" s="190"/>
      <c r="AE186" s="190">
        <f t="shared" si="30"/>
        <v>105</v>
      </c>
      <c r="AF186" s="74">
        <v>44300</v>
      </c>
      <c r="AG186" s="74">
        <v>44392</v>
      </c>
      <c r="AH186" s="74">
        <v>44481</v>
      </c>
      <c r="AI186" s="74"/>
      <c r="AJ186" s="75">
        <f t="shared" si="31"/>
        <v>1</v>
      </c>
      <c r="AK186" s="75" t="str">
        <f t="shared" si="32"/>
        <v/>
      </c>
      <c r="AL186" s="75" t="str">
        <f t="shared" si="33"/>
        <v/>
      </c>
      <c r="AM186" s="75" t="str">
        <f t="shared" si="34"/>
        <v/>
      </c>
      <c r="AN186" s="75">
        <f t="shared" si="35"/>
        <v>0</v>
      </c>
      <c r="AO186" s="188" t="s">
        <v>739</v>
      </c>
      <c r="AP186" s="188" t="s">
        <v>739</v>
      </c>
      <c r="AQ186" s="188" t="s">
        <v>739</v>
      </c>
      <c r="AR186" s="188"/>
      <c r="AS186" s="188" t="s">
        <v>2186</v>
      </c>
      <c r="AT186" s="188" t="s">
        <v>2187</v>
      </c>
      <c r="AU186" s="188" t="s">
        <v>2188</v>
      </c>
      <c r="AV186" s="188"/>
      <c r="AW186" s="188" t="s">
        <v>739</v>
      </c>
      <c r="AX186" t="s">
        <v>739</v>
      </c>
      <c r="AY186" t="s">
        <v>739</v>
      </c>
      <c r="BA186" t="s">
        <v>2189</v>
      </c>
      <c r="BB186" t="s">
        <v>2190</v>
      </c>
      <c r="BC186" s="188" t="s">
        <v>2191</v>
      </c>
      <c r="BD186" s="143"/>
    </row>
    <row r="187" spans="1:56" ht="15" customHeight="1" x14ac:dyDescent="0.25">
      <c r="A187" s="188">
        <v>6</v>
      </c>
      <c r="B187" s="188" t="s">
        <v>507</v>
      </c>
      <c r="C187" s="188" t="s">
        <v>756</v>
      </c>
      <c r="D187" s="188" t="s">
        <v>727</v>
      </c>
      <c r="E187" s="188" t="s">
        <v>728</v>
      </c>
      <c r="F187" s="188" t="s">
        <v>757</v>
      </c>
      <c r="G187" s="188" t="s">
        <v>730</v>
      </c>
      <c r="H187" s="188" t="s">
        <v>731</v>
      </c>
      <c r="I187" t="s">
        <v>758</v>
      </c>
      <c r="J187" s="74">
        <v>44197</v>
      </c>
      <c r="K187" s="74">
        <v>44561</v>
      </c>
      <c r="L187" s="188" t="s">
        <v>733</v>
      </c>
      <c r="M187" s="188" t="str">
        <f t="shared" si="41"/>
        <v>Santander</v>
      </c>
      <c r="N187" s="188" t="s">
        <v>60</v>
      </c>
      <c r="O187" s="188" t="s">
        <v>759</v>
      </c>
      <c r="P187" s="188" t="s">
        <v>735</v>
      </c>
      <c r="Q187" s="75">
        <v>0.1111111111111111</v>
      </c>
      <c r="R187" s="189">
        <v>1</v>
      </c>
      <c r="S187" s="189">
        <v>0.25</v>
      </c>
      <c r="T187" s="189">
        <v>0.25</v>
      </c>
      <c r="U187" s="189">
        <v>0.25</v>
      </c>
      <c r="V187" s="189">
        <v>0.25</v>
      </c>
      <c r="W187" s="189">
        <v>0.25</v>
      </c>
      <c r="X187" s="189" t="s">
        <v>2192</v>
      </c>
      <c r="Y187" s="189">
        <v>0.25</v>
      </c>
      <c r="Z187" s="189" t="s">
        <v>2193</v>
      </c>
      <c r="AA187" s="189">
        <v>0.25</v>
      </c>
      <c r="AB187" s="189" t="s">
        <v>2194</v>
      </c>
      <c r="AC187" s="189"/>
      <c r="AD187" s="189"/>
      <c r="AE187" s="189">
        <f t="shared" si="30"/>
        <v>0.75</v>
      </c>
      <c r="AF187" s="74">
        <v>44300</v>
      </c>
      <c r="AG187" s="74">
        <v>44392</v>
      </c>
      <c r="AH187" s="74">
        <v>44483</v>
      </c>
      <c r="AI187" s="74"/>
      <c r="AJ187" s="75">
        <f t="shared" si="31"/>
        <v>0.75</v>
      </c>
      <c r="AK187" s="75">
        <f t="shared" si="32"/>
        <v>1</v>
      </c>
      <c r="AL187" s="75">
        <f t="shared" si="33"/>
        <v>1</v>
      </c>
      <c r="AM187" s="75">
        <f t="shared" si="34"/>
        <v>1</v>
      </c>
      <c r="AN187" s="75">
        <f t="shared" si="35"/>
        <v>0</v>
      </c>
      <c r="AO187" s="188" t="s">
        <v>739</v>
      </c>
      <c r="AP187" s="188" t="s">
        <v>739</v>
      </c>
      <c r="AQ187" s="188" t="s">
        <v>739</v>
      </c>
      <c r="AR187" s="188"/>
      <c r="AS187" s="188" t="s">
        <v>1980</v>
      </c>
      <c r="AT187" s="188" t="s">
        <v>2195</v>
      </c>
      <c r="AU187" s="188" t="s">
        <v>2196</v>
      </c>
      <c r="AV187" s="188"/>
      <c r="AW187" s="188" t="s">
        <v>828</v>
      </c>
      <c r="AX187" t="s">
        <v>739</v>
      </c>
      <c r="AY187" t="s">
        <v>739</v>
      </c>
      <c r="BA187" t="s">
        <v>2197</v>
      </c>
      <c r="BB187" t="s">
        <v>2198</v>
      </c>
      <c r="BC187" t="s">
        <v>2199</v>
      </c>
      <c r="BD187" s="143"/>
    </row>
    <row r="188" spans="1:56" ht="15" customHeight="1" x14ac:dyDescent="0.25">
      <c r="A188" s="188">
        <v>7</v>
      </c>
      <c r="B188" s="188" t="s">
        <v>507</v>
      </c>
      <c r="C188" s="188" t="s">
        <v>768</v>
      </c>
      <c r="D188" s="188" t="s">
        <v>727</v>
      </c>
      <c r="E188" s="188" t="s">
        <v>728</v>
      </c>
      <c r="F188" s="188" t="s">
        <v>757</v>
      </c>
      <c r="G188" s="188" t="s">
        <v>730</v>
      </c>
      <c r="H188" s="188" t="s">
        <v>731</v>
      </c>
      <c r="I188" t="s">
        <v>769</v>
      </c>
      <c r="J188" s="74">
        <v>44197</v>
      </c>
      <c r="K188" s="74">
        <v>44561</v>
      </c>
      <c r="L188" s="188" t="s">
        <v>733</v>
      </c>
      <c r="M188" s="188" t="str">
        <f t="shared" si="41"/>
        <v>Santander</v>
      </c>
      <c r="N188" s="188" t="s">
        <v>60</v>
      </c>
      <c r="O188" s="188" t="s">
        <v>759</v>
      </c>
      <c r="P188" s="188" t="s">
        <v>735</v>
      </c>
      <c r="Q188" s="75">
        <v>0.1111111111111111</v>
      </c>
      <c r="R188" s="189">
        <v>1</v>
      </c>
      <c r="S188" s="189">
        <v>0.25</v>
      </c>
      <c r="T188" s="189">
        <v>0.25</v>
      </c>
      <c r="U188" s="189">
        <v>0.25</v>
      </c>
      <c r="V188" s="189">
        <v>0.25</v>
      </c>
      <c r="W188" s="189">
        <v>0.25</v>
      </c>
      <c r="X188" s="189" t="s">
        <v>2200</v>
      </c>
      <c r="Y188" s="189">
        <v>0.25</v>
      </c>
      <c r="Z188" s="189" t="s">
        <v>2201</v>
      </c>
      <c r="AA188" s="189">
        <v>0.25</v>
      </c>
      <c r="AB188" s="189" t="s">
        <v>2202</v>
      </c>
      <c r="AC188" s="189"/>
      <c r="AD188" s="189"/>
      <c r="AE188" s="189">
        <f t="shared" si="30"/>
        <v>0.75</v>
      </c>
      <c r="AF188" s="74">
        <v>44300</v>
      </c>
      <c r="AG188" s="74">
        <v>44392</v>
      </c>
      <c r="AH188" s="74">
        <v>44483</v>
      </c>
      <c r="AI188" s="74"/>
      <c r="AJ188" s="75">
        <f t="shared" si="31"/>
        <v>0.75</v>
      </c>
      <c r="AK188" s="75">
        <f t="shared" si="32"/>
        <v>1</v>
      </c>
      <c r="AL188" s="75">
        <f t="shared" si="33"/>
        <v>1</v>
      </c>
      <c r="AM188" s="75">
        <f t="shared" si="34"/>
        <v>1</v>
      </c>
      <c r="AN188" s="75">
        <f t="shared" si="35"/>
        <v>0</v>
      </c>
      <c r="AO188" s="188" t="s">
        <v>739</v>
      </c>
      <c r="AP188" s="188" t="s">
        <v>739</v>
      </c>
      <c r="AQ188" s="188" t="s">
        <v>739</v>
      </c>
      <c r="AR188" s="188"/>
      <c r="AS188" s="188" t="s">
        <v>1525</v>
      </c>
      <c r="AT188" s="188" t="s">
        <v>2203</v>
      </c>
      <c r="AU188" s="188" t="s">
        <v>2204</v>
      </c>
      <c r="AV188" s="188"/>
      <c r="AW188" s="188" t="s">
        <v>739</v>
      </c>
      <c r="AX188" t="s">
        <v>739</v>
      </c>
      <c r="AY188" t="s">
        <v>739</v>
      </c>
      <c r="BA188" t="s">
        <v>2205</v>
      </c>
      <c r="BB188" t="s">
        <v>2206</v>
      </c>
      <c r="BC188" t="s">
        <v>2207</v>
      </c>
      <c r="BD188" s="143"/>
    </row>
    <row r="189" spans="1:56" ht="15" customHeight="1" x14ac:dyDescent="0.25">
      <c r="A189" s="188">
        <v>8</v>
      </c>
      <c r="B189" s="188" t="s">
        <v>507</v>
      </c>
      <c r="C189" s="188" t="s">
        <v>777</v>
      </c>
      <c r="D189" s="188" t="s">
        <v>778</v>
      </c>
      <c r="E189" s="188" t="s">
        <v>779</v>
      </c>
      <c r="F189" s="188" t="s">
        <v>780</v>
      </c>
      <c r="G189" s="188" t="s">
        <v>730</v>
      </c>
      <c r="H189" s="188" t="s">
        <v>781</v>
      </c>
      <c r="I189" t="s">
        <v>782</v>
      </c>
      <c r="J189" s="74">
        <v>44197</v>
      </c>
      <c r="K189" s="74">
        <v>44561</v>
      </c>
      <c r="L189" s="188" t="s">
        <v>733</v>
      </c>
      <c r="M189" s="188" t="str">
        <f t="shared" si="41"/>
        <v>Santander</v>
      </c>
      <c r="N189" s="188" t="s">
        <v>60</v>
      </c>
      <c r="O189" s="188" t="s">
        <v>759</v>
      </c>
      <c r="P189" s="188" t="s">
        <v>735</v>
      </c>
      <c r="Q189" s="75">
        <v>0.1111111111111111</v>
      </c>
      <c r="R189" s="189">
        <v>1</v>
      </c>
      <c r="S189" s="189">
        <v>0.25</v>
      </c>
      <c r="T189" s="189">
        <v>0.25</v>
      </c>
      <c r="U189" s="189">
        <v>0.25</v>
      </c>
      <c r="V189" s="189">
        <v>0.25</v>
      </c>
      <c r="W189" s="189">
        <v>0.25</v>
      </c>
      <c r="X189" s="189" t="s">
        <v>2208</v>
      </c>
      <c r="Y189" s="189">
        <v>0.25</v>
      </c>
      <c r="Z189" s="189" t="s">
        <v>2209</v>
      </c>
      <c r="AA189" s="189">
        <v>0.25</v>
      </c>
      <c r="AB189" s="189" t="s">
        <v>2210</v>
      </c>
      <c r="AC189" s="189"/>
      <c r="AD189" s="189"/>
      <c r="AE189" s="189">
        <f t="shared" si="30"/>
        <v>0.75</v>
      </c>
      <c r="AF189" s="74">
        <v>44300</v>
      </c>
      <c r="AG189" s="74">
        <v>44392</v>
      </c>
      <c r="AH189" s="74">
        <v>44483</v>
      </c>
      <c r="AI189" s="74"/>
      <c r="AJ189" s="75">
        <f t="shared" si="31"/>
        <v>0.75</v>
      </c>
      <c r="AK189" s="75">
        <f t="shared" si="32"/>
        <v>1</v>
      </c>
      <c r="AL189" s="75">
        <f t="shared" si="33"/>
        <v>1</v>
      </c>
      <c r="AM189" s="75">
        <f t="shared" si="34"/>
        <v>1</v>
      </c>
      <c r="AN189" s="75">
        <f t="shared" si="35"/>
        <v>0</v>
      </c>
      <c r="AO189" s="188" t="s">
        <v>739</v>
      </c>
      <c r="AP189" s="188" t="s">
        <v>739</v>
      </c>
      <c r="AQ189" s="188" t="s">
        <v>739</v>
      </c>
      <c r="AR189" s="188"/>
      <c r="AS189" s="188" t="s">
        <v>1534</v>
      </c>
      <c r="AT189" s="188" t="s">
        <v>2211</v>
      </c>
      <c r="AU189" s="188" t="s">
        <v>2212</v>
      </c>
      <c r="AV189" s="188"/>
      <c r="AW189" s="188" t="s">
        <v>739</v>
      </c>
      <c r="AX189" t="s">
        <v>739</v>
      </c>
      <c r="AY189" t="s">
        <v>739</v>
      </c>
      <c r="BA189" t="s">
        <v>2213</v>
      </c>
      <c r="BB189" t="s">
        <v>2214</v>
      </c>
      <c r="BC189" t="s">
        <v>2215</v>
      </c>
      <c r="BD189" s="143"/>
    </row>
    <row r="190" spans="1:56" ht="15" customHeight="1" x14ac:dyDescent="0.25">
      <c r="A190" s="188">
        <v>9</v>
      </c>
      <c r="B190" s="188" t="s">
        <v>507</v>
      </c>
      <c r="C190" s="188" t="s">
        <v>790</v>
      </c>
      <c r="D190" s="188" t="s">
        <v>791</v>
      </c>
      <c r="E190" s="188" t="s">
        <v>792</v>
      </c>
      <c r="F190" s="188" t="s">
        <v>793</v>
      </c>
      <c r="G190" s="188" t="s">
        <v>794</v>
      </c>
      <c r="H190" s="188" t="s">
        <v>794</v>
      </c>
      <c r="I190" t="s">
        <v>795</v>
      </c>
      <c r="J190" s="74">
        <v>44197</v>
      </c>
      <c r="K190" s="74">
        <v>44561</v>
      </c>
      <c r="L190" s="188" t="s">
        <v>733</v>
      </c>
      <c r="M190" s="188" t="str">
        <f t="shared" si="41"/>
        <v>Santander</v>
      </c>
      <c r="N190" s="188" t="s">
        <v>60</v>
      </c>
      <c r="O190" s="188" t="s">
        <v>796</v>
      </c>
      <c r="P190" s="188" t="s">
        <v>735</v>
      </c>
      <c r="Q190" s="75">
        <v>0.1111111111111111</v>
      </c>
      <c r="R190" s="189">
        <v>1</v>
      </c>
      <c r="S190" s="189">
        <v>0.25</v>
      </c>
      <c r="T190" s="189">
        <v>0.25</v>
      </c>
      <c r="U190" s="189">
        <v>0.25</v>
      </c>
      <c r="V190" s="189">
        <v>0.25</v>
      </c>
      <c r="W190" s="189">
        <v>0.25</v>
      </c>
      <c r="X190" s="189" t="s">
        <v>2216</v>
      </c>
      <c r="Y190" s="189">
        <v>0.25</v>
      </c>
      <c r="Z190" s="189" t="s">
        <v>2217</v>
      </c>
      <c r="AA190" s="189">
        <v>0.25</v>
      </c>
      <c r="AB190" s="189" t="s">
        <v>2218</v>
      </c>
      <c r="AC190" s="189"/>
      <c r="AD190" s="189"/>
      <c r="AE190" s="189">
        <f t="shared" si="30"/>
        <v>0.75</v>
      </c>
      <c r="AF190" s="74">
        <v>44300</v>
      </c>
      <c r="AG190" s="74">
        <v>44392</v>
      </c>
      <c r="AH190" s="74">
        <v>44483</v>
      </c>
      <c r="AI190" s="74"/>
      <c r="AJ190" s="75">
        <f t="shared" si="31"/>
        <v>0.75</v>
      </c>
      <c r="AK190" s="75">
        <f t="shared" si="32"/>
        <v>1</v>
      </c>
      <c r="AL190" s="75">
        <f t="shared" si="33"/>
        <v>1</v>
      </c>
      <c r="AM190" s="75">
        <f t="shared" si="34"/>
        <v>1</v>
      </c>
      <c r="AN190" s="75">
        <f t="shared" si="35"/>
        <v>0</v>
      </c>
      <c r="AO190" s="188" t="s">
        <v>739</v>
      </c>
      <c r="AP190" s="188" t="s">
        <v>739</v>
      </c>
      <c r="AQ190" s="188" t="s">
        <v>739</v>
      </c>
      <c r="AR190" s="188"/>
      <c r="AS190" s="188" t="s">
        <v>1543</v>
      </c>
      <c r="AT190" s="188" t="s">
        <v>2219</v>
      </c>
      <c r="AU190" s="188" t="s">
        <v>2220</v>
      </c>
      <c r="AV190" s="188"/>
      <c r="AW190" s="188" t="s">
        <v>739</v>
      </c>
      <c r="AX190" t="s">
        <v>739</v>
      </c>
      <c r="AY190" t="s">
        <v>739</v>
      </c>
      <c r="BA190" t="s">
        <v>2221</v>
      </c>
      <c r="BB190" t="s">
        <v>2222</v>
      </c>
      <c r="BC190" t="s">
        <v>2223</v>
      </c>
      <c r="BD190" s="143"/>
    </row>
    <row r="191" spans="1:56" ht="15" customHeight="1" x14ac:dyDescent="0.25">
      <c r="A191" s="188">
        <v>10</v>
      </c>
      <c r="B191" s="188" t="s">
        <v>507</v>
      </c>
      <c r="C191" s="188" t="s">
        <v>790</v>
      </c>
      <c r="D191" s="188" t="s">
        <v>791</v>
      </c>
      <c r="E191" s="188" t="s">
        <v>792</v>
      </c>
      <c r="F191" s="188" t="s">
        <v>793</v>
      </c>
      <c r="G191" s="188" t="s">
        <v>794</v>
      </c>
      <c r="H191" s="188" t="s">
        <v>794</v>
      </c>
      <c r="I191" t="s">
        <v>805</v>
      </c>
      <c r="J191" s="74">
        <v>44197</v>
      </c>
      <c r="K191" s="74">
        <v>44561</v>
      </c>
      <c r="L191" s="188" t="s">
        <v>733</v>
      </c>
      <c r="M191" s="188" t="str">
        <f t="shared" si="41"/>
        <v>Santander</v>
      </c>
      <c r="N191" s="188" t="s">
        <v>60</v>
      </c>
      <c r="O191" s="188" t="s">
        <v>806</v>
      </c>
      <c r="P191" s="188" t="s">
        <v>735</v>
      </c>
      <c r="Q191" s="75">
        <v>0.1111111111111111</v>
      </c>
      <c r="R191" s="189">
        <v>1</v>
      </c>
      <c r="S191" s="189">
        <v>0.25</v>
      </c>
      <c r="T191" s="189">
        <v>0.25</v>
      </c>
      <c r="U191" s="189">
        <v>0.25</v>
      </c>
      <c r="V191" s="189">
        <v>0.25</v>
      </c>
      <c r="W191" s="189">
        <v>0.25</v>
      </c>
      <c r="X191" s="189" t="s">
        <v>2224</v>
      </c>
      <c r="Y191" s="189">
        <v>0.25</v>
      </c>
      <c r="Z191" s="189" t="s">
        <v>2225</v>
      </c>
      <c r="AA191" s="189">
        <v>0.25</v>
      </c>
      <c r="AB191" s="189" t="s">
        <v>2226</v>
      </c>
      <c r="AC191" s="189"/>
      <c r="AD191" s="189"/>
      <c r="AE191" s="189">
        <f t="shared" si="30"/>
        <v>0.75</v>
      </c>
      <c r="AF191" s="74">
        <v>44300</v>
      </c>
      <c r="AG191" s="74">
        <v>44392</v>
      </c>
      <c r="AH191" s="74">
        <v>44483</v>
      </c>
      <c r="AI191" s="74"/>
      <c r="AJ191" s="75">
        <f t="shared" si="31"/>
        <v>0.75</v>
      </c>
      <c r="AK191" s="75">
        <f t="shared" si="32"/>
        <v>1</v>
      </c>
      <c r="AL191" s="75">
        <f t="shared" si="33"/>
        <v>1</v>
      </c>
      <c r="AM191" s="75">
        <f t="shared" si="34"/>
        <v>1</v>
      </c>
      <c r="AN191" s="75">
        <f t="shared" si="35"/>
        <v>0</v>
      </c>
      <c r="AO191" s="188" t="s">
        <v>739</v>
      </c>
      <c r="AP191" s="188" t="s">
        <v>739</v>
      </c>
      <c r="AQ191" s="188" t="s">
        <v>739</v>
      </c>
      <c r="AR191" s="188"/>
      <c r="AS191" s="188" t="s">
        <v>2013</v>
      </c>
      <c r="AT191" s="188" t="s">
        <v>2227</v>
      </c>
      <c r="AU191" s="188" t="s">
        <v>2228</v>
      </c>
      <c r="AV191" s="188"/>
      <c r="AW191" s="188" t="s">
        <v>828</v>
      </c>
      <c r="AX191" t="s">
        <v>739</v>
      </c>
      <c r="AY191" t="s">
        <v>739</v>
      </c>
      <c r="BA191" t="s">
        <v>2229</v>
      </c>
      <c r="BB191" t="s">
        <v>2230</v>
      </c>
      <c r="BC191" t="s">
        <v>2231</v>
      </c>
      <c r="BD191" s="143"/>
    </row>
    <row r="192" spans="1:56" ht="15" customHeight="1" x14ac:dyDescent="0.25">
      <c r="A192" s="188">
        <v>12</v>
      </c>
      <c r="B192" s="188" t="s">
        <v>507</v>
      </c>
      <c r="C192" s="188" t="s">
        <v>814</v>
      </c>
      <c r="D192" s="188" t="s">
        <v>727</v>
      </c>
      <c r="E192" s="188" t="s">
        <v>815</v>
      </c>
      <c r="F192" s="188" t="s">
        <v>816</v>
      </c>
      <c r="G192" s="188" t="s">
        <v>817</v>
      </c>
      <c r="H192" s="188" t="s">
        <v>818</v>
      </c>
      <c r="I192" t="s">
        <v>819</v>
      </c>
      <c r="J192" s="74">
        <v>44197</v>
      </c>
      <c r="K192" s="74">
        <v>44561</v>
      </c>
      <c r="L192" s="188" t="s">
        <v>733</v>
      </c>
      <c r="M192" s="188" t="str">
        <f t="shared" si="41"/>
        <v>Santander</v>
      </c>
      <c r="N192" s="188" t="s">
        <v>30</v>
      </c>
      <c r="O192" s="188" t="s">
        <v>820</v>
      </c>
      <c r="P192" s="188" t="s">
        <v>821</v>
      </c>
      <c r="Q192" s="75">
        <v>0.1111111111111111</v>
      </c>
      <c r="R192" s="190">
        <f>SUM(S192:V192)</f>
        <v>342048958.83722198</v>
      </c>
      <c r="S192" s="190">
        <v>67539004.175142452</v>
      </c>
      <c r="T192" s="190">
        <v>87552842.62547484</v>
      </c>
      <c r="U192" s="190">
        <v>89139180.554970324</v>
      </c>
      <c r="V192" s="190">
        <v>97817931.481634408</v>
      </c>
      <c r="W192" s="190">
        <v>28605649</v>
      </c>
      <c r="X192" s="190" t="s">
        <v>2232</v>
      </c>
      <c r="Y192" s="190">
        <v>38155744</v>
      </c>
      <c r="Z192" s="190" t="s">
        <v>2233</v>
      </c>
      <c r="AA192" s="190">
        <v>42374176</v>
      </c>
      <c r="AB192" s="190" t="s">
        <v>2234</v>
      </c>
      <c r="AC192" s="190"/>
      <c r="AD192" s="190"/>
      <c r="AE192" s="190">
        <f t="shared" si="30"/>
        <v>109135569</v>
      </c>
      <c r="AF192" s="74">
        <v>44300</v>
      </c>
      <c r="AG192" s="74">
        <v>44392</v>
      </c>
      <c r="AH192" s="74">
        <v>44482</v>
      </c>
      <c r="AI192" s="74"/>
      <c r="AJ192" s="75">
        <f t="shared" si="31"/>
        <v>0.31906417540635357</v>
      </c>
      <c r="AK192" s="75">
        <f t="shared" si="32"/>
        <v>0.42354265286203657</v>
      </c>
      <c r="AL192" s="75">
        <f t="shared" si="33"/>
        <v>0.4358024577593555</v>
      </c>
      <c r="AM192" s="75">
        <f t="shared" si="34"/>
        <v>0.47537093942510167</v>
      </c>
      <c r="AN192" s="75">
        <f t="shared" si="35"/>
        <v>0</v>
      </c>
      <c r="AO192" s="188" t="s">
        <v>739</v>
      </c>
      <c r="AP192" s="188" t="s">
        <v>739</v>
      </c>
      <c r="AQ192" s="188" t="s">
        <v>739</v>
      </c>
      <c r="AR192" s="188"/>
      <c r="AS192" s="188" t="s">
        <v>2235</v>
      </c>
      <c r="AT192" s="188" t="s">
        <v>2236</v>
      </c>
      <c r="AU192" s="188" t="s">
        <v>2237</v>
      </c>
      <c r="AV192" s="188"/>
      <c r="AW192" s="188" t="s">
        <v>739</v>
      </c>
      <c r="AX192" t="s">
        <v>739</v>
      </c>
      <c r="AY192" t="s">
        <v>739</v>
      </c>
      <c r="BA192" t="s">
        <v>2238</v>
      </c>
      <c r="BB192" t="s">
        <v>2239</v>
      </c>
      <c r="BC192" t="s">
        <v>2240</v>
      </c>
      <c r="BD192" s="143"/>
    </row>
    <row r="193" spans="1:56" ht="15" customHeight="1" x14ac:dyDescent="0.25">
      <c r="A193" s="188">
        <v>1</v>
      </c>
      <c r="B193" s="188" t="s">
        <v>2241</v>
      </c>
      <c r="C193" s="188" t="s">
        <v>832</v>
      </c>
      <c r="D193" s="188" t="s">
        <v>727</v>
      </c>
      <c r="E193" s="188" t="s">
        <v>728</v>
      </c>
      <c r="F193" s="188" t="s">
        <v>729</v>
      </c>
      <c r="G193" s="188" t="s">
        <v>730</v>
      </c>
      <c r="H193" s="188" t="s">
        <v>731</v>
      </c>
      <c r="I193" s="188" t="s">
        <v>844</v>
      </c>
      <c r="J193" s="74">
        <v>44197</v>
      </c>
      <c r="K193" s="74">
        <v>44561</v>
      </c>
      <c r="L193" s="188" t="s">
        <v>733</v>
      </c>
      <c r="M193" s="188" t="str">
        <f>B193</f>
        <v>Sucre</v>
      </c>
      <c r="N193" s="188" t="s">
        <v>30</v>
      </c>
      <c r="O193" s="188" t="s">
        <v>845</v>
      </c>
      <c r="P193" s="188" t="s">
        <v>735</v>
      </c>
      <c r="Q193" s="75">
        <v>0.1</v>
      </c>
      <c r="R193" s="190">
        <v>96331</v>
      </c>
      <c r="S193" s="190">
        <v>0</v>
      </c>
      <c r="T193" s="190">
        <v>0</v>
      </c>
      <c r="U193" s="190">
        <v>0</v>
      </c>
      <c r="V193" s="190">
        <v>96331</v>
      </c>
      <c r="W193" s="190">
        <v>0</v>
      </c>
      <c r="X193" s="190" t="s">
        <v>2242</v>
      </c>
      <c r="Y193" s="190">
        <v>0</v>
      </c>
      <c r="Z193" s="190" t="s">
        <v>2243</v>
      </c>
      <c r="AA193" s="190">
        <v>0</v>
      </c>
      <c r="AB193" s="190" t="s">
        <v>2244</v>
      </c>
      <c r="AC193" s="190"/>
      <c r="AD193" s="190"/>
      <c r="AE193" s="190">
        <f t="shared" si="30"/>
        <v>0</v>
      </c>
      <c r="AF193" s="74">
        <v>44300</v>
      </c>
      <c r="AG193" s="74">
        <v>44390</v>
      </c>
      <c r="AH193" s="74">
        <v>44477</v>
      </c>
      <c r="AI193" s="74"/>
      <c r="AJ193" s="75">
        <f t="shared" si="31"/>
        <v>0</v>
      </c>
      <c r="AK193" s="75" t="str">
        <f t="shared" si="32"/>
        <v/>
      </c>
      <c r="AL193" s="75" t="str">
        <f t="shared" si="33"/>
        <v/>
      </c>
      <c r="AM193" s="75" t="str">
        <f t="shared" si="34"/>
        <v/>
      </c>
      <c r="AN193" s="75">
        <f t="shared" si="35"/>
        <v>0</v>
      </c>
      <c r="AO193" s="188" t="s">
        <v>838</v>
      </c>
      <c r="AP193" s="188" t="s">
        <v>838</v>
      </c>
      <c r="AQ193" s="188" t="s">
        <v>739</v>
      </c>
      <c r="AR193" s="188"/>
      <c r="AS193" s="188" t="s">
        <v>838</v>
      </c>
      <c r="AT193" s="188" t="s">
        <v>838</v>
      </c>
      <c r="AU193" s="188" t="s">
        <v>2245</v>
      </c>
      <c r="AV193" s="188"/>
      <c r="AW193" s="188" t="s">
        <v>838</v>
      </c>
      <c r="AX193" s="188" t="s">
        <v>838</v>
      </c>
      <c r="AY193" s="188" t="s">
        <v>838</v>
      </c>
      <c r="AZ193" s="188"/>
      <c r="BA193" s="188" t="s">
        <v>2246</v>
      </c>
      <c r="BB193" s="188" t="s">
        <v>2246</v>
      </c>
      <c r="BC193" s="188" t="s">
        <v>2246</v>
      </c>
      <c r="BD193" s="143"/>
    </row>
    <row r="194" spans="1:56" ht="15" customHeight="1" x14ac:dyDescent="0.25">
      <c r="A194" s="188">
        <v>2</v>
      </c>
      <c r="B194" s="188" t="s">
        <v>2241</v>
      </c>
      <c r="C194" s="188" t="s">
        <v>726</v>
      </c>
      <c r="D194" s="188" t="s">
        <v>727</v>
      </c>
      <c r="E194" s="188" t="s">
        <v>728</v>
      </c>
      <c r="F194" s="188" t="s">
        <v>729</v>
      </c>
      <c r="G194" s="188" t="s">
        <v>730</v>
      </c>
      <c r="H194" s="188" t="s">
        <v>731</v>
      </c>
      <c r="I194" s="188" t="s">
        <v>732</v>
      </c>
      <c r="J194" s="74">
        <v>44197</v>
      </c>
      <c r="K194" s="74">
        <v>44561</v>
      </c>
      <c r="L194" s="188" t="s">
        <v>733</v>
      </c>
      <c r="M194" s="188" t="str">
        <f t="shared" ref="M194:M202" si="42">B194</f>
        <v>Sucre</v>
      </c>
      <c r="N194" s="188" t="s">
        <v>30</v>
      </c>
      <c r="O194" s="188" t="s">
        <v>734</v>
      </c>
      <c r="P194" s="188" t="s">
        <v>735</v>
      </c>
      <c r="Q194" s="75">
        <v>0.1</v>
      </c>
      <c r="R194" s="190">
        <v>5789</v>
      </c>
      <c r="S194" s="190">
        <v>0</v>
      </c>
      <c r="T194" s="190">
        <v>0</v>
      </c>
      <c r="U194" s="190">
        <v>0</v>
      </c>
      <c r="V194" s="190">
        <v>5789</v>
      </c>
      <c r="W194" s="190">
        <v>0</v>
      </c>
      <c r="X194" s="190" t="s">
        <v>2247</v>
      </c>
      <c r="Y194" s="190">
        <v>1507</v>
      </c>
      <c r="Z194" s="190" t="s">
        <v>2248</v>
      </c>
      <c r="AA194" s="190">
        <v>2639</v>
      </c>
      <c r="AB194" s="190" t="s">
        <v>2249</v>
      </c>
      <c r="AC194" s="190"/>
      <c r="AD194" s="190"/>
      <c r="AE194" s="190">
        <f t="shared" si="30"/>
        <v>4146</v>
      </c>
      <c r="AF194" s="74">
        <v>44300</v>
      </c>
      <c r="AG194" s="74">
        <v>44390</v>
      </c>
      <c r="AH194" s="74">
        <v>44483</v>
      </c>
      <c r="AI194" s="74"/>
      <c r="AJ194" s="75">
        <f t="shared" si="31"/>
        <v>0.71618586975297982</v>
      </c>
      <c r="AK194" s="75" t="str">
        <f t="shared" si="32"/>
        <v/>
      </c>
      <c r="AL194" s="75" t="str">
        <f t="shared" si="33"/>
        <v/>
      </c>
      <c r="AM194" s="75" t="str">
        <f t="shared" si="34"/>
        <v/>
      </c>
      <c r="AN194" s="75">
        <f t="shared" si="35"/>
        <v>0</v>
      </c>
      <c r="AO194" s="188" t="s">
        <v>739</v>
      </c>
      <c r="AP194" s="188" t="s">
        <v>739</v>
      </c>
      <c r="AQ194" s="188" t="s">
        <v>739</v>
      </c>
      <c r="AR194" s="188"/>
      <c r="AS194" s="188" t="s">
        <v>2250</v>
      </c>
      <c r="AT194" s="188" t="s">
        <v>2251</v>
      </c>
      <c r="AU194" s="188" t="s">
        <v>1424</v>
      </c>
      <c r="AV194" s="188"/>
      <c r="AW194" s="188" t="s">
        <v>739</v>
      </c>
      <c r="AX194" t="s">
        <v>739</v>
      </c>
      <c r="AY194" t="s">
        <v>739</v>
      </c>
      <c r="BA194" t="s">
        <v>2252</v>
      </c>
      <c r="BB194" t="s">
        <v>2253</v>
      </c>
      <c r="BC194" t="s">
        <v>2254</v>
      </c>
      <c r="BD194" s="143"/>
    </row>
    <row r="195" spans="1:56" ht="15" customHeight="1" x14ac:dyDescent="0.25">
      <c r="A195" s="188">
        <v>4</v>
      </c>
      <c r="B195" s="188" t="s">
        <v>2241</v>
      </c>
      <c r="C195" s="188" t="s">
        <v>726</v>
      </c>
      <c r="D195" s="188" t="s">
        <v>727</v>
      </c>
      <c r="E195" s="188" t="s">
        <v>728</v>
      </c>
      <c r="F195" s="188" t="s">
        <v>729</v>
      </c>
      <c r="G195" s="188" t="s">
        <v>730</v>
      </c>
      <c r="H195" s="188" t="s">
        <v>731</v>
      </c>
      <c r="I195" s="188" t="s">
        <v>746</v>
      </c>
      <c r="J195" s="74">
        <v>44197</v>
      </c>
      <c r="K195" s="74">
        <v>44561</v>
      </c>
      <c r="L195" s="188" t="s">
        <v>733</v>
      </c>
      <c r="M195" s="188" t="str">
        <f t="shared" si="42"/>
        <v>Sucre</v>
      </c>
      <c r="N195" s="188" t="s">
        <v>30</v>
      </c>
      <c r="O195" s="188" t="s">
        <v>747</v>
      </c>
      <c r="P195" s="188" t="s">
        <v>735</v>
      </c>
      <c r="Q195" s="75">
        <v>0.1</v>
      </c>
      <c r="R195" s="190">
        <v>4939</v>
      </c>
      <c r="S195" s="190">
        <v>0</v>
      </c>
      <c r="T195" s="190">
        <v>0</v>
      </c>
      <c r="U195" s="190">
        <v>0</v>
      </c>
      <c r="V195" s="190">
        <v>4939</v>
      </c>
      <c r="W195" s="190">
        <v>0</v>
      </c>
      <c r="X195" s="190" t="s">
        <v>2255</v>
      </c>
      <c r="Y195" s="190">
        <v>514</v>
      </c>
      <c r="Z195" s="190" t="s">
        <v>2256</v>
      </c>
      <c r="AA195" s="190">
        <v>640</v>
      </c>
      <c r="AB195" s="190" t="s">
        <v>2257</v>
      </c>
      <c r="AC195" s="190"/>
      <c r="AD195" s="190"/>
      <c r="AE195" s="190">
        <f t="shared" ref="AE195:AE223" si="43">AC195+AA195+Y195+W195</f>
        <v>1154</v>
      </c>
      <c r="AF195" s="74">
        <v>44300</v>
      </c>
      <c r="AG195" s="74">
        <v>44390</v>
      </c>
      <c r="AH195" s="74">
        <v>44477</v>
      </c>
      <c r="AI195" s="74"/>
      <c r="AJ195" s="75">
        <f t="shared" ref="AJ195:AJ223" si="44">IFERROR(IF((W195+Y195+AA195+AC195)/R195&gt;1,1,(W195+Y195+AA195+AC195)/R195),0)</f>
        <v>0.23365053654585949</v>
      </c>
      <c r="AK195" s="75" t="str">
        <f t="shared" ref="AK195:AK223" si="45">IFERROR(IF(S195=0,"",IF((W195/S195)&gt;1,1,(W195/S195))),"")</f>
        <v/>
      </c>
      <c r="AL195" s="75" t="str">
        <f t="shared" ref="AL195:AL223" si="46">IFERROR(IF(T195=0,"",IF((Y195/T195)&gt;1,1,(Y195/T195))),"")</f>
        <v/>
      </c>
      <c r="AM195" s="75" t="str">
        <f t="shared" ref="AM195:AM223" si="47">IFERROR(IF(U195=0,"",IF((AA195/U195)&gt;1,1,(AA195/U195))),"")</f>
        <v/>
      </c>
      <c r="AN195" s="75">
        <f t="shared" ref="AN195:AN223" si="48">IFERROR(IF(V195=0,"",IF((AC195/V195)&gt;1,1,(AC195/V195))),"")</f>
        <v>0</v>
      </c>
      <c r="AO195" s="188" t="s">
        <v>739</v>
      </c>
      <c r="AP195" s="188" t="s">
        <v>739</v>
      </c>
      <c r="AQ195" s="188" t="s">
        <v>739</v>
      </c>
      <c r="AR195" s="188"/>
      <c r="AS195" s="188" t="s">
        <v>2250</v>
      </c>
      <c r="AT195" s="188" t="s">
        <v>2258</v>
      </c>
      <c r="AU195" s="188" t="s">
        <v>1424</v>
      </c>
      <c r="AV195" s="188"/>
      <c r="AW195" s="188" t="s">
        <v>739</v>
      </c>
      <c r="AX195" t="s">
        <v>739</v>
      </c>
      <c r="AY195" t="s">
        <v>739</v>
      </c>
      <c r="BA195" t="s">
        <v>2259</v>
      </c>
      <c r="BB195" t="s">
        <v>2260</v>
      </c>
      <c r="BC195" t="s">
        <v>2261</v>
      </c>
      <c r="BD195" s="143"/>
    </row>
    <row r="196" spans="1:56" ht="15" customHeight="1" x14ac:dyDescent="0.25">
      <c r="A196" s="188">
        <v>6</v>
      </c>
      <c r="B196" s="188" t="s">
        <v>2241</v>
      </c>
      <c r="C196" s="188" t="s">
        <v>964</v>
      </c>
      <c r="D196" s="188" t="s">
        <v>727</v>
      </c>
      <c r="E196" s="188" t="s">
        <v>815</v>
      </c>
      <c r="F196" s="188" t="s">
        <v>965</v>
      </c>
      <c r="G196" s="188" t="s">
        <v>730</v>
      </c>
      <c r="H196" s="188" t="s">
        <v>731</v>
      </c>
      <c r="I196" t="s">
        <v>966</v>
      </c>
      <c r="J196" s="74">
        <v>44197</v>
      </c>
      <c r="K196" s="74">
        <v>44561</v>
      </c>
      <c r="L196" s="188" t="s">
        <v>733</v>
      </c>
      <c r="M196" s="188" t="str">
        <f t="shared" si="42"/>
        <v>Sucre</v>
      </c>
      <c r="N196" s="188" t="s">
        <v>30</v>
      </c>
      <c r="O196" s="188" t="s">
        <v>967</v>
      </c>
      <c r="P196" s="188" t="s">
        <v>735</v>
      </c>
      <c r="Q196" s="75">
        <v>0.1</v>
      </c>
      <c r="R196" s="190">
        <v>40</v>
      </c>
      <c r="S196" s="190">
        <v>0</v>
      </c>
      <c r="T196" s="190">
        <v>0</v>
      </c>
      <c r="U196" s="190">
        <v>0</v>
      </c>
      <c r="V196" s="190">
        <v>40</v>
      </c>
      <c r="W196" s="190">
        <v>0</v>
      </c>
      <c r="X196" s="190" t="s">
        <v>2262</v>
      </c>
      <c r="Y196" s="190">
        <v>7</v>
      </c>
      <c r="Z196" s="190" t="s">
        <v>2263</v>
      </c>
      <c r="AA196" s="190">
        <v>11</v>
      </c>
      <c r="AB196" s="190" t="s">
        <v>2264</v>
      </c>
      <c r="AC196" s="190"/>
      <c r="AD196" s="190"/>
      <c r="AE196" s="190">
        <f t="shared" si="43"/>
        <v>18</v>
      </c>
      <c r="AF196" s="74">
        <v>44300</v>
      </c>
      <c r="AG196" s="74">
        <v>44392</v>
      </c>
      <c r="AH196" s="74">
        <v>44477</v>
      </c>
      <c r="AI196" s="74"/>
      <c r="AJ196" s="75">
        <f t="shared" si="44"/>
        <v>0.45</v>
      </c>
      <c r="AK196" s="75" t="str">
        <f t="shared" si="45"/>
        <v/>
      </c>
      <c r="AL196" s="75" t="str">
        <f t="shared" si="46"/>
        <v/>
      </c>
      <c r="AM196" s="75" t="str">
        <f t="shared" si="47"/>
        <v/>
      </c>
      <c r="AN196" s="75">
        <f t="shared" si="48"/>
        <v>0</v>
      </c>
      <c r="AO196" s="188" t="s">
        <v>838</v>
      </c>
      <c r="AP196" s="188" t="s">
        <v>739</v>
      </c>
      <c r="AQ196" s="188" t="s">
        <v>739</v>
      </c>
      <c r="AR196" s="188"/>
      <c r="AS196" s="188" t="s">
        <v>838</v>
      </c>
      <c r="AT196" s="188" t="s">
        <v>2265</v>
      </c>
      <c r="AU196" s="188" t="s">
        <v>1424</v>
      </c>
      <c r="AV196" s="188"/>
      <c r="AW196" s="188" t="s">
        <v>838</v>
      </c>
      <c r="AX196" t="s">
        <v>739</v>
      </c>
      <c r="AY196" t="s">
        <v>739</v>
      </c>
      <c r="BA196" t="s">
        <v>2266</v>
      </c>
      <c r="BB196" t="s">
        <v>2267</v>
      </c>
      <c r="BC196" t="s">
        <v>2268</v>
      </c>
      <c r="BD196" s="143"/>
    </row>
    <row r="197" spans="1:56" ht="15" customHeight="1" x14ac:dyDescent="0.25">
      <c r="A197" s="188">
        <v>7</v>
      </c>
      <c r="B197" s="188" t="s">
        <v>2241</v>
      </c>
      <c r="C197" s="188" t="s">
        <v>756</v>
      </c>
      <c r="D197" s="188" t="s">
        <v>727</v>
      </c>
      <c r="E197" s="188" t="s">
        <v>728</v>
      </c>
      <c r="F197" s="188" t="s">
        <v>757</v>
      </c>
      <c r="G197" s="188" t="s">
        <v>730</v>
      </c>
      <c r="H197" s="188" t="s">
        <v>731</v>
      </c>
      <c r="I197" t="s">
        <v>758</v>
      </c>
      <c r="J197" s="74">
        <v>44197</v>
      </c>
      <c r="K197" s="74">
        <v>44561</v>
      </c>
      <c r="L197" s="188" t="s">
        <v>733</v>
      </c>
      <c r="M197" s="188" t="str">
        <f t="shared" si="42"/>
        <v>Sucre</v>
      </c>
      <c r="N197" s="188" t="s">
        <v>60</v>
      </c>
      <c r="O197" s="188" t="s">
        <v>759</v>
      </c>
      <c r="P197" s="188" t="s">
        <v>735</v>
      </c>
      <c r="Q197" s="75">
        <v>0.1</v>
      </c>
      <c r="R197" s="189">
        <v>1</v>
      </c>
      <c r="S197" s="189">
        <v>0.25</v>
      </c>
      <c r="T197" s="189">
        <v>0.25</v>
      </c>
      <c r="U197" s="189">
        <v>0.25</v>
      </c>
      <c r="V197" s="189">
        <v>0.25</v>
      </c>
      <c r="W197" s="189">
        <v>0</v>
      </c>
      <c r="X197" s="189" t="s">
        <v>2269</v>
      </c>
      <c r="Y197" s="189">
        <v>0.24</v>
      </c>
      <c r="Z197" s="189" t="s">
        <v>2270</v>
      </c>
      <c r="AA197" s="189">
        <v>0.25</v>
      </c>
      <c r="AB197" s="189" t="s">
        <v>2271</v>
      </c>
      <c r="AC197" s="189"/>
      <c r="AD197" s="189"/>
      <c r="AE197" s="189">
        <f t="shared" si="43"/>
        <v>0.49</v>
      </c>
      <c r="AF197" s="74">
        <v>44300</v>
      </c>
      <c r="AG197" s="74">
        <v>44391</v>
      </c>
      <c r="AH197" s="74">
        <v>44483</v>
      </c>
      <c r="AI197" s="74"/>
      <c r="AJ197" s="75">
        <f t="shared" si="44"/>
        <v>0.49</v>
      </c>
      <c r="AK197" s="75">
        <f t="shared" si="45"/>
        <v>0</v>
      </c>
      <c r="AL197" s="75">
        <f t="shared" si="46"/>
        <v>0.96</v>
      </c>
      <c r="AM197" s="75">
        <f t="shared" si="47"/>
        <v>1</v>
      </c>
      <c r="AN197" s="75">
        <f t="shared" si="48"/>
        <v>0</v>
      </c>
      <c r="AO197" s="188" t="s">
        <v>828</v>
      </c>
      <c r="AP197" s="188" t="s">
        <v>739</v>
      </c>
      <c r="AQ197" s="188" t="s">
        <v>739</v>
      </c>
      <c r="AR197" s="188"/>
      <c r="AS197" s="188" t="s">
        <v>2272</v>
      </c>
      <c r="AT197" s="188" t="s">
        <v>2273</v>
      </c>
      <c r="AU197" s="188" t="s">
        <v>1424</v>
      </c>
      <c r="AV197" s="188"/>
      <c r="AW197" s="188" t="s">
        <v>828</v>
      </c>
      <c r="AX197" t="s">
        <v>739</v>
      </c>
      <c r="AY197" t="s">
        <v>739</v>
      </c>
      <c r="BA197" t="s">
        <v>2274</v>
      </c>
      <c r="BB197" t="s">
        <v>2275</v>
      </c>
      <c r="BC197" t="s">
        <v>2276</v>
      </c>
      <c r="BD197" s="143"/>
    </row>
    <row r="198" spans="1:56" ht="15" customHeight="1" x14ac:dyDescent="0.25">
      <c r="A198" s="188">
        <v>8</v>
      </c>
      <c r="B198" s="188" t="s">
        <v>2241</v>
      </c>
      <c r="C198" s="188" t="s">
        <v>768</v>
      </c>
      <c r="D198" s="188" t="s">
        <v>727</v>
      </c>
      <c r="E198" s="188" t="s">
        <v>728</v>
      </c>
      <c r="F198" s="188" t="s">
        <v>757</v>
      </c>
      <c r="G198" s="188" t="s">
        <v>730</v>
      </c>
      <c r="H198" s="188" t="s">
        <v>731</v>
      </c>
      <c r="I198" t="s">
        <v>769</v>
      </c>
      <c r="J198" s="74">
        <v>44197</v>
      </c>
      <c r="K198" s="74">
        <v>44561</v>
      </c>
      <c r="L198" s="188" t="s">
        <v>733</v>
      </c>
      <c r="M198" s="188" t="str">
        <f t="shared" si="42"/>
        <v>Sucre</v>
      </c>
      <c r="N198" s="188" t="s">
        <v>60</v>
      </c>
      <c r="O198" s="188" t="s">
        <v>759</v>
      </c>
      <c r="P198" s="188" t="s">
        <v>735</v>
      </c>
      <c r="Q198" s="75">
        <v>0.1</v>
      </c>
      <c r="R198" s="189">
        <v>1</v>
      </c>
      <c r="S198" s="189">
        <v>0.25</v>
      </c>
      <c r="T198" s="189">
        <v>0.25</v>
      </c>
      <c r="U198" s="189">
        <v>0.25</v>
      </c>
      <c r="V198" s="189">
        <v>0.25</v>
      </c>
      <c r="W198" s="189">
        <v>0</v>
      </c>
      <c r="X198" s="189" t="s">
        <v>2277</v>
      </c>
      <c r="Y198" s="189">
        <v>0.24</v>
      </c>
      <c r="Z198" s="189" t="s">
        <v>2278</v>
      </c>
      <c r="AA198" s="189">
        <v>0.25</v>
      </c>
      <c r="AB198" s="189" t="s">
        <v>2279</v>
      </c>
      <c r="AC198" s="189"/>
      <c r="AD198" s="189"/>
      <c r="AE198" s="189">
        <f t="shared" si="43"/>
        <v>0.49</v>
      </c>
      <c r="AF198" s="74">
        <v>44300</v>
      </c>
      <c r="AG198" s="74">
        <v>44392</v>
      </c>
      <c r="AH198" s="74">
        <v>44483</v>
      </c>
      <c r="AI198" s="74"/>
      <c r="AJ198" s="75">
        <f t="shared" si="44"/>
        <v>0.49</v>
      </c>
      <c r="AK198" s="75">
        <f t="shared" si="45"/>
        <v>0</v>
      </c>
      <c r="AL198" s="75">
        <f t="shared" si="46"/>
        <v>0.96</v>
      </c>
      <c r="AM198" s="75">
        <f t="shared" si="47"/>
        <v>1</v>
      </c>
      <c r="AN198" s="75">
        <f t="shared" si="48"/>
        <v>0</v>
      </c>
      <c r="AO198" s="188" t="s">
        <v>739</v>
      </c>
      <c r="AP198" s="188" t="s">
        <v>739</v>
      </c>
      <c r="AQ198" s="188" t="s">
        <v>739</v>
      </c>
      <c r="AR198" s="188"/>
      <c r="AS198" s="188" t="s">
        <v>2250</v>
      </c>
      <c r="AT198" s="188" t="s">
        <v>2273</v>
      </c>
      <c r="AU198" s="188" t="s">
        <v>1424</v>
      </c>
      <c r="AV198" s="188"/>
      <c r="AW198" s="188" t="s">
        <v>739</v>
      </c>
      <c r="AX198" t="s">
        <v>739</v>
      </c>
      <c r="AY198" t="s">
        <v>739</v>
      </c>
      <c r="BA198" t="s">
        <v>2280</v>
      </c>
      <c r="BB198" t="s">
        <v>2281</v>
      </c>
      <c r="BC198" t="s">
        <v>2282</v>
      </c>
      <c r="BD198" s="143"/>
    </row>
    <row r="199" spans="1:56" ht="15" customHeight="1" x14ac:dyDescent="0.25">
      <c r="A199" s="188">
        <v>9</v>
      </c>
      <c r="B199" s="188" t="s">
        <v>2241</v>
      </c>
      <c r="C199" s="188" t="s">
        <v>777</v>
      </c>
      <c r="D199" s="188" t="s">
        <v>778</v>
      </c>
      <c r="E199" s="188" t="s">
        <v>779</v>
      </c>
      <c r="F199" s="188" t="s">
        <v>780</v>
      </c>
      <c r="G199" s="188" t="s">
        <v>730</v>
      </c>
      <c r="H199" s="188" t="s">
        <v>781</v>
      </c>
      <c r="I199" t="s">
        <v>782</v>
      </c>
      <c r="J199" s="74">
        <v>44197</v>
      </c>
      <c r="K199" s="74">
        <v>44561</v>
      </c>
      <c r="L199" s="188" t="s">
        <v>733</v>
      </c>
      <c r="M199" s="188" t="str">
        <f t="shared" si="42"/>
        <v>Sucre</v>
      </c>
      <c r="N199" s="188" t="s">
        <v>60</v>
      </c>
      <c r="O199" s="188" t="s">
        <v>759</v>
      </c>
      <c r="P199" s="188" t="s">
        <v>735</v>
      </c>
      <c r="Q199" s="75">
        <v>0.1</v>
      </c>
      <c r="R199" s="189">
        <v>1</v>
      </c>
      <c r="S199" s="189">
        <v>0.25</v>
      </c>
      <c r="T199" s="189">
        <v>0.25</v>
      </c>
      <c r="U199" s="189">
        <v>0.25</v>
      </c>
      <c r="V199" s="189">
        <v>0.25</v>
      </c>
      <c r="W199" s="189">
        <v>0</v>
      </c>
      <c r="X199" s="189" t="s">
        <v>2283</v>
      </c>
      <c r="Y199" s="189">
        <v>0.1</v>
      </c>
      <c r="Z199" s="189" t="s">
        <v>2284</v>
      </c>
      <c r="AA199" s="189">
        <v>0.09</v>
      </c>
      <c r="AB199" s="189" t="s">
        <v>2285</v>
      </c>
      <c r="AC199" s="189"/>
      <c r="AD199" s="189"/>
      <c r="AE199" s="189">
        <f t="shared" si="43"/>
        <v>0.19</v>
      </c>
      <c r="AF199" s="74">
        <v>44300</v>
      </c>
      <c r="AG199" s="74">
        <v>44390</v>
      </c>
      <c r="AH199" s="74">
        <v>44483</v>
      </c>
      <c r="AI199" s="74"/>
      <c r="AJ199" s="75">
        <f t="shared" si="44"/>
        <v>0.19</v>
      </c>
      <c r="AK199" s="75">
        <f t="shared" si="45"/>
        <v>0</v>
      </c>
      <c r="AL199" s="75">
        <f t="shared" si="46"/>
        <v>0.4</v>
      </c>
      <c r="AM199" s="75">
        <f t="shared" si="47"/>
        <v>0.36</v>
      </c>
      <c r="AN199" s="75">
        <f t="shared" si="48"/>
        <v>0</v>
      </c>
      <c r="AO199" s="188" t="s">
        <v>828</v>
      </c>
      <c r="AP199" s="188" t="s">
        <v>739</v>
      </c>
      <c r="AQ199" s="188" t="s">
        <v>739</v>
      </c>
      <c r="AR199" s="188"/>
      <c r="AS199" s="188" t="s">
        <v>2286</v>
      </c>
      <c r="AT199" s="188" t="s">
        <v>2273</v>
      </c>
      <c r="AU199" s="188" t="s">
        <v>1424</v>
      </c>
      <c r="AV199" s="188"/>
      <c r="AW199" s="188" t="s">
        <v>828</v>
      </c>
      <c r="AX199" t="s">
        <v>739</v>
      </c>
      <c r="AY199" t="s">
        <v>828</v>
      </c>
      <c r="BA199" t="s">
        <v>2287</v>
      </c>
      <c r="BB199" t="s">
        <v>2288</v>
      </c>
      <c r="BC199" t="s">
        <v>2289</v>
      </c>
      <c r="BD199" s="143"/>
    </row>
    <row r="200" spans="1:56" ht="15" customHeight="1" x14ac:dyDescent="0.25">
      <c r="A200" s="188">
        <v>10</v>
      </c>
      <c r="B200" s="188" t="s">
        <v>2241</v>
      </c>
      <c r="C200" s="188" t="s">
        <v>790</v>
      </c>
      <c r="D200" s="188" t="s">
        <v>791</v>
      </c>
      <c r="E200" s="188" t="s">
        <v>792</v>
      </c>
      <c r="F200" s="188" t="s">
        <v>793</v>
      </c>
      <c r="G200" s="188" t="s">
        <v>794</v>
      </c>
      <c r="H200" s="188" t="s">
        <v>794</v>
      </c>
      <c r="I200" t="s">
        <v>795</v>
      </c>
      <c r="J200" s="74">
        <v>44197</v>
      </c>
      <c r="K200" s="74">
        <v>44561</v>
      </c>
      <c r="L200" s="188" t="s">
        <v>733</v>
      </c>
      <c r="M200" s="188" t="str">
        <f t="shared" si="42"/>
        <v>Sucre</v>
      </c>
      <c r="N200" s="188" t="s">
        <v>60</v>
      </c>
      <c r="O200" s="188" t="s">
        <v>796</v>
      </c>
      <c r="P200" s="188" t="s">
        <v>735</v>
      </c>
      <c r="Q200" s="75">
        <v>0.1</v>
      </c>
      <c r="R200" s="189">
        <v>1</v>
      </c>
      <c r="S200" s="189">
        <v>0.25</v>
      </c>
      <c r="T200" s="189">
        <v>0.25</v>
      </c>
      <c r="U200" s="189">
        <v>0.25</v>
      </c>
      <c r="V200" s="189">
        <v>0.25</v>
      </c>
      <c r="W200" s="189">
        <v>0</v>
      </c>
      <c r="X200" s="189" t="s">
        <v>2290</v>
      </c>
      <c r="Y200" s="189">
        <v>0.25</v>
      </c>
      <c r="Z200" s="189" t="s">
        <v>2291</v>
      </c>
      <c r="AA200" s="189">
        <v>0.25</v>
      </c>
      <c r="AB200" s="189" t="s">
        <v>2291</v>
      </c>
      <c r="AC200" s="189"/>
      <c r="AD200" s="189"/>
      <c r="AE200" s="189">
        <f t="shared" si="43"/>
        <v>0.5</v>
      </c>
      <c r="AF200" s="74">
        <v>44300</v>
      </c>
      <c r="AG200" s="74">
        <v>44390</v>
      </c>
      <c r="AH200" s="74">
        <v>44477</v>
      </c>
      <c r="AI200" s="74"/>
      <c r="AJ200" s="75">
        <f t="shared" si="44"/>
        <v>0.5</v>
      </c>
      <c r="AK200" s="75">
        <f t="shared" si="45"/>
        <v>0</v>
      </c>
      <c r="AL200" s="75">
        <f t="shared" si="46"/>
        <v>1</v>
      </c>
      <c r="AM200" s="75">
        <f t="shared" si="47"/>
        <v>1</v>
      </c>
      <c r="AN200" s="75">
        <f t="shared" si="48"/>
        <v>0</v>
      </c>
      <c r="AO200" s="188" t="s">
        <v>739</v>
      </c>
      <c r="AP200" s="188" t="s">
        <v>739</v>
      </c>
      <c r="AQ200" s="188" t="s">
        <v>739</v>
      </c>
      <c r="AR200" s="188"/>
      <c r="AS200" s="188" t="s">
        <v>2292</v>
      </c>
      <c r="AT200" s="188" t="s">
        <v>2273</v>
      </c>
      <c r="AU200" s="188" t="s">
        <v>1424</v>
      </c>
      <c r="AV200" s="188"/>
      <c r="AW200" s="188" t="s">
        <v>828</v>
      </c>
      <c r="AX200" t="s">
        <v>739</v>
      </c>
      <c r="AY200" t="s">
        <v>739</v>
      </c>
      <c r="BA200" t="s">
        <v>2293</v>
      </c>
      <c r="BB200" t="s">
        <v>2294</v>
      </c>
      <c r="BC200" t="s">
        <v>2295</v>
      </c>
      <c r="BD200" s="143"/>
    </row>
    <row r="201" spans="1:56" ht="15" customHeight="1" x14ac:dyDescent="0.25">
      <c r="A201" s="188">
        <v>11</v>
      </c>
      <c r="B201" s="188" t="s">
        <v>2241</v>
      </c>
      <c r="C201" s="188" t="s">
        <v>790</v>
      </c>
      <c r="D201" s="188" t="s">
        <v>791</v>
      </c>
      <c r="E201" s="188" t="s">
        <v>792</v>
      </c>
      <c r="F201" s="188" t="s">
        <v>793</v>
      </c>
      <c r="G201" s="188" t="s">
        <v>794</v>
      </c>
      <c r="H201" s="188" t="s">
        <v>794</v>
      </c>
      <c r="I201" s="188" t="s">
        <v>805</v>
      </c>
      <c r="J201" s="74">
        <v>44197</v>
      </c>
      <c r="K201" s="74">
        <v>44561</v>
      </c>
      <c r="L201" s="188" t="s">
        <v>733</v>
      </c>
      <c r="M201" s="188" t="str">
        <f t="shared" si="42"/>
        <v>Sucre</v>
      </c>
      <c r="N201" s="188" t="s">
        <v>60</v>
      </c>
      <c r="O201" s="188" t="s">
        <v>806</v>
      </c>
      <c r="P201" s="188" t="s">
        <v>735</v>
      </c>
      <c r="Q201" s="75">
        <v>0.1</v>
      </c>
      <c r="R201" s="189">
        <v>1</v>
      </c>
      <c r="S201" s="189">
        <v>0.25</v>
      </c>
      <c r="T201" s="189">
        <v>0.25</v>
      </c>
      <c r="U201" s="189">
        <v>0.25</v>
      </c>
      <c r="V201" s="189">
        <v>0.25</v>
      </c>
      <c r="W201" s="189"/>
      <c r="X201" s="189"/>
      <c r="Y201" s="189">
        <v>0.15</v>
      </c>
      <c r="Z201" s="189" t="s">
        <v>2296</v>
      </c>
      <c r="AA201" s="189">
        <v>0.25</v>
      </c>
      <c r="AB201" s="189" t="s">
        <v>2297</v>
      </c>
      <c r="AC201" s="189"/>
      <c r="AD201" s="189"/>
      <c r="AE201" s="189">
        <f t="shared" si="43"/>
        <v>0.4</v>
      </c>
      <c r="AF201" s="75"/>
      <c r="AG201" s="74">
        <v>44391</v>
      </c>
      <c r="AH201" s="74">
        <v>44483</v>
      </c>
      <c r="AI201" s="74"/>
      <c r="AJ201" s="75">
        <f t="shared" si="44"/>
        <v>0.4</v>
      </c>
      <c r="AK201" s="75">
        <f t="shared" si="45"/>
        <v>0</v>
      </c>
      <c r="AL201" s="75">
        <f t="shared" si="46"/>
        <v>0.6</v>
      </c>
      <c r="AM201" s="75">
        <f t="shared" si="47"/>
        <v>1</v>
      </c>
      <c r="AN201" s="75">
        <f t="shared" si="48"/>
        <v>0</v>
      </c>
      <c r="AO201" s="188" t="s">
        <v>828</v>
      </c>
      <c r="AP201" s="188" t="s">
        <v>739</v>
      </c>
      <c r="AQ201" s="188" t="s">
        <v>739</v>
      </c>
      <c r="AR201" s="188"/>
      <c r="AS201" s="188" t="s">
        <v>2298</v>
      </c>
      <c r="AT201" s="188" t="s">
        <v>2299</v>
      </c>
      <c r="AU201" s="188" t="s">
        <v>1424</v>
      </c>
      <c r="AV201" s="188"/>
      <c r="AW201" s="188" t="s">
        <v>828</v>
      </c>
      <c r="AX201" t="s">
        <v>739</v>
      </c>
      <c r="AY201" t="s">
        <v>739</v>
      </c>
      <c r="BA201" t="s">
        <v>2300</v>
      </c>
      <c r="BB201" t="s">
        <v>2301</v>
      </c>
      <c r="BC201" t="s">
        <v>2302</v>
      </c>
      <c r="BD201" s="143"/>
    </row>
    <row r="202" spans="1:56" ht="15" customHeight="1" x14ac:dyDescent="0.25">
      <c r="A202" s="188">
        <v>13</v>
      </c>
      <c r="B202" s="188" t="s">
        <v>2241</v>
      </c>
      <c r="C202" s="188" t="s">
        <v>814</v>
      </c>
      <c r="D202" s="188" t="s">
        <v>727</v>
      </c>
      <c r="E202" s="188" t="s">
        <v>815</v>
      </c>
      <c r="F202" s="188" t="s">
        <v>816</v>
      </c>
      <c r="G202" s="188" t="s">
        <v>817</v>
      </c>
      <c r="H202" s="188" t="s">
        <v>818</v>
      </c>
      <c r="I202" t="s">
        <v>819</v>
      </c>
      <c r="J202" s="74">
        <v>44197</v>
      </c>
      <c r="K202" s="74">
        <v>44561</v>
      </c>
      <c r="L202" s="188" t="s">
        <v>733</v>
      </c>
      <c r="M202" s="188" t="str">
        <f t="shared" si="42"/>
        <v>Sucre</v>
      </c>
      <c r="N202" s="188" t="s">
        <v>30</v>
      </c>
      <c r="O202" s="188" t="s">
        <v>820</v>
      </c>
      <c r="P202" s="188" t="s">
        <v>821</v>
      </c>
      <c r="Q202" s="75">
        <v>0.1</v>
      </c>
      <c r="R202" s="190">
        <f>SUM(S202:V202)</f>
        <v>205652053.22484106</v>
      </c>
      <c r="S202" s="190">
        <v>40606862.036931559</v>
      </c>
      <c r="T202" s="190">
        <v>52639896.676805563</v>
      </c>
      <c r="U202" s="190">
        <v>53593659.709495969</v>
      </c>
      <c r="V202" s="190">
        <v>58811634.801607959</v>
      </c>
      <c r="W202" s="190">
        <v>0</v>
      </c>
      <c r="X202" s="190" t="s">
        <v>2303</v>
      </c>
      <c r="Y202" s="190">
        <v>27616839</v>
      </c>
      <c r="Z202" s="190" t="s">
        <v>2304</v>
      </c>
      <c r="AA202" s="190">
        <v>20421208</v>
      </c>
      <c r="AB202" s="190" t="s">
        <v>2305</v>
      </c>
      <c r="AC202" s="190"/>
      <c r="AD202" s="190"/>
      <c r="AE202" s="190">
        <f t="shared" si="43"/>
        <v>48038047</v>
      </c>
      <c r="AF202" s="60">
        <v>44300</v>
      </c>
      <c r="AG202" s="60">
        <v>44392</v>
      </c>
      <c r="AH202" s="60">
        <v>44477</v>
      </c>
      <c r="AI202" s="60"/>
      <c r="AJ202" s="75">
        <f t="shared" si="44"/>
        <v>0.23358894913380521</v>
      </c>
      <c r="AK202" s="75">
        <f t="shared" si="45"/>
        <v>0</v>
      </c>
      <c r="AL202" s="75">
        <f t="shared" si="46"/>
        <v>0.52463702901165954</v>
      </c>
      <c r="AM202" s="75">
        <f t="shared" si="47"/>
        <v>0.38103775914339505</v>
      </c>
      <c r="AN202" s="75">
        <f t="shared" si="48"/>
        <v>0</v>
      </c>
      <c r="AO202" s="188" t="s">
        <v>739</v>
      </c>
      <c r="AP202" s="188" t="s">
        <v>739</v>
      </c>
      <c r="AQ202" s="188" t="s">
        <v>739</v>
      </c>
      <c r="AR202" s="188"/>
      <c r="AS202" s="188" t="s">
        <v>2306</v>
      </c>
      <c r="AT202" s="188" t="s">
        <v>2273</v>
      </c>
      <c r="AU202" s="188" t="s">
        <v>1424</v>
      </c>
      <c r="AV202" s="188"/>
      <c r="AW202" s="188" t="s">
        <v>739</v>
      </c>
      <c r="AX202" t="s">
        <v>739</v>
      </c>
      <c r="AY202" t="s">
        <v>739</v>
      </c>
      <c r="BA202" t="s">
        <v>2307</v>
      </c>
      <c r="BB202" t="s">
        <v>2308</v>
      </c>
      <c r="BC202" t="s">
        <v>2309</v>
      </c>
      <c r="BD202" s="143"/>
    </row>
    <row r="203" spans="1:56" ht="15" customHeight="1" x14ac:dyDescent="0.25">
      <c r="A203" s="188">
        <v>1</v>
      </c>
      <c r="B203" s="188" t="s">
        <v>509</v>
      </c>
      <c r="C203" s="188" t="s">
        <v>832</v>
      </c>
      <c r="D203" s="188" t="s">
        <v>727</v>
      </c>
      <c r="E203" s="188" t="s">
        <v>728</v>
      </c>
      <c r="F203" s="188" t="s">
        <v>729</v>
      </c>
      <c r="G203" s="188" t="s">
        <v>730</v>
      </c>
      <c r="H203" s="188" t="s">
        <v>731</v>
      </c>
      <c r="I203" s="188" t="s">
        <v>833</v>
      </c>
      <c r="J203" s="74">
        <v>44197</v>
      </c>
      <c r="K203" s="74">
        <v>44561</v>
      </c>
      <c r="L203" s="188" t="s">
        <v>733</v>
      </c>
      <c r="M203" s="188" t="str">
        <f>B203</f>
        <v>Tolima</v>
      </c>
      <c r="N203" s="188" t="s">
        <v>30</v>
      </c>
      <c r="O203" s="188" t="s">
        <v>834</v>
      </c>
      <c r="P203" s="188" t="s">
        <v>735</v>
      </c>
      <c r="Q203" s="75">
        <v>9.0909090909090912E-2</v>
      </c>
      <c r="R203" s="190">
        <v>39</v>
      </c>
      <c r="S203" s="190">
        <v>0</v>
      </c>
      <c r="T203" s="190">
        <v>0</v>
      </c>
      <c r="U203" s="190">
        <v>0</v>
      </c>
      <c r="V203" s="190">
        <v>39</v>
      </c>
      <c r="W203" s="190">
        <v>0</v>
      </c>
      <c r="X203" s="190" t="s">
        <v>2310</v>
      </c>
      <c r="Y203" s="190">
        <v>0</v>
      </c>
      <c r="Z203" s="190" t="s">
        <v>2311</v>
      </c>
      <c r="AA203" s="190">
        <v>0</v>
      </c>
      <c r="AB203" s="190" t="s">
        <v>2312</v>
      </c>
      <c r="AC203" s="190"/>
      <c r="AD203" s="190"/>
      <c r="AE203" s="190">
        <f t="shared" si="43"/>
        <v>0</v>
      </c>
      <c r="AF203" s="74">
        <v>44293</v>
      </c>
      <c r="AG203" s="74">
        <v>44386</v>
      </c>
      <c r="AH203" s="74">
        <v>44478</v>
      </c>
      <c r="AI203" s="74"/>
      <c r="AJ203" s="75">
        <f t="shared" si="44"/>
        <v>0</v>
      </c>
      <c r="AK203" s="75" t="str">
        <f t="shared" si="45"/>
        <v/>
      </c>
      <c r="AL203" s="75" t="str">
        <f t="shared" si="46"/>
        <v/>
      </c>
      <c r="AM203" s="75" t="str">
        <f t="shared" si="47"/>
        <v/>
      </c>
      <c r="AN203" s="75">
        <f t="shared" si="48"/>
        <v>0</v>
      </c>
      <c r="AO203" s="188" t="s">
        <v>739</v>
      </c>
      <c r="AP203" s="188" t="s">
        <v>838</v>
      </c>
      <c r="AQ203" s="188" t="s">
        <v>838</v>
      </c>
      <c r="AR203" s="188"/>
      <c r="AS203" s="188" t="s">
        <v>2313</v>
      </c>
      <c r="AT203" s="188" t="s">
        <v>2314</v>
      </c>
      <c r="AU203" s="188" t="s">
        <v>2315</v>
      </c>
      <c r="AV203" s="188"/>
      <c r="AW203" s="188" t="s">
        <v>828</v>
      </c>
      <c r="AX203" s="188" t="s">
        <v>838</v>
      </c>
      <c r="AY203" s="188" t="s">
        <v>838</v>
      </c>
      <c r="AZ203" s="188"/>
      <c r="BA203" s="188" t="s">
        <v>2316</v>
      </c>
      <c r="BB203" s="188" t="s">
        <v>2317</v>
      </c>
      <c r="BC203" s="188" t="s">
        <v>2318</v>
      </c>
      <c r="BD203" s="143"/>
    </row>
    <row r="204" spans="1:56" ht="15" customHeight="1" x14ac:dyDescent="0.25">
      <c r="A204" s="188">
        <v>2</v>
      </c>
      <c r="B204" s="188" t="s">
        <v>509</v>
      </c>
      <c r="C204" s="188" t="s">
        <v>832</v>
      </c>
      <c r="D204" s="188" t="s">
        <v>727</v>
      </c>
      <c r="E204" s="188" t="s">
        <v>728</v>
      </c>
      <c r="F204" s="188" t="s">
        <v>729</v>
      </c>
      <c r="G204" s="188" t="s">
        <v>730</v>
      </c>
      <c r="H204" s="188" t="s">
        <v>731</v>
      </c>
      <c r="I204" s="188" t="s">
        <v>844</v>
      </c>
      <c r="J204" s="74">
        <v>44197</v>
      </c>
      <c r="K204" s="74">
        <v>44561</v>
      </c>
      <c r="L204" s="188" t="s">
        <v>733</v>
      </c>
      <c r="M204" s="188" t="str">
        <f t="shared" ref="M204:M214" si="49">B204</f>
        <v>Tolima</v>
      </c>
      <c r="N204" s="188" t="s">
        <v>30</v>
      </c>
      <c r="O204" s="188" t="s">
        <v>845</v>
      </c>
      <c r="P204" s="188" t="s">
        <v>735</v>
      </c>
      <c r="Q204" s="75">
        <v>9.0909090909090912E-2</v>
      </c>
      <c r="R204" s="190">
        <v>204584</v>
      </c>
      <c r="S204" s="190">
        <v>0</v>
      </c>
      <c r="T204" s="190">
        <v>0</v>
      </c>
      <c r="U204" s="190">
        <v>0</v>
      </c>
      <c r="V204" s="190">
        <v>204584</v>
      </c>
      <c r="W204" s="190">
        <v>0</v>
      </c>
      <c r="X204" s="190" t="s">
        <v>2319</v>
      </c>
      <c r="Y204" s="190">
        <v>0</v>
      </c>
      <c r="Z204" s="190" t="s">
        <v>2320</v>
      </c>
      <c r="AA204" s="190">
        <v>0</v>
      </c>
      <c r="AB204" s="190" t="s">
        <v>2312</v>
      </c>
      <c r="AC204" s="190"/>
      <c r="AD204" s="190"/>
      <c r="AE204" s="190">
        <f t="shared" si="43"/>
        <v>0</v>
      </c>
      <c r="AF204" s="74">
        <v>44293</v>
      </c>
      <c r="AG204" s="74">
        <v>44386</v>
      </c>
      <c r="AH204" s="74">
        <v>44478</v>
      </c>
      <c r="AI204" s="74"/>
      <c r="AJ204" s="75">
        <f t="shared" si="44"/>
        <v>0</v>
      </c>
      <c r="AK204" s="75" t="str">
        <f t="shared" si="45"/>
        <v/>
      </c>
      <c r="AL204" s="75" t="str">
        <f t="shared" si="46"/>
        <v/>
      </c>
      <c r="AM204" s="75" t="str">
        <f t="shared" si="47"/>
        <v/>
      </c>
      <c r="AN204" s="75">
        <f t="shared" si="48"/>
        <v>0</v>
      </c>
      <c r="AO204" s="188" t="s">
        <v>739</v>
      </c>
      <c r="AP204" s="188" t="s">
        <v>838</v>
      </c>
      <c r="AQ204" s="188" t="s">
        <v>739</v>
      </c>
      <c r="AR204" s="188"/>
      <c r="AS204" s="188" t="s">
        <v>2313</v>
      </c>
      <c r="AT204" s="188" t="s">
        <v>2314</v>
      </c>
      <c r="AU204" s="188" t="s">
        <v>2321</v>
      </c>
      <c r="AV204" s="188"/>
      <c r="AW204" s="188" t="s">
        <v>828</v>
      </c>
      <c r="AX204" t="s">
        <v>838</v>
      </c>
      <c r="AY204" t="s">
        <v>838</v>
      </c>
      <c r="BA204" t="s">
        <v>2322</v>
      </c>
      <c r="BB204" t="s">
        <v>2317</v>
      </c>
      <c r="BC204" t="s">
        <v>2323</v>
      </c>
      <c r="BD204" s="143"/>
    </row>
    <row r="205" spans="1:56" ht="15" customHeight="1" x14ac:dyDescent="0.25">
      <c r="A205" s="188">
        <v>3</v>
      </c>
      <c r="B205" s="188" t="s">
        <v>509</v>
      </c>
      <c r="C205" s="188" t="s">
        <v>726</v>
      </c>
      <c r="D205" s="188" t="s">
        <v>727</v>
      </c>
      <c r="E205" s="188" t="s">
        <v>728</v>
      </c>
      <c r="F205" s="188" t="s">
        <v>729</v>
      </c>
      <c r="G205" s="188" t="s">
        <v>730</v>
      </c>
      <c r="H205" s="188" t="s">
        <v>731</v>
      </c>
      <c r="I205" s="188" t="s">
        <v>732</v>
      </c>
      <c r="J205" s="74">
        <v>44197</v>
      </c>
      <c r="K205" s="74">
        <v>44561</v>
      </c>
      <c r="L205" s="188" t="s">
        <v>733</v>
      </c>
      <c r="M205" s="188" t="str">
        <f t="shared" si="49"/>
        <v>Tolima</v>
      </c>
      <c r="N205" s="188" t="s">
        <v>30</v>
      </c>
      <c r="O205" s="188" t="s">
        <v>734</v>
      </c>
      <c r="P205" s="188" t="s">
        <v>735</v>
      </c>
      <c r="Q205" s="75">
        <v>9.0909090909090912E-2</v>
      </c>
      <c r="R205" s="190">
        <v>16668</v>
      </c>
      <c r="S205" s="190">
        <v>0</v>
      </c>
      <c r="T205" s="190">
        <v>0</v>
      </c>
      <c r="U205" s="190">
        <v>0</v>
      </c>
      <c r="V205" s="190">
        <v>16668</v>
      </c>
      <c r="W205" s="190">
        <v>5237</v>
      </c>
      <c r="X205" s="190" t="s">
        <v>2324</v>
      </c>
      <c r="Y205" s="190">
        <v>7346</v>
      </c>
      <c r="Z205" s="190" t="s">
        <v>2325</v>
      </c>
      <c r="AA205" s="190">
        <v>1068</v>
      </c>
      <c r="AB205" s="190" t="s">
        <v>2326</v>
      </c>
      <c r="AC205" s="190"/>
      <c r="AD205" s="190"/>
      <c r="AE205" s="190">
        <f t="shared" si="43"/>
        <v>13651</v>
      </c>
      <c r="AF205" s="74">
        <v>44295</v>
      </c>
      <c r="AG205" s="74">
        <v>44389</v>
      </c>
      <c r="AH205" s="74">
        <v>44482</v>
      </c>
      <c r="AI205" s="74"/>
      <c r="AJ205" s="75">
        <f t="shared" si="44"/>
        <v>0.81899448044156464</v>
      </c>
      <c r="AK205" s="75" t="str">
        <f t="shared" si="45"/>
        <v/>
      </c>
      <c r="AL205" s="75" t="str">
        <f t="shared" si="46"/>
        <v/>
      </c>
      <c r="AM205" s="75" t="str">
        <f t="shared" si="47"/>
        <v/>
      </c>
      <c r="AN205" s="75">
        <f t="shared" si="48"/>
        <v>0</v>
      </c>
      <c r="AO205" s="188" t="s">
        <v>739</v>
      </c>
      <c r="AP205" s="188" t="s">
        <v>739</v>
      </c>
      <c r="AQ205" s="188" t="s">
        <v>828</v>
      </c>
      <c r="AR205" s="188"/>
      <c r="AS205" s="188" t="s">
        <v>2030</v>
      </c>
      <c r="AT205" s="188" t="s">
        <v>1048</v>
      </c>
      <c r="AU205" s="188" t="s">
        <v>1200</v>
      </c>
      <c r="AV205" s="188"/>
      <c r="AW205" s="188" t="s">
        <v>739</v>
      </c>
      <c r="AX205" t="s">
        <v>739</v>
      </c>
      <c r="AY205" t="s">
        <v>828</v>
      </c>
      <c r="BA205" t="s">
        <v>2327</v>
      </c>
      <c r="BB205" t="s">
        <v>2328</v>
      </c>
      <c r="BC205" t="s">
        <v>2329</v>
      </c>
      <c r="BD205" s="143"/>
    </row>
    <row r="206" spans="1:56" ht="15" customHeight="1" x14ac:dyDescent="0.25">
      <c r="A206" s="188">
        <v>5</v>
      </c>
      <c r="B206" s="188" t="s">
        <v>509</v>
      </c>
      <c r="C206" s="188" t="s">
        <v>726</v>
      </c>
      <c r="D206" s="188" t="s">
        <v>727</v>
      </c>
      <c r="E206" s="188" t="s">
        <v>728</v>
      </c>
      <c r="F206" s="188" t="s">
        <v>729</v>
      </c>
      <c r="G206" s="188" t="s">
        <v>730</v>
      </c>
      <c r="H206" s="188" t="s">
        <v>731</v>
      </c>
      <c r="I206" t="s">
        <v>746</v>
      </c>
      <c r="J206" s="74">
        <v>44197</v>
      </c>
      <c r="K206" s="74">
        <v>44561</v>
      </c>
      <c r="L206" s="188" t="s">
        <v>733</v>
      </c>
      <c r="M206" s="188" t="str">
        <f t="shared" si="49"/>
        <v>Tolima</v>
      </c>
      <c r="N206" s="188" t="s">
        <v>30</v>
      </c>
      <c r="O206" s="188" t="s">
        <v>747</v>
      </c>
      <c r="P206" s="188" t="s">
        <v>735</v>
      </c>
      <c r="Q206" s="75">
        <v>9.0909090909090912E-2</v>
      </c>
      <c r="R206" s="190">
        <v>22254</v>
      </c>
      <c r="S206" s="190">
        <v>0</v>
      </c>
      <c r="T206" s="190">
        <v>0</v>
      </c>
      <c r="U206" s="190">
        <v>0</v>
      </c>
      <c r="V206" s="190">
        <v>22254</v>
      </c>
      <c r="W206" s="190">
        <v>2499</v>
      </c>
      <c r="X206" s="190" t="s">
        <v>2330</v>
      </c>
      <c r="Y206" s="190">
        <v>8910</v>
      </c>
      <c r="Z206" s="190" t="s">
        <v>2331</v>
      </c>
      <c r="AA206" s="190">
        <v>72</v>
      </c>
      <c r="AB206" s="190" t="s">
        <v>2332</v>
      </c>
      <c r="AC206" s="190"/>
      <c r="AD206" s="190"/>
      <c r="AE206" s="190">
        <f t="shared" si="43"/>
        <v>11481</v>
      </c>
      <c r="AF206" s="74">
        <v>44295</v>
      </c>
      <c r="AG206" s="74">
        <v>44389</v>
      </c>
      <c r="AH206" s="74">
        <v>44482</v>
      </c>
      <c r="AI206" s="74"/>
      <c r="AJ206" s="75">
        <f t="shared" si="44"/>
        <v>0.51590725262874093</v>
      </c>
      <c r="AK206" s="75" t="str">
        <f t="shared" si="45"/>
        <v/>
      </c>
      <c r="AL206" s="75" t="str">
        <f t="shared" si="46"/>
        <v/>
      </c>
      <c r="AM206" s="75" t="str">
        <f t="shared" si="47"/>
        <v/>
      </c>
      <c r="AN206" s="75">
        <f t="shared" si="48"/>
        <v>0</v>
      </c>
      <c r="AO206" s="188" t="s">
        <v>739</v>
      </c>
      <c r="AP206" s="188" t="s">
        <v>739</v>
      </c>
      <c r="AQ206" s="188" t="s">
        <v>739</v>
      </c>
      <c r="AR206" s="188"/>
      <c r="AS206" s="188" t="s">
        <v>2030</v>
      </c>
      <c r="AT206" s="188" t="s">
        <v>1048</v>
      </c>
      <c r="AU206" s="188" t="s">
        <v>2333</v>
      </c>
      <c r="AV206" s="188"/>
      <c r="AW206" s="188" t="s">
        <v>739</v>
      </c>
      <c r="AX206" t="s">
        <v>739</v>
      </c>
      <c r="AY206" t="s">
        <v>828</v>
      </c>
      <c r="BA206" t="s">
        <v>2334</v>
      </c>
      <c r="BB206" t="s">
        <v>2335</v>
      </c>
      <c r="BC206" t="s">
        <v>2336</v>
      </c>
      <c r="BD206" s="143"/>
    </row>
    <row r="207" spans="1:56" ht="15" customHeight="1" x14ac:dyDescent="0.25">
      <c r="A207" s="188">
        <v>7</v>
      </c>
      <c r="B207" s="188" t="s">
        <v>509</v>
      </c>
      <c r="C207" s="188" t="s">
        <v>964</v>
      </c>
      <c r="D207" s="188" t="s">
        <v>727</v>
      </c>
      <c r="E207" s="188" t="s">
        <v>815</v>
      </c>
      <c r="F207" s="188" t="s">
        <v>965</v>
      </c>
      <c r="G207" s="188" t="s">
        <v>730</v>
      </c>
      <c r="H207" s="188" t="s">
        <v>731</v>
      </c>
      <c r="I207" t="s">
        <v>966</v>
      </c>
      <c r="J207" s="74">
        <v>44197</v>
      </c>
      <c r="K207" s="74">
        <v>44561</v>
      </c>
      <c r="L207" s="188" t="s">
        <v>733</v>
      </c>
      <c r="M207" s="188" t="str">
        <f t="shared" si="49"/>
        <v>Tolima</v>
      </c>
      <c r="N207" s="188" t="s">
        <v>30</v>
      </c>
      <c r="O207" s="188" t="s">
        <v>967</v>
      </c>
      <c r="P207" s="188" t="s">
        <v>735</v>
      </c>
      <c r="Q207" s="75">
        <v>9.0909090909090912E-2</v>
      </c>
      <c r="R207" s="190">
        <v>40</v>
      </c>
      <c r="S207" s="190">
        <v>0</v>
      </c>
      <c r="T207" s="190">
        <v>0</v>
      </c>
      <c r="U207" s="190">
        <v>0</v>
      </c>
      <c r="V207" s="190">
        <v>40</v>
      </c>
      <c r="W207" s="190">
        <v>0</v>
      </c>
      <c r="X207" s="190" t="s">
        <v>2337</v>
      </c>
      <c r="Y207" s="190">
        <v>0</v>
      </c>
      <c r="Z207" s="190" t="s">
        <v>2338</v>
      </c>
      <c r="AA207" s="190">
        <v>0</v>
      </c>
      <c r="AB207" s="190" t="s">
        <v>2339</v>
      </c>
      <c r="AC207" s="190"/>
      <c r="AD207" s="190"/>
      <c r="AE207" s="190">
        <f t="shared" si="43"/>
        <v>0</v>
      </c>
      <c r="AF207" s="74">
        <v>44299</v>
      </c>
      <c r="AG207" s="74">
        <v>44389</v>
      </c>
      <c r="AH207" s="74">
        <v>44482</v>
      </c>
      <c r="AI207" s="74"/>
      <c r="AJ207" s="75">
        <f t="shared" si="44"/>
        <v>0</v>
      </c>
      <c r="AK207" s="75" t="str">
        <f t="shared" si="45"/>
        <v/>
      </c>
      <c r="AL207" s="75" t="str">
        <f t="shared" si="46"/>
        <v/>
      </c>
      <c r="AM207" s="75" t="str">
        <f t="shared" si="47"/>
        <v/>
      </c>
      <c r="AN207" s="75">
        <f t="shared" si="48"/>
        <v>0</v>
      </c>
      <c r="AO207" s="188" t="s">
        <v>828</v>
      </c>
      <c r="AP207" s="188" t="s">
        <v>828</v>
      </c>
      <c r="AQ207" s="188" t="s">
        <v>838</v>
      </c>
      <c r="AR207" s="188"/>
      <c r="AS207" s="188" t="s">
        <v>2340</v>
      </c>
      <c r="AT207" s="188" t="s">
        <v>2341</v>
      </c>
      <c r="AU207" s="188" t="s">
        <v>2342</v>
      </c>
      <c r="AV207" s="188"/>
      <c r="AW207" s="188" t="s">
        <v>828</v>
      </c>
      <c r="AX207" t="s">
        <v>828</v>
      </c>
      <c r="AY207" t="s">
        <v>838</v>
      </c>
      <c r="BA207" t="s">
        <v>2343</v>
      </c>
      <c r="BB207" t="s">
        <v>2344</v>
      </c>
      <c r="BC207" t="s">
        <v>2345</v>
      </c>
      <c r="BD207" s="143"/>
    </row>
    <row r="208" spans="1:56" ht="15" customHeight="1" x14ac:dyDescent="0.25">
      <c r="A208" s="188">
        <v>8</v>
      </c>
      <c r="B208" s="188" t="s">
        <v>509</v>
      </c>
      <c r="C208" s="188" t="s">
        <v>756</v>
      </c>
      <c r="D208" s="188" t="s">
        <v>727</v>
      </c>
      <c r="E208" s="188" t="s">
        <v>728</v>
      </c>
      <c r="F208" s="188" t="s">
        <v>757</v>
      </c>
      <c r="G208" s="188" t="s">
        <v>730</v>
      </c>
      <c r="H208" s="188" t="s">
        <v>731</v>
      </c>
      <c r="I208" t="s">
        <v>758</v>
      </c>
      <c r="J208" s="74">
        <v>44197</v>
      </c>
      <c r="K208" s="74">
        <v>44561</v>
      </c>
      <c r="L208" s="188" t="s">
        <v>733</v>
      </c>
      <c r="M208" s="188" t="str">
        <f t="shared" si="49"/>
        <v>Tolima</v>
      </c>
      <c r="N208" s="188" t="s">
        <v>60</v>
      </c>
      <c r="O208" s="188" t="s">
        <v>759</v>
      </c>
      <c r="P208" s="188" t="s">
        <v>735</v>
      </c>
      <c r="Q208" s="75">
        <v>9.0909090909090912E-2</v>
      </c>
      <c r="R208" s="189">
        <v>1</v>
      </c>
      <c r="S208" s="189">
        <v>0.25</v>
      </c>
      <c r="T208" s="189">
        <v>0.25</v>
      </c>
      <c r="U208" s="189">
        <v>0.25</v>
      </c>
      <c r="V208" s="189">
        <v>0.25</v>
      </c>
      <c r="W208" s="189">
        <v>0.17</v>
      </c>
      <c r="X208" s="189" t="s">
        <v>2346</v>
      </c>
      <c r="Y208" s="189">
        <v>0.2</v>
      </c>
      <c r="Z208" s="189" t="s">
        <v>2347</v>
      </c>
      <c r="AA208" s="189">
        <v>0.25</v>
      </c>
      <c r="AB208" s="189" t="s">
        <v>2348</v>
      </c>
      <c r="AC208" s="189"/>
      <c r="AD208" s="189"/>
      <c r="AE208" s="189">
        <f t="shared" si="43"/>
        <v>0.62</v>
      </c>
      <c r="AF208" s="74">
        <v>44299</v>
      </c>
      <c r="AG208" s="74">
        <v>44391</v>
      </c>
      <c r="AH208" s="74">
        <v>44482</v>
      </c>
      <c r="AI208" s="74"/>
      <c r="AJ208" s="75">
        <f t="shared" si="44"/>
        <v>0.62</v>
      </c>
      <c r="AK208" s="75">
        <f t="shared" si="45"/>
        <v>0.68</v>
      </c>
      <c r="AL208" s="75">
        <f t="shared" si="46"/>
        <v>0.8</v>
      </c>
      <c r="AM208" s="75">
        <f t="shared" si="47"/>
        <v>1</v>
      </c>
      <c r="AN208" s="75">
        <f t="shared" si="48"/>
        <v>0</v>
      </c>
      <c r="AO208" s="188" t="s">
        <v>739</v>
      </c>
      <c r="AP208" s="188" t="s">
        <v>739</v>
      </c>
      <c r="AQ208" s="188" t="s">
        <v>739</v>
      </c>
      <c r="AR208" s="188"/>
      <c r="AS208" s="188" t="s">
        <v>2030</v>
      </c>
      <c r="AT208" s="188" t="s">
        <v>1048</v>
      </c>
      <c r="AU208" s="188" t="s">
        <v>2349</v>
      </c>
      <c r="AV208" s="188"/>
      <c r="AW208" s="188" t="s">
        <v>828</v>
      </c>
      <c r="AX208" t="s">
        <v>739</v>
      </c>
      <c r="AY208" t="s">
        <v>739</v>
      </c>
      <c r="BA208" t="s">
        <v>2350</v>
      </c>
      <c r="BB208" t="s">
        <v>2351</v>
      </c>
      <c r="BC208" t="s">
        <v>2352</v>
      </c>
      <c r="BD208" s="143"/>
    </row>
    <row r="209" spans="1:56" ht="15" customHeight="1" x14ac:dyDescent="0.25">
      <c r="A209" s="188">
        <v>9</v>
      </c>
      <c r="B209" s="188" t="s">
        <v>509</v>
      </c>
      <c r="C209" s="188" t="s">
        <v>768</v>
      </c>
      <c r="D209" s="188" t="s">
        <v>727</v>
      </c>
      <c r="E209" s="188" t="s">
        <v>728</v>
      </c>
      <c r="F209" s="188" t="s">
        <v>757</v>
      </c>
      <c r="G209" s="188" t="s">
        <v>730</v>
      </c>
      <c r="H209" s="188" t="s">
        <v>731</v>
      </c>
      <c r="I209" t="s">
        <v>769</v>
      </c>
      <c r="J209" s="74">
        <v>44197</v>
      </c>
      <c r="K209" s="74">
        <v>44561</v>
      </c>
      <c r="L209" s="188" t="s">
        <v>733</v>
      </c>
      <c r="M209" s="188" t="str">
        <f t="shared" si="49"/>
        <v>Tolima</v>
      </c>
      <c r="N209" s="188" t="s">
        <v>60</v>
      </c>
      <c r="O209" s="188" t="s">
        <v>759</v>
      </c>
      <c r="P209" s="188" t="s">
        <v>735</v>
      </c>
      <c r="Q209" s="75">
        <v>9.0909090909090912E-2</v>
      </c>
      <c r="R209" s="189">
        <v>1</v>
      </c>
      <c r="S209" s="189">
        <v>0.25</v>
      </c>
      <c r="T209" s="189">
        <v>0.25</v>
      </c>
      <c r="U209" s="189">
        <v>0.25</v>
      </c>
      <c r="V209" s="189">
        <v>0.25</v>
      </c>
      <c r="W209" s="189">
        <v>0.16</v>
      </c>
      <c r="X209" s="189" t="s">
        <v>2353</v>
      </c>
      <c r="Y209" s="189">
        <v>7.0000000000000007E-2</v>
      </c>
      <c r="Z209" s="189" t="s">
        <v>2354</v>
      </c>
      <c r="AA209" s="189">
        <v>0</v>
      </c>
      <c r="AB209" s="189" t="s">
        <v>2355</v>
      </c>
      <c r="AC209" s="189"/>
      <c r="AD209" s="189"/>
      <c r="AE209" s="189">
        <f t="shared" si="43"/>
        <v>0.23</v>
      </c>
      <c r="AF209" s="74">
        <v>44299</v>
      </c>
      <c r="AG209" s="74">
        <v>44387</v>
      </c>
      <c r="AH209" s="74">
        <v>44482</v>
      </c>
      <c r="AI209" s="74"/>
      <c r="AJ209" s="75">
        <f t="shared" si="44"/>
        <v>0.23</v>
      </c>
      <c r="AK209" s="75">
        <f t="shared" si="45"/>
        <v>0.64</v>
      </c>
      <c r="AL209" s="75">
        <f t="shared" si="46"/>
        <v>0.28000000000000003</v>
      </c>
      <c r="AM209" s="75">
        <f t="shared" si="47"/>
        <v>0</v>
      </c>
      <c r="AN209" s="75">
        <f t="shared" si="48"/>
        <v>0</v>
      </c>
      <c r="AO209" s="188" t="s">
        <v>739</v>
      </c>
      <c r="AP209" s="188" t="s">
        <v>739</v>
      </c>
      <c r="AQ209" s="188" t="s">
        <v>838</v>
      </c>
      <c r="AR209" s="188"/>
      <c r="AS209" s="188" t="s">
        <v>2030</v>
      </c>
      <c r="AT209" s="188" t="s">
        <v>1048</v>
      </c>
      <c r="AU209" s="188" t="s">
        <v>838</v>
      </c>
      <c r="AV209" s="188"/>
      <c r="AW209" s="188" t="s">
        <v>739</v>
      </c>
      <c r="AX209" t="s">
        <v>739</v>
      </c>
      <c r="AY209" t="s">
        <v>828</v>
      </c>
      <c r="BA209" t="s">
        <v>2356</v>
      </c>
      <c r="BB209" t="s">
        <v>2357</v>
      </c>
      <c r="BC209" t="s">
        <v>2358</v>
      </c>
      <c r="BD209" s="143"/>
    </row>
    <row r="210" spans="1:56" ht="15" customHeight="1" x14ac:dyDescent="0.25">
      <c r="A210" s="188">
        <v>10</v>
      </c>
      <c r="B210" s="188" t="s">
        <v>509</v>
      </c>
      <c r="C210" s="188" t="s">
        <v>777</v>
      </c>
      <c r="D210" s="188" t="s">
        <v>778</v>
      </c>
      <c r="E210" s="188" t="s">
        <v>779</v>
      </c>
      <c r="F210" s="188" t="s">
        <v>780</v>
      </c>
      <c r="G210" s="188" t="s">
        <v>730</v>
      </c>
      <c r="H210" s="188" t="s">
        <v>781</v>
      </c>
      <c r="I210" t="s">
        <v>782</v>
      </c>
      <c r="J210" s="74">
        <v>44197</v>
      </c>
      <c r="K210" s="74">
        <v>44561</v>
      </c>
      <c r="L210" s="188" t="s">
        <v>733</v>
      </c>
      <c r="M210" s="188" t="str">
        <f t="shared" si="49"/>
        <v>Tolima</v>
      </c>
      <c r="N210" s="188" t="s">
        <v>60</v>
      </c>
      <c r="O210" s="188" t="s">
        <v>759</v>
      </c>
      <c r="P210" s="188" t="s">
        <v>735</v>
      </c>
      <c r="Q210" s="75">
        <v>9.0909090909090912E-2</v>
      </c>
      <c r="R210" s="189">
        <v>1</v>
      </c>
      <c r="S210" s="189">
        <v>0.25</v>
      </c>
      <c r="T210" s="189">
        <v>0.25</v>
      </c>
      <c r="U210" s="189">
        <v>0.25</v>
      </c>
      <c r="V210" s="189">
        <v>0.25</v>
      </c>
      <c r="W210" s="189">
        <v>0.19</v>
      </c>
      <c r="X210" s="189" t="s">
        <v>2359</v>
      </c>
      <c r="Y210" s="189">
        <v>0.16</v>
      </c>
      <c r="Z210" s="189" t="s">
        <v>2360</v>
      </c>
      <c r="AA210" s="189">
        <v>0.23</v>
      </c>
      <c r="AB210" s="189" t="s">
        <v>2361</v>
      </c>
      <c r="AC210" s="189"/>
      <c r="AD210" s="189"/>
      <c r="AE210" s="189">
        <f t="shared" si="43"/>
        <v>0.58000000000000007</v>
      </c>
      <c r="AF210" s="74">
        <v>44299</v>
      </c>
      <c r="AG210" s="74">
        <v>44387</v>
      </c>
      <c r="AH210" s="74">
        <v>44482</v>
      </c>
      <c r="AI210" s="74"/>
      <c r="AJ210" s="75">
        <f t="shared" si="44"/>
        <v>0.57999999999999996</v>
      </c>
      <c r="AK210" s="75">
        <f t="shared" si="45"/>
        <v>0.76</v>
      </c>
      <c r="AL210" s="75">
        <f t="shared" si="46"/>
        <v>0.64</v>
      </c>
      <c r="AM210" s="75">
        <f t="shared" si="47"/>
        <v>0.92</v>
      </c>
      <c r="AN210" s="75">
        <f t="shared" si="48"/>
        <v>0</v>
      </c>
      <c r="AO210" s="188" t="s">
        <v>739</v>
      </c>
      <c r="AP210" s="188" t="s">
        <v>739</v>
      </c>
      <c r="AQ210" s="188" t="s">
        <v>739</v>
      </c>
      <c r="AR210" s="188"/>
      <c r="AS210" s="188" t="s">
        <v>2030</v>
      </c>
      <c r="AT210" s="188" t="s">
        <v>1048</v>
      </c>
      <c r="AU210" s="188" t="s">
        <v>2107</v>
      </c>
      <c r="AV210" s="188"/>
      <c r="AW210" s="188" t="s">
        <v>828</v>
      </c>
      <c r="AX210" t="s">
        <v>739</v>
      </c>
      <c r="AY210" t="s">
        <v>828</v>
      </c>
      <c r="BA210" t="s">
        <v>2362</v>
      </c>
      <c r="BB210" t="s">
        <v>2363</v>
      </c>
      <c r="BC210" t="s">
        <v>2364</v>
      </c>
      <c r="BD210" s="143"/>
    </row>
    <row r="211" spans="1:56" ht="15" customHeight="1" x14ac:dyDescent="0.25">
      <c r="A211" s="188">
        <v>11</v>
      </c>
      <c r="B211" s="188" t="s">
        <v>509</v>
      </c>
      <c r="C211" s="188" t="s">
        <v>790</v>
      </c>
      <c r="D211" s="188" t="s">
        <v>791</v>
      </c>
      <c r="E211" s="188" t="s">
        <v>792</v>
      </c>
      <c r="F211" s="188" t="s">
        <v>793</v>
      </c>
      <c r="G211" s="188" t="s">
        <v>794</v>
      </c>
      <c r="H211" s="188" t="s">
        <v>794</v>
      </c>
      <c r="I211" s="188" t="s">
        <v>795</v>
      </c>
      <c r="J211" s="74">
        <v>44197</v>
      </c>
      <c r="K211" s="74">
        <v>44561</v>
      </c>
      <c r="L211" s="188" t="s">
        <v>733</v>
      </c>
      <c r="M211" s="188" t="str">
        <f t="shared" si="49"/>
        <v>Tolima</v>
      </c>
      <c r="N211" s="188" t="s">
        <v>60</v>
      </c>
      <c r="O211" s="188" t="s">
        <v>796</v>
      </c>
      <c r="P211" s="188" t="s">
        <v>735</v>
      </c>
      <c r="Q211" s="75">
        <v>9.0909090909090912E-2</v>
      </c>
      <c r="R211" s="189">
        <v>1</v>
      </c>
      <c r="S211" s="189">
        <v>0.25</v>
      </c>
      <c r="T211" s="189">
        <v>0.25</v>
      </c>
      <c r="U211" s="189">
        <v>0.25</v>
      </c>
      <c r="V211" s="189">
        <v>0.25</v>
      </c>
      <c r="W211" s="189">
        <v>0.25</v>
      </c>
      <c r="X211" s="189" t="s">
        <v>2365</v>
      </c>
      <c r="Y211" s="189">
        <v>0.25</v>
      </c>
      <c r="Z211" s="189" t="s">
        <v>2366</v>
      </c>
      <c r="AA211" s="189">
        <v>0.25</v>
      </c>
      <c r="AB211" s="189" t="s">
        <v>2367</v>
      </c>
      <c r="AC211" s="189"/>
      <c r="AD211" s="189"/>
      <c r="AE211" s="189">
        <f t="shared" si="43"/>
        <v>0.75</v>
      </c>
      <c r="AF211" s="74">
        <v>44299</v>
      </c>
      <c r="AG211" s="74">
        <v>44387</v>
      </c>
      <c r="AH211" s="74">
        <v>44478</v>
      </c>
      <c r="AI211" s="74"/>
      <c r="AJ211" s="75">
        <f t="shared" si="44"/>
        <v>0.75</v>
      </c>
      <c r="AK211" s="75">
        <f t="shared" si="45"/>
        <v>1</v>
      </c>
      <c r="AL211" s="75">
        <f t="shared" si="46"/>
        <v>1</v>
      </c>
      <c r="AM211" s="75">
        <f t="shared" si="47"/>
        <v>1</v>
      </c>
      <c r="AN211" s="75">
        <f t="shared" si="48"/>
        <v>0</v>
      </c>
      <c r="AO211" s="188" t="s">
        <v>739</v>
      </c>
      <c r="AP211" s="188" t="s">
        <v>739</v>
      </c>
      <c r="AQ211" s="188" t="s">
        <v>739</v>
      </c>
      <c r="AR211" s="188"/>
      <c r="AS211" s="188" t="s">
        <v>2030</v>
      </c>
      <c r="AT211" s="188" t="s">
        <v>1048</v>
      </c>
      <c r="AU211" s="188" t="s">
        <v>2368</v>
      </c>
      <c r="AV211" s="188"/>
      <c r="AW211" s="188" t="s">
        <v>739</v>
      </c>
      <c r="AX211" t="s">
        <v>739</v>
      </c>
      <c r="AY211" t="s">
        <v>739</v>
      </c>
      <c r="BA211" t="s">
        <v>2369</v>
      </c>
      <c r="BB211" t="s">
        <v>2370</v>
      </c>
      <c r="BC211" t="s">
        <v>2371</v>
      </c>
      <c r="BD211" s="143"/>
    </row>
    <row r="212" spans="1:56" ht="15" customHeight="1" x14ac:dyDescent="0.25">
      <c r="A212" s="188">
        <v>12</v>
      </c>
      <c r="B212" s="188" t="s">
        <v>509</v>
      </c>
      <c r="C212" s="188" t="s">
        <v>790</v>
      </c>
      <c r="D212" s="188" t="s">
        <v>791</v>
      </c>
      <c r="E212" s="188" t="s">
        <v>792</v>
      </c>
      <c r="F212" s="188" t="s">
        <v>793</v>
      </c>
      <c r="G212" s="188" t="s">
        <v>794</v>
      </c>
      <c r="H212" s="188" t="s">
        <v>794</v>
      </c>
      <c r="I212" t="s">
        <v>805</v>
      </c>
      <c r="J212" s="74">
        <v>44197</v>
      </c>
      <c r="K212" s="74">
        <v>44561</v>
      </c>
      <c r="L212" s="188" t="s">
        <v>733</v>
      </c>
      <c r="M212" s="188" t="str">
        <f t="shared" si="49"/>
        <v>Tolima</v>
      </c>
      <c r="N212" s="188" t="s">
        <v>60</v>
      </c>
      <c r="O212" s="188" t="s">
        <v>806</v>
      </c>
      <c r="P212" s="188" t="s">
        <v>735</v>
      </c>
      <c r="Q212" s="75">
        <v>9.0909090909090912E-2</v>
      </c>
      <c r="R212" s="189">
        <v>1</v>
      </c>
      <c r="S212" s="189">
        <v>0.25</v>
      </c>
      <c r="T212" s="189">
        <v>0.25</v>
      </c>
      <c r="U212" s="189">
        <v>0.25</v>
      </c>
      <c r="V212" s="189">
        <v>0.25</v>
      </c>
      <c r="W212" s="189">
        <v>0.25</v>
      </c>
      <c r="X212" s="189" t="s">
        <v>2372</v>
      </c>
      <c r="Y212" s="189">
        <v>0.25</v>
      </c>
      <c r="Z212" s="189" t="s">
        <v>2373</v>
      </c>
      <c r="AA212" s="189">
        <v>0.25</v>
      </c>
      <c r="AB212" s="189" t="s">
        <v>2374</v>
      </c>
      <c r="AC212" s="189"/>
      <c r="AD212" s="189"/>
      <c r="AE212" s="189">
        <f t="shared" si="43"/>
        <v>0.75</v>
      </c>
      <c r="AF212" s="74">
        <v>44299</v>
      </c>
      <c r="AG212" s="74">
        <v>44387</v>
      </c>
      <c r="AH212" s="74">
        <v>44478</v>
      </c>
      <c r="AI212" s="74"/>
      <c r="AJ212" s="75">
        <f t="shared" si="44"/>
        <v>0.75</v>
      </c>
      <c r="AK212" s="75">
        <f t="shared" si="45"/>
        <v>1</v>
      </c>
      <c r="AL212" s="75">
        <f t="shared" si="46"/>
        <v>1</v>
      </c>
      <c r="AM212" s="75">
        <f t="shared" si="47"/>
        <v>1</v>
      </c>
      <c r="AN212" s="75">
        <f t="shared" si="48"/>
        <v>0</v>
      </c>
      <c r="AO212" s="188" t="s">
        <v>739</v>
      </c>
      <c r="AP212" s="188" t="s">
        <v>739</v>
      </c>
      <c r="AQ212" s="188" t="s">
        <v>739</v>
      </c>
      <c r="AR212" s="188"/>
      <c r="AS212" s="188" t="s">
        <v>2030</v>
      </c>
      <c r="AT212" s="188" t="s">
        <v>1048</v>
      </c>
      <c r="AU212" s="188" t="s">
        <v>1048</v>
      </c>
      <c r="AV212" s="188"/>
      <c r="AW212" s="188" t="s">
        <v>739</v>
      </c>
      <c r="AX212" t="s">
        <v>828</v>
      </c>
      <c r="AY212" t="s">
        <v>739</v>
      </c>
      <c r="BA212" t="s">
        <v>2375</v>
      </c>
      <c r="BB212" t="s">
        <v>2376</v>
      </c>
      <c r="BC212" t="s">
        <v>2377</v>
      </c>
      <c r="BD212" s="143"/>
    </row>
    <row r="213" spans="1:56" ht="15" customHeight="1" x14ac:dyDescent="0.25">
      <c r="A213" s="188">
        <v>14</v>
      </c>
      <c r="B213" s="188" t="s">
        <v>509</v>
      </c>
      <c r="C213" s="188" t="s">
        <v>814</v>
      </c>
      <c r="D213" s="188" t="s">
        <v>727</v>
      </c>
      <c r="E213" s="188" t="s">
        <v>815</v>
      </c>
      <c r="F213" s="188" t="s">
        <v>816</v>
      </c>
      <c r="G213" s="188" t="s">
        <v>817</v>
      </c>
      <c r="H213" s="188" t="s">
        <v>818</v>
      </c>
      <c r="I213" t="s">
        <v>819</v>
      </c>
      <c r="J213" s="74">
        <v>44197</v>
      </c>
      <c r="K213" s="74">
        <v>44561</v>
      </c>
      <c r="L213" s="188" t="s">
        <v>733</v>
      </c>
      <c r="M213" s="188" t="str">
        <f t="shared" si="49"/>
        <v>Tolima</v>
      </c>
      <c r="N213" s="188" t="s">
        <v>30</v>
      </c>
      <c r="O213" s="188" t="s">
        <v>820</v>
      </c>
      <c r="P213" s="188" t="s">
        <v>821</v>
      </c>
      <c r="Q213" s="75">
        <v>9.0909090909090912E-2</v>
      </c>
      <c r="R213" s="190">
        <f>SUM(S213:V213)</f>
        <v>288303006.95085412</v>
      </c>
      <c r="S213" s="190">
        <v>56926640.140501812</v>
      </c>
      <c r="T213" s="190">
        <v>73795715.916889057</v>
      </c>
      <c r="U213" s="190">
        <v>75132793.499783784</v>
      </c>
      <c r="V213" s="190">
        <v>82447857.39367947</v>
      </c>
      <c r="W213" s="190">
        <v>22434459</v>
      </c>
      <c r="X213" s="190" t="s">
        <v>2378</v>
      </c>
      <c r="Y213" s="190">
        <v>27104781</v>
      </c>
      <c r="Z213" s="190" t="s">
        <v>2379</v>
      </c>
      <c r="AA213" s="190">
        <v>31964399</v>
      </c>
      <c r="AB213" s="190" t="s">
        <v>2380</v>
      </c>
      <c r="AC213" s="190"/>
      <c r="AD213" s="190"/>
      <c r="AE213" s="190">
        <f t="shared" si="43"/>
        <v>81503639</v>
      </c>
      <c r="AF213" s="60">
        <v>44300</v>
      </c>
      <c r="AG213" s="60">
        <v>44387</v>
      </c>
      <c r="AH213" s="60">
        <v>44482</v>
      </c>
      <c r="AI213" s="60"/>
      <c r="AJ213" s="75">
        <f t="shared" si="44"/>
        <v>0.28270131436365353</v>
      </c>
      <c r="AK213" s="75">
        <f t="shared" si="45"/>
        <v>0.39409420518458582</v>
      </c>
      <c r="AL213" s="75">
        <f t="shared" si="46"/>
        <v>0.36729477671205485</v>
      </c>
      <c r="AM213" s="75">
        <f t="shared" si="47"/>
        <v>0.4254387133907378</v>
      </c>
      <c r="AN213" s="75">
        <f t="shared" si="48"/>
        <v>0</v>
      </c>
      <c r="AO213" s="188" t="s">
        <v>739</v>
      </c>
      <c r="AP213" s="188" t="s">
        <v>739</v>
      </c>
      <c r="AQ213" s="188" t="s">
        <v>739</v>
      </c>
      <c r="AR213" s="188"/>
      <c r="AS213" s="188" t="s">
        <v>2030</v>
      </c>
      <c r="AT213" s="188" t="s">
        <v>1048</v>
      </c>
      <c r="AU213" s="188" t="s">
        <v>2381</v>
      </c>
      <c r="AV213" s="188"/>
      <c r="AW213" s="188" t="s">
        <v>739</v>
      </c>
      <c r="AX213" t="s">
        <v>739</v>
      </c>
      <c r="AY213" t="s">
        <v>739</v>
      </c>
      <c r="BA213" t="s">
        <v>2382</v>
      </c>
      <c r="BB213" t="s">
        <v>2383</v>
      </c>
      <c r="BC213" t="s">
        <v>2384</v>
      </c>
      <c r="BD213" s="143"/>
    </row>
    <row r="214" spans="1:56" ht="15" customHeight="1" x14ac:dyDescent="0.25">
      <c r="A214" s="188">
        <v>15</v>
      </c>
      <c r="B214" s="188" t="s">
        <v>509</v>
      </c>
      <c r="C214" s="188" t="s">
        <v>814</v>
      </c>
      <c r="D214" s="188" t="s">
        <v>727</v>
      </c>
      <c r="E214" s="188" t="s">
        <v>815</v>
      </c>
      <c r="F214" s="188" t="s">
        <v>816</v>
      </c>
      <c r="G214" s="188" t="s">
        <v>817</v>
      </c>
      <c r="H214" s="188" t="s">
        <v>818</v>
      </c>
      <c r="I214" t="s">
        <v>1480</v>
      </c>
      <c r="J214" s="74">
        <v>44197</v>
      </c>
      <c r="K214" s="74">
        <v>44561</v>
      </c>
      <c r="L214" s="188" t="s">
        <v>733</v>
      </c>
      <c r="M214" s="188" t="str">
        <f t="shared" si="49"/>
        <v>Tolima</v>
      </c>
      <c r="N214" s="188" t="s">
        <v>60</v>
      </c>
      <c r="O214" s="188" t="s">
        <v>924</v>
      </c>
      <c r="P214" s="188" t="s">
        <v>821</v>
      </c>
      <c r="Q214" s="75">
        <v>9.0909090909090912E-2</v>
      </c>
      <c r="R214" s="189">
        <v>1</v>
      </c>
      <c r="S214" s="189">
        <v>0.25</v>
      </c>
      <c r="T214" s="189">
        <v>0.25</v>
      </c>
      <c r="U214" s="189">
        <v>0.25</v>
      </c>
      <c r="V214" s="189">
        <v>0.25</v>
      </c>
      <c r="W214" s="189">
        <v>0</v>
      </c>
      <c r="X214" s="189" t="s">
        <v>2385</v>
      </c>
      <c r="Y214" s="189">
        <v>0</v>
      </c>
      <c r="Z214" s="189" t="s">
        <v>2385</v>
      </c>
      <c r="AA214" s="189">
        <v>0</v>
      </c>
      <c r="AB214" s="189" t="s">
        <v>2386</v>
      </c>
      <c r="AC214" s="189"/>
      <c r="AD214" s="189"/>
      <c r="AE214" s="189">
        <f t="shared" si="43"/>
        <v>0</v>
      </c>
      <c r="AF214" s="60">
        <v>44299</v>
      </c>
      <c r="AG214" s="60">
        <v>44387</v>
      </c>
      <c r="AH214" s="60">
        <v>44482</v>
      </c>
      <c r="AI214" s="60"/>
      <c r="AJ214" s="75">
        <f t="shared" si="44"/>
        <v>0</v>
      </c>
      <c r="AK214" s="75">
        <f t="shared" si="45"/>
        <v>0</v>
      </c>
      <c r="AL214" s="75">
        <f t="shared" si="46"/>
        <v>0</v>
      </c>
      <c r="AM214" s="75">
        <f t="shared" si="47"/>
        <v>0</v>
      </c>
      <c r="AN214" s="75">
        <f t="shared" si="48"/>
        <v>0</v>
      </c>
      <c r="AO214" s="188" t="s">
        <v>739</v>
      </c>
      <c r="AP214" s="188" t="s">
        <v>838</v>
      </c>
      <c r="AQ214" s="188" t="s">
        <v>838</v>
      </c>
      <c r="AR214" s="188"/>
      <c r="AS214" s="188" t="s">
        <v>2387</v>
      </c>
      <c r="AT214" s="188" t="s">
        <v>2388</v>
      </c>
      <c r="AU214" s="188" t="s">
        <v>838</v>
      </c>
      <c r="AV214" s="188"/>
      <c r="AW214" s="188" t="s">
        <v>838</v>
      </c>
      <c r="AX214" t="s">
        <v>838</v>
      </c>
      <c r="AY214" t="s">
        <v>838</v>
      </c>
      <c r="BA214" t="s">
        <v>2266</v>
      </c>
      <c r="BB214" t="s">
        <v>2389</v>
      </c>
      <c r="BC214" t="s">
        <v>2390</v>
      </c>
      <c r="BD214" s="143"/>
    </row>
    <row r="215" spans="1:56" ht="15" customHeight="1" x14ac:dyDescent="0.25">
      <c r="A215" s="188">
        <v>1</v>
      </c>
      <c r="B215" s="188" t="s">
        <v>2391</v>
      </c>
      <c r="C215" s="188" t="s">
        <v>726</v>
      </c>
      <c r="D215" s="188" t="s">
        <v>727</v>
      </c>
      <c r="E215" s="188" t="s">
        <v>728</v>
      </c>
      <c r="F215" s="188" t="s">
        <v>729</v>
      </c>
      <c r="G215" s="188" t="s">
        <v>730</v>
      </c>
      <c r="H215" s="188" t="s">
        <v>731</v>
      </c>
      <c r="I215" s="188" t="s">
        <v>732</v>
      </c>
      <c r="J215" s="74">
        <v>44197</v>
      </c>
      <c r="K215" s="74">
        <v>44561</v>
      </c>
      <c r="L215" s="188" t="s">
        <v>733</v>
      </c>
      <c r="M215" s="188" t="str">
        <f>B215</f>
        <v>Valle del Cauca</v>
      </c>
      <c r="N215" s="188" t="s">
        <v>30</v>
      </c>
      <c r="O215" s="188" t="s">
        <v>734</v>
      </c>
      <c r="P215" s="188" t="s">
        <v>735</v>
      </c>
      <c r="Q215" s="75">
        <v>0.1111111111111111</v>
      </c>
      <c r="R215" s="190">
        <v>17588</v>
      </c>
      <c r="S215" s="190">
        <v>0</v>
      </c>
      <c r="T215" s="190">
        <v>0</v>
      </c>
      <c r="U215" s="190">
        <v>0</v>
      </c>
      <c r="V215" s="190">
        <v>17588</v>
      </c>
      <c r="W215" s="190">
        <v>5704</v>
      </c>
      <c r="X215" s="190" t="s">
        <v>2392</v>
      </c>
      <c r="Y215" s="190">
        <v>26781</v>
      </c>
      <c r="Z215" s="190" t="s">
        <v>2393</v>
      </c>
      <c r="AA215" s="190">
        <v>3132</v>
      </c>
      <c r="AB215" s="190" t="s">
        <v>2394</v>
      </c>
      <c r="AC215" s="190"/>
      <c r="AD215" s="190"/>
      <c r="AE215" s="190">
        <f t="shared" si="43"/>
        <v>35617</v>
      </c>
      <c r="AF215" s="74">
        <v>44300</v>
      </c>
      <c r="AG215" s="74">
        <v>44390</v>
      </c>
      <c r="AH215" s="74">
        <v>44483</v>
      </c>
      <c r="AI215" s="74"/>
      <c r="AJ215" s="75">
        <f t="shared" si="44"/>
        <v>1</v>
      </c>
      <c r="AK215" s="75" t="str">
        <f t="shared" si="45"/>
        <v/>
      </c>
      <c r="AL215" s="75" t="str">
        <f t="shared" si="46"/>
        <v/>
      </c>
      <c r="AM215" s="75" t="str">
        <f t="shared" si="47"/>
        <v/>
      </c>
      <c r="AN215" s="75">
        <f t="shared" si="48"/>
        <v>0</v>
      </c>
      <c r="AO215" s="188" t="s">
        <v>739</v>
      </c>
      <c r="AP215" s="188" t="s">
        <v>739</v>
      </c>
      <c r="AQ215" s="188" t="s">
        <v>828</v>
      </c>
      <c r="AR215" s="188"/>
      <c r="AS215" s="188" t="s">
        <v>1257</v>
      </c>
      <c r="AT215" s="188" t="s">
        <v>1258</v>
      </c>
      <c r="AU215" s="188" t="s">
        <v>2395</v>
      </c>
      <c r="AV215" s="188"/>
      <c r="AW215" s="188" t="s">
        <v>739</v>
      </c>
      <c r="AX215" s="188" t="s">
        <v>739</v>
      </c>
      <c r="AY215" s="188" t="s">
        <v>739</v>
      </c>
      <c r="AZ215" s="188"/>
      <c r="BA215" s="188" t="s">
        <v>2396</v>
      </c>
      <c r="BB215" s="188" t="s">
        <v>2397</v>
      </c>
      <c r="BC215" s="188" t="s">
        <v>2398</v>
      </c>
      <c r="BD215" s="143"/>
    </row>
    <row r="216" spans="1:56" ht="15" customHeight="1" x14ac:dyDescent="0.25">
      <c r="A216" s="188">
        <v>3</v>
      </c>
      <c r="B216" s="188" t="s">
        <v>2391</v>
      </c>
      <c r="C216" s="188" t="s">
        <v>726</v>
      </c>
      <c r="D216" s="188" t="s">
        <v>727</v>
      </c>
      <c r="E216" s="188" t="s">
        <v>728</v>
      </c>
      <c r="F216" s="188" t="s">
        <v>729</v>
      </c>
      <c r="G216" s="188" t="s">
        <v>730</v>
      </c>
      <c r="H216" s="188" t="s">
        <v>731</v>
      </c>
      <c r="I216" s="188" t="s">
        <v>746</v>
      </c>
      <c r="J216" s="74">
        <v>44197</v>
      </c>
      <c r="K216" s="74">
        <v>44561</v>
      </c>
      <c r="L216" s="188" t="s">
        <v>733</v>
      </c>
      <c r="M216" s="188" t="str">
        <f t="shared" ref="M216:M223" si="50">B216</f>
        <v>Valle del Cauca</v>
      </c>
      <c r="N216" s="188" t="s">
        <v>30</v>
      </c>
      <c r="O216" s="188" t="s">
        <v>747</v>
      </c>
      <c r="P216" s="188" t="s">
        <v>735</v>
      </c>
      <c r="Q216" s="75">
        <v>0.1111111111111111</v>
      </c>
      <c r="R216" s="190">
        <v>8263</v>
      </c>
      <c r="S216" s="190">
        <v>0</v>
      </c>
      <c r="T216" s="190">
        <v>0</v>
      </c>
      <c r="U216" s="190">
        <v>0</v>
      </c>
      <c r="V216" s="190">
        <v>8263</v>
      </c>
      <c r="W216" s="190">
        <v>1195</v>
      </c>
      <c r="X216" s="190" t="s">
        <v>2399</v>
      </c>
      <c r="Y216" s="190">
        <v>3449</v>
      </c>
      <c r="Z216" s="190" t="s">
        <v>2400</v>
      </c>
      <c r="AA216" s="190">
        <v>397</v>
      </c>
      <c r="AB216" s="190" t="s">
        <v>2401</v>
      </c>
      <c r="AC216" s="190"/>
      <c r="AD216" s="190"/>
      <c r="AE216" s="190">
        <f t="shared" si="43"/>
        <v>5041</v>
      </c>
      <c r="AF216" s="74">
        <v>44300</v>
      </c>
      <c r="AG216" s="74">
        <v>44390</v>
      </c>
      <c r="AH216" s="74">
        <v>44483</v>
      </c>
      <c r="AI216" s="74"/>
      <c r="AJ216" s="75">
        <f t="shared" si="44"/>
        <v>0.61006898220985117</v>
      </c>
      <c r="AK216" s="75" t="str">
        <f t="shared" si="45"/>
        <v/>
      </c>
      <c r="AL216" s="75" t="str">
        <f t="shared" si="46"/>
        <v/>
      </c>
      <c r="AM216" s="75" t="str">
        <f t="shared" si="47"/>
        <v/>
      </c>
      <c r="AN216" s="75">
        <f t="shared" si="48"/>
        <v>0</v>
      </c>
      <c r="AO216" s="188" t="s">
        <v>739</v>
      </c>
      <c r="AP216" s="188" t="s">
        <v>739</v>
      </c>
      <c r="AQ216" s="188" t="s">
        <v>739</v>
      </c>
      <c r="AR216" s="188"/>
      <c r="AS216" s="188" t="s">
        <v>1257</v>
      </c>
      <c r="AT216" s="188" t="s">
        <v>1258</v>
      </c>
      <c r="AU216" s="188" t="s">
        <v>2402</v>
      </c>
      <c r="AV216" s="188"/>
      <c r="AW216" s="188" t="s">
        <v>739</v>
      </c>
      <c r="AX216" t="s">
        <v>739</v>
      </c>
      <c r="AY216" t="s">
        <v>739</v>
      </c>
      <c r="BA216" s="188" t="s">
        <v>2403</v>
      </c>
      <c r="BB216" t="s">
        <v>2404</v>
      </c>
      <c r="BC216" t="s">
        <v>2405</v>
      </c>
      <c r="BD216" s="143"/>
    </row>
    <row r="217" spans="1:56" ht="15" customHeight="1" x14ac:dyDescent="0.25">
      <c r="A217" s="188">
        <v>5</v>
      </c>
      <c r="B217" s="188" t="s">
        <v>2391</v>
      </c>
      <c r="C217" s="188" t="s">
        <v>964</v>
      </c>
      <c r="D217" s="188" t="s">
        <v>727</v>
      </c>
      <c r="E217" s="188" t="s">
        <v>815</v>
      </c>
      <c r="F217" s="188" t="s">
        <v>965</v>
      </c>
      <c r="G217" s="188" t="s">
        <v>730</v>
      </c>
      <c r="H217" s="188" t="s">
        <v>731</v>
      </c>
      <c r="I217" t="s">
        <v>966</v>
      </c>
      <c r="J217" s="74">
        <v>44197</v>
      </c>
      <c r="K217" s="74">
        <v>44561</v>
      </c>
      <c r="L217" s="188" t="s">
        <v>733</v>
      </c>
      <c r="M217" s="188" t="str">
        <f t="shared" si="50"/>
        <v>Valle del Cauca</v>
      </c>
      <c r="N217" s="188" t="s">
        <v>30</v>
      </c>
      <c r="O217" s="188" t="s">
        <v>967</v>
      </c>
      <c r="P217" s="188" t="s">
        <v>735</v>
      </c>
      <c r="Q217" s="75">
        <v>0.1111111111111111</v>
      </c>
      <c r="R217" s="190">
        <v>40</v>
      </c>
      <c r="S217" s="190">
        <v>0</v>
      </c>
      <c r="T217" s="190">
        <v>0</v>
      </c>
      <c r="U217" s="190">
        <v>0</v>
      </c>
      <c r="V217" s="190">
        <v>40</v>
      </c>
      <c r="W217" s="190">
        <v>7</v>
      </c>
      <c r="X217" s="190" t="s">
        <v>2406</v>
      </c>
      <c r="Y217" s="190">
        <v>7</v>
      </c>
      <c r="Z217" s="190" t="s">
        <v>2407</v>
      </c>
      <c r="AA217" s="190">
        <v>1</v>
      </c>
      <c r="AB217" s="190" t="s">
        <v>2408</v>
      </c>
      <c r="AC217" s="190"/>
      <c r="AD217" s="190"/>
      <c r="AE217" s="190">
        <f t="shared" si="43"/>
        <v>15</v>
      </c>
      <c r="AF217" s="74">
        <v>44300</v>
      </c>
      <c r="AG217" s="74">
        <v>44391</v>
      </c>
      <c r="AH217" s="74">
        <v>44483</v>
      </c>
      <c r="AI217" s="74"/>
      <c r="AJ217" s="75">
        <f t="shared" si="44"/>
        <v>0.375</v>
      </c>
      <c r="AK217" s="75" t="str">
        <f t="shared" si="45"/>
        <v/>
      </c>
      <c r="AL217" s="75" t="str">
        <f t="shared" si="46"/>
        <v/>
      </c>
      <c r="AM217" s="75" t="str">
        <f t="shared" si="47"/>
        <v/>
      </c>
      <c r="AN217" s="75">
        <f t="shared" si="48"/>
        <v>0</v>
      </c>
      <c r="AO217" s="188" t="s">
        <v>739</v>
      </c>
      <c r="AP217" s="188" t="s">
        <v>739</v>
      </c>
      <c r="AQ217" s="188" t="s">
        <v>739</v>
      </c>
      <c r="AR217" s="188"/>
      <c r="AS217" s="188" t="s">
        <v>1257</v>
      </c>
      <c r="AT217" s="188" t="s">
        <v>1258</v>
      </c>
      <c r="AU217" s="188" t="s">
        <v>2409</v>
      </c>
      <c r="AV217" s="188"/>
      <c r="AW217" s="188" t="s">
        <v>739</v>
      </c>
      <c r="AX217" t="s">
        <v>739</v>
      </c>
      <c r="AY217" t="s">
        <v>739</v>
      </c>
      <c r="BA217" t="s">
        <v>2410</v>
      </c>
      <c r="BB217" t="s">
        <v>2411</v>
      </c>
      <c r="BC217" t="s">
        <v>2412</v>
      </c>
      <c r="BD217" s="143"/>
    </row>
    <row r="218" spans="1:56" ht="15" customHeight="1" x14ac:dyDescent="0.25">
      <c r="A218" s="188">
        <v>6</v>
      </c>
      <c r="B218" s="188" t="s">
        <v>2391</v>
      </c>
      <c r="C218" s="188" t="s">
        <v>756</v>
      </c>
      <c r="D218" s="188" t="s">
        <v>727</v>
      </c>
      <c r="E218" s="188" t="s">
        <v>728</v>
      </c>
      <c r="F218" s="188" t="s">
        <v>757</v>
      </c>
      <c r="G218" s="188" t="s">
        <v>730</v>
      </c>
      <c r="H218" s="188" t="s">
        <v>731</v>
      </c>
      <c r="I218" t="s">
        <v>758</v>
      </c>
      <c r="J218" s="74">
        <v>44197</v>
      </c>
      <c r="K218" s="74">
        <v>44561</v>
      </c>
      <c r="L218" s="188" t="s">
        <v>733</v>
      </c>
      <c r="M218" s="188" t="str">
        <f t="shared" si="50"/>
        <v>Valle del Cauca</v>
      </c>
      <c r="N218" s="188" t="s">
        <v>60</v>
      </c>
      <c r="O218" s="188" t="s">
        <v>759</v>
      </c>
      <c r="P218" s="188" t="s">
        <v>735</v>
      </c>
      <c r="Q218" s="75">
        <v>0.1111111111111111</v>
      </c>
      <c r="R218" s="189">
        <v>1</v>
      </c>
      <c r="S218" s="189">
        <v>0.25</v>
      </c>
      <c r="T218" s="189">
        <v>0.25</v>
      </c>
      <c r="U218" s="189">
        <v>0.25</v>
      </c>
      <c r="V218" s="189">
        <v>0.25</v>
      </c>
      <c r="W218" s="189">
        <v>0.25</v>
      </c>
      <c r="X218" s="189" t="s">
        <v>2413</v>
      </c>
      <c r="Y218" s="189">
        <v>0.25</v>
      </c>
      <c r="Z218" s="189" t="s">
        <v>2414</v>
      </c>
      <c r="AA218" s="189">
        <v>0.25</v>
      </c>
      <c r="AB218" s="189" t="s">
        <v>2415</v>
      </c>
      <c r="AC218" s="189"/>
      <c r="AD218" s="189"/>
      <c r="AE218" s="189">
        <f t="shared" si="43"/>
        <v>0.75</v>
      </c>
      <c r="AF218" s="74">
        <v>44300</v>
      </c>
      <c r="AG218" s="74">
        <v>44390</v>
      </c>
      <c r="AH218" s="74">
        <v>44483</v>
      </c>
      <c r="AI218" s="74"/>
      <c r="AJ218" s="75">
        <f t="shared" si="44"/>
        <v>0.75</v>
      </c>
      <c r="AK218" s="75">
        <f t="shared" si="45"/>
        <v>1</v>
      </c>
      <c r="AL218" s="75">
        <f t="shared" si="46"/>
        <v>1</v>
      </c>
      <c r="AM218" s="75">
        <f t="shared" si="47"/>
        <v>1</v>
      </c>
      <c r="AN218" s="75">
        <f t="shared" si="48"/>
        <v>0</v>
      </c>
      <c r="AO218" s="188" t="s">
        <v>739</v>
      </c>
      <c r="AP218" s="188" t="s">
        <v>739</v>
      </c>
      <c r="AQ218" s="188" t="s">
        <v>739</v>
      </c>
      <c r="AR218" s="188"/>
      <c r="AS218" s="188" t="s">
        <v>1257</v>
      </c>
      <c r="AT218" s="188" t="s">
        <v>1258</v>
      </c>
      <c r="AU218" s="188" t="s">
        <v>2416</v>
      </c>
      <c r="AV218" s="188"/>
      <c r="AW218" s="188" t="s">
        <v>739</v>
      </c>
      <c r="AX218" t="s">
        <v>739</v>
      </c>
      <c r="AY218" t="s">
        <v>739</v>
      </c>
      <c r="BA218" t="s">
        <v>2417</v>
      </c>
      <c r="BB218" t="s">
        <v>2418</v>
      </c>
      <c r="BC218" t="s">
        <v>2419</v>
      </c>
      <c r="BD218" s="143"/>
    </row>
    <row r="219" spans="1:56" ht="15" customHeight="1" x14ac:dyDescent="0.25">
      <c r="A219" s="188">
        <v>7</v>
      </c>
      <c r="B219" s="188" t="s">
        <v>2391</v>
      </c>
      <c r="C219" s="188" t="s">
        <v>768</v>
      </c>
      <c r="D219" s="188" t="s">
        <v>727</v>
      </c>
      <c r="E219" s="188" t="s">
        <v>728</v>
      </c>
      <c r="F219" s="188" t="s">
        <v>757</v>
      </c>
      <c r="G219" s="188" t="s">
        <v>730</v>
      </c>
      <c r="H219" s="188" t="s">
        <v>731</v>
      </c>
      <c r="I219" t="s">
        <v>769</v>
      </c>
      <c r="J219" s="74">
        <v>44197</v>
      </c>
      <c r="K219" s="74">
        <v>44561</v>
      </c>
      <c r="L219" s="188" t="s">
        <v>733</v>
      </c>
      <c r="M219" s="188" t="str">
        <f t="shared" si="50"/>
        <v>Valle del Cauca</v>
      </c>
      <c r="N219" s="188" t="s">
        <v>60</v>
      </c>
      <c r="O219" s="188" t="s">
        <v>759</v>
      </c>
      <c r="P219" s="188" t="s">
        <v>735</v>
      </c>
      <c r="Q219" s="75">
        <v>0.1111111111111111</v>
      </c>
      <c r="R219" s="189">
        <v>1</v>
      </c>
      <c r="S219" s="189">
        <v>0.25</v>
      </c>
      <c r="T219" s="189">
        <v>0.25</v>
      </c>
      <c r="U219" s="189">
        <v>0.25</v>
      </c>
      <c r="V219" s="189">
        <v>0.25</v>
      </c>
      <c r="W219" s="189">
        <v>0.25</v>
      </c>
      <c r="X219" s="189" t="s">
        <v>2420</v>
      </c>
      <c r="Y219" s="189">
        <v>0.25</v>
      </c>
      <c r="Z219" s="189" t="s">
        <v>2421</v>
      </c>
      <c r="AA219" s="189">
        <v>0.25</v>
      </c>
      <c r="AB219" s="189" t="s">
        <v>2422</v>
      </c>
      <c r="AC219" s="189"/>
      <c r="AD219" s="189"/>
      <c r="AE219" s="189">
        <f t="shared" si="43"/>
        <v>0.75</v>
      </c>
      <c r="AF219" s="74">
        <v>44300</v>
      </c>
      <c r="AG219" s="74">
        <v>44390</v>
      </c>
      <c r="AH219" s="74">
        <v>44482</v>
      </c>
      <c r="AI219" s="74"/>
      <c r="AJ219" s="75">
        <f t="shared" si="44"/>
        <v>0.75</v>
      </c>
      <c r="AK219" s="75">
        <f t="shared" si="45"/>
        <v>1</v>
      </c>
      <c r="AL219" s="75">
        <f t="shared" si="46"/>
        <v>1</v>
      </c>
      <c r="AM219" s="75">
        <f t="shared" si="47"/>
        <v>1</v>
      </c>
      <c r="AN219" s="75">
        <f t="shared" si="48"/>
        <v>0</v>
      </c>
      <c r="AO219" s="188" t="s">
        <v>739</v>
      </c>
      <c r="AP219" s="188" t="s">
        <v>739</v>
      </c>
      <c r="AQ219" s="188" t="s">
        <v>739</v>
      </c>
      <c r="AR219" s="188"/>
      <c r="AS219" s="188" t="s">
        <v>1257</v>
      </c>
      <c r="AT219" s="188" t="s">
        <v>1258</v>
      </c>
      <c r="AU219" s="188" t="s">
        <v>2423</v>
      </c>
      <c r="AV219" s="188"/>
      <c r="AW219" s="188" t="s">
        <v>739</v>
      </c>
      <c r="AX219" t="s">
        <v>739</v>
      </c>
      <c r="AY219" t="s">
        <v>739</v>
      </c>
      <c r="BA219" t="s">
        <v>2424</v>
      </c>
      <c r="BB219" t="s">
        <v>2425</v>
      </c>
      <c r="BC219" t="s">
        <v>2426</v>
      </c>
      <c r="BD219" s="143"/>
    </row>
    <row r="220" spans="1:56" ht="15" customHeight="1" x14ac:dyDescent="0.25">
      <c r="A220" s="188">
        <v>8</v>
      </c>
      <c r="B220" s="188" t="s">
        <v>2391</v>
      </c>
      <c r="C220" s="188" t="s">
        <v>777</v>
      </c>
      <c r="D220" s="188" t="s">
        <v>778</v>
      </c>
      <c r="E220" s="188" t="s">
        <v>779</v>
      </c>
      <c r="F220" s="188" t="s">
        <v>780</v>
      </c>
      <c r="G220" s="188" t="s">
        <v>730</v>
      </c>
      <c r="H220" s="188" t="s">
        <v>781</v>
      </c>
      <c r="I220" t="s">
        <v>782</v>
      </c>
      <c r="J220" s="74">
        <v>44197</v>
      </c>
      <c r="K220" s="74">
        <v>44561</v>
      </c>
      <c r="L220" s="188" t="s">
        <v>733</v>
      </c>
      <c r="M220" s="188" t="str">
        <f t="shared" si="50"/>
        <v>Valle del Cauca</v>
      </c>
      <c r="N220" s="188" t="s">
        <v>60</v>
      </c>
      <c r="O220" s="188" t="s">
        <v>759</v>
      </c>
      <c r="P220" s="188" t="s">
        <v>735</v>
      </c>
      <c r="Q220" s="75">
        <v>0.1111111111111111</v>
      </c>
      <c r="R220" s="189">
        <v>1</v>
      </c>
      <c r="S220" s="189">
        <v>0.25</v>
      </c>
      <c r="T220" s="189">
        <v>0.25</v>
      </c>
      <c r="U220" s="189">
        <v>0.25</v>
      </c>
      <c r="V220" s="189">
        <v>0.25</v>
      </c>
      <c r="W220" s="189">
        <v>0.10796545105566219</v>
      </c>
      <c r="X220" s="189" t="s">
        <v>2427</v>
      </c>
      <c r="Y220" s="189">
        <v>0.15</v>
      </c>
      <c r="Z220" s="189" t="s">
        <v>2428</v>
      </c>
      <c r="AA220" s="189">
        <v>0.25</v>
      </c>
      <c r="AB220" s="189" t="s">
        <v>2429</v>
      </c>
      <c r="AC220" s="189"/>
      <c r="AD220" s="189"/>
      <c r="AE220" s="189">
        <f t="shared" si="43"/>
        <v>0.50796545105566215</v>
      </c>
      <c r="AF220" s="74">
        <v>44300</v>
      </c>
      <c r="AG220" s="74">
        <v>44390</v>
      </c>
      <c r="AH220" s="74">
        <v>44482</v>
      </c>
      <c r="AI220" s="74"/>
      <c r="AJ220" s="75">
        <f t="shared" si="44"/>
        <v>0.50796545105566215</v>
      </c>
      <c r="AK220" s="75">
        <f t="shared" si="45"/>
        <v>0.43186180422264875</v>
      </c>
      <c r="AL220" s="75">
        <f t="shared" si="46"/>
        <v>0.6</v>
      </c>
      <c r="AM220" s="75">
        <f t="shared" si="47"/>
        <v>1</v>
      </c>
      <c r="AN220" s="75">
        <f t="shared" si="48"/>
        <v>0</v>
      </c>
      <c r="AO220" s="188" t="s">
        <v>739</v>
      </c>
      <c r="AP220" s="188" t="s">
        <v>739</v>
      </c>
      <c r="AQ220" s="188" t="s">
        <v>739</v>
      </c>
      <c r="AR220" s="188"/>
      <c r="AS220" s="188" t="s">
        <v>1257</v>
      </c>
      <c r="AT220" s="188" t="s">
        <v>1258</v>
      </c>
      <c r="AU220" s="188" t="s">
        <v>2430</v>
      </c>
      <c r="AV220" s="188"/>
      <c r="AW220" s="188" t="s">
        <v>739</v>
      </c>
      <c r="AX220" t="s">
        <v>739</v>
      </c>
      <c r="AY220" t="s">
        <v>739</v>
      </c>
      <c r="BA220" t="s">
        <v>2431</v>
      </c>
      <c r="BB220" t="s">
        <v>2432</v>
      </c>
      <c r="BC220" t="s">
        <v>2433</v>
      </c>
      <c r="BD220" s="143"/>
    </row>
    <row r="221" spans="1:56" ht="15" customHeight="1" x14ac:dyDescent="0.25">
      <c r="A221" s="188">
        <v>9</v>
      </c>
      <c r="B221" s="188" t="s">
        <v>2391</v>
      </c>
      <c r="C221" s="188" t="s">
        <v>790</v>
      </c>
      <c r="D221" s="188" t="s">
        <v>791</v>
      </c>
      <c r="E221" s="188" t="s">
        <v>792</v>
      </c>
      <c r="F221" s="188" t="s">
        <v>793</v>
      </c>
      <c r="G221" s="188" t="s">
        <v>794</v>
      </c>
      <c r="H221" s="188" t="s">
        <v>794</v>
      </c>
      <c r="I221" t="s">
        <v>795</v>
      </c>
      <c r="J221" s="74">
        <v>44197</v>
      </c>
      <c r="K221" s="74">
        <v>44561</v>
      </c>
      <c r="L221" s="188" t="s">
        <v>733</v>
      </c>
      <c r="M221" s="188" t="str">
        <f t="shared" si="50"/>
        <v>Valle del Cauca</v>
      </c>
      <c r="N221" s="188" t="s">
        <v>60</v>
      </c>
      <c r="O221" s="188" t="s">
        <v>796</v>
      </c>
      <c r="P221" s="188" t="s">
        <v>735</v>
      </c>
      <c r="Q221" s="75">
        <v>0.1111111111111111</v>
      </c>
      <c r="R221" s="189">
        <v>1</v>
      </c>
      <c r="S221" s="189">
        <v>0.25</v>
      </c>
      <c r="T221" s="189">
        <v>0.25</v>
      </c>
      <c r="U221" s="189">
        <v>0.25</v>
      </c>
      <c r="V221" s="189">
        <v>0.25</v>
      </c>
      <c r="W221" s="189">
        <v>0.25</v>
      </c>
      <c r="X221" s="189" t="s">
        <v>2434</v>
      </c>
      <c r="Y221" s="189">
        <v>0.25</v>
      </c>
      <c r="Z221" s="189" t="s">
        <v>2435</v>
      </c>
      <c r="AA221" s="189">
        <v>0.25</v>
      </c>
      <c r="AB221" s="189" t="s">
        <v>2436</v>
      </c>
      <c r="AC221" s="189"/>
      <c r="AD221" s="189"/>
      <c r="AE221" s="189">
        <f t="shared" si="43"/>
        <v>0.75</v>
      </c>
      <c r="AF221" s="74">
        <v>44300</v>
      </c>
      <c r="AG221" s="74">
        <v>44390</v>
      </c>
      <c r="AH221" s="74">
        <v>44482</v>
      </c>
      <c r="AI221" s="74"/>
      <c r="AJ221" s="75">
        <f t="shared" si="44"/>
        <v>0.75</v>
      </c>
      <c r="AK221" s="75">
        <f t="shared" si="45"/>
        <v>1</v>
      </c>
      <c r="AL221" s="75">
        <f t="shared" si="46"/>
        <v>1</v>
      </c>
      <c r="AM221" s="75">
        <f t="shared" si="47"/>
        <v>1</v>
      </c>
      <c r="AN221" s="75">
        <f t="shared" si="48"/>
        <v>0</v>
      </c>
      <c r="AO221" s="188" t="s">
        <v>739</v>
      </c>
      <c r="AP221" s="188" t="s">
        <v>739</v>
      </c>
      <c r="AQ221" s="188" t="s">
        <v>739</v>
      </c>
      <c r="AR221" s="188"/>
      <c r="AS221" s="188" t="s">
        <v>1257</v>
      </c>
      <c r="AT221" s="188" t="s">
        <v>1258</v>
      </c>
      <c r="AU221" s="188" t="s">
        <v>2437</v>
      </c>
      <c r="AV221" s="188"/>
      <c r="AW221" s="188" t="s">
        <v>739</v>
      </c>
      <c r="AX221" t="s">
        <v>739</v>
      </c>
      <c r="AY221" t="s">
        <v>739</v>
      </c>
      <c r="BA221" t="s">
        <v>2438</v>
      </c>
      <c r="BB221" t="s">
        <v>2439</v>
      </c>
      <c r="BC221" t="s">
        <v>2440</v>
      </c>
      <c r="BD221" s="143"/>
    </row>
    <row r="222" spans="1:56" ht="15" customHeight="1" x14ac:dyDescent="0.25">
      <c r="A222" s="188">
        <v>10</v>
      </c>
      <c r="B222" s="188" t="s">
        <v>2391</v>
      </c>
      <c r="C222" s="188" t="s">
        <v>790</v>
      </c>
      <c r="D222" s="188" t="s">
        <v>791</v>
      </c>
      <c r="E222" s="188" t="s">
        <v>792</v>
      </c>
      <c r="F222" s="188" t="s">
        <v>793</v>
      </c>
      <c r="G222" s="188" t="s">
        <v>794</v>
      </c>
      <c r="H222" s="188" t="s">
        <v>794</v>
      </c>
      <c r="I222" t="s">
        <v>805</v>
      </c>
      <c r="J222" s="74">
        <v>44197</v>
      </c>
      <c r="K222" s="74">
        <v>44561</v>
      </c>
      <c r="L222" s="188" t="s">
        <v>733</v>
      </c>
      <c r="M222" s="188" t="str">
        <f t="shared" si="50"/>
        <v>Valle del Cauca</v>
      </c>
      <c r="N222" s="188" t="s">
        <v>60</v>
      </c>
      <c r="O222" s="188" t="s">
        <v>806</v>
      </c>
      <c r="P222" s="188" t="s">
        <v>735</v>
      </c>
      <c r="Q222" s="75">
        <v>0.1111111111111111</v>
      </c>
      <c r="R222" s="189">
        <v>1</v>
      </c>
      <c r="S222" s="189">
        <v>0.25</v>
      </c>
      <c r="T222" s="189">
        <v>0.25</v>
      </c>
      <c r="U222" s="189">
        <v>0.25</v>
      </c>
      <c r="V222" s="189">
        <v>0.25</v>
      </c>
      <c r="W222" s="189">
        <v>0.25</v>
      </c>
      <c r="X222" s="189" t="s">
        <v>2441</v>
      </c>
      <c r="Y222" s="189">
        <v>0.25</v>
      </c>
      <c r="Z222" s="189" t="s">
        <v>2442</v>
      </c>
      <c r="AA222" s="189">
        <v>0.25</v>
      </c>
      <c r="AB222" s="189" t="s">
        <v>2443</v>
      </c>
      <c r="AC222" s="189"/>
      <c r="AD222" s="189"/>
      <c r="AE222" s="189">
        <f t="shared" si="43"/>
        <v>0.75</v>
      </c>
      <c r="AF222" s="74">
        <v>44300</v>
      </c>
      <c r="AG222" s="74">
        <v>44390</v>
      </c>
      <c r="AH222" s="74">
        <v>44483</v>
      </c>
      <c r="AI222" s="74"/>
      <c r="AJ222" s="75">
        <f t="shared" si="44"/>
        <v>0.75</v>
      </c>
      <c r="AK222" s="75">
        <f t="shared" si="45"/>
        <v>1</v>
      </c>
      <c r="AL222" s="75">
        <f t="shared" si="46"/>
        <v>1</v>
      </c>
      <c r="AM222" s="75">
        <f t="shared" si="47"/>
        <v>1</v>
      </c>
      <c r="AN222" s="75">
        <f t="shared" si="48"/>
        <v>0</v>
      </c>
      <c r="AO222" s="188" t="s">
        <v>739</v>
      </c>
      <c r="AP222" s="188" t="s">
        <v>739</v>
      </c>
      <c r="AQ222" s="188" t="s">
        <v>739</v>
      </c>
      <c r="AR222" s="188"/>
      <c r="AS222" s="188" t="s">
        <v>1257</v>
      </c>
      <c r="AT222" s="188" t="s">
        <v>1258</v>
      </c>
      <c r="AU222" s="188" t="s">
        <v>2444</v>
      </c>
      <c r="AV222" s="188"/>
      <c r="AW222" s="188" t="s">
        <v>739</v>
      </c>
      <c r="AX222" t="s">
        <v>739</v>
      </c>
      <c r="AY222" t="s">
        <v>739</v>
      </c>
      <c r="BA222" t="s">
        <v>2445</v>
      </c>
      <c r="BB222" t="s">
        <v>2446</v>
      </c>
      <c r="BC222" t="s">
        <v>2447</v>
      </c>
      <c r="BD222" s="143"/>
    </row>
    <row r="223" spans="1:56" ht="15" customHeight="1" x14ac:dyDescent="0.25">
      <c r="A223" s="188">
        <v>12</v>
      </c>
      <c r="B223" s="188" t="s">
        <v>2391</v>
      </c>
      <c r="C223" s="188" t="s">
        <v>814</v>
      </c>
      <c r="D223" s="188" t="s">
        <v>727</v>
      </c>
      <c r="E223" s="188" t="s">
        <v>815</v>
      </c>
      <c r="F223" s="188" t="s">
        <v>816</v>
      </c>
      <c r="G223" s="188" t="s">
        <v>817</v>
      </c>
      <c r="H223" s="188" t="s">
        <v>818</v>
      </c>
      <c r="I223" t="s">
        <v>819</v>
      </c>
      <c r="J223" s="74">
        <v>44197</v>
      </c>
      <c r="K223" s="74">
        <v>44561</v>
      </c>
      <c r="L223" s="188" t="s">
        <v>733</v>
      </c>
      <c r="M223" s="188" t="str">
        <f t="shared" si="50"/>
        <v>Valle del Cauca</v>
      </c>
      <c r="N223" s="188" t="s">
        <v>30</v>
      </c>
      <c r="O223" s="188" t="s">
        <v>820</v>
      </c>
      <c r="P223" s="188" t="s">
        <v>821</v>
      </c>
      <c r="Q223" s="75">
        <v>0.1111111111111111</v>
      </c>
      <c r="R223" s="190">
        <f>SUM(S223:V223)</f>
        <v>257647595.56882262</v>
      </c>
      <c r="S223" s="190">
        <v>50873600.352396414</v>
      </c>
      <c r="T223" s="190">
        <v>65948978.369509257</v>
      </c>
      <c r="U223" s="190">
        <v>67143883.785048425</v>
      </c>
      <c r="V223" s="190">
        <v>73681133.061868519</v>
      </c>
      <c r="W223" s="190">
        <v>25231815</v>
      </c>
      <c r="X223" s="190" t="s">
        <v>2448</v>
      </c>
      <c r="Y223" s="190">
        <v>15331016</v>
      </c>
      <c r="Z223" s="190" t="s">
        <v>2449</v>
      </c>
      <c r="AA223" s="190">
        <v>27699703</v>
      </c>
      <c r="AB223" s="190" t="s">
        <v>2450</v>
      </c>
      <c r="AC223" s="190"/>
      <c r="AD223" s="190"/>
      <c r="AE223" s="190">
        <f t="shared" si="43"/>
        <v>68262534</v>
      </c>
      <c r="AF223" s="74">
        <v>44300</v>
      </c>
      <c r="AG223" s="74">
        <v>44390</v>
      </c>
      <c r="AH223" s="74">
        <v>44483</v>
      </c>
      <c r="AI223" s="74"/>
      <c r="AJ223" s="75">
        <f t="shared" si="44"/>
        <v>0.26494535626964844</v>
      </c>
      <c r="AK223" s="75">
        <f t="shared" si="45"/>
        <v>0.49597069649526876</v>
      </c>
      <c r="AL223" s="75">
        <f t="shared" si="46"/>
        <v>0.2324678316334331</v>
      </c>
      <c r="AM223" s="75">
        <f t="shared" si="47"/>
        <v>0.41254246013943208</v>
      </c>
      <c r="AN223" s="75">
        <f t="shared" si="48"/>
        <v>0</v>
      </c>
      <c r="AO223" s="188" t="s">
        <v>739</v>
      </c>
      <c r="AP223" s="188" t="s">
        <v>739</v>
      </c>
      <c r="AQ223" s="188" t="s">
        <v>739</v>
      </c>
      <c r="AR223" s="188"/>
      <c r="AS223" s="188" t="s">
        <v>1257</v>
      </c>
      <c r="AT223" s="188" t="s">
        <v>1258</v>
      </c>
      <c r="AU223" s="188" t="s">
        <v>2451</v>
      </c>
      <c r="AV223" s="188"/>
      <c r="AW223" s="188" t="s">
        <v>739</v>
      </c>
      <c r="AX223" t="s">
        <v>739</v>
      </c>
      <c r="AY223" t="s">
        <v>739</v>
      </c>
      <c r="BA223" t="s">
        <v>2452</v>
      </c>
      <c r="BB223" t="s">
        <v>2453</v>
      </c>
      <c r="BC223" t="s">
        <v>2454</v>
      </c>
      <c r="BD223" s="143"/>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C398"/>
  <sheetViews>
    <sheetView topLeftCell="AM1" zoomScale="80" zoomScaleNormal="80" workbookViewId="0">
      <selection activeCell="BB33" sqref="BB33"/>
    </sheetView>
  </sheetViews>
  <sheetFormatPr baseColWidth="10" defaultColWidth="11" defaultRowHeight="15.75" x14ac:dyDescent="0.25"/>
  <cols>
    <col min="10" max="11" width="15.125" bestFit="1" customWidth="1"/>
  </cols>
  <sheetData>
    <row r="1" spans="1:55" x14ac:dyDescent="0.25">
      <c r="AH1" s="75">
        <f>IFERROR(IF((V1+X1+Z1+AB1)/Q1&gt;1,1,(V1+X1+Z1+AB1)/Q1),0)</f>
        <v>0</v>
      </c>
      <c r="AI1" s="75" t="str">
        <f>IFERROR(IF(R1=0,"",IF((V1/R1)&gt;1,1,(V1/R1))),"")</f>
        <v/>
      </c>
      <c r="AJ1" s="75" t="str">
        <f>IFERROR(IF(S1=0,"",IF((V1+X1/S1)&gt;1,1,(V1+X1/S1))),"")</f>
        <v/>
      </c>
      <c r="AK1" s="75" t="str">
        <f>IFERROR(IF(T1=0,"",IF((V1+X1+Z1/T1)&gt;1,1,(V1+X1+Z1/T1))),"")</f>
        <v/>
      </c>
      <c r="AL1" s="75" t="str">
        <f>IFERROR(IF(U1=0,"",IF((V1+X1+Z1+AB1/U1)&gt;1,1,(V1+X1+Z1+AB1/U1))),"")</f>
        <v/>
      </c>
    </row>
    <row r="2" spans="1:55" ht="15" customHeight="1" x14ac:dyDescent="0.25">
      <c r="A2" s="62" t="s">
        <v>672</v>
      </c>
      <c r="B2" s="63" t="s">
        <v>2455</v>
      </c>
      <c r="C2" s="149" t="s">
        <v>2456</v>
      </c>
      <c r="D2" s="63" t="s">
        <v>11</v>
      </c>
      <c r="E2" s="63" t="s">
        <v>674</v>
      </c>
      <c r="F2" s="63" t="s">
        <v>675</v>
      </c>
      <c r="G2" s="63" t="s">
        <v>676</v>
      </c>
      <c r="H2" s="63" t="s">
        <v>677</v>
      </c>
      <c r="I2" s="64" t="s">
        <v>678</v>
      </c>
      <c r="J2" s="64" t="s">
        <v>679</v>
      </c>
      <c r="K2" s="64" t="s">
        <v>680</v>
      </c>
      <c r="L2" s="64" t="s">
        <v>681</v>
      </c>
      <c r="M2" s="64" t="s">
        <v>682</v>
      </c>
      <c r="N2" s="64" t="s">
        <v>683</v>
      </c>
      <c r="O2" s="64" t="s">
        <v>684</v>
      </c>
      <c r="P2" s="64" t="s">
        <v>685</v>
      </c>
      <c r="Q2" s="62" t="s">
        <v>687</v>
      </c>
      <c r="R2" s="65" t="s">
        <v>688</v>
      </c>
      <c r="S2" s="66" t="s">
        <v>689</v>
      </c>
      <c r="T2" s="67" t="s">
        <v>690</v>
      </c>
      <c r="U2" s="68" t="s">
        <v>691</v>
      </c>
      <c r="V2" s="69" t="s">
        <v>692</v>
      </c>
      <c r="W2" s="69" t="s">
        <v>693</v>
      </c>
      <c r="X2" s="70" t="s">
        <v>694</v>
      </c>
      <c r="Y2" s="70" t="s">
        <v>695</v>
      </c>
      <c r="Z2" s="71" t="s">
        <v>696</v>
      </c>
      <c r="AA2" s="71" t="s">
        <v>697</v>
      </c>
      <c r="AB2" s="72" t="s">
        <v>698</v>
      </c>
      <c r="AC2" s="72" t="s">
        <v>699</v>
      </c>
      <c r="AD2" s="69" t="s">
        <v>701</v>
      </c>
      <c r="AE2" s="70" t="s">
        <v>702</v>
      </c>
      <c r="AF2" s="71" t="s">
        <v>703</v>
      </c>
      <c r="AG2" s="72" t="s">
        <v>704</v>
      </c>
      <c r="AH2" s="73" t="s">
        <v>2457</v>
      </c>
      <c r="AI2" s="69" t="s">
        <v>706</v>
      </c>
      <c r="AJ2" s="69" t="s">
        <v>707</v>
      </c>
      <c r="AK2" s="69" t="s">
        <v>708</v>
      </c>
      <c r="AL2" s="69" t="s">
        <v>709</v>
      </c>
      <c r="AM2" s="144" t="s">
        <v>710</v>
      </c>
      <c r="AN2" s="144" t="s">
        <v>711</v>
      </c>
      <c r="AO2" s="144" t="s">
        <v>712</v>
      </c>
      <c r="AP2" s="144" t="s">
        <v>713</v>
      </c>
      <c r="AQ2" s="145" t="s">
        <v>714</v>
      </c>
      <c r="AR2" s="145" t="s">
        <v>715</v>
      </c>
      <c r="AS2" s="145" t="s">
        <v>716</v>
      </c>
      <c r="AT2" s="145" t="s">
        <v>717</v>
      </c>
      <c r="AU2" s="146" t="s">
        <v>718</v>
      </c>
      <c r="AV2" s="146" t="s">
        <v>719</v>
      </c>
      <c r="AW2" s="146" t="s">
        <v>720</v>
      </c>
      <c r="AX2" s="146" t="s">
        <v>721</v>
      </c>
      <c r="AY2" s="147" t="s">
        <v>722</v>
      </c>
      <c r="AZ2" s="147" t="s">
        <v>723</v>
      </c>
      <c r="BA2" s="147" t="s">
        <v>724</v>
      </c>
      <c r="BB2" s="147" t="s">
        <v>725</v>
      </c>
      <c r="BC2" s="63" t="s">
        <v>673</v>
      </c>
    </row>
    <row r="3" spans="1:55" ht="15" customHeight="1" x14ac:dyDescent="0.25">
      <c r="A3" s="210">
        <v>1</v>
      </c>
      <c r="B3" s="135" t="s">
        <v>2458</v>
      </c>
      <c r="C3" s="135" t="s">
        <v>2459</v>
      </c>
      <c r="D3" s="135" t="s">
        <v>2460</v>
      </c>
      <c r="E3" s="135" t="s">
        <v>792</v>
      </c>
      <c r="F3" s="135" t="s">
        <v>793</v>
      </c>
      <c r="G3" s="135" t="s">
        <v>2458</v>
      </c>
      <c r="H3" s="135" t="s">
        <v>2461</v>
      </c>
      <c r="I3" s="135" t="s">
        <v>2462</v>
      </c>
      <c r="J3" s="211">
        <v>44197</v>
      </c>
      <c r="K3" s="211">
        <v>44561</v>
      </c>
      <c r="L3" s="135" t="s">
        <v>2463</v>
      </c>
      <c r="M3" s="135" t="s">
        <v>135</v>
      </c>
      <c r="N3" s="135" t="s">
        <v>30</v>
      </c>
      <c r="O3" s="135" t="s">
        <v>2464</v>
      </c>
      <c r="P3" s="135" t="s">
        <v>735</v>
      </c>
      <c r="Q3" s="212">
        <v>12</v>
      </c>
      <c r="R3" s="212">
        <v>3</v>
      </c>
      <c r="S3" s="212">
        <v>3</v>
      </c>
      <c r="T3" s="212">
        <v>3</v>
      </c>
      <c r="U3" s="212">
        <v>3</v>
      </c>
      <c r="V3" s="212">
        <v>3</v>
      </c>
      <c r="W3" s="212" t="s">
        <v>2465</v>
      </c>
      <c r="X3" s="212">
        <v>3</v>
      </c>
      <c r="Y3" s="212" t="s">
        <v>2466</v>
      </c>
      <c r="Z3" s="212">
        <v>3</v>
      </c>
      <c r="AA3" s="212" t="s">
        <v>2466</v>
      </c>
      <c r="AB3" s="212"/>
      <c r="AC3" s="212"/>
      <c r="AD3" s="213">
        <v>44295</v>
      </c>
      <c r="AE3" s="213">
        <v>44379</v>
      </c>
      <c r="AF3" s="213">
        <v>44477</v>
      </c>
      <c r="AG3" s="214"/>
      <c r="AH3" s="75">
        <f t="shared" ref="AH3:AH66" si="0">IFERROR(IF((V3+X3+Z3+AB3)/Q3&gt;1,1,(V3+X3+Z3+AB3)/Q3),0)</f>
        <v>0.75</v>
      </c>
      <c r="AI3" s="75">
        <f t="shared" ref="AI3:AI66" si="1">IFERROR(IF(R3=0,"",IF((V3/R3)&gt;1,1,(V3/R3))),"")</f>
        <v>1</v>
      </c>
      <c r="AJ3" s="75">
        <f t="shared" ref="AJ3:AJ66" si="2">IFERROR(IF(S3=0,"",IF((V3+X3/S3)&gt;1,1,(V3+X3/S3))),"")</f>
        <v>1</v>
      </c>
      <c r="AK3" s="75">
        <f t="shared" ref="AK3:AK66" si="3">IFERROR(IF(T3=0,"",IF((V3+X3+Z3/T3)&gt;1,1,(V3+X3+Z3/T3))),"")</f>
        <v>1</v>
      </c>
      <c r="AL3" s="75" t="s">
        <v>2467</v>
      </c>
      <c r="AM3" s="214" t="s">
        <v>739</v>
      </c>
      <c r="AN3" s="214" t="s">
        <v>739</v>
      </c>
      <c r="AO3" s="214" t="s">
        <v>739</v>
      </c>
      <c r="AP3" s="214"/>
      <c r="AQ3" s="214" t="s">
        <v>2468</v>
      </c>
      <c r="AR3" s="214" t="s">
        <v>2469</v>
      </c>
      <c r="AS3" s="214" t="s">
        <v>2470</v>
      </c>
      <c r="AT3" s="214"/>
      <c r="AU3" s="214" t="s">
        <v>739</v>
      </c>
      <c r="AV3" s="214" t="s">
        <v>739</v>
      </c>
      <c r="AW3" s="214" t="s">
        <v>739</v>
      </c>
      <c r="AX3" s="214"/>
      <c r="AY3" s="214" t="s">
        <v>2471</v>
      </c>
      <c r="AZ3" s="214" t="s">
        <v>2472</v>
      </c>
      <c r="BA3" s="214" t="s">
        <v>2473</v>
      </c>
      <c r="BB3" s="214"/>
      <c r="BC3" s="135" t="s">
        <v>1710</v>
      </c>
    </row>
    <row r="4" spans="1:55" ht="15" customHeight="1" x14ac:dyDescent="0.25">
      <c r="A4" s="210">
        <v>2</v>
      </c>
      <c r="B4" s="135" t="s">
        <v>2458</v>
      </c>
      <c r="C4" s="135" t="s">
        <v>2459</v>
      </c>
      <c r="D4" s="135" t="s">
        <v>2460</v>
      </c>
      <c r="E4" s="135" t="s">
        <v>792</v>
      </c>
      <c r="F4" s="135" t="s">
        <v>793</v>
      </c>
      <c r="G4" s="135" t="s">
        <v>2458</v>
      </c>
      <c r="H4" s="135" t="s">
        <v>2461</v>
      </c>
      <c r="I4" s="135" t="s">
        <v>2474</v>
      </c>
      <c r="J4" s="211">
        <v>44197</v>
      </c>
      <c r="K4" s="211">
        <v>44561</v>
      </c>
      <c r="L4" s="135" t="s">
        <v>2475</v>
      </c>
      <c r="M4" s="135" t="s">
        <v>135</v>
      </c>
      <c r="N4" s="135" t="s">
        <v>30</v>
      </c>
      <c r="O4" s="135" t="s">
        <v>2464</v>
      </c>
      <c r="P4" s="135" t="s">
        <v>735</v>
      </c>
      <c r="Q4" s="212">
        <v>8</v>
      </c>
      <c r="R4" s="212">
        <v>2</v>
      </c>
      <c r="S4" s="212">
        <v>2</v>
      </c>
      <c r="T4" s="212">
        <v>2</v>
      </c>
      <c r="U4" s="212">
        <v>2</v>
      </c>
      <c r="V4" s="212">
        <v>2</v>
      </c>
      <c r="W4" s="212" t="s">
        <v>2476</v>
      </c>
      <c r="X4" s="212">
        <v>2</v>
      </c>
      <c r="Y4" s="212" t="s">
        <v>2477</v>
      </c>
      <c r="Z4" s="212">
        <v>2</v>
      </c>
      <c r="AA4" s="212" t="s">
        <v>2478</v>
      </c>
      <c r="AB4" s="212"/>
      <c r="AC4" s="212"/>
      <c r="AD4" s="213">
        <v>44295</v>
      </c>
      <c r="AE4" s="213">
        <v>44379</v>
      </c>
      <c r="AF4" s="213">
        <v>44477</v>
      </c>
      <c r="AG4" s="214"/>
      <c r="AH4" s="75">
        <f t="shared" si="0"/>
        <v>0.75</v>
      </c>
      <c r="AI4" s="75">
        <f t="shared" si="1"/>
        <v>1</v>
      </c>
      <c r="AJ4" s="75">
        <f t="shared" si="2"/>
        <v>1</v>
      </c>
      <c r="AK4" s="75">
        <f t="shared" si="3"/>
        <v>1</v>
      </c>
      <c r="AL4" s="75" t="s">
        <v>2467</v>
      </c>
      <c r="AM4" s="214" t="s">
        <v>739</v>
      </c>
      <c r="AN4" s="214" t="s">
        <v>739</v>
      </c>
      <c r="AO4" s="214" t="s">
        <v>739</v>
      </c>
      <c r="AP4" s="214"/>
      <c r="AQ4" s="214" t="s">
        <v>2479</v>
      </c>
      <c r="AR4" s="214" t="s">
        <v>2480</v>
      </c>
      <c r="AS4" s="214" t="s">
        <v>2481</v>
      </c>
      <c r="AT4" s="214"/>
      <c r="AU4" s="214" t="s">
        <v>739</v>
      </c>
      <c r="AV4" s="214" t="s">
        <v>739</v>
      </c>
      <c r="AW4" s="214" t="s">
        <v>739</v>
      </c>
      <c r="AX4" s="214"/>
      <c r="AY4" s="214" t="s">
        <v>2482</v>
      </c>
      <c r="AZ4" s="214" t="s">
        <v>2483</v>
      </c>
      <c r="BA4" s="119" t="s">
        <v>2484</v>
      </c>
      <c r="BB4" s="119"/>
      <c r="BC4" s="135" t="s">
        <v>1710</v>
      </c>
    </row>
    <row r="5" spans="1:55" ht="15" customHeight="1" x14ac:dyDescent="0.25">
      <c r="A5" s="210">
        <v>3</v>
      </c>
      <c r="B5" s="135" t="s">
        <v>2458</v>
      </c>
      <c r="C5" s="135" t="s">
        <v>2459</v>
      </c>
      <c r="D5" s="135" t="s">
        <v>2485</v>
      </c>
      <c r="E5" s="135" t="s">
        <v>792</v>
      </c>
      <c r="F5" s="135" t="s">
        <v>793</v>
      </c>
      <c r="G5" s="135" t="s">
        <v>2458</v>
      </c>
      <c r="H5" s="135" t="s">
        <v>2486</v>
      </c>
      <c r="I5" s="135" t="s">
        <v>2487</v>
      </c>
      <c r="J5" s="211">
        <v>44228</v>
      </c>
      <c r="K5" s="211">
        <v>44286</v>
      </c>
      <c r="L5" s="135" t="s">
        <v>2488</v>
      </c>
      <c r="M5" s="135" t="s">
        <v>135</v>
      </c>
      <c r="N5" s="135" t="s">
        <v>30</v>
      </c>
      <c r="O5" s="135" t="s">
        <v>2489</v>
      </c>
      <c r="P5" s="135" t="s">
        <v>735</v>
      </c>
      <c r="Q5" s="212">
        <v>1</v>
      </c>
      <c r="R5" s="212">
        <v>1</v>
      </c>
      <c r="S5" s="212">
        <v>0</v>
      </c>
      <c r="T5" s="212">
        <v>0</v>
      </c>
      <c r="U5" s="212">
        <v>0</v>
      </c>
      <c r="V5" s="212">
        <v>1</v>
      </c>
      <c r="W5" s="212" t="s">
        <v>2490</v>
      </c>
      <c r="X5" s="212">
        <v>0</v>
      </c>
      <c r="Y5" s="212" t="s">
        <v>2491</v>
      </c>
      <c r="Z5" s="212">
        <v>0</v>
      </c>
      <c r="AA5" s="212" t="s">
        <v>2491</v>
      </c>
      <c r="AB5" s="212"/>
      <c r="AC5" s="212"/>
      <c r="AD5" s="213">
        <v>44295</v>
      </c>
      <c r="AE5" s="213">
        <v>44379</v>
      </c>
      <c r="AF5" s="213">
        <v>44477</v>
      </c>
      <c r="AG5" s="214"/>
      <c r="AH5" s="75">
        <f t="shared" si="0"/>
        <v>1</v>
      </c>
      <c r="AI5" s="75">
        <f t="shared" si="1"/>
        <v>1</v>
      </c>
      <c r="AJ5" s="75" t="str">
        <f t="shared" si="2"/>
        <v/>
      </c>
      <c r="AK5" s="75" t="str">
        <f t="shared" si="3"/>
        <v/>
      </c>
      <c r="AL5" s="75" t="s">
        <v>2467</v>
      </c>
      <c r="AM5" s="214" t="s">
        <v>739</v>
      </c>
      <c r="AN5" s="214" t="s">
        <v>838</v>
      </c>
      <c r="AO5" s="214" t="s">
        <v>838</v>
      </c>
      <c r="AP5" s="214"/>
      <c r="AQ5" s="214" t="s">
        <v>2492</v>
      </c>
      <c r="AR5" s="214" t="s">
        <v>838</v>
      </c>
      <c r="AS5" s="214" t="s">
        <v>2493</v>
      </c>
      <c r="AT5" s="214"/>
      <c r="AU5" s="214" t="s">
        <v>739</v>
      </c>
      <c r="AV5" s="214" t="s">
        <v>838</v>
      </c>
      <c r="AW5" s="214" t="s">
        <v>838</v>
      </c>
      <c r="AX5" s="214"/>
      <c r="AY5" s="214" t="s">
        <v>2494</v>
      </c>
      <c r="AZ5" s="214" t="s">
        <v>1417</v>
      </c>
      <c r="BA5" s="119" t="s">
        <v>2495</v>
      </c>
      <c r="BB5" s="119"/>
      <c r="BC5" s="135" t="s">
        <v>1710</v>
      </c>
    </row>
    <row r="6" spans="1:55" ht="15" customHeight="1" x14ac:dyDescent="0.25">
      <c r="A6" s="210">
        <v>4</v>
      </c>
      <c r="B6" s="135" t="s">
        <v>2458</v>
      </c>
      <c r="C6" s="135" t="s">
        <v>2459</v>
      </c>
      <c r="D6" s="135" t="s">
        <v>2485</v>
      </c>
      <c r="E6" s="135" t="s">
        <v>792</v>
      </c>
      <c r="F6" s="135" t="s">
        <v>793</v>
      </c>
      <c r="G6" s="135" t="s">
        <v>2458</v>
      </c>
      <c r="H6" s="135" t="s">
        <v>2486</v>
      </c>
      <c r="I6" s="135" t="s">
        <v>2496</v>
      </c>
      <c r="J6" s="211">
        <v>44256</v>
      </c>
      <c r="K6" s="211">
        <v>44286</v>
      </c>
      <c r="L6" s="135" t="s">
        <v>2497</v>
      </c>
      <c r="M6" s="135" t="s">
        <v>135</v>
      </c>
      <c r="N6" s="135" t="s">
        <v>30</v>
      </c>
      <c r="O6" s="135" t="s">
        <v>2489</v>
      </c>
      <c r="P6" s="135" t="s">
        <v>735</v>
      </c>
      <c r="Q6" s="212">
        <v>1</v>
      </c>
      <c r="R6" s="212">
        <v>1</v>
      </c>
      <c r="S6" s="212">
        <v>0</v>
      </c>
      <c r="T6" s="212">
        <v>0</v>
      </c>
      <c r="U6" s="212">
        <v>0</v>
      </c>
      <c r="V6" s="212">
        <v>1</v>
      </c>
      <c r="W6" s="212" t="s">
        <v>2498</v>
      </c>
      <c r="X6" s="212">
        <v>0</v>
      </c>
      <c r="Y6" s="212" t="s">
        <v>2491</v>
      </c>
      <c r="Z6" s="212">
        <v>0</v>
      </c>
      <c r="AA6" s="212" t="s">
        <v>2491</v>
      </c>
      <c r="AB6" s="212"/>
      <c r="AC6" s="212"/>
      <c r="AD6" s="213">
        <v>44295</v>
      </c>
      <c r="AE6" s="213">
        <v>44379</v>
      </c>
      <c r="AF6" s="213">
        <v>44477</v>
      </c>
      <c r="AG6" s="214"/>
      <c r="AH6" s="75">
        <f t="shared" si="0"/>
        <v>1</v>
      </c>
      <c r="AI6" s="75">
        <f t="shared" si="1"/>
        <v>1</v>
      </c>
      <c r="AJ6" s="75" t="str">
        <f t="shared" si="2"/>
        <v/>
      </c>
      <c r="AK6" s="75" t="str">
        <f t="shared" si="3"/>
        <v/>
      </c>
      <c r="AL6" s="75" t="s">
        <v>2467</v>
      </c>
      <c r="AM6" s="214" t="s">
        <v>739</v>
      </c>
      <c r="AN6" s="214" t="s">
        <v>838</v>
      </c>
      <c r="AO6" s="214" t="s">
        <v>838</v>
      </c>
      <c r="AP6" s="214"/>
      <c r="AQ6" s="214" t="s">
        <v>2499</v>
      </c>
      <c r="AR6" s="214" t="s">
        <v>838</v>
      </c>
      <c r="AS6" s="214" t="s">
        <v>2493</v>
      </c>
      <c r="AT6" s="214"/>
      <c r="AU6" s="214" t="s">
        <v>739</v>
      </c>
      <c r="AV6" s="214" t="s">
        <v>838</v>
      </c>
      <c r="AW6" s="214" t="s">
        <v>838</v>
      </c>
      <c r="AX6" s="214"/>
      <c r="AY6" s="214" t="s">
        <v>2500</v>
      </c>
      <c r="AZ6" s="214" t="s">
        <v>1417</v>
      </c>
      <c r="BA6" s="119" t="s">
        <v>2501</v>
      </c>
      <c r="BB6" s="119"/>
      <c r="BC6" s="135" t="s">
        <v>1710</v>
      </c>
    </row>
    <row r="7" spans="1:55" ht="15" customHeight="1" x14ac:dyDescent="0.25">
      <c r="A7" s="210">
        <v>5</v>
      </c>
      <c r="B7" s="135" t="s">
        <v>2458</v>
      </c>
      <c r="C7" s="135" t="s">
        <v>2459</v>
      </c>
      <c r="D7" s="135" t="s">
        <v>2485</v>
      </c>
      <c r="E7" s="135" t="s">
        <v>792</v>
      </c>
      <c r="F7" s="135" t="s">
        <v>793</v>
      </c>
      <c r="G7" s="135" t="s">
        <v>2458</v>
      </c>
      <c r="H7" s="135" t="s">
        <v>2486</v>
      </c>
      <c r="I7" s="135" t="s">
        <v>2502</v>
      </c>
      <c r="J7" s="211">
        <v>44256</v>
      </c>
      <c r="K7" s="211">
        <v>44346</v>
      </c>
      <c r="L7" s="135" t="s">
        <v>2503</v>
      </c>
      <c r="M7" s="135" t="s">
        <v>135</v>
      </c>
      <c r="N7" s="135" t="s">
        <v>30</v>
      </c>
      <c r="O7" s="135" t="s">
        <v>2489</v>
      </c>
      <c r="P7" s="135" t="s">
        <v>735</v>
      </c>
      <c r="Q7" s="212">
        <v>2</v>
      </c>
      <c r="R7" s="212">
        <v>1</v>
      </c>
      <c r="S7" s="212">
        <v>1</v>
      </c>
      <c r="T7" s="212">
        <v>0</v>
      </c>
      <c r="U7" s="212">
        <v>0</v>
      </c>
      <c r="V7" s="212">
        <v>1</v>
      </c>
      <c r="W7" s="212" t="s">
        <v>2504</v>
      </c>
      <c r="X7" s="212">
        <v>1</v>
      </c>
      <c r="Y7" s="212" t="s">
        <v>2505</v>
      </c>
      <c r="Z7" s="212">
        <v>0</v>
      </c>
      <c r="AA7" s="212" t="s">
        <v>2506</v>
      </c>
      <c r="AB7" s="212"/>
      <c r="AC7" s="212"/>
      <c r="AD7" s="213">
        <v>44295</v>
      </c>
      <c r="AE7" s="213">
        <v>44379</v>
      </c>
      <c r="AF7" s="213">
        <v>44477</v>
      </c>
      <c r="AG7" s="214"/>
      <c r="AH7" s="75">
        <f t="shared" si="0"/>
        <v>1</v>
      </c>
      <c r="AI7" s="75">
        <f t="shared" si="1"/>
        <v>1</v>
      </c>
      <c r="AJ7" s="75">
        <f t="shared" si="2"/>
        <v>1</v>
      </c>
      <c r="AK7" s="75" t="str">
        <f t="shared" si="3"/>
        <v/>
      </c>
      <c r="AL7" s="75" t="s">
        <v>2467</v>
      </c>
      <c r="AM7" s="214" t="s">
        <v>739</v>
      </c>
      <c r="AN7" s="214" t="s">
        <v>739</v>
      </c>
      <c r="AO7" s="214" t="s">
        <v>838</v>
      </c>
      <c r="AP7" s="214"/>
      <c r="AQ7" s="214" t="s">
        <v>2507</v>
      </c>
      <c r="AR7" s="214" t="s">
        <v>2508</v>
      </c>
      <c r="AS7" s="214" t="s">
        <v>2493</v>
      </c>
      <c r="AT7" s="214"/>
      <c r="AU7" s="214" t="s">
        <v>739</v>
      </c>
      <c r="AV7" s="214" t="s">
        <v>739</v>
      </c>
      <c r="AW7" s="214" t="s">
        <v>838</v>
      </c>
      <c r="AX7" s="214"/>
      <c r="AY7" s="214" t="s">
        <v>2509</v>
      </c>
      <c r="AZ7" s="214" t="s">
        <v>2510</v>
      </c>
      <c r="BA7" s="119" t="s">
        <v>2501</v>
      </c>
      <c r="BB7" s="119"/>
      <c r="BC7" s="135" t="s">
        <v>1710</v>
      </c>
    </row>
    <row r="8" spans="1:55" ht="15" customHeight="1" x14ac:dyDescent="0.25">
      <c r="A8" s="210">
        <v>6</v>
      </c>
      <c r="B8" s="135" t="s">
        <v>2458</v>
      </c>
      <c r="C8" s="135" t="s">
        <v>2459</v>
      </c>
      <c r="D8" s="135" t="s">
        <v>2511</v>
      </c>
      <c r="E8" s="135" t="s">
        <v>792</v>
      </c>
      <c r="F8" s="135" t="s">
        <v>793</v>
      </c>
      <c r="G8" s="135" t="s">
        <v>2458</v>
      </c>
      <c r="H8" s="135" t="s">
        <v>2461</v>
      </c>
      <c r="I8" s="135" t="s">
        <v>2512</v>
      </c>
      <c r="J8" s="211">
        <v>44197</v>
      </c>
      <c r="K8" s="211">
        <v>44408</v>
      </c>
      <c r="L8" s="135" t="s">
        <v>2513</v>
      </c>
      <c r="M8" s="135" t="s">
        <v>135</v>
      </c>
      <c r="N8" s="135" t="s">
        <v>30</v>
      </c>
      <c r="O8" s="135" t="s">
        <v>2514</v>
      </c>
      <c r="P8" s="135" t="s">
        <v>735</v>
      </c>
      <c r="Q8" s="212">
        <v>2</v>
      </c>
      <c r="R8" s="212">
        <v>1</v>
      </c>
      <c r="S8" s="212">
        <v>0</v>
      </c>
      <c r="T8" s="212">
        <v>1</v>
      </c>
      <c r="U8" s="212">
        <v>0</v>
      </c>
      <c r="V8" s="212">
        <v>1</v>
      </c>
      <c r="W8" s="212" t="s">
        <v>2515</v>
      </c>
      <c r="X8" s="212">
        <v>0</v>
      </c>
      <c r="Y8" s="212" t="s">
        <v>2516</v>
      </c>
      <c r="Z8" s="212">
        <v>1</v>
      </c>
      <c r="AA8" s="212" t="s">
        <v>2517</v>
      </c>
      <c r="AB8" s="212"/>
      <c r="AC8" s="212"/>
      <c r="AD8" s="213">
        <v>44295</v>
      </c>
      <c r="AE8" s="213">
        <v>44379</v>
      </c>
      <c r="AF8" s="213">
        <v>44486</v>
      </c>
      <c r="AG8" s="214"/>
      <c r="AH8" s="75">
        <f t="shared" si="0"/>
        <v>1</v>
      </c>
      <c r="AI8" s="75">
        <f t="shared" si="1"/>
        <v>1</v>
      </c>
      <c r="AJ8" s="75" t="str">
        <f t="shared" si="2"/>
        <v/>
      </c>
      <c r="AK8" s="75">
        <f t="shared" si="3"/>
        <v>1</v>
      </c>
      <c r="AL8" s="75" t="s">
        <v>2467</v>
      </c>
      <c r="AM8" s="214" t="s">
        <v>739</v>
      </c>
      <c r="AN8" s="214" t="s">
        <v>838</v>
      </c>
      <c r="AO8" s="214" t="s">
        <v>739</v>
      </c>
      <c r="AP8" s="214"/>
      <c r="AQ8" s="214" t="s">
        <v>2518</v>
      </c>
      <c r="AR8" s="214" t="s">
        <v>838</v>
      </c>
      <c r="AS8" s="214" t="s">
        <v>2519</v>
      </c>
      <c r="AT8" s="214"/>
      <c r="AU8" s="214" t="s">
        <v>739</v>
      </c>
      <c r="AV8" s="214" t="s">
        <v>838</v>
      </c>
      <c r="AW8" s="214" t="s">
        <v>739</v>
      </c>
      <c r="AX8" s="214"/>
      <c r="AY8" s="214" t="s">
        <v>2520</v>
      </c>
      <c r="AZ8" s="214" t="s">
        <v>838</v>
      </c>
      <c r="BA8" s="119" t="s">
        <v>2521</v>
      </c>
      <c r="BB8" s="119"/>
      <c r="BC8" s="135" t="s">
        <v>1710</v>
      </c>
    </row>
    <row r="9" spans="1:55" ht="15" customHeight="1" x14ac:dyDescent="0.25">
      <c r="A9" s="210">
        <v>7</v>
      </c>
      <c r="B9" s="135" t="s">
        <v>2458</v>
      </c>
      <c r="C9" s="135" t="s">
        <v>2459</v>
      </c>
      <c r="D9" s="135" t="s">
        <v>2511</v>
      </c>
      <c r="E9" s="135" t="s">
        <v>792</v>
      </c>
      <c r="F9" s="135" t="s">
        <v>793</v>
      </c>
      <c r="G9" s="135" t="s">
        <v>2458</v>
      </c>
      <c r="H9" s="135" t="s">
        <v>2461</v>
      </c>
      <c r="I9" s="135" t="s">
        <v>2522</v>
      </c>
      <c r="J9" s="211">
        <v>44197</v>
      </c>
      <c r="K9" s="211">
        <v>44561</v>
      </c>
      <c r="L9" s="135" t="s">
        <v>2523</v>
      </c>
      <c r="M9" s="135" t="s">
        <v>135</v>
      </c>
      <c r="N9" s="135" t="s">
        <v>30</v>
      </c>
      <c r="O9" s="135" t="s">
        <v>2514</v>
      </c>
      <c r="P9" s="135" t="s">
        <v>735</v>
      </c>
      <c r="Q9" s="212">
        <v>12</v>
      </c>
      <c r="R9" s="212">
        <v>3</v>
      </c>
      <c r="S9" s="212">
        <v>3</v>
      </c>
      <c r="T9" s="212">
        <v>3</v>
      </c>
      <c r="U9" s="212">
        <v>3</v>
      </c>
      <c r="V9" s="212">
        <v>3</v>
      </c>
      <c r="W9" s="212" t="s">
        <v>2524</v>
      </c>
      <c r="X9" s="212">
        <v>3</v>
      </c>
      <c r="Y9" s="212" t="s">
        <v>2525</v>
      </c>
      <c r="Z9" s="212">
        <v>3</v>
      </c>
      <c r="AA9" s="212" t="s">
        <v>2526</v>
      </c>
      <c r="AB9" s="212"/>
      <c r="AC9" s="212"/>
      <c r="AD9" s="213">
        <v>44295</v>
      </c>
      <c r="AE9" s="213">
        <v>44379</v>
      </c>
      <c r="AF9" s="213">
        <v>44477</v>
      </c>
      <c r="AG9" s="214"/>
      <c r="AH9" s="75">
        <f t="shared" si="0"/>
        <v>0.75</v>
      </c>
      <c r="AI9" s="75">
        <f t="shared" si="1"/>
        <v>1</v>
      </c>
      <c r="AJ9" s="75">
        <f t="shared" si="2"/>
        <v>1</v>
      </c>
      <c r="AK9" s="75">
        <f t="shared" si="3"/>
        <v>1</v>
      </c>
      <c r="AL9" s="75" t="s">
        <v>2467</v>
      </c>
      <c r="AM9" s="214" t="s">
        <v>739</v>
      </c>
      <c r="AN9" s="214" t="s">
        <v>739</v>
      </c>
      <c r="AO9" s="214" t="s">
        <v>739</v>
      </c>
      <c r="AP9" s="214"/>
      <c r="AQ9" s="214" t="s">
        <v>2527</v>
      </c>
      <c r="AR9" s="214" t="s">
        <v>2528</v>
      </c>
      <c r="AS9" s="214" t="s">
        <v>2529</v>
      </c>
      <c r="AT9" s="214"/>
      <c r="AU9" s="214" t="s">
        <v>739</v>
      </c>
      <c r="AV9" s="214" t="s">
        <v>739</v>
      </c>
      <c r="AW9" s="214" t="s">
        <v>739</v>
      </c>
      <c r="AX9" s="214"/>
      <c r="AY9" s="214" t="s">
        <v>2530</v>
      </c>
      <c r="AZ9" s="214" t="s">
        <v>2531</v>
      </c>
      <c r="BA9" s="119" t="s">
        <v>2532</v>
      </c>
      <c r="BB9" s="119"/>
      <c r="BC9" s="135" t="s">
        <v>1710</v>
      </c>
    </row>
    <row r="10" spans="1:55" ht="15" customHeight="1" x14ac:dyDescent="0.25">
      <c r="A10" s="210">
        <v>8</v>
      </c>
      <c r="B10" s="135" t="s">
        <v>2458</v>
      </c>
      <c r="C10" s="135" t="s">
        <v>2459</v>
      </c>
      <c r="D10" s="135" t="s">
        <v>2511</v>
      </c>
      <c r="E10" s="135" t="s">
        <v>792</v>
      </c>
      <c r="F10" s="135" t="s">
        <v>793</v>
      </c>
      <c r="G10" s="135" t="s">
        <v>2458</v>
      </c>
      <c r="H10" s="135" t="s">
        <v>2461</v>
      </c>
      <c r="I10" s="135" t="s">
        <v>2533</v>
      </c>
      <c r="J10" s="211">
        <v>44197</v>
      </c>
      <c r="K10" s="211">
        <v>44439</v>
      </c>
      <c r="L10" s="135" t="s">
        <v>2534</v>
      </c>
      <c r="M10" s="135" t="s">
        <v>135</v>
      </c>
      <c r="N10" s="135" t="s">
        <v>30</v>
      </c>
      <c r="O10" s="135" t="s">
        <v>2514</v>
      </c>
      <c r="P10" s="135" t="s">
        <v>735</v>
      </c>
      <c r="Q10" s="212">
        <v>2</v>
      </c>
      <c r="R10" s="212">
        <v>1</v>
      </c>
      <c r="S10" s="212">
        <v>0</v>
      </c>
      <c r="T10" s="212">
        <v>1</v>
      </c>
      <c r="U10" s="212">
        <v>0</v>
      </c>
      <c r="V10" s="212">
        <v>1</v>
      </c>
      <c r="W10" s="212" t="s">
        <v>2535</v>
      </c>
      <c r="X10" s="212">
        <v>0</v>
      </c>
      <c r="Y10" s="212" t="s">
        <v>2516</v>
      </c>
      <c r="Z10" s="212">
        <v>1</v>
      </c>
      <c r="AA10" s="212" t="s">
        <v>2536</v>
      </c>
      <c r="AB10" s="212"/>
      <c r="AC10" s="212"/>
      <c r="AD10" s="213">
        <v>44295</v>
      </c>
      <c r="AE10" s="213">
        <v>44379</v>
      </c>
      <c r="AF10" s="213">
        <v>44486</v>
      </c>
      <c r="AG10" s="214"/>
      <c r="AH10" s="75">
        <f t="shared" si="0"/>
        <v>1</v>
      </c>
      <c r="AI10" s="75">
        <f t="shared" si="1"/>
        <v>1</v>
      </c>
      <c r="AJ10" s="75" t="str">
        <f t="shared" si="2"/>
        <v/>
      </c>
      <c r="AK10" s="75">
        <f t="shared" si="3"/>
        <v>1</v>
      </c>
      <c r="AL10" s="75" t="s">
        <v>2467</v>
      </c>
      <c r="AM10" s="214" t="s">
        <v>739</v>
      </c>
      <c r="AN10" s="214" t="s">
        <v>838</v>
      </c>
      <c r="AO10" s="214" t="s">
        <v>739</v>
      </c>
      <c r="AP10" s="214"/>
      <c r="AQ10" s="214" t="s">
        <v>2537</v>
      </c>
      <c r="AR10" s="214" t="s">
        <v>838</v>
      </c>
      <c r="AS10" s="214" t="s">
        <v>2538</v>
      </c>
      <c r="AT10" s="214"/>
      <c r="AU10" s="214" t="s">
        <v>739</v>
      </c>
      <c r="AV10" s="214" t="s">
        <v>838</v>
      </c>
      <c r="AW10" s="214" t="s">
        <v>739</v>
      </c>
      <c r="AX10" s="214"/>
      <c r="AY10" s="214" t="s">
        <v>2539</v>
      </c>
      <c r="AZ10" s="214" t="s">
        <v>838</v>
      </c>
      <c r="BA10" s="119" t="s">
        <v>2540</v>
      </c>
      <c r="BB10" s="119"/>
      <c r="BC10" s="135" t="s">
        <v>1710</v>
      </c>
    </row>
    <row r="11" spans="1:55" ht="15" customHeight="1" x14ac:dyDescent="0.25">
      <c r="A11" s="210">
        <v>9</v>
      </c>
      <c r="B11" s="135" t="s">
        <v>2458</v>
      </c>
      <c r="C11" s="135" t="s">
        <v>2459</v>
      </c>
      <c r="D11" s="135" t="s">
        <v>2511</v>
      </c>
      <c r="E11" s="135" t="s">
        <v>792</v>
      </c>
      <c r="F11" s="135" t="s">
        <v>793</v>
      </c>
      <c r="G11" s="135" t="s">
        <v>2458</v>
      </c>
      <c r="H11" s="135" t="s">
        <v>2461</v>
      </c>
      <c r="I11" s="135" t="s">
        <v>2541</v>
      </c>
      <c r="J11" s="211">
        <v>44197</v>
      </c>
      <c r="K11" s="211">
        <v>44561</v>
      </c>
      <c r="L11" s="135" t="s">
        <v>2542</v>
      </c>
      <c r="M11" s="135" t="s">
        <v>135</v>
      </c>
      <c r="N11" s="135" t="s">
        <v>30</v>
      </c>
      <c r="O11" s="135" t="s">
        <v>2514</v>
      </c>
      <c r="P11" s="135" t="s">
        <v>735</v>
      </c>
      <c r="Q11" s="212">
        <v>4</v>
      </c>
      <c r="R11" s="212">
        <v>1</v>
      </c>
      <c r="S11" s="212">
        <v>1</v>
      </c>
      <c r="T11" s="212">
        <v>1</v>
      </c>
      <c r="U11" s="212">
        <v>1</v>
      </c>
      <c r="V11" s="212">
        <v>1</v>
      </c>
      <c r="W11" s="212" t="s">
        <v>2543</v>
      </c>
      <c r="X11" s="212">
        <v>1</v>
      </c>
      <c r="Y11" s="212" t="s">
        <v>2544</v>
      </c>
      <c r="Z11" s="212">
        <v>1</v>
      </c>
      <c r="AA11" s="212" t="s">
        <v>2545</v>
      </c>
      <c r="AB11" s="212"/>
      <c r="AC11" s="212"/>
      <c r="AD11" s="213">
        <v>44295</v>
      </c>
      <c r="AE11" s="213">
        <v>44379</v>
      </c>
      <c r="AF11" s="213">
        <v>44477</v>
      </c>
      <c r="AG11" s="214"/>
      <c r="AH11" s="75">
        <f t="shared" si="0"/>
        <v>0.75</v>
      </c>
      <c r="AI11" s="75">
        <f t="shared" si="1"/>
        <v>1</v>
      </c>
      <c r="AJ11" s="75">
        <f t="shared" si="2"/>
        <v>1</v>
      </c>
      <c r="AK11" s="75">
        <f t="shared" si="3"/>
        <v>1</v>
      </c>
      <c r="AL11" s="75" t="s">
        <v>2467</v>
      </c>
      <c r="AM11" s="214" t="s">
        <v>739</v>
      </c>
      <c r="AN11" s="214" t="s">
        <v>739</v>
      </c>
      <c r="AO11" s="214" t="s">
        <v>739</v>
      </c>
      <c r="AP11" s="214"/>
      <c r="AQ11" s="214" t="s">
        <v>2546</v>
      </c>
      <c r="AR11" s="214" t="s">
        <v>2547</v>
      </c>
      <c r="AS11" s="214" t="s">
        <v>2548</v>
      </c>
      <c r="AT11" s="214"/>
      <c r="AU11" s="214" t="s">
        <v>739</v>
      </c>
      <c r="AV11" s="214" t="s">
        <v>739</v>
      </c>
      <c r="AW11" s="214" t="s">
        <v>739</v>
      </c>
      <c r="AX11" s="214"/>
      <c r="AY11" s="214" t="s">
        <v>2549</v>
      </c>
      <c r="AZ11" s="214" t="s">
        <v>2550</v>
      </c>
      <c r="BA11" s="119" t="s">
        <v>2551</v>
      </c>
      <c r="BB11" s="119"/>
      <c r="BC11" s="135" t="s">
        <v>1710</v>
      </c>
    </row>
    <row r="12" spans="1:55" ht="15" customHeight="1" x14ac:dyDescent="0.25">
      <c r="A12" s="210">
        <v>10</v>
      </c>
      <c r="B12" s="135" t="s">
        <v>2458</v>
      </c>
      <c r="C12" s="135" t="s">
        <v>2552</v>
      </c>
      <c r="D12" s="135" t="s">
        <v>2553</v>
      </c>
      <c r="E12" s="135" t="s">
        <v>792</v>
      </c>
      <c r="F12" s="135" t="s">
        <v>2554</v>
      </c>
      <c r="G12" s="135" t="s">
        <v>2458</v>
      </c>
      <c r="H12" s="135" t="s">
        <v>731</v>
      </c>
      <c r="I12" s="135" t="s">
        <v>2555</v>
      </c>
      <c r="J12" s="211">
        <v>44197</v>
      </c>
      <c r="K12" s="211">
        <v>44561</v>
      </c>
      <c r="L12" s="135" t="s">
        <v>2556</v>
      </c>
      <c r="M12" s="135" t="s">
        <v>135</v>
      </c>
      <c r="N12" s="135" t="s">
        <v>30</v>
      </c>
      <c r="O12" s="135" t="s">
        <v>2557</v>
      </c>
      <c r="P12" s="135" t="s">
        <v>11</v>
      </c>
      <c r="Q12" s="212">
        <v>20</v>
      </c>
      <c r="R12" s="212">
        <v>0</v>
      </c>
      <c r="S12" s="212">
        <v>7</v>
      </c>
      <c r="T12" s="212">
        <v>0</v>
      </c>
      <c r="U12" s="212">
        <v>13</v>
      </c>
      <c r="V12" s="212">
        <v>1</v>
      </c>
      <c r="W12" s="212" t="s">
        <v>2558</v>
      </c>
      <c r="X12" s="212">
        <v>6</v>
      </c>
      <c r="Y12" s="212" t="s">
        <v>2559</v>
      </c>
      <c r="Z12" s="212">
        <v>0</v>
      </c>
      <c r="AA12" s="212" t="s">
        <v>2560</v>
      </c>
      <c r="AB12" s="212"/>
      <c r="AC12" s="212"/>
      <c r="AD12" s="213">
        <v>44295</v>
      </c>
      <c r="AE12" s="213">
        <v>44379</v>
      </c>
      <c r="AF12" s="213">
        <v>44477</v>
      </c>
      <c r="AG12" s="214"/>
      <c r="AH12" s="75">
        <f t="shared" si="0"/>
        <v>0.35</v>
      </c>
      <c r="AI12" s="75" t="str">
        <f t="shared" si="1"/>
        <v/>
      </c>
      <c r="AJ12" s="75">
        <f t="shared" si="2"/>
        <v>1</v>
      </c>
      <c r="AK12" s="75" t="str">
        <f t="shared" si="3"/>
        <v/>
      </c>
      <c r="AL12" s="75" t="s">
        <v>2467</v>
      </c>
      <c r="AM12" s="214" t="s">
        <v>739</v>
      </c>
      <c r="AN12" s="214" t="s">
        <v>739</v>
      </c>
      <c r="AO12" s="214" t="s">
        <v>838</v>
      </c>
      <c r="AP12" s="214"/>
      <c r="AQ12" s="214" t="s">
        <v>2561</v>
      </c>
      <c r="AR12" s="214" t="s">
        <v>2562</v>
      </c>
      <c r="AS12" s="214" t="s">
        <v>2493</v>
      </c>
      <c r="AT12" s="214"/>
      <c r="AU12" s="214" t="s">
        <v>739</v>
      </c>
      <c r="AV12" s="214" t="s">
        <v>739</v>
      </c>
      <c r="AW12" s="214" t="s">
        <v>838</v>
      </c>
      <c r="AX12" s="214"/>
      <c r="AY12" s="214" t="s">
        <v>2563</v>
      </c>
      <c r="AZ12" s="214" t="s">
        <v>2564</v>
      </c>
      <c r="BA12" s="119" t="s">
        <v>2501</v>
      </c>
      <c r="BB12" s="119"/>
      <c r="BC12" s="135" t="s">
        <v>1710</v>
      </c>
    </row>
    <row r="13" spans="1:55" ht="15" customHeight="1" x14ac:dyDescent="0.25">
      <c r="A13" s="210">
        <v>11</v>
      </c>
      <c r="B13" s="135" t="s">
        <v>2458</v>
      </c>
      <c r="C13" s="135" t="s">
        <v>2552</v>
      </c>
      <c r="D13" s="135" t="s">
        <v>2553</v>
      </c>
      <c r="E13" s="135" t="s">
        <v>792</v>
      </c>
      <c r="F13" s="135" t="s">
        <v>2554</v>
      </c>
      <c r="G13" s="135" t="s">
        <v>2458</v>
      </c>
      <c r="H13" s="135" t="s">
        <v>731</v>
      </c>
      <c r="I13" s="135" t="s">
        <v>2565</v>
      </c>
      <c r="J13" s="211">
        <v>44197</v>
      </c>
      <c r="K13" s="211">
        <v>44561</v>
      </c>
      <c r="L13" s="135" t="s">
        <v>2566</v>
      </c>
      <c r="M13" s="135" t="s">
        <v>135</v>
      </c>
      <c r="N13" s="135" t="s">
        <v>30</v>
      </c>
      <c r="O13" s="135" t="s">
        <v>2557</v>
      </c>
      <c r="P13" s="135" t="s">
        <v>11</v>
      </c>
      <c r="Q13" s="212">
        <v>20</v>
      </c>
      <c r="R13" s="212">
        <v>0</v>
      </c>
      <c r="S13" s="212">
        <v>7</v>
      </c>
      <c r="T13" s="212">
        <v>0</v>
      </c>
      <c r="U13" s="212">
        <v>13</v>
      </c>
      <c r="V13" s="212">
        <v>1</v>
      </c>
      <c r="W13" s="212" t="s">
        <v>2558</v>
      </c>
      <c r="X13" s="212">
        <v>6</v>
      </c>
      <c r="Y13" s="212" t="s">
        <v>2567</v>
      </c>
      <c r="Z13" s="212">
        <v>17</v>
      </c>
      <c r="AA13" s="212" t="s">
        <v>2568</v>
      </c>
      <c r="AB13" s="212"/>
      <c r="AC13" s="212"/>
      <c r="AD13" s="213">
        <v>44295</v>
      </c>
      <c r="AE13" s="213">
        <v>44379</v>
      </c>
      <c r="AF13" s="213">
        <v>44477</v>
      </c>
      <c r="AG13" s="214"/>
      <c r="AH13" s="75">
        <f t="shared" si="0"/>
        <v>1</v>
      </c>
      <c r="AI13" s="75" t="str">
        <f t="shared" si="1"/>
        <v/>
      </c>
      <c r="AJ13" s="75">
        <f t="shared" si="2"/>
        <v>1</v>
      </c>
      <c r="AK13" s="75" t="str">
        <f t="shared" si="3"/>
        <v/>
      </c>
      <c r="AL13" s="75" t="s">
        <v>2467</v>
      </c>
      <c r="AM13" s="214" t="s">
        <v>739</v>
      </c>
      <c r="AN13" s="214" t="s">
        <v>739</v>
      </c>
      <c r="AO13" s="214" t="s">
        <v>739</v>
      </c>
      <c r="AP13" s="214"/>
      <c r="AQ13" s="214" t="s">
        <v>2569</v>
      </c>
      <c r="AR13" s="214" t="s">
        <v>2570</v>
      </c>
      <c r="AS13" s="214" t="s">
        <v>2571</v>
      </c>
      <c r="AT13" s="214"/>
      <c r="AU13" s="214" t="s">
        <v>739</v>
      </c>
      <c r="AV13" s="214" t="s">
        <v>739</v>
      </c>
      <c r="AW13" s="214" t="s">
        <v>739</v>
      </c>
      <c r="AX13" s="214"/>
      <c r="AY13" s="214" t="s">
        <v>2572</v>
      </c>
      <c r="AZ13" s="214" t="s">
        <v>2573</v>
      </c>
      <c r="BA13" s="119" t="s">
        <v>2574</v>
      </c>
      <c r="BB13" s="119"/>
      <c r="BC13" s="135" t="s">
        <v>1710</v>
      </c>
    </row>
    <row r="14" spans="1:55" ht="15" customHeight="1" x14ac:dyDescent="0.25">
      <c r="A14" s="210">
        <v>12</v>
      </c>
      <c r="B14" s="135" t="s">
        <v>2458</v>
      </c>
      <c r="C14" s="135" t="s">
        <v>2552</v>
      </c>
      <c r="D14" s="135" t="s">
        <v>2553</v>
      </c>
      <c r="E14" s="135" t="s">
        <v>792</v>
      </c>
      <c r="F14" s="135" t="s">
        <v>2554</v>
      </c>
      <c r="G14" s="135" t="s">
        <v>2458</v>
      </c>
      <c r="H14" s="135" t="s">
        <v>731</v>
      </c>
      <c r="I14" s="135" t="s">
        <v>2575</v>
      </c>
      <c r="J14" s="211">
        <v>44197</v>
      </c>
      <c r="K14" s="211">
        <v>44561</v>
      </c>
      <c r="L14" s="135" t="s">
        <v>2576</v>
      </c>
      <c r="M14" s="135" t="s">
        <v>135</v>
      </c>
      <c r="N14" s="135" t="s">
        <v>30</v>
      </c>
      <c r="O14" s="135" t="s">
        <v>2557</v>
      </c>
      <c r="P14" s="135" t="s">
        <v>11</v>
      </c>
      <c r="Q14" s="212">
        <v>20</v>
      </c>
      <c r="R14" s="212">
        <v>0</v>
      </c>
      <c r="S14" s="212">
        <v>7</v>
      </c>
      <c r="T14" s="212">
        <v>0</v>
      </c>
      <c r="U14" s="212">
        <v>13</v>
      </c>
      <c r="V14" s="212">
        <v>0</v>
      </c>
      <c r="W14" s="212" t="s">
        <v>2577</v>
      </c>
      <c r="X14" s="212">
        <v>7</v>
      </c>
      <c r="Y14" s="212" t="s">
        <v>2578</v>
      </c>
      <c r="Z14" s="212">
        <v>0</v>
      </c>
      <c r="AA14" s="212" t="s">
        <v>2560</v>
      </c>
      <c r="AB14" s="212"/>
      <c r="AC14" s="212"/>
      <c r="AD14" s="213">
        <v>44295</v>
      </c>
      <c r="AE14" s="213">
        <v>44379</v>
      </c>
      <c r="AF14" s="213">
        <v>44477</v>
      </c>
      <c r="AG14" s="214"/>
      <c r="AH14" s="75">
        <f t="shared" si="0"/>
        <v>0.35</v>
      </c>
      <c r="AI14" s="75" t="str">
        <f t="shared" si="1"/>
        <v/>
      </c>
      <c r="AJ14" s="75">
        <f t="shared" si="2"/>
        <v>1</v>
      </c>
      <c r="AK14" s="75" t="str">
        <f t="shared" si="3"/>
        <v/>
      </c>
      <c r="AL14" s="75" t="s">
        <v>2467</v>
      </c>
      <c r="AM14" s="214" t="s">
        <v>838</v>
      </c>
      <c r="AN14" s="214" t="s">
        <v>739</v>
      </c>
      <c r="AO14" s="214" t="s">
        <v>838</v>
      </c>
      <c r="AP14" s="214"/>
      <c r="AQ14" s="214" t="s">
        <v>838</v>
      </c>
      <c r="AR14" s="214" t="s">
        <v>2579</v>
      </c>
      <c r="AS14" s="214" t="s">
        <v>2493</v>
      </c>
      <c r="AT14" s="214"/>
      <c r="AU14" s="214" t="s">
        <v>838</v>
      </c>
      <c r="AV14" s="214" t="s">
        <v>739</v>
      </c>
      <c r="AW14" s="214" t="s">
        <v>838</v>
      </c>
      <c r="AX14" s="214"/>
      <c r="AY14" s="214" t="s">
        <v>2580</v>
      </c>
      <c r="AZ14" s="214" t="s">
        <v>2581</v>
      </c>
      <c r="BA14" s="119" t="s">
        <v>2582</v>
      </c>
      <c r="BB14" s="119"/>
      <c r="BC14" s="135" t="s">
        <v>1710</v>
      </c>
    </row>
    <row r="15" spans="1:55" ht="15" customHeight="1" x14ac:dyDescent="0.25">
      <c r="A15" s="210">
        <v>13</v>
      </c>
      <c r="B15" s="135" t="s">
        <v>2458</v>
      </c>
      <c r="C15" s="135" t="s">
        <v>2552</v>
      </c>
      <c r="D15" s="135" t="s">
        <v>2583</v>
      </c>
      <c r="E15" s="135" t="s">
        <v>2584</v>
      </c>
      <c r="F15" s="135" t="s">
        <v>793</v>
      </c>
      <c r="G15" s="135" t="s">
        <v>2458</v>
      </c>
      <c r="H15" s="135" t="s">
        <v>731</v>
      </c>
      <c r="I15" s="135" t="s">
        <v>2585</v>
      </c>
      <c r="J15" s="211">
        <v>44197</v>
      </c>
      <c r="K15" s="211">
        <v>44439</v>
      </c>
      <c r="L15" s="135" t="s">
        <v>2586</v>
      </c>
      <c r="M15" s="135" t="s">
        <v>135</v>
      </c>
      <c r="N15" s="135" t="s">
        <v>30</v>
      </c>
      <c r="O15" s="135" t="s">
        <v>2587</v>
      </c>
      <c r="P15" s="135" t="s">
        <v>11</v>
      </c>
      <c r="Q15" s="212">
        <v>2</v>
      </c>
      <c r="R15" s="212">
        <v>1</v>
      </c>
      <c r="S15" s="212">
        <v>0</v>
      </c>
      <c r="T15" s="212">
        <v>1</v>
      </c>
      <c r="U15" s="212">
        <v>0</v>
      </c>
      <c r="V15" s="212">
        <v>1</v>
      </c>
      <c r="W15" s="212" t="s">
        <v>2588</v>
      </c>
      <c r="X15" s="212">
        <v>0</v>
      </c>
      <c r="Y15" s="212" t="s">
        <v>2589</v>
      </c>
      <c r="Z15" s="212">
        <v>1</v>
      </c>
      <c r="AA15" s="212" t="s">
        <v>2590</v>
      </c>
      <c r="AB15" s="212"/>
      <c r="AC15" s="212"/>
      <c r="AD15" s="213">
        <v>44295</v>
      </c>
      <c r="AE15" s="213">
        <v>44379</v>
      </c>
      <c r="AF15" s="213">
        <v>44477</v>
      </c>
      <c r="AG15" s="214"/>
      <c r="AH15" s="75">
        <f t="shared" si="0"/>
        <v>1</v>
      </c>
      <c r="AI15" s="75">
        <f t="shared" si="1"/>
        <v>1</v>
      </c>
      <c r="AJ15" s="75" t="str">
        <f t="shared" si="2"/>
        <v/>
      </c>
      <c r="AK15" s="75">
        <f t="shared" si="3"/>
        <v>1</v>
      </c>
      <c r="AL15" s="75" t="s">
        <v>2467</v>
      </c>
      <c r="AM15" s="214" t="s">
        <v>739</v>
      </c>
      <c r="AN15" s="214" t="s">
        <v>838</v>
      </c>
      <c r="AO15" s="214" t="s">
        <v>739</v>
      </c>
      <c r="AP15" s="214"/>
      <c r="AQ15" s="214" t="s">
        <v>2591</v>
      </c>
      <c r="AR15" s="214" t="s">
        <v>838</v>
      </c>
      <c r="AS15" s="214" t="s">
        <v>2592</v>
      </c>
      <c r="AT15" s="214"/>
      <c r="AU15" s="214" t="s">
        <v>739</v>
      </c>
      <c r="AV15" s="214" t="s">
        <v>838</v>
      </c>
      <c r="AW15" s="214" t="s">
        <v>739</v>
      </c>
      <c r="AX15" s="214"/>
      <c r="AY15" s="214" t="s">
        <v>2593</v>
      </c>
      <c r="AZ15" s="214" t="s">
        <v>838</v>
      </c>
      <c r="BA15" s="119" t="s">
        <v>2594</v>
      </c>
      <c r="BB15" s="119"/>
      <c r="BC15" s="135" t="s">
        <v>727</v>
      </c>
    </row>
    <row r="16" spans="1:55" ht="15" customHeight="1" x14ac:dyDescent="0.25">
      <c r="A16" s="210">
        <v>14</v>
      </c>
      <c r="B16" s="135" t="s">
        <v>2458</v>
      </c>
      <c r="C16" s="135" t="s">
        <v>2552</v>
      </c>
      <c r="D16" s="135" t="s">
        <v>2583</v>
      </c>
      <c r="E16" s="135" t="s">
        <v>2584</v>
      </c>
      <c r="F16" s="135" t="s">
        <v>793</v>
      </c>
      <c r="G16" s="135" t="s">
        <v>2458</v>
      </c>
      <c r="H16" s="135" t="s">
        <v>731</v>
      </c>
      <c r="I16" s="135" t="s">
        <v>2595</v>
      </c>
      <c r="J16" s="211">
        <v>44197</v>
      </c>
      <c r="K16" s="211">
        <v>44561</v>
      </c>
      <c r="L16" s="135" t="s">
        <v>2596</v>
      </c>
      <c r="M16" s="135" t="s">
        <v>135</v>
      </c>
      <c r="N16" s="135" t="s">
        <v>60</v>
      </c>
      <c r="O16" s="135" t="s">
        <v>2587</v>
      </c>
      <c r="P16" s="135" t="s">
        <v>11</v>
      </c>
      <c r="Q16" s="215">
        <v>1</v>
      </c>
      <c r="R16" s="215">
        <v>0</v>
      </c>
      <c r="S16" s="215">
        <v>0</v>
      </c>
      <c r="T16" s="215">
        <v>0.5</v>
      </c>
      <c r="U16" s="215">
        <v>0.5</v>
      </c>
      <c r="V16" s="215">
        <v>0</v>
      </c>
      <c r="W16" s="215" t="s">
        <v>2597</v>
      </c>
      <c r="X16" s="215">
        <v>0</v>
      </c>
      <c r="Y16" s="215" t="s">
        <v>2589</v>
      </c>
      <c r="Z16" s="215">
        <v>0.6986</v>
      </c>
      <c r="AA16" s="215" t="s">
        <v>2598</v>
      </c>
      <c r="AB16" s="215"/>
      <c r="AC16" s="215"/>
      <c r="AD16" s="213">
        <v>44295</v>
      </c>
      <c r="AE16" s="213">
        <v>44379</v>
      </c>
      <c r="AF16" s="213">
        <v>44477</v>
      </c>
      <c r="AG16" s="214"/>
      <c r="AH16" s="75">
        <f t="shared" si="0"/>
        <v>0.6986</v>
      </c>
      <c r="AI16" s="75" t="str">
        <f t="shared" si="1"/>
        <v/>
      </c>
      <c r="AJ16" s="75" t="str">
        <f t="shared" si="2"/>
        <v/>
      </c>
      <c r="AK16" s="75">
        <f t="shared" si="3"/>
        <v>1</v>
      </c>
      <c r="AL16" s="75" t="s">
        <v>2467</v>
      </c>
      <c r="AM16" s="214" t="s">
        <v>838</v>
      </c>
      <c r="AN16" s="214" t="s">
        <v>838</v>
      </c>
      <c r="AO16" s="214" t="s">
        <v>739</v>
      </c>
      <c r="AP16" s="214"/>
      <c r="AQ16" s="214" t="s">
        <v>838</v>
      </c>
      <c r="AR16" s="214" t="s">
        <v>838</v>
      </c>
      <c r="AS16" s="214" t="s">
        <v>2599</v>
      </c>
      <c r="AT16" s="214"/>
      <c r="AU16" s="214" t="s">
        <v>838</v>
      </c>
      <c r="AV16" s="214" t="s">
        <v>838</v>
      </c>
      <c r="AW16" s="214" t="s">
        <v>739</v>
      </c>
      <c r="AX16" s="214"/>
      <c r="AY16" s="214" t="s">
        <v>838</v>
      </c>
      <c r="AZ16" s="214" t="s">
        <v>838</v>
      </c>
      <c r="BA16" s="119" t="s">
        <v>2600</v>
      </c>
      <c r="BB16" s="119"/>
      <c r="BC16" s="135" t="s">
        <v>727</v>
      </c>
    </row>
    <row r="17" spans="1:55" ht="15" customHeight="1" x14ac:dyDescent="0.25">
      <c r="A17" s="210">
        <v>15</v>
      </c>
      <c r="B17" s="135" t="s">
        <v>2458</v>
      </c>
      <c r="C17" s="135" t="s">
        <v>2601</v>
      </c>
      <c r="D17" s="135" t="s">
        <v>2583</v>
      </c>
      <c r="E17" s="135" t="s">
        <v>2584</v>
      </c>
      <c r="F17" s="135" t="s">
        <v>793</v>
      </c>
      <c r="G17" s="135" t="s">
        <v>2458</v>
      </c>
      <c r="H17" s="135" t="s">
        <v>731</v>
      </c>
      <c r="I17" s="135" t="s">
        <v>2602</v>
      </c>
      <c r="J17" s="211">
        <v>44197</v>
      </c>
      <c r="K17" s="211">
        <v>44561</v>
      </c>
      <c r="L17" s="135" t="s">
        <v>2603</v>
      </c>
      <c r="M17" s="135" t="s">
        <v>135</v>
      </c>
      <c r="N17" s="135" t="s">
        <v>30</v>
      </c>
      <c r="O17" s="135" t="s">
        <v>2587</v>
      </c>
      <c r="P17" s="135" t="s">
        <v>11</v>
      </c>
      <c r="Q17" s="212">
        <v>4</v>
      </c>
      <c r="R17" s="212">
        <v>1</v>
      </c>
      <c r="S17" s="212">
        <v>1</v>
      </c>
      <c r="T17" s="212">
        <v>1</v>
      </c>
      <c r="U17" s="212">
        <v>1</v>
      </c>
      <c r="V17" s="212">
        <v>1</v>
      </c>
      <c r="W17" s="212" t="s">
        <v>2604</v>
      </c>
      <c r="X17" s="212">
        <v>1</v>
      </c>
      <c r="Y17" s="212" t="s">
        <v>2605</v>
      </c>
      <c r="Z17" s="212">
        <v>1</v>
      </c>
      <c r="AA17" s="212" t="s">
        <v>2606</v>
      </c>
      <c r="AB17" s="212"/>
      <c r="AC17" s="212"/>
      <c r="AD17" s="213">
        <v>44295</v>
      </c>
      <c r="AE17" s="213">
        <v>44379</v>
      </c>
      <c r="AF17" s="213">
        <v>44477</v>
      </c>
      <c r="AG17" s="214"/>
      <c r="AH17" s="75">
        <f t="shared" si="0"/>
        <v>0.75</v>
      </c>
      <c r="AI17" s="75">
        <f t="shared" si="1"/>
        <v>1</v>
      </c>
      <c r="AJ17" s="75">
        <f t="shared" si="2"/>
        <v>1</v>
      </c>
      <c r="AK17" s="75">
        <f t="shared" si="3"/>
        <v>1</v>
      </c>
      <c r="AL17" s="75" t="s">
        <v>2467</v>
      </c>
      <c r="AM17" s="214" t="s">
        <v>739</v>
      </c>
      <c r="AN17" s="214" t="s">
        <v>739</v>
      </c>
      <c r="AO17" s="214" t="s">
        <v>739</v>
      </c>
      <c r="AP17" s="214"/>
      <c r="AQ17" s="214" t="s">
        <v>2607</v>
      </c>
      <c r="AR17" s="214" t="s">
        <v>2608</v>
      </c>
      <c r="AS17" s="214" t="s">
        <v>2609</v>
      </c>
      <c r="AT17" s="214"/>
      <c r="AU17" s="214" t="s">
        <v>739</v>
      </c>
      <c r="AV17" s="214" t="s">
        <v>739</v>
      </c>
      <c r="AW17" s="214" t="s">
        <v>739</v>
      </c>
      <c r="AX17" s="214"/>
      <c r="AY17" s="214" t="s">
        <v>2610</v>
      </c>
      <c r="AZ17" s="214" t="s">
        <v>2611</v>
      </c>
      <c r="BA17" s="119" t="s">
        <v>2612</v>
      </c>
      <c r="BB17" s="119"/>
      <c r="BC17" s="135" t="s">
        <v>727</v>
      </c>
    </row>
    <row r="18" spans="1:55" ht="15" customHeight="1" x14ac:dyDescent="0.25">
      <c r="A18" s="210">
        <v>16</v>
      </c>
      <c r="B18" s="135" t="s">
        <v>2458</v>
      </c>
      <c r="C18" s="135" t="s">
        <v>2601</v>
      </c>
      <c r="D18" s="135" t="s">
        <v>2583</v>
      </c>
      <c r="E18" s="135" t="s">
        <v>2584</v>
      </c>
      <c r="F18" s="135" t="s">
        <v>793</v>
      </c>
      <c r="G18" s="135" t="s">
        <v>2458</v>
      </c>
      <c r="H18" s="135" t="s">
        <v>731</v>
      </c>
      <c r="I18" s="135" t="s">
        <v>2613</v>
      </c>
      <c r="J18" s="211">
        <v>44470</v>
      </c>
      <c r="K18" s="211">
        <v>44561</v>
      </c>
      <c r="L18" s="135" t="s">
        <v>2603</v>
      </c>
      <c r="M18" s="135" t="s">
        <v>135</v>
      </c>
      <c r="N18" s="135" t="s">
        <v>30</v>
      </c>
      <c r="O18" s="135" t="s">
        <v>2587</v>
      </c>
      <c r="P18" s="135" t="s">
        <v>11</v>
      </c>
      <c r="Q18" s="212">
        <v>1</v>
      </c>
      <c r="R18" s="212">
        <v>0</v>
      </c>
      <c r="S18" s="212">
        <v>0</v>
      </c>
      <c r="T18" s="212">
        <v>0</v>
      </c>
      <c r="U18" s="212">
        <v>1</v>
      </c>
      <c r="V18" s="212">
        <v>0</v>
      </c>
      <c r="W18" s="212" t="s">
        <v>2614</v>
      </c>
      <c r="X18" s="212">
        <v>0</v>
      </c>
      <c r="Y18" s="212" t="s">
        <v>2614</v>
      </c>
      <c r="Z18" s="212">
        <v>0</v>
      </c>
      <c r="AA18" s="212" t="s">
        <v>2614</v>
      </c>
      <c r="AB18" s="212"/>
      <c r="AC18" s="212"/>
      <c r="AD18" s="213">
        <v>44295</v>
      </c>
      <c r="AE18" s="213">
        <v>44379</v>
      </c>
      <c r="AF18" s="213">
        <v>44477</v>
      </c>
      <c r="AG18" s="214"/>
      <c r="AH18" s="75">
        <f t="shared" si="0"/>
        <v>0</v>
      </c>
      <c r="AI18" s="75" t="str">
        <f t="shared" si="1"/>
        <v/>
      </c>
      <c r="AJ18" s="75" t="str">
        <f t="shared" si="2"/>
        <v/>
      </c>
      <c r="AK18" s="75" t="str">
        <f t="shared" si="3"/>
        <v/>
      </c>
      <c r="AL18" s="75" t="s">
        <v>2467</v>
      </c>
      <c r="AM18" s="214" t="s">
        <v>838</v>
      </c>
      <c r="AN18" s="214" t="s">
        <v>838</v>
      </c>
      <c r="AO18" s="214" t="s">
        <v>838</v>
      </c>
      <c r="AP18" s="214"/>
      <c r="AQ18" s="214" t="s">
        <v>838</v>
      </c>
      <c r="AR18" s="214" t="s">
        <v>838</v>
      </c>
      <c r="AS18" s="214" t="s">
        <v>2493</v>
      </c>
      <c r="AT18" s="214"/>
      <c r="AU18" s="214" t="s">
        <v>838</v>
      </c>
      <c r="AV18" s="214" t="s">
        <v>838</v>
      </c>
      <c r="AW18" s="214" t="s">
        <v>838</v>
      </c>
      <c r="AX18" s="214"/>
      <c r="AY18" s="214" t="s">
        <v>841</v>
      </c>
      <c r="AZ18" s="214" t="s">
        <v>838</v>
      </c>
      <c r="BA18" s="119" t="s">
        <v>2501</v>
      </c>
      <c r="BB18" s="119"/>
      <c r="BC18" s="135" t="s">
        <v>727</v>
      </c>
    </row>
    <row r="19" spans="1:55" ht="15" customHeight="1" x14ac:dyDescent="0.25">
      <c r="A19" s="210">
        <v>17</v>
      </c>
      <c r="B19" s="135" t="s">
        <v>2458</v>
      </c>
      <c r="C19" s="135" t="s">
        <v>2459</v>
      </c>
      <c r="D19" s="135" t="s">
        <v>2583</v>
      </c>
      <c r="E19" s="135" t="s">
        <v>2584</v>
      </c>
      <c r="F19" s="135" t="s">
        <v>793</v>
      </c>
      <c r="G19" s="135" t="s">
        <v>2458</v>
      </c>
      <c r="H19" s="135" t="s">
        <v>731</v>
      </c>
      <c r="I19" s="135" t="s">
        <v>2615</v>
      </c>
      <c r="J19" s="211">
        <v>44197</v>
      </c>
      <c r="K19" s="211">
        <v>44561</v>
      </c>
      <c r="L19" s="135" t="s">
        <v>2616</v>
      </c>
      <c r="M19" s="135" t="s">
        <v>135</v>
      </c>
      <c r="N19" s="135" t="s">
        <v>30</v>
      </c>
      <c r="O19" s="135" t="s">
        <v>2587</v>
      </c>
      <c r="P19" s="135" t="s">
        <v>11</v>
      </c>
      <c r="Q19" s="212">
        <v>4</v>
      </c>
      <c r="R19" s="212">
        <v>1</v>
      </c>
      <c r="S19" s="212">
        <v>1</v>
      </c>
      <c r="T19" s="212">
        <v>1</v>
      </c>
      <c r="U19" s="212">
        <v>1</v>
      </c>
      <c r="V19" s="212">
        <v>1</v>
      </c>
      <c r="W19" s="212" t="s">
        <v>2617</v>
      </c>
      <c r="X19" s="212">
        <v>1</v>
      </c>
      <c r="Y19" s="212" t="s">
        <v>2617</v>
      </c>
      <c r="Z19" s="212">
        <v>1</v>
      </c>
      <c r="AA19" s="212" t="s">
        <v>2617</v>
      </c>
      <c r="AB19" s="212"/>
      <c r="AC19" s="212"/>
      <c r="AD19" s="213">
        <v>44295</v>
      </c>
      <c r="AE19" s="213">
        <v>44379</v>
      </c>
      <c r="AF19" s="213">
        <v>44477</v>
      </c>
      <c r="AG19" s="214"/>
      <c r="AH19" s="75">
        <f t="shared" si="0"/>
        <v>0.75</v>
      </c>
      <c r="AI19" s="75">
        <f t="shared" si="1"/>
        <v>1</v>
      </c>
      <c r="AJ19" s="75">
        <f t="shared" si="2"/>
        <v>1</v>
      </c>
      <c r="AK19" s="75">
        <f t="shared" si="3"/>
        <v>1</v>
      </c>
      <c r="AL19" s="75" t="s">
        <v>2467</v>
      </c>
      <c r="AM19" s="214" t="s">
        <v>739</v>
      </c>
      <c r="AN19" s="214" t="s">
        <v>739</v>
      </c>
      <c r="AO19" s="214" t="s">
        <v>739</v>
      </c>
      <c r="AP19" s="214"/>
      <c r="AQ19" s="214" t="s">
        <v>2618</v>
      </c>
      <c r="AR19" s="214" t="s">
        <v>2619</v>
      </c>
      <c r="AS19" s="214" t="s">
        <v>2620</v>
      </c>
      <c r="AT19" s="214"/>
      <c r="AU19" s="214" t="s">
        <v>739</v>
      </c>
      <c r="AV19" s="214" t="s">
        <v>739</v>
      </c>
      <c r="AW19" s="214" t="s">
        <v>739</v>
      </c>
      <c r="AX19" s="214"/>
      <c r="AY19" s="214" t="s">
        <v>2621</v>
      </c>
      <c r="AZ19" s="214" t="s">
        <v>2622</v>
      </c>
      <c r="BA19" s="119" t="s">
        <v>2623</v>
      </c>
      <c r="BB19" s="119"/>
      <c r="BC19" s="135" t="s">
        <v>727</v>
      </c>
    </row>
    <row r="20" spans="1:55" ht="15" customHeight="1" x14ac:dyDescent="0.25">
      <c r="A20" s="210">
        <v>18</v>
      </c>
      <c r="B20" s="135" t="s">
        <v>2458</v>
      </c>
      <c r="C20" s="135" t="s">
        <v>2459</v>
      </c>
      <c r="D20" s="135" t="s">
        <v>2583</v>
      </c>
      <c r="E20" s="135" t="s">
        <v>2584</v>
      </c>
      <c r="F20" s="135" t="s">
        <v>793</v>
      </c>
      <c r="G20" s="135" t="s">
        <v>2458</v>
      </c>
      <c r="H20" s="135" t="s">
        <v>731</v>
      </c>
      <c r="I20" s="135" t="s">
        <v>2624</v>
      </c>
      <c r="J20" s="211">
        <v>44470</v>
      </c>
      <c r="K20" s="211">
        <v>44561</v>
      </c>
      <c r="L20" s="135" t="s">
        <v>2616</v>
      </c>
      <c r="M20" s="135" t="s">
        <v>135</v>
      </c>
      <c r="N20" s="135" t="s">
        <v>30</v>
      </c>
      <c r="O20" s="135" t="s">
        <v>2587</v>
      </c>
      <c r="P20" s="135" t="s">
        <v>11</v>
      </c>
      <c r="Q20" s="212">
        <v>2</v>
      </c>
      <c r="R20" s="212">
        <v>0</v>
      </c>
      <c r="S20" s="212">
        <v>0</v>
      </c>
      <c r="T20" s="212">
        <v>0</v>
      </c>
      <c r="U20" s="212">
        <v>2</v>
      </c>
      <c r="V20" s="212">
        <v>0</v>
      </c>
      <c r="W20" s="212" t="s">
        <v>2614</v>
      </c>
      <c r="X20" s="212">
        <v>0</v>
      </c>
      <c r="Y20" s="212" t="s">
        <v>2614</v>
      </c>
      <c r="Z20" s="212">
        <v>0</v>
      </c>
      <c r="AA20" s="212" t="s">
        <v>2614</v>
      </c>
      <c r="AB20" s="212"/>
      <c r="AC20" s="212"/>
      <c r="AD20" s="213">
        <v>44295</v>
      </c>
      <c r="AE20" s="213">
        <v>44379</v>
      </c>
      <c r="AF20" s="213">
        <v>44477</v>
      </c>
      <c r="AG20" s="214"/>
      <c r="AH20" s="75">
        <f t="shared" si="0"/>
        <v>0</v>
      </c>
      <c r="AI20" s="75" t="str">
        <f t="shared" si="1"/>
        <v/>
      </c>
      <c r="AJ20" s="75" t="str">
        <f t="shared" si="2"/>
        <v/>
      </c>
      <c r="AK20" s="75" t="str">
        <f t="shared" si="3"/>
        <v/>
      </c>
      <c r="AL20" s="75" t="s">
        <v>2467</v>
      </c>
      <c r="AM20" s="214" t="s">
        <v>838</v>
      </c>
      <c r="AN20" s="214" t="s">
        <v>838</v>
      </c>
      <c r="AO20" s="214" t="s">
        <v>838</v>
      </c>
      <c r="AP20" s="214"/>
      <c r="AQ20" s="214" t="s">
        <v>838</v>
      </c>
      <c r="AR20" s="214" t="s">
        <v>838</v>
      </c>
      <c r="AS20" s="214" t="s">
        <v>2493</v>
      </c>
      <c r="AT20" s="214"/>
      <c r="AU20" s="214" t="s">
        <v>838</v>
      </c>
      <c r="AV20" s="214" t="s">
        <v>838</v>
      </c>
      <c r="AW20" s="214" t="s">
        <v>838</v>
      </c>
      <c r="AX20" s="214"/>
      <c r="AY20" s="214" t="s">
        <v>841</v>
      </c>
      <c r="AZ20" s="214" t="s">
        <v>838</v>
      </c>
      <c r="BA20" s="119" t="s">
        <v>2501</v>
      </c>
      <c r="BB20" s="119"/>
      <c r="BC20" s="135" t="s">
        <v>727</v>
      </c>
    </row>
    <row r="21" spans="1:55" ht="15" customHeight="1" x14ac:dyDescent="0.25">
      <c r="A21" s="210">
        <v>19</v>
      </c>
      <c r="B21" s="135" t="s">
        <v>2458</v>
      </c>
      <c r="C21" s="135" t="s">
        <v>2552</v>
      </c>
      <c r="D21" s="135" t="s">
        <v>2583</v>
      </c>
      <c r="E21" s="135" t="s">
        <v>2584</v>
      </c>
      <c r="F21" s="135" t="s">
        <v>793</v>
      </c>
      <c r="G21" s="135" t="s">
        <v>2458</v>
      </c>
      <c r="H21" s="135" t="s">
        <v>731</v>
      </c>
      <c r="I21" s="135" t="s">
        <v>2625</v>
      </c>
      <c r="J21" s="211">
        <v>44197</v>
      </c>
      <c r="K21" s="211">
        <v>44560</v>
      </c>
      <c r="L21" s="216" t="s">
        <v>2626</v>
      </c>
      <c r="M21" s="135" t="s">
        <v>135</v>
      </c>
      <c r="N21" s="135" t="s">
        <v>30</v>
      </c>
      <c r="O21" s="135" t="s">
        <v>2587</v>
      </c>
      <c r="P21" s="135" t="s">
        <v>11</v>
      </c>
      <c r="Q21" s="212">
        <v>9</v>
      </c>
      <c r="R21" s="212">
        <v>0</v>
      </c>
      <c r="S21" s="212">
        <v>3</v>
      </c>
      <c r="T21" s="212">
        <v>3</v>
      </c>
      <c r="U21" s="212">
        <v>3</v>
      </c>
      <c r="V21" s="212">
        <v>0</v>
      </c>
      <c r="W21" s="212" t="s">
        <v>2627</v>
      </c>
      <c r="X21" s="212">
        <v>3</v>
      </c>
      <c r="Y21" s="212" t="s">
        <v>2628</v>
      </c>
      <c r="Z21" s="212">
        <v>3</v>
      </c>
      <c r="AA21" s="212" t="s">
        <v>2629</v>
      </c>
      <c r="AB21" s="212"/>
      <c r="AC21" s="212"/>
      <c r="AD21" s="213">
        <v>44295</v>
      </c>
      <c r="AE21" s="213">
        <v>44379</v>
      </c>
      <c r="AF21" s="213">
        <v>44477</v>
      </c>
      <c r="AG21" s="214"/>
      <c r="AH21" s="75">
        <f t="shared" si="0"/>
        <v>0.66666666666666663</v>
      </c>
      <c r="AI21" s="75" t="str">
        <f t="shared" si="1"/>
        <v/>
      </c>
      <c r="AJ21" s="75">
        <f t="shared" si="2"/>
        <v>1</v>
      </c>
      <c r="AK21" s="75">
        <f t="shared" si="3"/>
        <v>1</v>
      </c>
      <c r="AL21" s="75" t="s">
        <v>2467</v>
      </c>
      <c r="AM21" s="214" t="s">
        <v>838</v>
      </c>
      <c r="AN21" s="214" t="s">
        <v>739</v>
      </c>
      <c r="AO21" s="214" t="s">
        <v>739</v>
      </c>
      <c r="AP21" s="214"/>
      <c r="AQ21" s="214" t="s">
        <v>838</v>
      </c>
      <c r="AR21" s="214" t="s">
        <v>2630</v>
      </c>
      <c r="AS21" s="214" t="s">
        <v>2631</v>
      </c>
      <c r="AT21" s="214"/>
      <c r="AU21" s="214" t="s">
        <v>838</v>
      </c>
      <c r="AV21" s="214" t="s">
        <v>739</v>
      </c>
      <c r="AW21" s="214" t="s">
        <v>739</v>
      </c>
      <c r="AX21" s="214"/>
      <c r="AY21" s="214" t="s">
        <v>841</v>
      </c>
      <c r="AZ21" s="214" t="s">
        <v>2632</v>
      </c>
      <c r="BA21" s="119" t="s">
        <v>2633</v>
      </c>
      <c r="BB21" s="119"/>
      <c r="BC21" s="135" t="s">
        <v>727</v>
      </c>
    </row>
    <row r="22" spans="1:55" ht="15" customHeight="1" x14ac:dyDescent="0.25">
      <c r="A22" s="210">
        <v>20</v>
      </c>
      <c r="B22" s="135" t="s">
        <v>2458</v>
      </c>
      <c r="C22" s="135" t="s">
        <v>2552</v>
      </c>
      <c r="D22" s="135" t="s">
        <v>2583</v>
      </c>
      <c r="E22" s="135" t="s">
        <v>2584</v>
      </c>
      <c r="F22" s="135" t="s">
        <v>793</v>
      </c>
      <c r="G22" s="135" t="s">
        <v>2458</v>
      </c>
      <c r="H22" s="135" t="s">
        <v>731</v>
      </c>
      <c r="I22" s="135" t="s">
        <v>2634</v>
      </c>
      <c r="J22" s="211">
        <v>44287</v>
      </c>
      <c r="K22" s="211">
        <v>44469</v>
      </c>
      <c r="L22" s="135" t="s">
        <v>2635</v>
      </c>
      <c r="M22" s="135" t="s">
        <v>135</v>
      </c>
      <c r="N22" s="135" t="s">
        <v>30</v>
      </c>
      <c r="O22" s="135" t="s">
        <v>2587</v>
      </c>
      <c r="P22" s="135" t="s">
        <v>11</v>
      </c>
      <c r="Q22" s="212">
        <v>14</v>
      </c>
      <c r="R22" s="212">
        <v>0</v>
      </c>
      <c r="S22" s="212">
        <v>5</v>
      </c>
      <c r="T22" s="212">
        <v>5</v>
      </c>
      <c r="U22" s="212">
        <v>4</v>
      </c>
      <c r="V22" s="212">
        <v>0</v>
      </c>
      <c r="W22" s="212" t="s">
        <v>2636</v>
      </c>
      <c r="X22" s="212">
        <v>5</v>
      </c>
      <c r="Y22" s="212" t="s">
        <v>2637</v>
      </c>
      <c r="Z22" s="212">
        <v>5</v>
      </c>
      <c r="AA22" s="212" t="s">
        <v>2637</v>
      </c>
      <c r="AB22" s="212"/>
      <c r="AC22" s="212"/>
      <c r="AD22" s="213">
        <v>44295</v>
      </c>
      <c r="AE22" s="213">
        <v>44379</v>
      </c>
      <c r="AF22" s="213">
        <v>44477</v>
      </c>
      <c r="AG22" s="214"/>
      <c r="AH22" s="75">
        <f t="shared" si="0"/>
        <v>0.7142857142857143</v>
      </c>
      <c r="AI22" s="75" t="str">
        <f t="shared" si="1"/>
        <v/>
      </c>
      <c r="AJ22" s="75">
        <f t="shared" si="2"/>
        <v>1</v>
      </c>
      <c r="AK22" s="75">
        <f t="shared" si="3"/>
        <v>1</v>
      </c>
      <c r="AL22" s="75" t="s">
        <v>2467</v>
      </c>
      <c r="AM22" s="214" t="s">
        <v>838</v>
      </c>
      <c r="AN22" s="214" t="s">
        <v>739</v>
      </c>
      <c r="AO22" s="214" t="s">
        <v>739</v>
      </c>
      <c r="AP22" s="214"/>
      <c r="AQ22" s="214" t="s">
        <v>838</v>
      </c>
      <c r="AR22" s="214" t="s">
        <v>2638</v>
      </c>
      <c r="AS22" s="214" t="s">
        <v>2639</v>
      </c>
      <c r="AT22" s="214"/>
      <c r="AU22" s="214" t="s">
        <v>838</v>
      </c>
      <c r="AV22" s="214" t="s">
        <v>739</v>
      </c>
      <c r="AW22" s="214" t="s">
        <v>739</v>
      </c>
      <c r="AX22" s="214"/>
      <c r="AY22" s="214" t="s">
        <v>841</v>
      </c>
      <c r="AZ22" s="214" t="s">
        <v>2640</v>
      </c>
      <c r="BA22" s="119" t="s">
        <v>2641</v>
      </c>
      <c r="BB22" s="119"/>
      <c r="BC22" s="135" t="s">
        <v>727</v>
      </c>
    </row>
    <row r="23" spans="1:55" ht="15" customHeight="1" x14ac:dyDescent="0.25">
      <c r="A23" s="210">
        <v>21</v>
      </c>
      <c r="B23" s="135" t="s">
        <v>2458</v>
      </c>
      <c r="C23" s="135" t="s">
        <v>2552</v>
      </c>
      <c r="D23" s="135" t="s">
        <v>2583</v>
      </c>
      <c r="E23" s="135" t="s">
        <v>2584</v>
      </c>
      <c r="F23" s="135" t="s">
        <v>793</v>
      </c>
      <c r="G23" s="135" t="s">
        <v>2458</v>
      </c>
      <c r="H23" s="135" t="s">
        <v>731</v>
      </c>
      <c r="I23" s="135" t="s">
        <v>2642</v>
      </c>
      <c r="J23" s="211">
        <v>44317</v>
      </c>
      <c r="K23" s="211">
        <v>44408</v>
      </c>
      <c r="L23" s="135" t="s">
        <v>2586</v>
      </c>
      <c r="M23" s="135" t="s">
        <v>135</v>
      </c>
      <c r="N23" s="135" t="s">
        <v>30</v>
      </c>
      <c r="O23" s="135" t="s">
        <v>2587</v>
      </c>
      <c r="P23" s="135" t="s">
        <v>11</v>
      </c>
      <c r="Q23" s="212">
        <v>1</v>
      </c>
      <c r="R23" s="212">
        <v>0</v>
      </c>
      <c r="S23" s="212">
        <v>0</v>
      </c>
      <c r="T23" s="212">
        <v>1</v>
      </c>
      <c r="U23" s="212">
        <v>0</v>
      </c>
      <c r="V23" s="212">
        <v>0</v>
      </c>
      <c r="W23" s="212" t="s">
        <v>2643</v>
      </c>
      <c r="X23" s="212">
        <v>0</v>
      </c>
      <c r="Y23" s="212" t="s">
        <v>2644</v>
      </c>
      <c r="Z23" s="212">
        <v>1</v>
      </c>
      <c r="AA23" s="212" t="s">
        <v>2645</v>
      </c>
      <c r="AB23" s="212"/>
      <c r="AC23" s="212"/>
      <c r="AD23" s="213">
        <v>44295</v>
      </c>
      <c r="AE23" s="213">
        <v>44379</v>
      </c>
      <c r="AF23" s="213">
        <v>44477</v>
      </c>
      <c r="AG23" s="214"/>
      <c r="AH23" s="75">
        <f t="shared" si="0"/>
        <v>1</v>
      </c>
      <c r="AI23" s="75" t="str">
        <f t="shared" si="1"/>
        <v/>
      </c>
      <c r="AJ23" s="75" t="str">
        <f t="shared" si="2"/>
        <v/>
      </c>
      <c r="AK23" s="75">
        <f t="shared" si="3"/>
        <v>1</v>
      </c>
      <c r="AL23" s="75" t="s">
        <v>2467</v>
      </c>
      <c r="AM23" s="214" t="s">
        <v>838</v>
      </c>
      <c r="AN23" s="214" t="s">
        <v>838</v>
      </c>
      <c r="AO23" s="214" t="s">
        <v>739</v>
      </c>
      <c r="AP23" s="214"/>
      <c r="AQ23" s="214" t="s">
        <v>838</v>
      </c>
      <c r="AR23" s="214" t="s">
        <v>838</v>
      </c>
      <c r="AS23" s="214" t="s">
        <v>2646</v>
      </c>
      <c r="AT23" s="214"/>
      <c r="AU23" s="214" t="s">
        <v>838</v>
      </c>
      <c r="AV23" s="214" t="s">
        <v>838</v>
      </c>
      <c r="AW23" s="214" t="s">
        <v>739</v>
      </c>
      <c r="AX23" s="214"/>
      <c r="AY23" s="214" t="s">
        <v>838</v>
      </c>
      <c r="AZ23" s="214" t="s">
        <v>838</v>
      </c>
      <c r="BA23" s="119" t="s">
        <v>2647</v>
      </c>
      <c r="BB23" s="119"/>
      <c r="BC23" s="135" t="s">
        <v>727</v>
      </c>
    </row>
    <row r="24" spans="1:55" ht="15" customHeight="1" x14ac:dyDescent="0.25">
      <c r="A24" s="210">
        <v>22</v>
      </c>
      <c r="B24" s="135" t="s">
        <v>2458</v>
      </c>
      <c r="C24" s="135" t="s">
        <v>2552</v>
      </c>
      <c r="D24" s="135" t="s">
        <v>2583</v>
      </c>
      <c r="E24" s="135" t="s">
        <v>2584</v>
      </c>
      <c r="F24" s="135" t="s">
        <v>793</v>
      </c>
      <c r="G24" s="135" t="s">
        <v>2458</v>
      </c>
      <c r="H24" s="135" t="s">
        <v>731</v>
      </c>
      <c r="I24" s="135" t="s">
        <v>2648</v>
      </c>
      <c r="J24" s="211">
        <v>44317</v>
      </c>
      <c r="K24" s="211">
        <v>44561</v>
      </c>
      <c r="L24" s="135" t="s">
        <v>2649</v>
      </c>
      <c r="M24" s="135" t="s">
        <v>135</v>
      </c>
      <c r="N24" s="135" t="s">
        <v>30</v>
      </c>
      <c r="O24" s="135" t="s">
        <v>2587</v>
      </c>
      <c r="P24" s="135" t="s">
        <v>11</v>
      </c>
      <c r="Q24" s="212">
        <v>4</v>
      </c>
      <c r="R24" s="212">
        <v>0</v>
      </c>
      <c r="S24" s="212">
        <v>2</v>
      </c>
      <c r="T24" s="212">
        <v>1</v>
      </c>
      <c r="U24" s="212">
        <v>1</v>
      </c>
      <c r="V24" s="212">
        <v>0</v>
      </c>
      <c r="W24" s="212" t="s">
        <v>2643</v>
      </c>
      <c r="X24" s="212">
        <v>3</v>
      </c>
      <c r="Y24" s="212" t="s">
        <v>2650</v>
      </c>
      <c r="Z24" s="212">
        <v>1</v>
      </c>
      <c r="AA24" s="212" t="s">
        <v>2651</v>
      </c>
      <c r="AB24" s="212"/>
      <c r="AC24" s="212"/>
      <c r="AD24" s="213">
        <v>44295</v>
      </c>
      <c r="AE24" s="213">
        <v>44379</v>
      </c>
      <c r="AF24" s="213">
        <v>44477</v>
      </c>
      <c r="AG24" s="214"/>
      <c r="AH24" s="75">
        <f t="shared" si="0"/>
        <v>1</v>
      </c>
      <c r="AI24" s="75" t="str">
        <f t="shared" si="1"/>
        <v/>
      </c>
      <c r="AJ24" s="75">
        <f t="shared" si="2"/>
        <v>1</v>
      </c>
      <c r="AK24" s="75">
        <f t="shared" si="3"/>
        <v>1</v>
      </c>
      <c r="AL24" s="75" t="s">
        <v>2467</v>
      </c>
      <c r="AM24" s="214" t="s">
        <v>838</v>
      </c>
      <c r="AN24" s="214" t="s">
        <v>739</v>
      </c>
      <c r="AO24" s="214" t="s">
        <v>739</v>
      </c>
      <c r="AP24" s="214"/>
      <c r="AQ24" s="214" t="s">
        <v>838</v>
      </c>
      <c r="AR24" s="214" t="s">
        <v>2652</v>
      </c>
      <c r="AS24" s="214" t="s">
        <v>2653</v>
      </c>
      <c r="AT24" s="214"/>
      <c r="AU24" s="214" t="s">
        <v>838</v>
      </c>
      <c r="AV24" s="214" t="s">
        <v>739</v>
      </c>
      <c r="AW24" s="214" t="s">
        <v>739</v>
      </c>
      <c r="AX24" s="214"/>
      <c r="AY24" s="214" t="s">
        <v>841</v>
      </c>
      <c r="AZ24" s="214" t="s">
        <v>2654</v>
      </c>
      <c r="BA24" s="119" t="s">
        <v>2655</v>
      </c>
      <c r="BB24" s="119"/>
      <c r="BC24" s="135" t="s">
        <v>727</v>
      </c>
    </row>
    <row r="25" spans="1:55" ht="15" customHeight="1" x14ac:dyDescent="0.25">
      <c r="A25" s="210">
        <v>23</v>
      </c>
      <c r="B25" s="135" t="s">
        <v>2458</v>
      </c>
      <c r="C25" s="135" t="s">
        <v>2552</v>
      </c>
      <c r="D25" s="135" t="s">
        <v>2583</v>
      </c>
      <c r="E25" s="135" t="s">
        <v>2584</v>
      </c>
      <c r="F25" s="135" t="s">
        <v>793</v>
      </c>
      <c r="G25" s="135" t="s">
        <v>2458</v>
      </c>
      <c r="H25" s="135" t="s">
        <v>731</v>
      </c>
      <c r="I25" s="135" t="s">
        <v>2656</v>
      </c>
      <c r="J25" s="211">
        <v>44348</v>
      </c>
      <c r="K25" s="211">
        <v>44469</v>
      </c>
      <c r="L25" s="135" t="s">
        <v>2657</v>
      </c>
      <c r="M25" s="135" t="s">
        <v>135</v>
      </c>
      <c r="N25" s="135" t="s">
        <v>30</v>
      </c>
      <c r="O25" s="135" t="s">
        <v>2587</v>
      </c>
      <c r="P25" s="135" t="s">
        <v>11</v>
      </c>
      <c r="Q25" s="212">
        <v>2</v>
      </c>
      <c r="R25" s="212">
        <v>0</v>
      </c>
      <c r="S25" s="212">
        <v>1</v>
      </c>
      <c r="T25" s="212">
        <v>1</v>
      </c>
      <c r="U25" s="212">
        <v>0</v>
      </c>
      <c r="V25" s="212">
        <v>0</v>
      </c>
      <c r="W25" s="212" t="s">
        <v>2636</v>
      </c>
      <c r="X25" s="212">
        <v>1</v>
      </c>
      <c r="Y25" s="212" t="s">
        <v>2658</v>
      </c>
      <c r="Z25" s="212">
        <v>1</v>
      </c>
      <c r="AA25" s="212" t="s">
        <v>2659</v>
      </c>
      <c r="AB25" s="212"/>
      <c r="AC25" s="212"/>
      <c r="AD25" s="213">
        <v>44295</v>
      </c>
      <c r="AE25" s="213">
        <v>44379</v>
      </c>
      <c r="AF25" s="213">
        <v>44477</v>
      </c>
      <c r="AG25" s="214"/>
      <c r="AH25" s="75">
        <f t="shared" si="0"/>
        <v>1</v>
      </c>
      <c r="AI25" s="75" t="str">
        <f t="shared" si="1"/>
        <v/>
      </c>
      <c r="AJ25" s="75">
        <f t="shared" si="2"/>
        <v>1</v>
      </c>
      <c r="AK25" s="75">
        <f t="shared" si="3"/>
        <v>1</v>
      </c>
      <c r="AL25" s="75" t="s">
        <v>2467</v>
      </c>
      <c r="AM25" s="214" t="s">
        <v>838</v>
      </c>
      <c r="AN25" s="214" t="s">
        <v>739</v>
      </c>
      <c r="AO25" s="214" t="s">
        <v>739</v>
      </c>
      <c r="AP25" s="214"/>
      <c r="AQ25" s="214" t="s">
        <v>838</v>
      </c>
      <c r="AR25" s="214" t="s">
        <v>2660</v>
      </c>
      <c r="AS25" s="214" t="s">
        <v>2661</v>
      </c>
      <c r="AT25" s="214"/>
      <c r="AU25" s="214" t="s">
        <v>838</v>
      </c>
      <c r="AV25" s="214" t="s">
        <v>739</v>
      </c>
      <c r="AW25" s="214" t="s">
        <v>739</v>
      </c>
      <c r="AX25" s="214"/>
      <c r="AY25" s="214" t="s">
        <v>841</v>
      </c>
      <c r="AZ25" s="214" t="s">
        <v>2662</v>
      </c>
      <c r="BA25" s="119" t="s">
        <v>2663</v>
      </c>
      <c r="BB25" s="119"/>
      <c r="BC25" s="135" t="s">
        <v>727</v>
      </c>
    </row>
    <row r="26" spans="1:55" ht="15" customHeight="1" x14ac:dyDescent="0.25">
      <c r="A26" s="210">
        <v>24</v>
      </c>
      <c r="B26" s="135" t="s">
        <v>2458</v>
      </c>
      <c r="C26" s="135" t="s">
        <v>2552</v>
      </c>
      <c r="D26" s="135" t="s">
        <v>2583</v>
      </c>
      <c r="E26" s="135" t="s">
        <v>2584</v>
      </c>
      <c r="F26" s="135" t="s">
        <v>793</v>
      </c>
      <c r="G26" s="135" t="s">
        <v>2458</v>
      </c>
      <c r="H26" s="135" t="s">
        <v>731</v>
      </c>
      <c r="I26" s="135" t="s">
        <v>2664</v>
      </c>
      <c r="J26" s="211">
        <v>44317</v>
      </c>
      <c r="K26" s="211">
        <v>44469</v>
      </c>
      <c r="L26" s="135" t="s">
        <v>2665</v>
      </c>
      <c r="M26" s="135" t="s">
        <v>135</v>
      </c>
      <c r="N26" s="135" t="s">
        <v>60</v>
      </c>
      <c r="O26" s="135" t="s">
        <v>2587</v>
      </c>
      <c r="P26" s="135" t="s">
        <v>11</v>
      </c>
      <c r="Q26" s="215">
        <v>1</v>
      </c>
      <c r="R26" s="215">
        <v>0</v>
      </c>
      <c r="S26" s="215">
        <v>0.1</v>
      </c>
      <c r="T26" s="215">
        <v>0.9</v>
      </c>
      <c r="U26" s="215">
        <v>0</v>
      </c>
      <c r="V26" s="215">
        <v>0.1</v>
      </c>
      <c r="W26" s="215" t="s">
        <v>2666</v>
      </c>
      <c r="X26" s="215">
        <v>0.1</v>
      </c>
      <c r="Y26" s="215" t="s">
        <v>2667</v>
      </c>
      <c r="Z26" s="215">
        <v>0.3</v>
      </c>
      <c r="AA26" s="215" t="s">
        <v>2668</v>
      </c>
      <c r="AB26" s="215"/>
      <c r="AC26" s="215"/>
      <c r="AD26" s="213">
        <v>44295</v>
      </c>
      <c r="AE26" s="213">
        <v>44379</v>
      </c>
      <c r="AF26" s="213">
        <v>44477</v>
      </c>
      <c r="AG26" s="214"/>
      <c r="AH26" s="75">
        <f t="shared" si="0"/>
        <v>0.5</v>
      </c>
      <c r="AI26" s="75" t="str">
        <f t="shared" si="1"/>
        <v/>
      </c>
      <c r="AJ26" s="75">
        <f t="shared" si="2"/>
        <v>1</v>
      </c>
      <c r="AK26" s="75">
        <f t="shared" si="3"/>
        <v>0.53333333333333333</v>
      </c>
      <c r="AL26" s="75" t="s">
        <v>2467</v>
      </c>
      <c r="AM26" s="214" t="s">
        <v>739</v>
      </c>
      <c r="AN26" s="214" t="s">
        <v>739</v>
      </c>
      <c r="AO26" s="214" t="s">
        <v>739</v>
      </c>
      <c r="AP26" s="214"/>
      <c r="AQ26" s="214" t="s">
        <v>2669</v>
      </c>
      <c r="AR26" s="214" t="s">
        <v>2670</v>
      </c>
      <c r="AS26" s="214" t="s">
        <v>2671</v>
      </c>
      <c r="AT26" s="214"/>
      <c r="AU26" s="214" t="s">
        <v>739</v>
      </c>
      <c r="AV26" s="214" t="s">
        <v>739</v>
      </c>
      <c r="AW26" s="214" t="s">
        <v>828</v>
      </c>
      <c r="AX26" s="214"/>
      <c r="AY26" s="214" t="s">
        <v>2672</v>
      </c>
      <c r="AZ26" s="214" t="s">
        <v>2673</v>
      </c>
      <c r="BA26" s="119" t="s">
        <v>2674</v>
      </c>
      <c r="BB26" s="119"/>
      <c r="BC26" s="135" t="s">
        <v>727</v>
      </c>
    </row>
    <row r="27" spans="1:55" ht="15" customHeight="1" x14ac:dyDescent="0.25">
      <c r="A27" s="210">
        <v>25</v>
      </c>
      <c r="B27" s="135" t="s">
        <v>2458</v>
      </c>
      <c r="C27" s="135" t="s">
        <v>2552</v>
      </c>
      <c r="D27" s="135" t="s">
        <v>2583</v>
      </c>
      <c r="E27" s="135" t="s">
        <v>2584</v>
      </c>
      <c r="F27" s="135" t="s">
        <v>793</v>
      </c>
      <c r="G27" s="135" t="s">
        <v>2458</v>
      </c>
      <c r="H27" s="135" t="s">
        <v>731</v>
      </c>
      <c r="I27" s="135" t="s">
        <v>2675</v>
      </c>
      <c r="J27" s="211">
        <v>44256</v>
      </c>
      <c r="K27" s="211">
        <v>44286</v>
      </c>
      <c r="L27" s="135" t="s">
        <v>2676</v>
      </c>
      <c r="M27" s="135" t="s">
        <v>135</v>
      </c>
      <c r="N27" s="135" t="s">
        <v>30</v>
      </c>
      <c r="O27" s="135" t="s">
        <v>2587</v>
      </c>
      <c r="P27" s="135" t="s">
        <v>11</v>
      </c>
      <c r="Q27" s="212">
        <v>1</v>
      </c>
      <c r="R27" s="212">
        <v>1</v>
      </c>
      <c r="S27" s="212">
        <v>0</v>
      </c>
      <c r="T27" s="212">
        <v>0</v>
      </c>
      <c r="U27" s="212">
        <v>0</v>
      </c>
      <c r="V27" s="212">
        <v>0</v>
      </c>
      <c r="W27" s="212" t="s">
        <v>2677</v>
      </c>
      <c r="X27" s="212">
        <v>0</v>
      </c>
      <c r="Y27" s="212" t="s">
        <v>2678</v>
      </c>
      <c r="Z27" s="212">
        <v>1</v>
      </c>
      <c r="AA27" s="212" t="s">
        <v>2679</v>
      </c>
      <c r="AB27" s="212"/>
      <c r="AC27" s="212"/>
      <c r="AD27" s="213">
        <v>44295</v>
      </c>
      <c r="AE27" s="213">
        <v>44379</v>
      </c>
      <c r="AF27" s="213">
        <v>44477</v>
      </c>
      <c r="AG27" s="214"/>
      <c r="AH27" s="75">
        <f t="shared" si="0"/>
        <v>1</v>
      </c>
      <c r="AI27" s="75">
        <f t="shared" si="1"/>
        <v>0</v>
      </c>
      <c r="AJ27" s="75" t="str">
        <f t="shared" si="2"/>
        <v/>
      </c>
      <c r="AK27" s="75" t="str">
        <f t="shared" si="3"/>
        <v/>
      </c>
      <c r="AL27" s="75" t="s">
        <v>2467</v>
      </c>
      <c r="AM27" s="214" t="s">
        <v>739</v>
      </c>
      <c r="AN27" s="214" t="s">
        <v>838</v>
      </c>
      <c r="AO27" s="214" t="s">
        <v>739</v>
      </c>
      <c r="AP27" s="214"/>
      <c r="AQ27" s="214" t="s">
        <v>2680</v>
      </c>
      <c r="AR27" s="214" t="s">
        <v>838</v>
      </c>
      <c r="AS27" s="214" t="s">
        <v>2681</v>
      </c>
      <c r="AT27" s="214"/>
      <c r="AU27" s="214" t="s">
        <v>739</v>
      </c>
      <c r="AV27" s="214" t="s">
        <v>838</v>
      </c>
      <c r="AW27" s="214" t="s">
        <v>739</v>
      </c>
      <c r="AX27" s="214"/>
      <c r="AY27" s="214" t="s">
        <v>2682</v>
      </c>
      <c r="AZ27" s="214" t="s">
        <v>838</v>
      </c>
      <c r="BA27" s="119" t="s">
        <v>2683</v>
      </c>
      <c r="BB27" s="119"/>
      <c r="BC27" s="135" t="s">
        <v>727</v>
      </c>
    </row>
    <row r="28" spans="1:55" ht="15" customHeight="1" x14ac:dyDescent="0.25">
      <c r="A28" s="210">
        <v>26</v>
      </c>
      <c r="B28" s="135" t="s">
        <v>2458</v>
      </c>
      <c r="C28" s="135" t="s">
        <v>2552</v>
      </c>
      <c r="D28" s="135" t="s">
        <v>2583</v>
      </c>
      <c r="E28" s="135" t="s">
        <v>2584</v>
      </c>
      <c r="F28" s="135" t="s">
        <v>793</v>
      </c>
      <c r="G28" s="135" t="s">
        <v>2458</v>
      </c>
      <c r="H28" s="135" t="s">
        <v>731</v>
      </c>
      <c r="I28" s="135" t="s">
        <v>2684</v>
      </c>
      <c r="J28" s="211">
        <v>44501</v>
      </c>
      <c r="K28" s="211">
        <v>44530</v>
      </c>
      <c r="L28" s="135" t="s">
        <v>2685</v>
      </c>
      <c r="M28" s="135" t="s">
        <v>135</v>
      </c>
      <c r="N28" s="135" t="s">
        <v>30</v>
      </c>
      <c r="O28" s="135" t="s">
        <v>2587</v>
      </c>
      <c r="P28" s="135" t="s">
        <v>11</v>
      </c>
      <c r="Q28" s="212">
        <v>1</v>
      </c>
      <c r="R28" s="212">
        <v>0</v>
      </c>
      <c r="S28" s="212">
        <v>0</v>
      </c>
      <c r="T28" s="212">
        <v>0</v>
      </c>
      <c r="U28" s="212">
        <v>1</v>
      </c>
      <c r="V28" s="212">
        <v>0</v>
      </c>
      <c r="W28" s="212" t="s">
        <v>2614</v>
      </c>
      <c r="X28" s="212">
        <v>0</v>
      </c>
      <c r="Y28" s="212" t="s">
        <v>2686</v>
      </c>
      <c r="Z28" s="212">
        <v>0</v>
      </c>
      <c r="AA28" s="212" t="s">
        <v>2686</v>
      </c>
      <c r="AB28" s="212"/>
      <c r="AC28" s="212"/>
      <c r="AD28" s="213">
        <v>44295</v>
      </c>
      <c r="AE28" s="213">
        <v>44379</v>
      </c>
      <c r="AF28" s="213">
        <v>44477</v>
      </c>
      <c r="AG28" s="214"/>
      <c r="AH28" s="75">
        <f t="shared" si="0"/>
        <v>0</v>
      </c>
      <c r="AI28" s="75" t="str">
        <f t="shared" si="1"/>
        <v/>
      </c>
      <c r="AJ28" s="75" t="str">
        <f t="shared" si="2"/>
        <v/>
      </c>
      <c r="AK28" s="75" t="str">
        <f t="shared" si="3"/>
        <v/>
      </c>
      <c r="AL28" s="75" t="s">
        <v>2467</v>
      </c>
      <c r="AM28" s="214" t="s">
        <v>838</v>
      </c>
      <c r="AN28" s="214" t="s">
        <v>838</v>
      </c>
      <c r="AO28" s="214" t="s">
        <v>838</v>
      </c>
      <c r="AP28" s="214"/>
      <c r="AQ28" s="214" t="s">
        <v>838</v>
      </c>
      <c r="AR28" s="214" t="s">
        <v>838</v>
      </c>
      <c r="AS28" s="214" t="s">
        <v>2493</v>
      </c>
      <c r="AT28" s="214"/>
      <c r="AU28" s="214" t="s">
        <v>838</v>
      </c>
      <c r="AV28" s="214" t="s">
        <v>838</v>
      </c>
      <c r="AW28" s="214" t="s">
        <v>838</v>
      </c>
      <c r="AX28" s="214"/>
      <c r="AY28" s="214" t="s">
        <v>841</v>
      </c>
      <c r="AZ28" s="214" t="s">
        <v>838</v>
      </c>
      <c r="BA28" s="119" t="s">
        <v>2501</v>
      </c>
      <c r="BB28" s="119"/>
      <c r="BC28" s="135" t="s">
        <v>727</v>
      </c>
    </row>
    <row r="29" spans="1:55" ht="15" customHeight="1" x14ac:dyDescent="0.25">
      <c r="A29" s="210">
        <v>27</v>
      </c>
      <c r="B29" s="135" t="s">
        <v>2458</v>
      </c>
      <c r="C29" s="135" t="s">
        <v>2552</v>
      </c>
      <c r="D29" s="135" t="s">
        <v>2687</v>
      </c>
      <c r="E29" s="135" t="s">
        <v>792</v>
      </c>
      <c r="F29" s="135" t="s">
        <v>793</v>
      </c>
      <c r="G29" s="135" t="s">
        <v>730</v>
      </c>
      <c r="H29" s="135" t="s">
        <v>2688</v>
      </c>
      <c r="I29" s="135" t="s">
        <v>2689</v>
      </c>
      <c r="J29" s="211">
        <v>44197</v>
      </c>
      <c r="K29" s="211">
        <v>44561</v>
      </c>
      <c r="L29" s="135" t="s">
        <v>2690</v>
      </c>
      <c r="M29" s="135" t="s">
        <v>2691</v>
      </c>
      <c r="N29" s="135" t="s">
        <v>30</v>
      </c>
      <c r="O29" s="135" t="s">
        <v>2692</v>
      </c>
      <c r="P29" s="135" t="s">
        <v>2693</v>
      </c>
      <c r="Q29" s="212">
        <v>4</v>
      </c>
      <c r="R29" s="212">
        <v>0</v>
      </c>
      <c r="S29" s="212">
        <v>1</v>
      </c>
      <c r="T29" s="212">
        <v>1</v>
      </c>
      <c r="U29" s="212">
        <v>2</v>
      </c>
      <c r="V29" s="212">
        <v>0</v>
      </c>
      <c r="W29" s="212" t="s">
        <v>2694</v>
      </c>
      <c r="X29" s="212">
        <v>1</v>
      </c>
      <c r="Y29" s="212" t="s">
        <v>2695</v>
      </c>
      <c r="Z29" s="212">
        <v>1</v>
      </c>
      <c r="AA29" s="212" t="s">
        <v>2695</v>
      </c>
      <c r="AB29" s="212"/>
      <c r="AC29" s="212"/>
      <c r="AD29" s="213">
        <v>44295</v>
      </c>
      <c r="AE29" s="213">
        <v>44379</v>
      </c>
      <c r="AF29" s="213">
        <v>44477</v>
      </c>
      <c r="AG29" s="214"/>
      <c r="AH29" s="75">
        <f t="shared" si="0"/>
        <v>0.5</v>
      </c>
      <c r="AI29" s="75" t="str">
        <f t="shared" si="1"/>
        <v/>
      </c>
      <c r="AJ29" s="75">
        <f t="shared" si="2"/>
        <v>1</v>
      </c>
      <c r="AK29" s="75">
        <f t="shared" si="3"/>
        <v>1</v>
      </c>
      <c r="AL29" s="75" t="s">
        <v>2467</v>
      </c>
      <c r="AM29" s="214" t="s">
        <v>838</v>
      </c>
      <c r="AN29" s="214" t="s">
        <v>739</v>
      </c>
      <c r="AO29" s="214" t="s">
        <v>739</v>
      </c>
      <c r="AP29" s="214"/>
      <c r="AQ29" s="214" t="s">
        <v>838</v>
      </c>
      <c r="AR29" s="214" t="s">
        <v>2696</v>
      </c>
      <c r="AS29" s="214" t="s">
        <v>2697</v>
      </c>
      <c r="AT29" s="214"/>
      <c r="AU29" s="214" t="s">
        <v>838</v>
      </c>
      <c r="AV29" s="214" t="s">
        <v>739</v>
      </c>
      <c r="AW29" s="214" t="s">
        <v>739</v>
      </c>
      <c r="AX29" s="214"/>
      <c r="AY29" s="214" t="s">
        <v>841</v>
      </c>
      <c r="AZ29" s="214" t="s">
        <v>2698</v>
      </c>
      <c r="BA29" s="119" t="s">
        <v>2699</v>
      </c>
      <c r="BB29" s="119"/>
      <c r="BC29" s="135" t="s">
        <v>727</v>
      </c>
    </row>
    <row r="30" spans="1:55" ht="15" customHeight="1" x14ac:dyDescent="0.25">
      <c r="A30" s="210">
        <v>28</v>
      </c>
      <c r="B30" s="135" t="s">
        <v>2458</v>
      </c>
      <c r="C30" s="135" t="s">
        <v>2552</v>
      </c>
      <c r="D30" s="135" t="s">
        <v>2687</v>
      </c>
      <c r="E30" s="135" t="s">
        <v>792</v>
      </c>
      <c r="F30" s="135" t="s">
        <v>793</v>
      </c>
      <c r="G30" s="135" t="s">
        <v>730</v>
      </c>
      <c r="H30" s="135" t="s">
        <v>2688</v>
      </c>
      <c r="I30" s="135" t="s">
        <v>2700</v>
      </c>
      <c r="J30" s="211">
        <v>44378</v>
      </c>
      <c r="K30" s="211">
        <v>44408</v>
      </c>
      <c r="L30" s="135" t="s">
        <v>2701</v>
      </c>
      <c r="M30" s="135" t="s">
        <v>2691</v>
      </c>
      <c r="N30" s="135" t="s">
        <v>30</v>
      </c>
      <c r="O30" s="135" t="s">
        <v>2692</v>
      </c>
      <c r="P30" s="135" t="s">
        <v>2693</v>
      </c>
      <c r="Q30" s="212">
        <v>1</v>
      </c>
      <c r="R30" s="212">
        <v>0</v>
      </c>
      <c r="S30" s="212">
        <v>0</v>
      </c>
      <c r="T30" s="212">
        <v>1</v>
      </c>
      <c r="U30" s="212">
        <v>0</v>
      </c>
      <c r="V30" s="212">
        <v>0</v>
      </c>
      <c r="W30" s="212" t="s">
        <v>2694</v>
      </c>
      <c r="X30" s="212">
        <v>0</v>
      </c>
      <c r="Y30" s="212" t="s">
        <v>2702</v>
      </c>
      <c r="Z30" s="212">
        <v>1</v>
      </c>
      <c r="AA30" s="212" t="s">
        <v>2703</v>
      </c>
      <c r="AB30" s="212"/>
      <c r="AC30" s="212"/>
      <c r="AD30" s="213">
        <v>44295</v>
      </c>
      <c r="AE30" s="213">
        <v>44379</v>
      </c>
      <c r="AF30" s="213">
        <v>44477</v>
      </c>
      <c r="AG30" s="214"/>
      <c r="AH30" s="75">
        <f t="shared" si="0"/>
        <v>1</v>
      </c>
      <c r="AI30" s="75" t="str">
        <f t="shared" si="1"/>
        <v/>
      </c>
      <c r="AJ30" s="75" t="str">
        <f t="shared" si="2"/>
        <v/>
      </c>
      <c r="AK30" s="75">
        <f t="shared" si="3"/>
        <v>1</v>
      </c>
      <c r="AL30" s="75" t="s">
        <v>2467</v>
      </c>
      <c r="AM30" s="214" t="s">
        <v>838</v>
      </c>
      <c r="AN30" s="214" t="s">
        <v>838</v>
      </c>
      <c r="AO30" s="214" t="s">
        <v>739</v>
      </c>
      <c r="AP30" s="214"/>
      <c r="AQ30" s="214" t="s">
        <v>838</v>
      </c>
      <c r="AR30" s="214" t="s">
        <v>838</v>
      </c>
      <c r="AS30" s="214" t="s">
        <v>2704</v>
      </c>
      <c r="AT30" s="214"/>
      <c r="AU30" s="214" t="s">
        <v>838</v>
      </c>
      <c r="AV30" s="214" t="s">
        <v>838</v>
      </c>
      <c r="AW30" s="214" t="s">
        <v>739</v>
      </c>
      <c r="AX30" s="214"/>
      <c r="AY30" s="214" t="s">
        <v>841</v>
      </c>
      <c r="AZ30" s="214" t="s">
        <v>838</v>
      </c>
      <c r="BA30" s="119" t="s">
        <v>2705</v>
      </c>
      <c r="BB30" s="119"/>
      <c r="BC30" s="135" t="s">
        <v>727</v>
      </c>
    </row>
    <row r="31" spans="1:55" ht="15" customHeight="1" x14ac:dyDescent="0.25">
      <c r="A31" s="210">
        <v>29</v>
      </c>
      <c r="B31" s="135" t="s">
        <v>2458</v>
      </c>
      <c r="C31" s="135" t="s">
        <v>2552</v>
      </c>
      <c r="D31" s="135" t="s">
        <v>2687</v>
      </c>
      <c r="E31" s="135" t="s">
        <v>792</v>
      </c>
      <c r="F31" s="135" t="s">
        <v>793</v>
      </c>
      <c r="G31" s="135" t="s">
        <v>730</v>
      </c>
      <c r="H31" s="135" t="s">
        <v>2688</v>
      </c>
      <c r="I31" s="135" t="s">
        <v>2706</v>
      </c>
      <c r="J31" s="211">
        <v>44197</v>
      </c>
      <c r="K31" s="211">
        <v>44561</v>
      </c>
      <c r="L31" s="135" t="s">
        <v>2690</v>
      </c>
      <c r="M31" s="135" t="s">
        <v>2691</v>
      </c>
      <c r="N31" s="135" t="s">
        <v>30</v>
      </c>
      <c r="O31" s="135" t="s">
        <v>2692</v>
      </c>
      <c r="P31" s="135" t="s">
        <v>2693</v>
      </c>
      <c r="Q31" s="212">
        <v>4</v>
      </c>
      <c r="R31" s="212">
        <v>0</v>
      </c>
      <c r="S31" s="212">
        <v>1</v>
      </c>
      <c r="T31" s="212">
        <v>1</v>
      </c>
      <c r="U31" s="212">
        <v>2</v>
      </c>
      <c r="V31" s="212">
        <v>0</v>
      </c>
      <c r="W31" s="212" t="s">
        <v>2694</v>
      </c>
      <c r="X31" s="212">
        <v>1</v>
      </c>
      <c r="Y31" s="212" t="s">
        <v>2707</v>
      </c>
      <c r="Z31" s="212">
        <v>1</v>
      </c>
      <c r="AA31" s="212" t="s">
        <v>2708</v>
      </c>
      <c r="AB31" s="212"/>
      <c r="AC31" s="212"/>
      <c r="AD31" s="213">
        <v>44295</v>
      </c>
      <c r="AE31" s="213">
        <v>44379</v>
      </c>
      <c r="AF31" s="213">
        <v>44477</v>
      </c>
      <c r="AG31" s="214"/>
      <c r="AH31" s="75">
        <f t="shared" si="0"/>
        <v>0.5</v>
      </c>
      <c r="AI31" s="75" t="str">
        <f t="shared" si="1"/>
        <v/>
      </c>
      <c r="AJ31" s="75">
        <f t="shared" si="2"/>
        <v>1</v>
      </c>
      <c r="AK31" s="75">
        <f t="shared" si="3"/>
        <v>1</v>
      </c>
      <c r="AL31" s="75" t="s">
        <v>2467</v>
      </c>
      <c r="AM31" s="214" t="s">
        <v>838</v>
      </c>
      <c r="AN31" s="214" t="s">
        <v>739</v>
      </c>
      <c r="AO31" s="214" t="s">
        <v>739</v>
      </c>
      <c r="AP31" s="214"/>
      <c r="AQ31" s="214" t="s">
        <v>838</v>
      </c>
      <c r="AR31" s="214" t="s">
        <v>2709</v>
      </c>
      <c r="AS31" s="214" t="s">
        <v>2710</v>
      </c>
      <c r="AT31" s="214"/>
      <c r="AU31" s="214" t="s">
        <v>838</v>
      </c>
      <c r="AV31" s="214" t="s">
        <v>739</v>
      </c>
      <c r="AW31" s="214" t="s">
        <v>739</v>
      </c>
      <c r="AX31" s="214"/>
      <c r="AY31" s="214" t="s">
        <v>841</v>
      </c>
      <c r="AZ31" s="214" t="s">
        <v>2711</v>
      </c>
      <c r="BA31" s="214" t="s">
        <v>2712</v>
      </c>
      <c r="BB31" s="119"/>
      <c r="BC31" s="135" t="s">
        <v>727</v>
      </c>
    </row>
    <row r="32" spans="1:55" ht="15" customHeight="1" x14ac:dyDescent="0.25">
      <c r="A32" s="210">
        <v>1</v>
      </c>
      <c r="B32" s="143" t="s">
        <v>2713</v>
      </c>
      <c r="C32" s="143" t="s">
        <v>2714</v>
      </c>
      <c r="D32" s="143" t="s">
        <v>2715</v>
      </c>
      <c r="E32" s="143" t="s">
        <v>792</v>
      </c>
      <c r="F32" s="143" t="s">
        <v>793</v>
      </c>
      <c r="G32" s="143" t="s">
        <v>2458</v>
      </c>
      <c r="H32" s="143" t="s">
        <v>2461</v>
      </c>
      <c r="I32" s="143" t="s">
        <v>2716</v>
      </c>
      <c r="J32" s="217">
        <v>44197</v>
      </c>
      <c r="K32" s="217">
        <v>44561</v>
      </c>
      <c r="L32" s="143" t="s">
        <v>2717</v>
      </c>
      <c r="M32" s="143" t="s">
        <v>2718</v>
      </c>
      <c r="N32" s="143" t="s">
        <v>30</v>
      </c>
      <c r="O32" s="143" t="s">
        <v>2719</v>
      </c>
      <c r="P32" s="143" t="s">
        <v>735</v>
      </c>
      <c r="Q32" s="212">
        <v>12</v>
      </c>
      <c r="R32" s="212">
        <v>3</v>
      </c>
      <c r="S32" s="212">
        <v>3</v>
      </c>
      <c r="T32" s="212">
        <v>3</v>
      </c>
      <c r="U32" s="212">
        <v>3</v>
      </c>
      <c r="V32" s="212">
        <v>3</v>
      </c>
      <c r="W32" s="212" t="s">
        <v>2720</v>
      </c>
      <c r="X32" s="212">
        <v>3</v>
      </c>
      <c r="Y32" s="212" t="s">
        <v>2721</v>
      </c>
      <c r="Z32" s="212">
        <v>3</v>
      </c>
      <c r="AA32" s="212" t="s">
        <v>2722</v>
      </c>
      <c r="AB32" s="212"/>
      <c r="AC32" s="212"/>
      <c r="AD32" s="213">
        <v>44295</v>
      </c>
      <c r="AE32" s="213">
        <v>44379</v>
      </c>
      <c r="AF32" s="213">
        <v>44480</v>
      </c>
      <c r="AG32" s="213"/>
      <c r="AH32" s="75">
        <f t="shared" si="0"/>
        <v>0.75</v>
      </c>
      <c r="AI32" s="75">
        <f t="shared" si="1"/>
        <v>1</v>
      </c>
      <c r="AJ32" s="75">
        <f t="shared" si="2"/>
        <v>1</v>
      </c>
      <c r="AK32" s="75">
        <f t="shared" si="3"/>
        <v>1</v>
      </c>
      <c r="AL32" s="75" t="s">
        <v>2467</v>
      </c>
      <c r="AM32" s="214" t="s">
        <v>739</v>
      </c>
      <c r="AN32" s="214" t="s">
        <v>739</v>
      </c>
      <c r="AO32" s="214" t="s">
        <v>739</v>
      </c>
      <c r="AP32" s="214"/>
      <c r="AQ32" s="214" t="s">
        <v>2723</v>
      </c>
      <c r="AR32" s="214" t="s">
        <v>1258</v>
      </c>
      <c r="AS32" s="214" t="s">
        <v>2724</v>
      </c>
      <c r="AT32" s="214"/>
      <c r="AU32" s="214" t="s">
        <v>739</v>
      </c>
      <c r="AV32" s="214" t="s">
        <v>739</v>
      </c>
      <c r="AW32" s="214" t="s">
        <v>739</v>
      </c>
      <c r="AX32" s="214"/>
      <c r="AY32" s="214" t="s">
        <v>2725</v>
      </c>
      <c r="AZ32" s="214" t="s">
        <v>2726</v>
      </c>
      <c r="BA32" s="214" t="s">
        <v>2727</v>
      </c>
      <c r="BB32" s="214"/>
      <c r="BC32" s="143" t="s">
        <v>727</v>
      </c>
    </row>
    <row r="33" spans="1:55" ht="15" customHeight="1" x14ac:dyDescent="0.25">
      <c r="A33" s="210">
        <v>2</v>
      </c>
      <c r="B33" s="143" t="s">
        <v>2713</v>
      </c>
      <c r="C33" s="143" t="s">
        <v>2714</v>
      </c>
      <c r="D33" s="143" t="s">
        <v>2715</v>
      </c>
      <c r="E33" s="143" t="s">
        <v>792</v>
      </c>
      <c r="F33" s="143" t="s">
        <v>793</v>
      </c>
      <c r="G33" s="143" t="s">
        <v>2458</v>
      </c>
      <c r="H33" s="143" t="s">
        <v>2461</v>
      </c>
      <c r="I33" s="143" t="s">
        <v>2728</v>
      </c>
      <c r="J33" s="217">
        <v>44256</v>
      </c>
      <c r="K33" s="217">
        <v>44561</v>
      </c>
      <c r="L33" s="143" t="s">
        <v>2729</v>
      </c>
      <c r="M33" s="143" t="s">
        <v>2718</v>
      </c>
      <c r="N33" s="143" t="s">
        <v>60</v>
      </c>
      <c r="O33" s="143" t="s">
        <v>2719</v>
      </c>
      <c r="P33" s="143" t="s">
        <v>735</v>
      </c>
      <c r="Q33" s="215">
        <v>1</v>
      </c>
      <c r="R33" s="215">
        <v>0.1</v>
      </c>
      <c r="S33" s="215">
        <v>0.1</v>
      </c>
      <c r="T33" s="215">
        <v>0.4</v>
      </c>
      <c r="U33" s="215">
        <v>0.4</v>
      </c>
      <c r="V33" s="215">
        <v>0.1</v>
      </c>
      <c r="W33" s="215" t="s">
        <v>2730</v>
      </c>
      <c r="X33" s="215">
        <v>0.1</v>
      </c>
      <c r="Y33" s="215" t="s">
        <v>2730</v>
      </c>
      <c r="Z33" s="215">
        <v>0.4</v>
      </c>
      <c r="AA33" s="215" t="s">
        <v>2730</v>
      </c>
      <c r="AB33" s="215"/>
      <c r="AC33" s="215"/>
      <c r="AD33" s="213">
        <v>44295</v>
      </c>
      <c r="AE33" s="213">
        <v>44379</v>
      </c>
      <c r="AF33" s="213">
        <v>44480</v>
      </c>
      <c r="AG33" s="213"/>
      <c r="AH33" s="75">
        <f t="shared" si="0"/>
        <v>0.60000000000000009</v>
      </c>
      <c r="AI33" s="75">
        <f t="shared" si="1"/>
        <v>1</v>
      </c>
      <c r="AJ33" s="75">
        <f t="shared" si="2"/>
        <v>1</v>
      </c>
      <c r="AK33" s="75">
        <f t="shared" si="3"/>
        <v>1</v>
      </c>
      <c r="AL33" s="75" t="s">
        <v>2467</v>
      </c>
      <c r="AM33" s="214" t="s">
        <v>739</v>
      </c>
      <c r="AN33" s="214" t="s">
        <v>739</v>
      </c>
      <c r="AO33" s="214" t="s">
        <v>739</v>
      </c>
      <c r="AP33" s="214"/>
      <c r="AQ33" s="214" t="s">
        <v>2723</v>
      </c>
      <c r="AR33" s="214" t="s">
        <v>1258</v>
      </c>
      <c r="AS33" s="214" t="s">
        <v>2724</v>
      </c>
      <c r="AT33" s="214"/>
      <c r="AU33" s="214" t="s">
        <v>739</v>
      </c>
      <c r="AV33" s="214" t="s">
        <v>739</v>
      </c>
      <c r="AW33" s="214" t="s">
        <v>739</v>
      </c>
      <c r="AX33" s="214"/>
      <c r="AY33" s="214" t="s">
        <v>2731</v>
      </c>
      <c r="AZ33" s="214" t="s">
        <v>2732</v>
      </c>
      <c r="BA33" s="214" t="s">
        <v>2733</v>
      </c>
      <c r="BB33" s="214"/>
      <c r="BC33" s="143" t="s">
        <v>2734</v>
      </c>
    </row>
    <row r="34" spans="1:55" ht="15" customHeight="1" x14ac:dyDescent="0.25">
      <c r="A34" s="210">
        <v>3</v>
      </c>
      <c r="B34" s="143" t="s">
        <v>2713</v>
      </c>
      <c r="C34" s="143" t="s">
        <v>2714</v>
      </c>
      <c r="D34" s="143" t="s">
        <v>2715</v>
      </c>
      <c r="E34" s="143" t="s">
        <v>792</v>
      </c>
      <c r="F34" s="143" t="s">
        <v>793</v>
      </c>
      <c r="G34" s="143" t="s">
        <v>2458</v>
      </c>
      <c r="H34" s="143" t="s">
        <v>2461</v>
      </c>
      <c r="I34" s="143" t="s">
        <v>2735</v>
      </c>
      <c r="J34" s="217">
        <v>44197</v>
      </c>
      <c r="K34" s="217">
        <v>44561</v>
      </c>
      <c r="L34" s="143" t="s">
        <v>2736</v>
      </c>
      <c r="M34" s="143" t="s">
        <v>2718</v>
      </c>
      <c r="N34" s="143" t="s">
        <v>60</v>
      </c>
      <c r="O34" s="143" t="s">
        <v>2719</v>
      </c>
      <c r="P34" s="143" t="s">
        <v>735</v>
      </c>
      <c r="Q34" s="215">
        <v>1</v>
      </c>
      <c r="R34" s="215">
        <v>0.25</v>
      </c>
      <c r="S34" s="215">
        <v>0.25</v>
      </c>
      <c r="T34" s="215">
        <v>0.25</v>
      </c>
      <c r="U34" s="215">
        <v>0.25</v>
      </c>
      <c r="V34" s="215">
        <v>0.25</v>
      </c>
      <c r="W34" s="215" t="s">
        <v>2737</v>
      </c>
      <c r="X34" s="215">
        <v>0.25</v>
      </c>
      <c r="Y34" s="215" t="s">
        <v>2738</v>
      </c>
      <c r="Z34" s="215">
        <v>0.25</v>
      </c>
      <c r="AA34" s="215" t="s">
        <v>2739</v>
      </c>
      <c r="AB34" s="215"/>
      <c r="AC34" s="215"/>
      <c r="AD34" s="213">
        <v>44295</v>
      </c>
      <c r="AE34" s="213">
        <v>44379</v>
      </c>
      <c r="AF34" s="213">
        <v>44480</v>
      </c>
      <c r="AG34" s="213"/>
      <c r="AH34" s="75">
        <f t="shared" si="0"/>
        <v>0.75</v>
      </c>
      <c r="AI34" s="75">
        <f t="shared" si="1"/>
        <v>1</v>
      </c>
      <c r="AJ34" s="75">
        <f t="shared" si="2"/>
        <v>1</v>
      </c>
      <c r="AK34" s="75">
        <f t="shared" si="3"/>
        <v>1</v>
      </c>
      <c r="AL34" s="75" t="s">
        <v>2467</v>
      </c>
      <c r="AM34" s="214" t="s">
        <v>739</v>
      </c>
      <c r="AN34" s="214" t="s">
        <v>739</v>
      </c>
      <c r="AO34" s="214" t="s">
        <v>739</v>
      </c>
      <c r="AP34" s="214"/>
      <c r="AQ34" s="214" t="s">
        <v>2723</v>
      </c>
      <c r="AR34" s="214" t="s">
        <v>1258</v>
      </c>
      <c r="AS34" s="214" t="s">
        <v>2724</v>
      </c>
      <c r="AT34" s="214"/>
      <c r="AU34" s="214" t="s">
        <v>739</v>
      </c>
      <c r="AV34" s="214" t="s">
        <v>739</v>
      </c>
      <c r="AW34" s="214" t="s">
        <v>739</v>
      </c>
      <c r="AX34" s="214"/>
      <c r="AY34" s="214" t="s">
        <v>2740</v>
      </c>
      <c r="AZ34" s="214" t="s">
        <v>2741</v>
      </c>
      <c r="BA34" s="214" t="s">
        <v>2742</v>
      </c>
      <c r="BB34" s="214"/>
      <c r="BC34" s="143" t="s">
        <v>2734</v>
      </c>
    </row>
    <row r="35" spans="1:55" ht="15" customHeight="1" x14ac:dyDescent="0.25">
      <c r="A35" s="210">
        <v>4</v>
      </c>
      <c r="B35" s="143" t="s">
        <v>2713</v>
      </c>
      <c r="C35" s="143" t="s">
        <v>2714</v>
      </c>
      <c r="D35" s="143" t="s">
        <v>2715</v>
      </c>
      <c r="E35" s="143" t="s">
        <v>792</v>
      </c>
      <c r="F35" s="143" t="s">
        <v>793</v>
      </c>
      <c r="G35" s="143" t="s">
        <v>2458</v>
      </c>
      <c r="H35" s="143" t="s">
        <v>2461</v>
      </c>
      <c r="I35" s="143" t="s">
        <v>2743</v>
      </c>
      <c r="J35" s="217">
        <v>44197</v>
      </c>
      <c r="K35" s="217">
        <v>44561</v>
      </c>
      <c r="L35" s="143" t="s">
        <v>2744</v>
      </c>
      <c r="M35" s="143" t="s">
        <v>2718</v>
      </c>
      <c r="N35" s="143" t="s">
        <v>60</v>
      </c>
      <c r="O35" s="143" t="s">
        <v>2719</v>
      </c>
      <c r="P35" s="143" t="s">
        <v>735</v>
      </c>
      <c r="Q35" s="215">
        <v>1</v>
      </c>
      <c r="R35" s="215">
        <v>0.25</v>
      </c>
      <c r="S35" s="215">
        <v>0.25</v>
      </c>
      <c r="T35" s="215">
        <v>0.25</v>
      </c>
      <c r="U35" s="215">
        <v>0.25</v>
      </c>
      <c r="V35" s="215">
        <v>0.25</v>
      </c>
      <c r="W35" s="215" t="s">
        <v>2745</v>
      </c>
      <c r="X35" s="215">
        <v>0.25</v>
      </c>
      <c r="Y35" s="215" t="s">
        <v>2746</v>
      </c>
      <c r="Z35" s="215">
        <v>0.25</v>
      </c>
      <c r="AA35" s="215" t="s">
        <v>2747</v>
      </c>
      <c r="AB35" s="215"/>
      <c r="AC35" s="215"/>
      <c r="AD35" s="213">
        <v>44295</v>
      </c>
      <c r="AE35" s="213">
        <v>44379</v>
      </c>
      <c r="AF35" s="213">
        <v>44480</v>
      </c>
      <c r="AG35" s="213"/>
      <c r="AH35" s="75">
        <f t="shared" si="0"/>
        <v>0.75</v>
      </c>
      <c r="AI35" s="75">
        <f t="shared" si="1"/>
        <v>1</v>
      </c>
      <c r="AJ35" s="75">
        <f t="shared" si="2"/>
        <v>1</v>
      </c>
      <c r="AK35" s="75">
        <f t="shared" si="3"/>
        <v>1</v>
      </c>
      <c r="AL35" s="75" t="s">
        <v>2467</v>
      </c>
      <c r="AM35" s="214" t="s">
        <v>739</v>
      </c>
      <c r="AN35" s="214" t="s">
        <v>739</v>
      </c>
      <c r="AO35" s="214" t="s">
        <v>739</v>
      </c>
      <c r="AP35" s="214"/>
      <c r="AQ35" s="214" t="s">
        <v>2723</v>
      </c>
      <c r="AR35" s="214" t="s">
        <v>1258</v>
      </c>
      <c r="AS35" s="214" t="s">
        <v>2724</v>
      </c>
      <c r="AT35" s="214"/>
      <c r="AU35" s="214" t="s">
        <v>739</v>
      </c>
      <c r="AV35" s="214" t="s">
        <v>739</v>
      </c>
      <c r="AW35" s="214" t="s">
        <v>739</v>
      </c>
      <c r="AX35" s="214"/>
      <c r="AY35" s="214" t="s">
        <v>2748</v>
      </c>
      <c r="AZ35" s="214" t="s">
        <v>2749</v>
      </c>
      <c r="BA35" s="214" t="s">
        <v>2750</v>
      </c>
      <c r="BB35" s="214"/>
      <c r="BC35" s="143" t="s">
        <v>2734</v>
      </c>
    </row>
    <row r="36" spans="1:55" ht="15" customHeight="1" x14ac:dyDescent="0.25">
      <c r="A36" s="210">
        <v>5</v>
      </c>
      <c r="B36" s="143" t="s">
        <v>2713</v>
      </c>
      <c r="C36" s="143" t="s">
        <v>2714</v>
      </c>
      <c r="D36" s="143" t="s">
        <v>2715</v>
      </c>
      <c r="E36" s="143" t="s">
        <v>792</v>
      </c>
      <c r="F36" s="143" t="s">
        <v>793</v>
      </c>
      <c r="G36" s="143" t="s">
        <v>2458</v>
      </c>
      <c r="H36" s="143" t="s">
        <v>2461</v>
      </c>
      <c r="I36" s="143" t="s">
        <v>2751</v>
      </c>
      <c r="J36" s="217">
        <v>44287</v>
      </c>
      <c r="K36" s="217">
        <v>44561</v>
      </c>
      <c r="L36" s="143" t="s">
        <v>2752</v>
      </c>
      <c r="M36" s="143" t="s">
        <v>2718</v>
      </c>
      <c r="N36" s="143" t="s">
        <v>30</v>
      </c>
      <c r="O36" s="143" t="s">
        <v>2719</v>
      </c>
      <c r="P36" s="143" t="s">
        <v>735</v>
      </c>
      <c r="Q36" s="212">
        <v>8</v>
      </c>
      <c r="R36" s="212">
        <v>2</v>
      </c>
      <c r="S36" s="212">
        <v>2</v>
      </c>
      <c r="T36" s="212">
        <v>2</v>
      </c>
      <c r="U36" s="212">
        <v>2</v>
      </c>
      <c r="V36" s="212">
        <v>3</v>
      </c>
      <c r="W36" s="212" t="s">
        <v>2753</v>
      </c>
      <c r="X36" s="212">
        <v>2</v>
      </c>
      <c r="Y36" s="212" t="s">
        <v>2754</v>
      </c>
      <c r="Z36" s="212">
        <v>2</v>
      </c>
      <c r="AA36" s="212" t="s">
        <v>2755</v>
      </c>
      <c r="AB36" s="212"/>
      <c r="AC36" s="212"/>
      <c r="AD36" s="213">
        <v>44295</v>
      </c>
      <c r="AE36" s="213">
        <v>44379</v>
      </c>
      <c r="AF36" s="213">
        <v>44480</v>
      </c>
      <c r="AG36" s="213"/>
      <c r="AH36" s="75">
        <f t="shared" si="0"/>
        <v>0.875</v>
      </c>
      <c r="AI36" s="75">
        <f t="shared" si="1"/>
        <v>1</v>
      </c>
      <c r="AJ36" s="75">
        <f t="shared" si="2"/>
        <v>1</v>
      </c>
      <c r="AK36" s="75">
        <f t="shared" si="3"/>
        <v>1</v>
      </c>
      <c r="AL36" s="75" t="s">
        <v>2467</v>
      </c>
      <c r="AM36" s="214" t="s">
        <v>739</v>
      </c>
      <c r="AN36" s="214" t="s">
        <v>739</v>
      </c>
      <c r="AO36" s="214" t="s">
        <v>739</v>
      </c>
      <c r="AP36" s="214"/>
      <c r="AQ36" s="214" t="s">
        <v>2723</v>
      </c>
      <c r="AR36" s="214" t="s">
        <v>1258</v>
      </c>
      <c r="AS36" s="214" t="s">
        <v>2724</v>
      </c>
      <c r="AT36" s="214"/>
      <c r="AU36" s="214" t="s">
        <v>739</v>
      </c>
      <c r="AV36" s="214" t="s">
        <v>739</v>
      </c>
      <c r="AW36" s="214" t="s">
        <v>739</v>
      </c>
      <c r="AX36" s="214"/>
      <c r="AY36" s="214" t="s">
        <v>2756</v>
      </c>
      <c r="AZ36" s="214" t="s">
        <v>2757</v>
      </c>
      <c r="BA36" s="214" t="s">
        <v>2758</v>
      </c>
      <c r="BB36" s="214"/>
      <c r="BC36" s="143" t="s">
        <v>727</v>
      </c>
    </row>
    <row r="37" spans="1:55" ht="15" customHeight="1" x14ac:dyDescent="0.25">
      <c r="A37" s="210">
        <v>6</v>
      </c>
      <c r="B37" s="143" t="s">
        <v>2713</v>
      </c>
      <c r="C37" s="143" t="s">
        <v>2714</v>
      </c>
      <c r="D37" s="143" t="s">
        <v>2715</v>
      </c>
      <c r="E37" s="143" t="s">
        <v>792</v>
      </c>
      <c r="F37" s="143" t="s">
        <v>793</v>
      </c>
      <c r="G37" s="143" t="s">
        <v>2458</v>
      </c>
      <c r="H37" s="143" t="s">
        <v>2461</v>
      </c>
      <c r="I37" s="143" t="s">
        <v>2759</v>
      </c>
      <c r="J37" s="217">
        <v>44287</v>
      </c>
      <c r="K37" s="217">
        <v>44561</v>
      </c>
      <c r="L37" s="143" t="s">
        <v>2760</v>
      </c>
      <c r="M37" s="143" t="s">
        <v>2718</v>
      </c>
      <c r="N37" s="143" t="s">
        <v>30</v>
      </c>
      <c r="O37" s="143" t="s">
        <v>2719</v>
      </c>
      <c r="P37" s="143" t="s">
        <v>735</v>
      </c>
      <c r="Q37" s="212">
        <v>8</v>
      </c>
      <c r="R37" s="212">
        <v>2</v>
      </c>
      <c r="S37" s="212">
        <v>2</v>
      </c>
      <c r="T37" s="212">
        <v>2</v>
      </c>
      <c r="U37" s="212">
        <v>2</v>
      </c>
      <c r="V37" s="212">
        <v>5</v>
      </c>
      <c r="W37" s="212" t="s">
        <v>2761</v>
      </c>
      <c r="X37" s="212">
        <v>5</v>
      </c>
      <c r="Y37" s="212" t="s">
        <v>2761</v>
      </c>
      <c r="Z37" s="212">
        <v>16</v>
      </c>
      <c r="AA37" s="212" t="s">
        <v>2762</v>
      </c>
      <c r="AB37" s="212"/>
      <c r="AC37" s="212"/>
      <c r="AD37" s="213">
        <v>44295</v>
      </c>
      <c r="AE37" s="213">
        <v>44379</v>
      </c>
      <c r="AF37" s="213">
        <v>44480</v>
      </c>
      <c r="AG37" s="213"/>
      <c r="AH37" s="75">
        <f t="shared" si="0"/>
        <v>1</v>
      </c>
      <c r="AI37" s="75">
        <f t="shared" si="1"/>
        <v>1</v>
      </c>
      <c r="AJ37" s="75">
        <f t="shared" si="2"/>
        <v>1</v>
      </c>
      <c r="AK37" s="75">
        <f t="shared" si="3"/>
        <v>1</v>
      </c>
      <c r="AL37" s="75" t="s">
        <v>2467</v>
      </c>
      <c r="AM37" s="214" t="s">
        <v>739</v>
      </c>
      <c r="AN37" s="214" t="s">
        <v>739</v>
      </c>
      <c r="AO37" s="214" t="s">
        <v>739</v>
      </c>
      <c r="AP37" s="214"/>
      <c r="AQ37" s="214" t="s">
        <v>2723</v>
      </c>
      <c r="AR37" s="214" t="s">
        <v>1258</v>
      </c>
      <c r="AS37" s="214" t="s">
        <v>2724</v>
      </c>
      <c r="AT37" s="214"/>
      <c r="AU37" s="214" t="s">
        <v>739</v>
      </c>
      <c r="AV37" s="214" t="s">
        <v>739</v>
      </c>
      <c r="AW37" s="214" t="s">
        <v>739</v>
      </c>
      <c r="AX37" s="214"/>
      <c r="AY37" s="214" t="s">
        <v>2763</v>
      </c>
      <c r="AZ37" s="214" t="s">
        <v>2764</v>
      </c>
      <c r="BA37" s="214" t="s">
        <v>2765</v>
      </c>
      <c r="BB37" s="214"/>
      <c r="BC37" s="143" t="s">
        <v>727</v>
      </c>
    </row>
    <row r="38" spans="1:55" ht="15" customHeight="1" x14ac:dyDescent="0.25">
      <c r="A38" s="210">
        <v>7</v>
      </c>
      <c r="B38" s="143" t="s">
        <v>2713</v>
      </c>
      <c r="C38" s="143" t="s">
        <v>2766</v>
      </c>
      <c r="D38" s="143" t="s">
        <v>2767</v>
      </c>
      <c r="E38" s="143" t="s">
        <v>792</v>
      </c>
      <c r="F38" s="143" t="s">
        <v>793</v>
      </c>
      <c r="G38" s="143" t="s">
        <v>730</v>
      </c>
      <c r="H38" s="143" t="s">
        <v>2768</v>
      </c>
      <c r="I38" s="143" t="s">
        <v>2769</v>
      </c>
      <c r="J38" s="217">
        <v>44197</v>
      </c>
      <c r="K38" s="217">
        <v>44530</v>
      </c>
      <c r="L38" s="143" t="s">
        <v>2770</v>
      </c>
      <c r="M38" s="143" t="s">
        <v>2718</v>
      </c>
      <c r="N38" s="143" t="s">
        <v>60</v>
      </c>
      <c r="O38" s="143" t="s">
        <v>2771</v>
      </c>
      <c r="P38" s="143" t="s">
        <v>821</v>
      </c>
      <c r="Q38" s="215">
        <v>1</v>
      </c>
      <c r="R38" s="215">
        <v>0</v>
      </c>
      <c r="S38" s="215">
        <v>0</v>
      </c>
      <c r="T38" s="215">
        <v>0</v>
      </c>
      <c r="U38" s="215">
        <v>1</v>
      </c>
      <c r="V38" s="215">
        <v>1</v>
      </c>
      <c r="W38" s="215" t="s">
        <v>2772</v>
      </c>
      <c r="X38" s="215">
        <v>1</v>
      </c>
      <c r="Y38" s="215" t="s">
        <v>2772</v>
      </c>
      <c r="Z38" s="215">
        <v>1</v>
      </c>
      <c r="AA38" s="215" t="s">
        <v>2772</v>
      </c>
      <c r="AB38" s="215"/>
      <c r="AC38" s="215"/>
      <c r="AD38" s="213">
        <v>44295</v>
      </c>
      <c r="AE38" s="213">
        <v>44379</v>
      </c>
      <c r="AF38" s="213">
        <v>44480</v>
      </c>
      <c r="AG38" s="213"/>
      <c r="AH38" s="75">
        <f t="shared" si="0"/>
        <v>1</v>
      </c>
      <c r="AI38" s="75" t="str">
        <f t="shared" si="1"/>
        <v/>
      </c>
      <c r="AJ38" s="75" t="str">
        <f t="shared" si="2"/>
        <v/>
      </c>
      <c r="AK38" s="75" t="str">
        <f t="shared" si="3"/>
        <v/>
      </c>
      <c r="AL38" s="75" t="s">
        <v>2467</v>
      </c>
      <c r="AM38" s="214" t="s">
        <v>739</v>
      </c>
      <c r="AN38" s="214" t="s">
        <v>739</v>
      </c>
      <c r="AO38" s="214" t="s">
        <v>739</v>
      </c>
      <c r="AP38" s="214"/>
      <c r="AQ38" s="214" t="s">
        <v>2724</v>
      </c>
      <c r="AR38" s="214" t="s">
        <v>2724</v>
      </c>
      <c r="AS38" s="214" t="s">
        <v>2724</v>
      </c>
      <c r="AT38" s="214"/>
      <c r="AU38" s="214" t="s">
        <v>739</v>
      </c>
      <c r="AV38" s="214" t="s">
        <v>739</v>
      </c>
      <c r="AW38" s="214" t="s">
        <v>739</v>
      </c>
      <c r="AX38" s="214"/>
      <c r="AY38" s="214" t="s">
        <v>2773</v>
      </c>
      <c r="AZ38" s="214" t="s">
        <v>2774</v>
      </c>
      <c r="BA38" s="214" t="s">
        <v>2775</v>
      </c>
      <c r="BB38" s="214"/>
      <c r="BC38" s="143" t="s">
        <v>778</v>
      </c>
    </row>
    <row r="39" spans="1:55" ht="15" customHeight="1" x14ac:dyDescent="0.25">
      <c r="A39" s="210">
        <v>8</v>
      </c>
      <c r="B39" s="143" t="s">
        <v>2713</v>
      </c>
      <c r="C39" s="143" t="s">
        <v>2766</v>
      </c>
      <c r="D39" s="143" t="s">
        <v>2767</v>
      </c>
      <c r="E39" s="143" t="s">
        <v>792</v>
      </c>
      <c r="F39" s="143" t="s">
        <v>793</v>
      </c>
      <c r="G39" s="143" t="s">
        <v>730</v>
      </c>
      <c r="H39" s="143" t="s">
        <v>2768</v>
      </c>
      <c r="I39" s="143" t="s">
        <v>2776</v>
      </c>
      <c r="J39" s="217">
        <v>44228</v>
      </c>
      <c r="K39" s="217">
        <v>44316</v>
      </c>
      <c r="L39" s="143" t="s">
        <v>2777</v>
      </c>
      <c r="M39" s="143" t="s">
        <v>2718</v>
      </c>
      <c r="N39" s="143" t="s">
        <v>30</v>
      </c>
      <c r="O39" s="143" t="s">
        <v>2771</v>
      </c>
      <c r="P39" s="143" t="s">
        <v>821</v>
      </c>
      <c r="Q39" s="212">
        <v>1</v>
      </c>
      <c r="R39" s="212">
        <v>0</v>
      </c>
      <c r="S39" s="212">
        <v>1</v>
      </c>
      <c r="T39" s="212">
        <v>0</v>
      </c>
      <c r="U39" s="212">
        <v>0</v>
      </c>
      <c r="V39" s="212">
        <v>0</v>
      </c>
      <c r="W39" s="212" t="s">
        <v>2778</v>
      </c>
      <c r="X39" s="212">
        <v>1</v>
      </c>
      <c r="Y39" s="212" t="s">
        <v>2779</v>
      </c>
      <c r="Z39" s="212">
        <v>0</v>
      </c>
      <c r="AA39" s="212" t="s">
        <v>2780</v>
      </c>
      <c r="AB39" s="212"/>
      <c r="AC39" s="212"/>
      <c r="AD39" s="213">
        <v>44295</v>
      </c>
      <c r="AE39" s="213">
        <v>44379</v>
      </c>
      <c r="AF39" s="213">
        <v>44480</v>
      </c>
      <c r="AG39" s="213"/>
      <c r="AH39" s="75">
        <f t="shared" si="0"/>
        <v>1</v>
      </c>
      <c r="AI39" s="75" t="str">
        <f t="shared" si="1"/>
        <v/>
      </c>
      <c r="AJ39" s="75">
        <f t="shared" si="2"/>
        <v>1</v>
      </c>
      <c r="AK39" s="75" t="str">
        <f t="shared" si="3"/>
        <v/>
      </c>
      <c r="AL39" s="75" t="s">
        <v>2467</v>
      </c>
      <c r="AM39" s="214" t="s">
        <v>838</v>
      </c>
      <c r="AN39" s="214" t="s">
        <v>739</v>
      </c>
      <c r="AO39" s="214" t="s">
        <v>838</v>
      </c>
      <c r="AP39" s="214"/>
      <c r="AQ39" s="214" t="s">
        <v>838</v>
      </c>
      <c r="AR39" s="214" t="s">
        <v>2724</v>
      </c>
      <c r="AS39" s="214" t="s">
        <v>838</v>
      </c>
      <c r="AT39" s="214"/>
      <c r="AU39" s="214" t="s">
        <v>838</v>
      </c>
      <c r="AV39" s="214" t="s">
        <v>739</v>
      </c>
      <c r="AW39" s="214" t="s">
        <v>838</v>
      </c>
      <c r="AX39" s="214"/>
      <c r="AY39" s="214" t="s">
        <v>1485</v>
      </c>
      <c r="AZ39" s="214" t="s">
        <v>2781</v>
      </c>
      <c r="BA39" s="214" t="s">
        <v>2782</v>
      </c>
      <c r="BB39" s="214"/>
      <c r="BC39" s="143" t="s">
        <v>778</v>
      </c>
    </row>
    <row r="40" spans="1:55" ht="15" customHeight="1" x14ac:dyDescent="0.25">
      <c r="A40" s="210">
        <v>9</v>
      </c>
      <c r="B40" s="143" t="s">
        <v>2713</v>
      </c>
      <c r="C40" s="143" t="s">
        <v>2766</v>
      </c>
      <c r="D40" s="143" t="s">
        <v>2767</v>
      </c>
      <c r="E40" s="143" t="s">
        <v>792</v>
      </c>
      <c r="F40" s="143" t="s">
        <v>793</v>
      </c>
      <c r="G40" s="143" t="s">
        <v>730</v>
      </c>
      <c r="H40" s="143" t="s">
        <v>2768</v>
      </c>
      <c r="I40" s="143" t="s">
        <v>2783</v>
      </c>
      <c r="J40" s="217">
        <v>44197</v>
      </c>
      <c r="K40" s="217">
        <v>44561</v>
      </c>
      <c r="L40" s="143" t="s">
        <v>2784</v>
      </c>
      <c r="M40" s="143" t="s">
        <v>2718</v>
      </c>
      <c r="N40" s="143" t="s">
        <v>30</v>
      </c>
      <c r="O40" s="143" t="s">
        <v>2771</v>
      </c>
      <c r="P40" s="143" t="s">
        <v>821</v>
      </c>
      <c r="Q40" s="212">
        <v>12</v>
      </c>
      <c r="R40" s="212">
        <v>3</v>
      </c>
      <c r="S40" s="212">
        <v>3</v>
      </c>
      <c r="T40" s="212">
        <v>3</v>
      </c>
      <c r="U40" s="212">
        <v>3</v>
      </c>
      <c r="V40" s="212">
        <v>3</v>
      </c>
      <c r="W40" s="212" t="s">
        <v>2785</v>
      </c>
      <c r="X40" s="212">
        <v>3</v>
      </c>
      <c r="Y40" s="212" t="s">
        <v>2786</v>
      </c>
      <c r="Z40" s="212">
        <v>3</v>
      </c>
      <c r="AA40" s="212" t="s">
        <v>2787</v>
      </c>
      <c r="AB40" s="212"/>
      <c r="AC40" s="212"/>
      <c r="AD40" s="213">
        <v>44295</v>
      </c>
      <c r="AE40" s="213">
        <v>44379</v>
      </c>
      <c r="AF40" s="213">
        <v>44480</v>
      </c>
      <c r="AG40" s="213"/>
      <c r="AH40" s="75">
        <f t="shared" si="0"/>
        <v>0.75</v>
      </c>
      <c r="AI40" s="75">
        <f t="shared" si="1"/>
        <v>1</v>
      </c>
      <c r="AJ40" s="75">
        <f t="shared" si="2"/>
        <v>1</v>
      </c>
      <c r="AK40" s="75">
        <f t="shared" si="3"/>
        <v>1</v>
      </c>
      <c r="AL40" s="75" t="s">
        <v>2467</v>
      </c>
      <c r="AM40" s="214" t="s">
        <v>739</v>
      </c>
      <c r="AN40" s="214" t="s">
        <v>739</v>
      </c>
      <c r="AO40" s="214" t="s">
        <v>739</v>
      </c>
      <c r="AP40" s="214"/>
      <c r="AQ40" s="214" t="s">
        <v>2724</v>
      </c>
      <c r="AR40" s="214" t="s">
        <v>2724</v>
      </c>
      <c r="AS40" s="214" t="s">
        <v>2724</v>
      </c>
      <c r="AT40" s="214"/>
      <c r="AU40" s="214" t="s">
        <v>828</v>
      </c>
      <c r="AV40" s="214" t="s">
        <v>739</v>
      </c>
      <c r="AW40" s="214" t="s">
        <v>739</v>
      </c>
      <c r="AX40" s="214"/>
      <c r="AY40" s="214" t="s">
        <v>2788</v>
      </c>
      <c r="AZ40" s="214" t="s">
        <v>2789</v>
      </c>
      <c r="BA40" s="214" t="s">
        <v>2790</v>
      </c>
      <c r="BB40" s="214"/>
      <c r="BC40" s="143" t="s">
        <v>778</v>
      </c>
    </row>
    <row r="41" spans="1:55" ht="15" customHeight="1" x14ac:dyDescent="0.25">
      <c r="A41" s="210">
        <v>10</v>
      </c>
      <c r="B41" s="143" t="s">
        <v>2713</v>
      </c>
      <c r="C41" s="143" t="s">
        <v>2766</v>
      </c>
      <c r="D41" s="143" t="s">
        <v>2767</v>
      </c>
      <c r="E41" s="143" t="s">
        <v>792</v>
      </c>
      <c r="F41" s="143" t="s">
        <v>793</v>
      </c>
      <c r="G41" s="143" t="s">
        <v>730</v>
      </c>
      <c r="H41" s="143" t="s">
        <v>2768</v>
      </c>
      <c r="I41" s="143" t="s">
        <v>2791</v>
      </c>
      <c r="J41" s="217">
        <v>44197</v>
      </c>
      <c r="K41" s="217">
        <v>44561</v>
      </c>
      <c r="L41" s="143" t="s">
        <v>2784</v>
      </c>
      <c r="M41" s="143" t="s">
        <v>2718</v>
      </c>
      <c r="N41" s="143" t="s">
        <v>30</v>
      </c>
      <c r="O41" s="143" t="s">
        <v>2771</v>
      </c>
      <c r="P41" s="143" t="s">
        <v>821</v>
      </c>
      <c r="Q41" s="212">
        <v>12</v>
      </c>
      <c r="R41" s="212">
        <v>3</v>
      </c>
      <c r="S41" s="212">
        <v>3</v>
      </c>
      <c r="T41" s="212">
        <v>3</v>
      </c>
      <c r="U41" s="212">
        <v>3</v>
      </c>
      <c r="V41" s="212">
        <v>3</v>
      </c>
      <c r="W41" s="212" t="s">
        <v>2785</v>
      </c>
      <c r="X41" s="212">
        <v>3</v>
      </c>
      <c r="Y41" s="212" t="s">
        <v>2786</v>
      </c>
      <c r="Z41" s="212">
        <v>3</v>
      </c>
      <c r="AA41" s="212" t="s">
        <v>2787</v>
      </c>
      <c r="AB41" s="212"/>
      <c r="AC41" s="212"/>
      <c r="AD41" s="213">
        <v>44295</v>
      </c>
      <c r="AE41" s="213">
        <v>44379</v>
      </c>
      <c r="AF41" s="213">
        <v>44480</v>
      </c>
      <c r="AG41" s="213"/>
      <c r="AH41" s="75">
        <f t="shared" si="0"/>
        <v>0.75</v>
      </c>
      <c r="AI41" s="75">
        <f t="shared" si="1"/>
        <v>1</v>
      </c>
      <c r="AJ41" s="75">
        <f t="shared" si="2"/>
        <v>1</v>
      </c>
      <c r="AK41" s="75">
        <f t="shared" si="3"/>
        <v>1</v>
      </c>
      <c r="AL41" s="75" t="s">
        <v>2467</v>
      </c>
      <c r="AM41" s="214" t="s">
        <v>739</v>
      </c>
      <c r="AN41" s="214" t="s">
        <v>739</v>
      </c>
      <c r="AO41" s="214" t="s">
        <v>739</v>
      </c>
      <c r="AP41" s="214"/>
      <c r="AQ41" s="214" t="s">
        <v>2724</v>
      </c>
      <c r="AR41" s="214" t="s">
        <v>2724</v>
      </c>
      <c r="AS41" s="214" t="s">
        <v>2724</v>
      </c>
      <c r="AT41" s="214"/>
      <c r="AU41" s="214" t="s">
        <v>828</v>
      </c>
      <c r="AV41" s="214" t="s">
        <v>739</v>
      </c>
      <c r="AW41" s="214" t="s">
        <v>739</v>
      </c>
      <c r="AX41" s="214"/>
      <c r="AY41" s="214" t="s">
        <v>2788</v>
      </c>
      <c r="AZ41" s="214" t="s">
        <v>2792</v>
      </c>
      <c r="BA41" s="214" t="s">
        <v>2793</v>
      </c>
      <c r="BB41" s="214"/>
      <c r="BC41" s="143" t="s">
        <v>778</v>
      </c>
    </row>
    <row r="42" spans="1:55" ht="15" customHeight="1" x14ac:dyDescent="0.25">
      <c r="A42" s="210">
        <v>11</v>
      </c>
      <c r="B42" s="143" t="s">
        <v>2713</v>
      </c>
      <c r="C42" s="143" t="s">
        <v>2766</v>
      </c>
      <c r="D42" s="143" t="s">
        <v>2767</v>
      </c>
      <c r="E42" s="143" t="s">
        <v>792</v>
      </c>
      <c r="F42" s="143" t="s">
        <v>793</v>
      </c>
      <c r="G42" s="143" t="s">
        <v>730</v>
      </c>
      <c r="H42" s="143" t="s">
        <v>2768</v>
      </c>
      <c r="I42" s="143" t="s">
        <v>2794</v>
      </c>
      <c r="J42" s="217">
        <v>44197</v>
      </c>
      <c r="K42" s="217">
        <v>44561</v>
      </c>
      <c r="L42" s="143" t="s">
        <v>2784</v>
      </c>
      <c r="M42" s="143" t="s">
        <v>2718</v>
      </c>
      <c r="N42" s="143" t="s">
        <v>30</v>
      </c>
      <c r="O42" s="143" t="s">
        <v>2771</v>
      </c>
      <c r="P42" s="143" t="s">
        <v>821</v>
      </c>
      <c r="Q42" s="212">
        <v>12</v>
      </c>
      <c r="R42" s="212">
        <v>3</v>
      </c>
      <c r="S42" s="212">
        <v>3</v>
      </c>
      <c r="T42" s="212">
        <v>3</v>
      </c>
      <c r="U42" s="212">
        <v>3</v>
      </c>
      <c r="V42" s="212">
        <v>3</v>
      </c>
      <c r="W42" s="212" t="s">
        <v>2785</v>
      </c>
      <c r="X42" s="212">
        <v>3</v>
      </c>
      <c r="Y42" s="212" t="s">
        <v>2786</v>
      </c>
      <c r="Z42" s="212">
        <v>3</v>
      </c>
      <c r="AA42" s="212" t="s">
        <v>2787</v>
      </c>
      <c r="AB42" s="212"/>
      <c r="AC42" s="212"/>
      <c r="AD42" s="213">
        <v>44295</v>
      </c>
      <c r="AE42" s="213">
        <v>44379</v>
      </c>
      <c r="AF42" s="213">
        <v>44480</v>
      </c>
      <c r="AG42" s="213"/>
      <c r="AH42" s="75">
        <f t="shared" si="0"/>
        <v>0.75</v>
      </c>
      <c r="AI42" s="75">
        <f t="shared" si="1"/>
        <v>1</v>
      </c>
      <c r="AJ42" s="75">
        <f t="shared" si="2"/>
        <v>1</v>
      </c>
      <c r="AK42" s="75">
        <f t="shared" si="3"/>
        <v>1</v>
      </c>
      <c r="AL42" s="75" t="s">
        <v>2467</v>
      </c>
      <c r="AM42" s="214" t="s">
        <v>739</v>
      </c>
      <c r="AN42" s="214" t="s">
        <v>739</v>
      </c>
      <c r="AO42" s="214" t="s">
        <v>739</v>
      </c>
      <c r="AP42" s="214"/>
      <c r="AQ42" s="214" t="s">
        <v>2724</v>
      </c>
      <c r="AR42" s="214" t="s">
        <v>2724</v>
      </c>
      <c r="AS42" s="214" t="s">
        <v>2724</v>
      </c>
      <c r="AT42" s="214"/>
      <c r="AU42" s="214" t="s">
        <v>828</v>
      </c>
      <c r="AV42" s="214" t="s">
        <v>739</v>
      </c>
      <c r="AW42" s="214" t="s">
        <v>739</v>
      </c>
      <c r="AX42" s="214"/>
      <c r="AY42" s="214" t="s">
        <v>2788</v>
      </c>
      <c r="AZ42" s="214" t="s">
        <v>2795</v>
      </c>
      <c r="BA42" s="214" t="s">
        <v>2796</v>
      </c>
      <c r="BB42" s="214"/>
      <c r="BC42" s="143" t="s">
        <v>778</v>
      </c>
    </row>
    <row r="43" spans="1:55" ht="15" customHeight="1" x14ac:dyDescent="0.25">
      <c r="A43" s="210">
        <v>12</v>
      </c>
      <c r="B43" s="143" t="s">
        <v>2713</v>
      </c>
      <c r="C43" s="143" t="s">
        <v>2766</v>
      </c>
      <c r="D43" s="143" t="s">
        <v>2797</v>
      </c>
      <c r="E43" s="143" t="s">
        <v>792</v>
      </c>
      <c r="F43" s="143" t="s">
        <v>793</v>
      </c>
      <c r="G43" s="143" t="s">
        <v>730</v>
      </c>
      <c r="H43" s="143" t="s">
        <v>2688</v>
      </c>
      <c r="I43" s="143" t="s">
        <v>2798</v>
      </c>
      <c r="J43" s="217">
        <v>44197</v>
      </c>
      <c r="K43" s="217">
        <v>44561</v>
      </c>
      <c r="L43" s="143" t="s">
        <v>2784</v>
      </c>
      <c r="M43" s="143" t="s">
        <v>2718</v>
      </c>
      <c r="N43" s="143" t="s">
        <v>30</v>
      </c>
      <c r="O43" s="143" t="s">
        <v>2799</v>
      </c>
      <c r="P43" s="143" t="s">
        <v>821</v>
      </c>
      <c r="Q43" s="212">
        <v>12</v>
      </c>
      <c r="R43" s="212">
        <v>3</v>
      </c>
      <c r="S43" s="212">
        <v>3</v>
      </c>
      <c r="T43" s="212">
        <v>3</v>
      </c>
      <c r="U43" s="212">
        <v>3</v>
      </c>
      <c r="V43" s="212">
        <v>3</v>
      </c>
      <c r="W43" s="212" t="s">
        <v>2800</v>
      </c>
      <c r="X43" s="212">
        <v>3</v>
      </c>
      <c r="Y43" s="212" t="s">
        <v>2800</v>
      </c>
      <c r="Z43" s="212">
        <v>3</v>
      </c>
      <c r="AA43" s="212" t="s">
        <v>2800</v>
      </c>
      <c r="AB43" s="212"/>
      <c r="AC43" s="212"/>
      <c r="AD43" s="213">
        <v>44295</v>
      </c>
      <c r="AE43" s="213">
        <v>44379</v>
      </c>
      <c r="AF43" s="213">
        <v>44480</v>
      </c>
      <c r="AG43" s="213"/>
      <c r="AH43" s="75">
        <f t="shared" si="0"/>
        <v>0.75</v>
      </c>
      <c r="AI43" s="75">
        <f t="shared" si="1"/>
        <v>1</v>
      </c>
      <c r="AJ43" s="75">
        <f t="shared" si="2"/>
        <v>1</v>
      </c>
      <c r="AK43" s="75">
        <f t="shared" si="3"/>
        <v>1</v>
      </c>
      <c r="AL43" s="75" t="s">
        <v>2467</v>
      </c>
      <c r="AM43" s="214" t="s">
        <v>739</v>
      </c>
      <c r="AN43" s="214" t="s">
        <v>739</v>
      </c>
      <c r="AO43" s="214" t="s">
        <v>739</v>
      </c>
      <c r="AP43" s="214"/>
      <c r="AQ43" s="214" t="s">
        <v>2724</v>
      </c>
      <c r="AR43" s="214" t="s">
        <v>2724</v>
      </c>
      <c r="AS43" s="214" t="s">
        <v>2724</v>
      </c>
      <c r="AT43" s="214"/>
      <c r="AU43" s="214" t="s">
        <v>739</v>
      </c>
      <c r="AV43" s="214" t="s">
        <v>739</v>
      </c>
      <c r="AW43" s="214" t="s">
        <v>739</v>
      </c>
      <c r="AX43" s="214"/>
      <c r="AY43" s="214" t="s">
        <v>2801</v>
      </c>
      <c r="AZ43" s="214" t="s">
        <v>2802</v>
      </c>
      <c r="BA43" s="214" t="s">
        <v>2803</v>
      </c>
      <c r="BB43" s="214"/>
      <c r="BC43" s="143" t="s">
        <v>791</v>
      </c>
    </row>
    <row r="44" spans="1:55" ht="15" customHeight="1" x14ac:dyDescent="0.25">
      <c r="A44" s="210">
        <v>13</v>
      </c>
      <c r="B44" s="143" t="s">
        <v>2713</v>
      </c>
      <c r="C44" s="143" t="s">
        <v>2766</v>
      </c>
      <c r="D44" s="143" t="s">
        <v>2797</v>
      </c>
      <c r="E44" s="143" t="s">
        <v>792</v>
      </c>
      <c r="F44" s="143" t="s">
        <v>793</v>
      </c>
      <c r="G44" s="143" t="s">
        <v>730</v>
      </c>
      <c r="H44" s="143" t="s">
        <v>2688</v>
      </c>
      <c r="I44" s="143" t="s">
        <v>2804</v>
      </c>
      <c r="J44" s="217">
        <v>44197</v>
      </c>
      <c r="K44" s="217">
        <v>44561</v>
      </c>
      <c r="L44" s="143" t="s">
        <v>2805</v>
      </c>
      <c r="M44" s="143" t="s">
        <v>2718</v>
      </c>
      <c r="N44" s="143" t="s">
        <v>60</v>
      </c>
      <c r="O44" s="143" t="s">
        <v>2799</v>
      </c>
      <c r="P44" s="143" t="s">
        <v>821</v>
      </c>
      <c r="Q44" s="215">
        <v>1</v>
      </c>
      <c r="R44" s="215">
        <v>0.25</v>
      </c>
      <c r="S44" s="215">
        <v>0.25</v>
      </c>
      <c r="T44" s="215">
        <v>0.25</v>
      </c>
      <c r="U44" s="215">
        <v>0.25</v>
      </c>
      <c r="V44" s="215">
        <v>0.25</v>
      </c>
      <c r="W44" s="215" t="s">
        <v>2806</v>
      </c>
      <c r="X44" s="215">
        <v>0.25</v>
      </c>
      <c r="Y44" s="215" t="s">
        <v>2806</v>
      </c>
      <c r="Z44" s="215">
        <v>0.25</v>
      </c>
      <c r="AA44" s="215" t="s">
        <v>2806</v>
      </c>
      <c r="AB44" s="215"/>
      <c r="AC44" s="215"/>
      <c r="AD44" s="213">
        <v>44295</v>
      </c>
      <c r="AE44" s="213">
        <v>44379</v>
      </c>
      <c r="AF44" s="213">
        <v>44480</v>
      </c>
      <c r="AG44" s="213"/>
      <c r="AH44" s="75">
        <f t="shared" si="0"/>
        <v>0.75</v>
      </c>
      <c r="AI44" s="75">
        <f t="shared" si="1"/>
        <v>1</v>
      </c>
      <c r="AJ44" s="75">
        <f t="shared" si="2"/>
        <v>1</v>
      </c>
      <c r="AK44" s="75">
        <f t="shared" si="3"/>
        <v>1</v>
      </c>
      <c r="AL44" s="75" t="s">
        <v>2467</v>
      </c>
      <c r="AM44" s="214" t="s">
        <v>739</v>
      </c>
      <c r="AN44" s="214" t="s">
        <v>739</v>
      </c>
      <c r="AO44" s="214" t="s">
        <v>739</v>
      </c>
      <c r="AP44" s="214"/>
      <c r="AQ44" s="214" t="s">
        <v>2724</v>
      </c>
      <c r="AR44" s="214" t="s">
        <v>2724</v>
      </c>
      <c r="AS44" s="214" t="s">
        <v>2724</v>
      </c>
      <c r="AT44" s="214"/>
      <c r="AU44" s="214" t="s">
        <v>739</v>
      </c>
      <c r="AV44" s="214" t="s">
        <v>739</v>
      </c>
      <c r="AW44" s="214" t="s">
        <v>739</v>
      </c>
      <c r="AX44" s="214"/>
      <c r="AY44" s="214" t="s">
        <v>2807</v>
      </c>
      <c r="AZ44" s="214" t="s">
        <v>2808</v>
      </c>
      <c r="BA44" s="214" t="s">
        <v>2809</v>
      </c>
      <c r="BB44" s="214"/>
      <c r="BC44" s="143" t="s">
        <v>791</v>
      </c>
    </row>
    <row r="45" spans="1:55" ht="15" customHeight="1" x14ac:dyDescent="0.25">
      <c r="A45" s="210">
        <v>14</v>
      </c>
      <c r="B45" s="143" t="s">
        <v>2713</v>
      </c>
      <c r="C45" s="143" t="s">
        <v>2766</v>
      </c>
      <c r="D45" s="143" t="s">
        <v>2797</v>
      </c>
      <c r="E45" s="143" t="s">
        <v>792</v>
      </c>
      <c r="F45" s="143" t="s">
        <v>793</v>
      </c>
      <c r="G45" s="143" t="s">
        <v>730</v>
      </c>
      <c r="H45" s="143" t="s">
        <v>2688</v>
      </c>
      <c r="I45" s="143" t="s">
        <v>2810</v>
      </c>
      <c r="J45" s="217">
        <v>44197</v>
      </c>
      <c r="K45" s="217">
        <v>44561</v>
      </c>
      <c r="L45" s="143" t="s">
        <v>2690</v>
      </c>
      <c r="M45" s="143" t="s">
        <v>2718</v>
      </c>
      <c r="N45" s="143" t="s">
        <v>30</v>
      </c>
      <c r="O45" s="143" t="s">
        <v>2799</v>
      </c>
      <c r="P45" s="143" t="s">
        <v>821</v>
      </c>
      <c r="Q45" s="212">
        <v>4</v>
      </c>
      <c r="R45" s="212">
        <v>0</v>
      </c>
      <c r="S45" s="212">
        <v>1</v>
      </c>
      <c r="T45" s="212">
        <v>1</v>
      </c>
      <c r="U45" s="212">
        <v>2</v>
      </c>
      <c r="V45" s="212">
        <v>1</v>
      </c>
      <c r="W45" s="212" t="s">
        <v>2811</v>
      </c>
      <c r="X45" s="212">
        <v>1</v>
      </c>
      <c r="Y45" s="212" t="s">
        <v>2811</v>
      </c>
      <c r="Z45" s="212">
        <v>1</v>
      </c>
      <c r="AA45" s="212" t="s">
        <v>2811</v>
      </c>
      <c r="AB45" s="212"/>
      <c r="AC45" s="212"/>
      <c r="AD45" s="213">
        <v>44295</v>
      </c>
      <c r="AE45" s="213">
        <v>44379</v>
      </c>
      <c r="AF45" s="213">
        <v>44480</v>
      </c>
      <c r="AG45" s="213"/>
      <c r="AH45" s="75">
        <f t="shared" si="0"/>
        <v>0.75</v>
      </c>
      <c r="AI45" s="75" t="str">
        <f t="shared" si="1"/>
        <v/>
      </c>
      <c r="AJ45" s="75">
        <f t="shared" si="2"/>
        <v>1</v>
      </c>
      <c r="AK45" s="75">
        <f t="shared" si="3"/>
        <v>1</v>
      </c>
      <c r="AL45" s="75" t="s">
        <v>2467</v>
      </c>
      <c r="AM45" s="214" t="s">
        <v>739</v>
      </c>
      <c r="AN45" s="214" t="s">
        <v>739</v>
      </c>
      <c r="AO45" s="214" t="s">
        <v>739</v>
      </c>
      <c r="AP45" s="214"/>
      <c r="AQ45" s="214" t="s">
        <v>2724</v>
      </c>
      <c r="AR45" s="214" t="s">
        <v>2724</v>
      </c>
      <c r="AS45" s="214" t="s">
        <v>2724</v>
      </c>
      <c r="AT45" s="214"/>
      <c r="AU45" s="214" t="s">
        <v>739</v>
      </c>
      <c r="AV45" s="214" t="s">
        <v>739</v>
      </c>
      <c r="AW45" s="214" t="s">
        <v>739</v>
      </c>
      <c r="AX45" s="214"/>
      <c r="AY45" s="214" t="s">
        <v>2812</v>
      </c>
      <c r="AZ45" s="214" t="s">
        <v>2813</v>
      </c>
      <c r="BA45" s="214" t="s">
        <v>2814</v>
      </c>
      <c r="BB45" s="214"/>
      <c r="BC45" s="143" t="s">
        <v>791</v>
      </c>
    </row>
    <row r="46" spans="1:55" ht="15" customHeight="1" x14ac:dyDescent="0.25">
      <c r="A46" s="210">
        <v>15</v>
      </c>
      <c r="B46" s="143" t="s">
        <v>2713</v>
      </c>
      <c r="C46" s="143" t="s">
        <v>2552</v>
      </c>
      <c r="D46" s="143" t="s">
        <v>2583</v>
      </c>
      <c r="E46" s="143" t="s">
        <v>2584</v>
      </c>
      <c r="F46" s="143" t="s">
        <v>793</v>
      </c>
      <c r="G46" s="143" t="s">
        <v>2458</v>
      </c>
      <c r="H46" s="143" t="s">
        <v>731</v>
      </c>
      <c r="I46" s="143" t="s">
        <v>2595</v>
      </c>
      <c r="J46" s="217">
        <v>44197</v>
      </c>
      <c r="K46" s="217">
        <v>44561</v>
      </c>
      <c r="L46" s="143" t="s">
        <v>2815</v>
      </c>
      <c r="M46" s="143" t="s">
        <v>2718</v>
      </c>
      <c r="N46" s="143" t="s">
        <v>60</v>
      </c>
      <c r="O46" s="143" t="s">
        <v>2587</v>
      </c>
      <c r="P46" s="143" t="s">
        <v>11</v>
      </c>
      <c r="Q46" s="215">
        <v>1</v>
      </c>
      <c r="R46" s="215">
        <v>0</v>
      </c>
      <c r="S46" s="215">
        <v>0</v>
      </c>
      <c r="T46" s="215">
        <v>0.5</v>
      </c>
      <c r="U46" s="215">
        <v>0.5</v>
      </c>
      <c r="V46" s="215">
        <v>0</v>
      </c>
      <c r="W46" s="215" t="s">
        <v>2816</v>
      </c>
      <c r="X46" s="215">
        <v>0</v>
      </c>
      <c r="Y46" s="215" t="s">
        <v>2816</v>
      </c>
      <c r="Z46" s="215">
        <v>0.5</v>
      </c>
      <c r="AA46" s="215" t="s">
        <v>2817</v>
      </c>
      <c r="AB46" s="215"/>
      <c r="AC46" s="215"/>
      <c r="AD46" s="213">
        <v>44295</v>
      </c>
      <c r="AE46" s="213">
        <v>44379</v>
      </c>
      <c r="AF46" s="213">
        <v>44480</v>
      </c>
      <c r="AG46" s="213"/>
      <c r="AH46" s="75">
        <f t="shared" si="0"/>
        <v>0.5</v>
      </c>
      <c r="AI46" s="75" t="str">
        <f t="shared" si="1"/>
        <v/>
      </c>
      <c r="AJ46" s="75" t="str">
        <f t="shared" si="2"/>
        <v/>
      </c>
      <c r="AK46" s="75">
        <f t="shared" si="3"/>
        <v>1</v>
      </c>
      <c r="AL46" s="75" t="s">
        <v>2467</v>
      </c>
      <c r="AM46" s="214" t="s">
        <v>838</v>
      </c>
      <c r="AN46" s="214" t="s">
        <v>838</v>
      </c>
      <c r="AO46" s="214" t="s">
        <v>739</v>
      </c>
      <c r="AP46" s="214"/>
      <c r="AQ46" s="214" t="s">
        <v>838</v>
      </c>
      <c r="AR46" s="214" t="s">
        <v>838</v>
      </c>
      <c r="AS46" s="214" t="s">
        <v>2724</v>
      </c>
      <c r="AT46" s="214"/>
      <c r="AU46" s="214" t="s">
        <v>838</v>
      </c>
      <c r="AV46" s="214" t="s">
        <v>838</v>
      </c>
      <c r="AW46" s="214" t="s">
        <v>739</v>
      </c>
      <c r="AX46" s="214"/>
      <c r="AY46" s="214" t="s">
        <v>2818</v>
      </c>
      <c r="AZ46" s="214" t="s">
        <v>2819</v>
      </c>
      <c r="BA46" s="214" t="s">
        <v>2820</v>
      </c>
      <c r="BB46" s="214"/>
      <c r="BC46" s="143" t="s">
        <v>727</v>
      </c>
    </row>
    <row r="47" spans="1:55" ht="15" customHeight="1" x14ac:dyDescent="0.25">
      <c r="A47" s="210">
        <v>16</v>
      </c>
      <c r="B47" s="143" t="s">
        <v>2713</v>
      </c>
      <c r="C47" s="143" t="s">
        <v>2601</v>
      </c>
      <c r="D47" s="143" t="s">
        <v>2583</v>
      </c>
      <c r="E47" s="143" t="s">
        <v>2584</v>
      </c>
      <c r="F47" s="143" t="s">
        <v>793</v>
      </c>
      <c r="G47" s="143" t="s">
        <v>2458</v>
      </c>
      <c r="H47" s="143" t="s">
        <v>731</v>
      </c>
      <c r="I47" s="143" t="s">
        <v>2602</v>
      </c>
      <c r="J47" s="217">
        <v>44197</v>
      </c>
      <c r="K47" s="217">
        <v>44561</v>
      </c>
      <c r="L47" s="143" t="s">
        <v>2603</v>
      </c>
      <c r="M47" s="143" t="s">
        <v>2718</v>
      </c>
      <c r="N47" s="143" t="s">
        <v>30</v>
      </c>
      <c r="O47" s="143" t="s">
        <v>2587</v>
      </c>
      <c r="P47" s="143" t="s">
        <v>11</v>
      </c>
      <c r="Q47" s="212">
        <v>4</v>
      </c>
      <c r="R47" s="212">
        <v>1</v>
      </c>
      <c r="S47" s="212">
        <v>1</v>
      </c>
      <c r="T47" s="212">
        <v>1</v>
      </c>
      <c r="U47" s="212">
        <v>1</v>
      </c>
      <c r="V47" s="212">
        <v>1</v>
      </c>
      <c r="W47" s="212" t="s">
        <v>2821</v>
      </c>
      <c r="X47" s="212">
        <v>1</v>
      </c>
      <c r="Y47" s="212" t="s">
        <v>2821</v>
      </c>
      <c r="Z47" s="212">
        <v>1</v>
      </c>
      <c r="AA47" s="212" t="s">
        <v>2821</v>
      </c>
      <c r="AB47" s="212"/>
      <c r="AC47" s="212"/>
      <c r="AD47" s="213">
        <v>44295</v>
      </c>
      <c r="AE47" s="213">
        <v>44379</v>
      </c>
      <c r="AF47" s="213">
        <v>44480</v>
      </c>
      <c r="AG47" s="213"/>
      <c r="AH47" s="75">
        <f t="shared" si="0"/>
        <v>0.75</v>
      </c>
      <c r="AI47" s="75">
        <f t="shared" si="1"/>
        <v>1</v>
      </c>
      <c r="AJ47" s="75">
        <f t="shared" si="2"/>
        <v>1</v>
      </c>
      <c r="AK47" s="75">
        <f t="shared" si="3"/>
        <v>1</v>
      </c>
      <c r="AL47" s="75" t="s">
        <v>2467</v>
      </c>
      <c r="AM47" s="214" t="s">
        <v>739</v>
      </c>
      <c r="AN47" s="214" t="s">
        <v>739</v>
      </c>
      <c r="AO47" s="214" t="s">
        <v>739</v>
      </c>
      <c r="AP47" s="214"/>
      <c r="AQ47" s="214" t="s">
        <v>2724</v>
      </c>
      <c r="AR47" s="214" t="s">
        <v>2724</v>
      </c>
      <c r="AS47" s="214" t="s">
        <v>2724</v>
      </c>
      <c r="AT47" s="214"/>
      <c r="AU47" s="214" t="s">
        <v>739</v>
      </c>
      <c r="AV47" s="214" t="s">
        <v>739</v>
      </c>
      <c r="AW47" s="214" t="s">
        <v>739</v>
      </c>
      <c r="AX47" s="214"/>
      <c r="AY47" s="214" t="s">
        <v>2822</v>
      </c>
      <c r="AZ47" s="214" t="s">
        <v>2823</v>
      </c>
      <c r="BA47" s="214" t="s">
        <v>2824</v>
      </c>
      <c r="BB47" s="214"/>
      <c r="BC47" s="143" t="s">
        <v>727</v>
      </c>
    </row>
    <row r="48" spans="1:55" ht="15" customHeight="1" x14ac:dyDescent="0.25">
      <c r="A48" s="210">
        <v>17</v>
      </c>
      <c r="B48" s="143" t="s">
        <v>2713</v>
      </c>
      <c r="C48" s="143" t="s">
        <v>2601</v>
      </c>
      <c r="D48" s="143" t="s">
        <v>2583</v>
      </c>
      <c r="E48" s="143" t="s">
        <v>2584</v>
      </c>
      <c r="F48" s="143" t="s">
        <v>793</v>
      </c>
      <c r="G48" s="143" t="s">
        <v>2458</v>
      </c>
      <c r="H48" s="143" t="s">
        <v>731</v>
      </c>
      <c r="I48" s="143" t="s">
        <v>2825</v>
      </c>
      <c r="J48" s="217">
        <v>44470</v>
      </c>
      <c r="K48" s="217">
        <v>44561</v>
      </c>
      <c r="L48" s="143" t="s">
        <v>2603</v>
      </c>
      <c r="M48" s="143" t="s">
        <v>2718</v>
      </c>
      <c r="N48" s="143" t="s">
        <v>30</v>
      </c>
      <c r="O48" s="143" t="s">
        <v>2587</v>
      </c>
      <c r="P48" s="143" t="s">
        <v>11</v>
      </c>
      <c r="Q48" s="212">
        <v>1</v>
      </c>
      <c r="R48" s="212">
        <v>0</v>
      </c>
      <c r="S48" s="212">
        <v>0</v>
      </c>
      <c r="T48" s="212">
        <v>0</v>
      </c>
      <c r="U48" s="212">
        <v>1</v>
      </c>
      <c r="V48" s="212">
        <v>0</v>
      </c>
      <c r="W48" s="212" t="s">
        <v>2826</v>
      </c>
      <c r="X48" s="212">
        <v>0</v>
      </c>
      <c r="Y48" s="212" t="s">
        <v>2826</v>
      </c>
      <c r="Z48" s="212">
        <v>0</v>
      </c>
      <c r="AA48" s="212" t="s">
        <v>2826</v>
      </c>
      <c r="AB48" s="212"/>
      <c r="AC48" s="212"/>
      <c r="AD48" s="213">
        <v>44295</v>
      </c>
      <c r="AE48" s="213">
        <v>44379</v>
      </c>
      <c r="AF48" s="213">
        <v>44480</v>
      </c>
      <c r="AG48" s="213"/>
      <c r="AH48" s="75">
        <f t="shared" si="0"/>
        <v>0</v>
      </c>
      <c r="AI48" s="75" t="str">
        <f t="shared" si="1"/>
        <v/>
      </c>
      <c r="AJ48" s="75" t="str">
        <f t="shared" si="2"/>
        <v/>
      </c>
      <c r="AK48" s="75" t="str">
        <f t="shared" si="3"/>
        <v/>
      </c>
      <c r="AL48" s="75" t="s">
        <v>2467</v>
      </c>
      <c r="AM48" s="214" t="s">
        <v>838</v>
      </c>
      <c r="AN48" s="214" t="s">
        <v>838</v>
      </c>
      <c r="AO48" s="214" t="s">
        <v>838</v>
      </c>
      <c r="AP48" s="214"/>
      <c r="AQ48" s="214" t="s">
        <v>838</v>
      </c>
      <c r="AR48" s="214" t="s">
        <v>838</v>
      </c>
      <c r="AS48" s="214" t="s">
        <v>838</v>
      </c>
      <c r="AT48" s="214"/>
      <c r="AU48" s="214" t="s">
        <v>838</v>
      </c>
      <c r="AV48" s="214" t="s">
        <v>838</v>
      </c>
      <c r="AW48" s="214" t="s">
        <v>838</v>
      </c>
      <c r="AX48" s="214"/>
      <c r="AY48" s="214" t="s">
        <v>2827</v>
      </c>
      <c r="AZ48" s="214" t="s">
        <v>2828</v>
      </c>
      <c r="BA48" s="214" t="s">
        <v>850</v>
      </c>
      <c r="BB48" s="214"/>
      <c r="BC48" s="143" t="s">
        <v>727</v>
      </c>
    </row>
    <row r="49" spans="1:55" ht="15" customHeight="1" x14ac:dyDescent="0.25">
      <c r="A49" s="210">
        <v>18</v>
      </c>
      <c r="B49" s="143" t="s">
        <v>2713</v>
      </c>
      <c r="C49" s="143" t="s">
        <v>2459</v>
      </c>
      <c r="D49" s="143" t="s">
        <v>2583</v>
      </c>
      <c r="E49" s="143" t="s">
        <v>2584</v>
      </c>
      <c r="F49" s="143" t="s">
        <v>793</v>
      </c>
      <c r="G49" s="143" t="s">
        <v>2458</v>
      </c>
      <c r="H49" s="143" t="s">
        <v>731</v>
      </c>
      <c r="I49" s="143" t="s">
        <v>2829</v>
      </c>
      <c r="J49" s="217">
        <v>44197</v>
      </c>
      <c r="K49" s="217">
        <v>44561</v>
      </c>
      <c r="L49" s="143" t="s">
        <v>2616</v>
      </c>
      <c r="M49" s="143" t="s">
        <v>2718</v>
      </c>
      <c r="N49" s="143" t="s">
        <v>30</v>
      </c>
      <c r="O49" s="143" t="s">
        <v>2587</v>
      </c>
      <c r="P49" s="143" t="s">
        <v>11</v>
      </c>
      <c r="Q49" s="212">
        <v>4</v>
      </c>
      <c r="R49" s="212">
        <v>1</v>
      </c>
      <c r="S49" s="212">
        <v>1</v>
      </c>
      <c r="T49" s="212">
        <v>1</v>
      </c>
      <c r="U49" s="212">
        <v>1</v>
      </c>
      <c r="V49" s="212">
        <v>1</v>
      </c>
      <c r="W49" s="212" t="s">
        <v>2830</v>
      </c>
      <c r="X49" s="212">
        <v>1</v>
      </c>
      <c r="Y49" s="212" t="s">
        <v>2830</v>
      </c>
      <c r="Z49" s="212">
        <v>1</v>
      </c>
      <c r="AA49" s="212" t="s">
        <v>2830</v>
      </c>
      <c r="AB49" s="212"/>
      <c r="AC49" s="212"/>
      <c r="AD49" s="213">
        <v>44295</v>
      </c>
      <c r="AE49" s="213">
        <v>44379</v>
      </c>
      <c r="AF49" s="213">
        <v>44480</v>
      </c>
      <c r="AG49" s="213"/>
      <c r="AH49" s="75">
        <f t="shared" si="0"/>
        <v>0.75</v>
      </c>
      <c r="AI49" s="75">
        <f t="shared" si="1"/>
        <v>1</v>
      </c>
      <c r="AJ49" s="75">
        <f t="shared" si="2"/>
        <v>1</v>
      </c>
      <c r="AK49" s="75">
        <f t="shared" si="3"/>
        <v>1</v>
      </c>
      <c r="AL49" s="75" t="s">
        <v>2467</v>
      </c>
      <c r="AM49" s="214" t="s">
        <v>739</v>
      </c>
      <c r="AN49" s="214" t="s">
        <v>739</v>
      </c>
      <c r="AO49" s="214" t="s">
        <v>739</v>
      </c>
      <c r="AP49" s="214"/>
      <c r="AQ49" s="214" t="s">
        <v>2724</v>
      </c>
      <c r="AR49" s="214" t="s">
        <v>2724</v>
      </c>
      <c r="AS49" s="214" t="s">
        <v>2724</v>
      </c>
      <c r="AT49" s="214"/>
      <c r="AU49" s="214" t="s">
        <v>739</v>
      </c>
      <c r="AV49" s="214" t="s">
        <v>739</v>
      </c>
      <c r="AW49" s="214" t="s">
        <v>739</v>
      </c>
      <c r="AX49" s="214"/>
      <c r="AY49" s="214" t="s">
        <v>2831</v>
      </c>
      <c r="AZ49" s="214" t="s">
        <v>2832</v>
      </c>
      <c r="BA49" s="214" t="s">
        <v>2833</v>
      </c>
      <c r="BB49" s="214"/>
      <c r="BC49" s="143" t="s">
        <v>727</v>
      </c>
    </row>
    <row r="50" spans="1:55" ht="15" customHeight="1" x14ac:dyDescent="0.25">
      <c r="A50" s="210">
        <v>19</v>
      </c>
      <c r="B50" s="143" t="s">
        <v>2713</v>
      </c>
      <c r="C50" s="143" t="s">
        <v>2459</v>
      </c>
      <c r="D50" s="143" t="s">
        <v>2583</v>
      </c>
      <c r="E50" s="143" t="s">
        <v>2584</v>
      </c>
      <c r="F50" s="143" t="s">
        <v>793</v>
      </c>
      <c r="G50" s="143" t="s">
        <v>2458</v>
      </c>
      <c r="H50" s="143" t="s">
        <v>731</v>
      </c>
      <c r="I50" s="143" t="s">
        <v>2834</v>
      </c>
      <c r="J50" s="217">
        <v>44470</v>
      </c>
      <c r="K50" s="217">
        <v>44561</v>
      </c>
      <c r="L50" s="143" t="s">
        <v>2616</v>
      </c>
      <c r="M50" s="143" t="s">
        <v>2718</v>
      </c>
      <c r="N50" s="143" t="s">
        <v>30</v>
      </c>
      <c r="O50" s="143" t="s">
        <v>2587</v>
      </c>
      <c r="P50" s="143" t="s">
        <v>11</v>
      </c>
      <c r="Q50" s="212">
        <v>2</v>
      </c>
      <c r="R50" s="212">
        <v>0</v>
      </c>
      <c r="S50" s="212">
        <v>0</v>
      </c>
      <c r="T50" s="212">
        <v>0</v>
      </c>
      <c r="U50" s="212">
        <v>2</v>
      </c>
      <c r="V50" s="212">
        <v>0</v>
      </c>
      <c r="W50" s="212" t="s">
        <v>2826</v>
      </c>
      <c r="X50" s="212">
        <v>0</v>
      </c>
      <c r="Y50" s="212" t="s">
        <v>2826</v>
      </c>
      <c r="Z50" s="212">
        <v>0</v>
      </c>
      <c r="AA50" s="212" t="s">
        <v>2826</v>
      </c>
      <c r="AB50" s="212"/>
      <c r="AC50" s="212"/>
      <c r="AD50" s="213">
        <v>44295</v>
      </c>
      <c r="AE50" s="213">
        <v>44379</v>
      </c>
      <c r="AF50" s="213">
        <v>44480</v>
      </c>
      <c r="AG50" s="213"/>
      <c r="AH50" s="75">
        <f t="shared" si="0"/>
        <v>0</v>
      </c>
      <c r="AI50" s="75" t="str">
        <f t="shared" si="1"/>
        <v/>
      </c>
      <c r="AJ50" s="75" t="str">
        <f t="shared" si="2"/>
        <v/>
      </c>
      <c r="AK50" s="75" t="str">
        <f t="shared" si="3"/>
        <v/>
      </c>
      <c r="AL50" s="75" t="s">
        <v>2467</v>
      </c>
      <c r="AM50" s="214" t="s">
        <v>838</v>
      </c>
      <c r="AN50" s="214" t="s">
        <v>838</v>
      </c>
      <c r="AO50" s="214" t="s">
        <v>739</v>
      </c>
      <c r="AP50" s="214"/>
      <c r="AQ50" s="214" t="s">
        <v>838</v>
      </c>
      <c r="AR50" s="214" t="s">
        <v>838</v>
      </c>
      <c r="AS50" s="214" t="s">
        <v>2724</v>
      </c>
      <c r="AT50" s="214"/>
      <c r="AU50" s="214" t="s">
        <v>838</v>
      </c>
      <c r="AV50" s="214" t="s">
        <v>838</v>
      </c>
      <c r="AW50" s="214" t="s">
        <v>838</v>
      </c>
      <c r="AX50" s="214"/>
      <c r="AY50" s="214" t="s">
        <v>2835</v>
      </c>
      <c r="AZ50" s="214" t="s">
        <v>2836</v>
      </c>
      <c r="BA50" s="214" t="s">
        <v>850</v>
      </c>
      <c r="BB50" s="214"/>
      <c r="BC50" s="143" t="s">
        <v>727</v>
      </c>
    </row>
    <row r="51" spans="1:55" ht="15" customHeight="1" x14ac:dyDescent="0.25">
      <c r="A51" s="210">
        <v>20</v>
      </c>
      <c r="B51" s="143" t="s">
        <v>2713</v>
      </c>
      <c r="C51" s="143" t="s">
        <v>2552</v>
      </c>
      <c r="D51" s="143" t="s">
        <v>2583</v>
      </c>
      <c r="E51" s="143" t="s">
        <v>2584</v>
      </c>
      <c r="F51" s="143" t="s">
        <v>793</v>
      </c>
      <c r="G51" s="143" t="s">
        <v>2458</v>
      </c>
      <c r="H51" s="143" t="s">
        <v>731</v>
      </c>
      <c r="I51" s="143" t="s">
        <v>2837</v>
      </c>
      <c r="J51" s="217">
        <v>44317</v>
      </c>
      <c r="K51" s="217">
        <v>44561</v>
      </c>
      <c r="L51" s="143" t="s">
        <v>2649</v>
      </c>
      <c r="M51" s="143" t="s">
        <v>2718</v>
      </c>
      <c r="N51" s="143" t="s">
        <v>30</v>
      </c>
      <c r="O51" s="143" t="s">
        <v>2587</v>
      </c>
      <c r="P51" s="143" t="s">
        <v>11</v>
      </c>
      <c r="Q51" s="212">
        <v>4</v>
      </c>
      <c r="R51" s="212">
        <v>0</v>
      </c>
      <c r="S51" s="212">
        <v>2</v>
      </c>
      <c r="T51" s="212">
        <v>1</v>
      </c>
      <c r="U51" s="212">
        <v>1</v>
      </c>
      <c r="V51" s="212">
        <v>0</v>
      </c>
      <c r="W51" s="212" t="s">
        <v>2778</v>
      </c>
      <c r="X51" s="212">
        <v>0</v>
      </c>
      <c r="Y51" s="212" t="s">
        <v>2778</v>
      </c>
      <c r="Z51" s="212">
        <v>2</v>
      </c>
      <c r="AA51" s="212" t="s">
        <v>2838</v>
      </c>
      <c r="AB51" s="212"/>
      <c r="AC51" s="212"/>
      <c r="AD51" s="213">
        <v>44295</v>
      </c>
      <c r="AE51" s="213">
        <v>44379</v>
      </c>
      <c r="AF51" s="213">
        <v>44480</v>
      </c>
      <c r="AG51" s="213"/>
      <c r="AH51" s="75">
        <f t="shared" si="0"/>
        <v>0.5</v>
      </c>
      <c r="AI51" s="75" t="str">
        <f t="shared" si="1"/>
        <v/>
      </c>
      <c r="AJ51" s="75">
        <f t="shared" si="2"/>
        <v>0</v>
      </c>
      <c r="AK51" s="75">
        <f t="shared" si="3"/>
        <v>1</v>
      </c>
      <c r="AL51" s="75" t="s">
        <v>2467</v>
      </c>
      <c r="AM51" s="214" t="s">
        <v>838</v>
      </c>
      <c r="AN51" s="214" t="s">
        <v>838</v>
      </c>
      <c r="AO51" s="214" t="s">
        <v>739</v>
      </c>
      <c r="AP51" s="214"/>
      <c r="AQ51" s="214" t="s">
        <v>838</v>
      </c>
      <c r="AR51" s="214" t="s">
        <v>838</v>
      </c>
      <c r="AS51" s="214" t="s">
        <v>2724</v>
      </c>
      <c r="AT51" s="214"/>
      <c r="AU51" s="214" t="s">
        <v>838</v>
      </c>
      <c r="AV51" s="214" t="s">
        <v>838</v>
      </c>
      <c r="AW51" s="214" t="s">
        <v>739</v>
      </c>
      <c r="AX51" s="214"/>
      <c r="AY51" s="214" t="s">
        <v>838</v>
      </c>
      <c r="AZ51" s="214" t="s">
        <v>2839</v>
      </c>
      <c r="BA51" s="214" t="s">
        <v>2840</v>
      </c>
      <c r="BB51" s="214"/>
      <c r="BC51" s="143" t="s">
        <v>727</v>
      </c>
    </row>
    <row r="52" spans="1:55" ht="15" customHeight="1" x14ac:dyDescent="0.25">
      <c r="A52" s="210">
        <v>1</v>
      </c>
      <c r="B52" s="143" t="s">
        <v>2841</v>
      </c>
      <c r="C52" s="143" t="s">
        <v>2842</v>
      </c>
      <c r="D52" s="143" t="s">
        <v>2843</v>
      </c>
      <c r="E52" s="143" t="s">
        <v>815</v>
      </c>
      <c r="F52" s="143" t="s">
        <v>965</v>
      </c>
      <c r="G52" s="143" t="s">
        <v>730</v>
      </c>
      <c r="H52" s="143" t="s">
        <v>731</v>
      </c>
      <c r="I52" s="143" t="s">
        <v>2844</v>
      </c>
      <c r="J52" s="217">
        <v>44197</v>
      </c>
      <c r="K52" s="217">
        <v>44561</v>
      </c>
      <c r="L52" s="143" t="s">
        <v>2845</v>
      </c>
      <c r="M52" s="143" t="s">
        <v>2846</v>
      </c>
      <c r="N52" s="143" t="s">
        <v>30</v>
      </c>
      <c r="O52" s="143" t="s">
        <v>967</v>
      </c>
      <c r="P52" s="143" t="s">
        <v>11</v>
      </c>
      <c r="Q52" s="212">
        <f t="shared" ref="Q52:Q73" si="4">SUM(R52:U52)</f>
        <v>2070</v>
      </c>
      <c r="R52" s="212">
        <v>70</v>
      </c>
      <c r="S52" s="212">
        <v>400</v>
      </c>
      <c r="T52" s="212">
        <v>800</v>
      </c>
      <c r="U52" s="212">
        <v>800</v>
      </c>
      <c r="V52" s="212">
        <v>53</v>
      </c>
      <c r="W52" s="212" t="s">
        <v>2847</v>
      </c>
      <c r="X52" s="212">
        <v>120</v>
      </c>
      <c r="Y52" s="212" t="s">
        <v>2848</v>
      </c>
      <c r="Z52" s="212">
        <v>730</v>
      </c>
      <c r="AA52" s="212" t="s">
        <v>2849</v>
      </c>
      <c r="AB52" s="212"/>
      <c r="AC52" s="212"/>
      <c r="AD52" s="213">
        <v>44295</v>
      </c>
      <c r="AE52" s="213">
        <v>44379</v>
      </c>
      <c r="AF52" s="213">
        <v>44483</v>
      </c>
      <c r="AG52" s="213"/>
      <c r="AH52" s="75">
        <f t="shared" si="0"/>
        <v>0.43623188405797103</v>
      </c>
      <c r="AI52" s="75">
        <f t="shared" si="1"/>
        <v>0.75714285714285712</v>
      </c>
      <c r="AJ52" s="75">
        <f t="shared" si="2"/>
        <v>1</v>
      </c>
      <c r="AK52" s="75">
        <f t="shared" si="3"/>
        <v>1</v>
      </c>
      <c r="AL52" s="75" t="s">
        <v>2467</v>
      </c>
      <c r="AM52" s="214" t="s">
        <v>739</v>
      </c>
      <c r="AN52" s="214" t="s">
        <v>739</v>
      </c>
      <c r="AO52" s="214" t="s">
        <v>739</v>
      </c>
      <c r="AP52" s="214"/>
      <c r="AQ52" s="214" t="s">
        <v>2850</v>
      </c>
      <c r="AR52" s="214" t="s">
        <v>2851</v>
      </c>
      <c r="AS52" s="214" t="s">
        <v>2852</v>
      </c>
      <c r="AT52" s="214"/>
      <c r="AU52" s="214" t="s">
        <v>739</v>
      </c>
      <c r="AV52" s="214" t="s">
        <v>739</v>
      </c>
      <c r="AW52" s="214" t="s">
        <v>828</v>
      </c>
      <c r="AX52" s="214"/>
      <c r="AY52" s="214" t="s">
        <v>2853</v>
      </c>
      <c r="AZ52" s="214" t="s">
        <v>2854</v>
      </c>
      <c r="BA52" s="214" t="s">
        <v>2855</v>
      </c>
      <c r="BB52" s="214"/>
      <c r="BC52" s="143" t="s">
        <v>727</v>
      </c>
    </row>
    <row r="53" spans="1:55" ht="15" customHeight="1" x14ac:dyDescent="0.25">
      <c r="A53" s="210">
        <v>2</v>
      </c>
      <c r="B53" s="143" t="s">
        <v>2841</v>
      </c>
      <c r="C53" s="143" t="s">
        <v>2842</v>
      </c>
      <c r="D53" s="143" t="s">
        <v>2856</v>
      </c>
      <c r="E53" s="143" t="s">
        <v>815</v>
      </c>
      <c r="F53" s="143" t="s">
        <v>965</v>
      </c>
      <c r="G53" s="143" t="s">
        <v>730</v>
      </c>
      <c r="H53" s="143" t="s">
        <v>731</v>
      </c>
      <c r="I53" s="143" t="s">
        <v>2857</v>
      </c>
      <c r="J53" s="217">
        <v>44291</v>
      </c>
      <c r="K53" s="217">
        <v>44377</v>
      </c>
      <c r="L53" s="143" t="s">
        <v>2858</v>
      </c>
      <c r="M53" s="143" t="s">
        <v>2846</v>
      </c>
      <c r="N53" s="143" t="s">
        <v>60</v>
      </c>
      <c r="O53" s="143" t="s">
        <v>2859</v>
      </c>
      <c r="P53" s="143" t="s">
        <v>11</v>
      </c>
      <c r="Q53" s="215">
        <f t="shared" si="4"/>
        <v>1</v>
      </c>
      <c r="R53" s="215">
        <v>0</v>
      </c>
      <c r="S53" s="215">
        <v>1</v>
      </c>
      <c r="T53" s="215">
        <v>0</v>
      </c>
      <c r="U53" s="215">
        <v>0</v>
      </c>
      <c r="V53" s="215">
        <v>0</v>
      </c>
      <c r="W53" s="215" t="s">
        <v>1710</v>
      </c>
      <c r="X53" s="215">
        <v>0.2</v>
      </c>
      <c r="Y53" s="215" t="s">
        <v>2860</v>
      </c>
      <c r="Z53" s="215">
        <v>0.8</v>
      </c>
      <c r="AA53" s="215" t="s">
        <v>2861</v>
      </c>
      <c r="AB53" s="215"/>
      <c r="AC53" s="215"/>
      <c r="AD53" s="213">
        <v>44295</v>
      </c>
      <c r="AE53" s="213">
        <v>44379</v>
      </c>
      <c r="AF53" s="213">
        <v>44483</v>
      </c>
      <c r="AG53" s="213"/>
      <c r="AH53" s="75">
        <f t="shared" si="0"/>
        <v>1</v>
      </c>
      <c r="AI53" s="75" t="str">
        <f t="shared" si="1"/>
        <v/>
      </c>
      <c r="AJ53" s="75">
        <f t="shared" si="2"/>
        <v>0.2</v>
      </c>
      <c r="AK53" s="75" t="str">
        <f t="shared" si="3"/>
        <v/>
      </c>
      <c r="AL53" s="75" t="s">
        <v>2467</v>
      </c>
      <c r="AM53" s="214" t="s">
        <v>838</v>
      </c>
      <c r="AN53" s="214" t="s">
        <v>739</v>
      </c>
      <c r="AO53" s="214" t="s">
        <v>739</v>
      </c>
      <c r="AP53" s="214"/>
      <c r="AQ53" s="214" t="s">
        <v>2862</v>
      </c>
      <c r="AR53" s="214" t="s">
        <v>2863</v>
      </c>
      <c r="AS53" s="214" t="s">
        <v>2864</v>
      </c>
      <c r="AT53" s="214"/>
      <c r="AU53" s="214" t="s">
        <v>838</v>
      </c>
      <c r="AV53" s="214" t="s">
        <v>739</v>
      </c>
      <c r="AW53" s="214" t="s">
        <v>739</v>
      </c>
      <c r="AX53" s="214"/>
      <c r="AY53" s="214" t="s">
        <v>1712</v>
      </c>
      <c r="AZ53" s="214" t="s">
        <v>2865</v>
      </c>
      <c r="BA53" s="214" t="s">
        <v>2866</v>
      </c>
      <c r="BB53" s="214"/>
      <c r="BC53" s="143" t="s">
        <v>727</v>
      </c>
    </row>
    <row r="54" spans="1:55" ht="15" customHeight="1" x14ac:dyDescent="0.25">
      <c r="A54" s="210">
        <v>3</v>
      </c>
      <c r="B54" s="143" t="s">
        <v>2841</v>
      </c>
      <c r="C54" s="143" t="s">
        <v>2842</v>
      </c>
      <c r="D54" s="143" t="s">
        <v>2856</v>
      </c>
      <c r="E54" s="143" t="s">
        <v>815</v>
      </c>
      <c r="F54" s="143" t="s">
        <v>965</v>
      </c>
      <c r="G54" s="143" t="s">
        <v>730</v>
      </c>
      <c r="H54" s="143" t="s">
        <v>731</v>
      </c>
      <c r="I54" s="143" t="s">
        <v>2867</v>
      </c>
      <c r="J54" s="217">
        <v>44378</v>
      </c>
      <c r="K54" s="217">
        <v>44561</v>
      </c>
      <c r="L54" s="143" t="s">
        <v>2868</v>
      </c>
      <c r="M54" s="143" t="s">
        <v>2846</v>
      </c>
      <c r="N54" s="143" t="s">
        <v>60</v>
      </c>
      <c r="O54" s="143" t="s">
        <v>2859</v>
      </c>
      <c r="P54" s="143" t="s">
        <v>11</v>
      </c>
      <c r="Q54" s="215">
        <f t="shared" si="4"/>
        <v>1</v>
      </c>
      <c r="R54" s="215">
        <v>0</v>
      </c>
      <c r="S54" s="215">
        <v>0</v>
      </c>
      <c r="T54" s="215">
        <v>0</v>
      </c>
      <c r="U54" s="215">
        <v>1</v>
      </c>
      <c r="V54" s="215">
        <v>0</v>
      </c>
      <c r="W54" s="215" t="s">
        <v>1710</v>
      </c>
      <c r="X54" s="215">
        <v>0</v>
      </c>
      <c r="Y54" s="215" t="s">
        <v>1576</v>
      </c>
      <c r="Z54" s="215">
        <v>0</v>
      </c>
      <c r="AA54" s="215" t="s">
        <v>1710</v>
      </c>
      <c r="AB54" s="215"/>
      <c r="AC54" s="215"/>
      <c r="AD54" s="213">
        <v>44295</v>
      </c>
      <c r="AE54" s="213">
        <v>44379</v>
      </c>
      <c r="AF54" s="213">
        <v>44483</v>
      </c>
      <c r="AG54" s="213"/>
      <c r="AH54" s="75">
        <f t="shared" si="0"/>
        <v>0</v>
      </c>
      <c r="AI54" s="75" t="str">
        <f t="shared" si="1"/>
        <v/>
      </c>
      <c r="AJ54" s="75" t="str">
        <f t="shared" si="2"/>
        <v/>
      </c>
      <c r="AK54" s="75" t="str">
        <f t="shared" si="3"/>
        <v/>
      </c>
      <c r="AL54" s="75" t="s">
        <v>2467</v>
      </c>
      <c r="AM54" s="214" t="s">
        <v>838</v>
      </c>
      <c r="AN54" s="214" t="s">
        <v>838</v>
      </c>
      <c r="AO54" s="214" t="s">
        <v>838</v>
      </c>
      <c r="AP54" s="214"/>
      <c r="AQ54" s="214" t="s">
        <v>2869</v>
      </c>
      <c r="AR54" s="214" t="s">
        <v>2870</v>
      </c>
      <c r="AS54" s="214" t="s">
        <v>1710</v>
      </c>
      <c r="AT54" s="214"/>
      <c r="AU54" s="214" t="s">
        <v>838</v>
      </c>
      <c r="AV54" s="214" t="s">
        <v>838</v>
      </c>
      <c r="AW54" s="214" t="s">
        <v>838</v>
      </c>
      <c r="AX54" s="214"/>
      <c r="AY54" s="214" t="s">
        <v>1712</v>
      </c>
      <c r="AZ54" s="214" t="s">
        <v>1712</v>
      </c>
      <c r="BA54" s="214" t="s">
        <v>1712</v>
      </c>
      <c r="BB54" s="214"/>
      <c r="BC54" s="143" t="s">
        <v>727</v>
      </c>
    </row>
    <row r="55" spans="1:55" ht="15" customHeight="1" x14ac:dyDescent="0.25">
      <c r="A55" s="210">
        <v>4</v>
      </c>
      <c r="B55" s="143" t="s">
        <v>2841</v>
      </c>
      <c r="C55" s="143" t="s">
        <v>2842</v>
      </c>
      <c r="D55" s="143" t="s">
        <v>2871</v>
      </c>
      <c r="E55" s="143" t="s">
        <v>815</v>
      </c>
      <c r="F55" s="143" t="s">
        <v>965</v>
      </c>
      <c r="G55" s="143" t="s">
        <v>730</v>
      </c>
      <c r="H55" s="143" t="s">
        <v>731</v>
      </c>
      <c r="I55" s="143" t="s">
        <v>2872</v>
      </c>
      <c r="J55" s="217">
        <v>44228</v>
      </c>
      <c r="K55" s="217">
        <v>44561</v>
      </c>
      <c r="L55" s="143" t="s">
        <v>2845</v>
      </c>
      <c r="M55" s="143" t="s">
        <v>2846</v>
      </c>
      <c r="N55" s="143" t="s">
        <v>60</v>
      </c>
      <c r="O55" s="143" t="s">
        <v>967</v>
      </c>
      <c r="P55" s="143" t="s">
        <v>11</v>
      </c>
      <c r="Q55" s="215">
        <f t="shared" si="4"/>
        <v>4</v>
      </c>
      <c r="R55" s="215">
        <v>1</v>
      </c>
      <c r="S55" s="215">
        <v>1</v>
      </c>
      <c r="T55" s="215">
        <v>1</v>
      </c>
      <c r="U55" s="215">
        <v>1</v>
      </c>
      <c r="V55" s="215">
        <v>1</v>
      </c>
      <c r="W55" s="215" t="s">
        <v>2873</v>
      </c>
      <c r="X55" s="215">
        <v>1</v>
      </c>
      <c r="Y55" s="215" t="s">
        <v>2874</v>
      </c>
      <c r="Z55" s="215">
        <v>1</v>
      </c>
      <c r="AA55" s="215" t="s">
        <v>2875</v>
      </c>
      <c r="AB55" s="215"/>
      <c r="AC55" s="215"/>
      <c r="AD55" s="213">
        <v>44295</v>
      </c>
      <c r="AE55" s="213">
        <v>44379</v>
      </c>
      <c r="AF55" s="213">
        <v>44483</v>
      </c>
      <c r="AG55" s="213"/>
      <c r="AH55" s="75">
        <f t="shared" si="0"/>
        <v>0.75</v>
      </c>
      <c r="AI55" s="75">
        <f t="shared" si="1"/>
        <v>1</v>
      </c>
      <c r="AJ55" s="75">
        <f t="shared" si="2"/>
        <v>1</v>
      </c>
      <c r="AK55" s="75">
        <f t="shared" si="3"/>
        <v>1</v>
      </c>
      <c r="AL55" s="75" t="s">
        <v>2467</v>
      </c>
      <c r="AM55" s="214" t="s">
        <v>739</v>
      </c>
      <c r="AN55" s="214" t="s">
        <v>739</v>
      </c>
      <c r="AO55" s="214" t="s">
        <v>739</v>
      </c>
      <c r="AP55" s="214"/>
      <c r="AQ55" s="214" t="s">
        <v>2876</v>
      </c>
      <c r="AR55" s="214" t="s">
        <v>2877</v>
      </c>
      <c r="AS55" s="214" t="s">
        <v>2878</v>
      </c>
      <c r="AT55" s="214"/>
      <c r="AU55" s="214" t="s">
        <v>739</v>
      </c>
      <c r="AV55" s="214" t="s">
        <v>739</v>
      </c>
      <c r="AW55" s="214" t="s">
        <v>739</v>
      </c>
      <c r="AX55" s="214"/>
      <c r="AY55" s="214" t="s">
        <v>2873</v>
      </c>
      <c r="AZ55" s="214" t="s">
        <v>2879</v>
      </c>
      <c r="BA55" s="214" t="s">
        <v>2873</v>
      </c>
      <c r="BB55" s="214"/>
      <c r="BC55" s="143" t="s">
        <v>727</v>
      </c>
    </row>
    <row r="56" spans="1:55" ht="15" customHeight="1" x14ac:dyDescent="0.25">
      <c r="A56" s="210">
        <v>5</v>
      </c>
      <c r="B56" s="143" t="s">
        <v>2841</v>
      </c>
      <c r="C56" s="143" t="s">
        <v>2880</v>
      </c>
      <c r="D56" s="143" t="s">
        <v>2881</v>
      </c>
      <c r="E56" s="143" t="s">
        <v>728</v>
      </c>
      <c r="F56" s="143" t="s">
        <v>729</v>
      </c>
      <c r="G56" s="143" t="s">
        <v>730</v>
      </c>
      <c r="H56" s="143" t="s">
        <v>731</v>
      </c>
      <c r="I56" s="143" t="s">
        <v>2882</v>
      </c>
      <c r="J56" s="217">
        <v>44317</v>
      </c>
      <c r="K56" s="217">
        <v>44530</v>
      </c>
      <c r="L56" s="143" t="s">
        <v>2883</v>
      </c>
      <c r="M56" s="143" t="s">
        <v>2846</v>
      </c>
      <c r="N56" s="143" t="s">
        <v>30</v>
      </c>
      <c r="O56" s="143" t="s">
        <v>967</v>
      </c>
      <c r="P56" s="143" t="s">
        <v>11</v>
      </c>
      <c r="Q56" s="212">
        <f t="shared" si="4"/>
        <v>4921</v>
      </c>
      <c r="R56" s="212">
        <v>0</v>
      </c>
      <c r="S56" s="212">
        <v>0</v>
      </c>
      <c r="T56" s="212">
        <v>0</v>
      </c>
      <c r="U56" s="212">
        <v>4921</v>
      </c>
      <c r="V56" s="212">
        <v>0</v>
      </c>
      <c r="W56" s="212" t="s">
        <v>1578</v>
      </c>
      <c r="X56" s="212">
        <v>0</v>
      </c>
      <c r="Y56" s="212" t="s">
        <v>1576</v>
      </c>
      <c r="Z56" s="212">
        <v>0</v>
      </c>
      <c r="AA56" s="212" t="s">
        <v>2884</v>
      </c>
      <c r="AB56" s="212"/>
      <c r="AC56" s="212"/>
      <c r="AD56" s="213">
        <v>44295</v>
      </c>
      <c r="AE56" s="213">
        <v>44379</v>
      </c>
      <c r="AF56" s="213">
        <v>44483</v>
      </c>
      <c r="AG56" s="213"/>
      <c r="AH56" s="75">
        <f t="shared" si="0"/>
        <v>0</v>
      </c>
      <c r="AI56" s="75" t="str">
        <f t="shared" si="1"/>
        <v/>
      </c>
      <c r="AJ56" s="75" t="str">
        <f t="shared" si="2"/>
        <v/>
      </c>
      <c r="AK56" s="75" t="str">
        <f t="shared" si="3"/>
        <v/>
      </c>
      <c r="AL56" s="75" t="s">
        <v>2467</v>
      </c>
      <c r="AM56" s="214" t="s">
        <v>838</v>
      </c>
      <c r="AN56" s="214" t="s">
        <v>838</v>
      </c>
      <c r="AO56" s="214" t="s">
        <v>838</v>
      </c>
      <c r="AP56" s="214"/>
      <c r="AQ56" s="214" t="s">
        <v>2885</v>
      </c>
      <c r="AR56" s="214" t="s">
        <v>2886</v>
      </c>
      <c r="AS56" s="214" t="s">
        <v>2887</v>
      </c>
      <c r="AT56" s="214"/>
      <c r="AU56" s="214" t="s">
        <v>838</v>
      </c>
      <c r="AV56" s="214" t="s">
        <v>838</v>
      </c>
      <c r="AW56" s="214" t="s">
        <v>838</v>
      </c>
      <c r="AX56" s="214"/>
      <c r="AY56" s="214" t="s">
        <v>1712</v>
      </c>
      <c r="AZ56" s="214" t="s">
        <v>1712</v>
      </c>
      <c r="BA56" s="214" t="s">
        <v>1712</v>
      </c>
      <c r="BB56" s="214"/>
      <c r="BC56" s="143" t="s">
        <v>727</v>
      </c>
    </row>
    <row r="57" spans="1:55" ht="15" customHeight="1" x14ac:dyDescent="0.25">
      <c r="A57" s="210">
        <v>6</v>
      </c>
      <c r="B57" s="143" t="s">
        <v>2841</v>
      </c>
      <c r="C57" s="143" t="s">
        <v>2880</v>
      </c>
      <c r="D57" s="143" t="s">
        <v>2871</v>
      </c>
      <c r="E57" s="143" t="s">
        <v>728</v>
      </c>
      <c r="F57" s="143" t="s">
        <v>2888</v>
      </c>
      <c r="G57" s="143" t="s">
        <v>730</v>
      </c>
      <c r="H57" s="143" t="s">
        <v>731</v>
      </c>
      <c r="I57" s="143" t="s">
        <v>2889</v>
      </c>
      <c r="J57" s="217">
        <v>44228</v>
      </c>
      <c r="K57" s="217">
        <v>44561</v>
      </c>
      <c r="L57" s="143" t="s">
        <v>2845</v>
      </c>
      <c r="M57" s="143" t="s">
        <v>2846</v>
      </c>
      <c r="N57" s="143" t="s">
        <v>60</v>
      </c>
      <c r="O57" s="143" t="s">
        <v>2890</v>
      </c>
      <c r="P57" s="143" t="s">
        <v>11</v>
      </c>
      <c r="Q57" s="215">
        <f t="shared" si="4"/>
        <v>4</v>
      </c>
      <c r="R57" s="215">
        <v>1</v>
      </c>
      <c r="S57" s="215">
        <v>1</v>
      </c>
      <c r="T57" s="215">
        <v>1</v>
      </c>
      <c r="U57" s="215">
        <v>1</v>
      </c>
      <c r="V57" s="215">
        <v>1</v>
      </c>
      <c r="W57" s="215" t="s">
        <v>2891</v>
      </c>
      <c r="X57" s="215">
        <v>1</v>
      </c>
      <c r="Y57" s="215" t="s">
        <v>2892</v>
      </c>
      <c r="Z57" s="215">
        <v>1</v>
      </c>
      <c r="AA57" s="215" t="s">
        <v>2893</v>
      </c>
      <c r="AB57" s="215"/>
      <c r="AC57" s="215"/>
      <c r="AD57" s="213">
        <v>44295</v>
      </c>
      <c r="AE57" s="213">
        <v>44379</v>
      </c>
      <c r="AF57" s="213">
        <v>44483</v>
      </c>
      <c r="AG57" s="213"/>
      <c r="AH57" s="75">
        <f t="shared" si="0"/>
        <v>0.75</v>
      </c>
      <c r="AI57" s="75">
        <f t="shared" si="1"/>
        <v>1</v>
      </c>
      <c r="AJ57" s="75">
        <f t="shared" si="2"/>
        <v>1</v>
      </c>
      <c r="AK57" s="75">
        <f t="shared" si="3"/>
        <v>1</v>
      </c>
      <c r="AL57" s="75" t="s">
        <v>2467</v>
      </c>
      <c r="AM57" s="214" t="s">
        <v>739</v>
      </c>
      <c r="AN57" s="214" t="s">
        <v>828</v>
      </c>
      <c r="AO57" s="214" t="s">
        <v>739</v>
      </c>
      <c r="AP57" s="214"/>
      <c r="AQ57" s="214" t="s">
        <v>2894</v>
      </c>
      <c r="AR57" s="214" t="s">
        <v>2895</v>
      </c>
      <c r="AS57" s="214" t="s">
        <v>2896</v>
      </c>
      <c r="AT57" s="214"/>
      <c r="AU57" s="214" t="s">
        <v>739</v>
      </c>
      <c r="AV57" s="214" t="s">
        <v>739</v>
      </c>
      <c r="AW57" s="214" t="s">
        <v>739</v>
      </c>
      <c r="AX57" s="214"/>
      <c r="AY57" s="214" t="s">
        <v>2891</v>
      </c>
      <c r="AZ57" s="214" t="s">
        <v>2897</v>
      </c>
      <c r="BA57" s="214" t="s">
        <v>2898</v>
      </c>
      <c r="BB57" s="214"/>
      <c r="BC57" s="143" t="s">
        <v>727</v>
      </c>
    </row>
    <row r="58" spans="1:55" ht="15" customHeight="1" x14ac:dyDescent="0.25">
      <c r="A58" s="210">
        <v>7</v>
      </c>
      <c r="B58" s="143" t="s">
        <v>2841</v>
      </c>
      <c r="C58" s="143" t="s">
        <v>2880</v>
      </c>
      <c r="D58" s="143" t="s">
        <v>2899</v>
      </c>
      <c r="E58" s="143" t="s">
        <v>728</v>
      </c>
      <c r="F58" s="143" t="s">
        <v>757</v>
      </c>
      <c r="G58" s="143" t="s">
        <v>730</v>
      </c>
      <c r="H58" s="143" t="s">
        <v>731</v>
      </c>
      <c r="I58" s="143" t="s">
        <v>2900</v>
      </c>
      <c r="J58" s="217">
        <v>44228</v>
      </c>
      <c r="K58" s="217">
        <v>44561</v>
      </c>
      <c r="L58" s="143" t="s">
        <v>2901</v>
      </c>
      <c r="M58" s="143" t="s">
        <v>2902</v>
      </c>
      <c r="N58" s="143" t="s">
        <v>60</v>
      </c>
      <c r="O58" s="143" t="s">
        <v>2903</v>
      </c>
      <c r="P58" s="143" t="s">
        <v>735</v>
      </c>
      <c r="Q58" s="215">
        <f t="shared" si="4"/>
        <v>4</v>
      </c>
      <c r="R58" s="215">
        <v>1</v>
      </c>
      <c r="S58" s="215">
        <v>1</v>
      </c>
      <c r="T58" s="215">
        <v>1</v>
      </c>
      <c r="U58" s="215">
        <v>1</v>
      </c>
      <c r="V58" s="215">
        <v>0.95</v>
      </c>
      <c r="W58" s="215" t="s">
        <v>2904</v>
      </c>
      <c r="X58" s="215">
        <v>0.98</v>
      </c>
      <c r="Y58" s="215" t="s">
        <v>2905</v>
      </c>
      <c r="Z58" s="215">
        <v>1</v>
      </c>
      <c r="AA58" s="215" t="s">
        <v>2906</v>
      </c>
      <c r="AB58" s="215"/>
      <c r="AC58" s="215"/>
      <c r="AD58" s="213">
        <v>44295</v>
      </c>
      <c r="AE58" s="213">
        <v>44379</v>
      </c>
      <c r="AF58" s="213">
        <v>44483</v>
      </c>
      <c r="AG58" s="213"/>
      <c r="AH58" s="75">
        <f t="shared" si="0"/>
        <v>0.73249999999999993</v>
      </c>
      <c r="AI58" s="75">
        <f t="shared" si="1"/>
        <v>0.95</v>
      </c>
      <c r="AJ58" s="75">
        <f t="shared" si="2"/>
        <v>1</v>
      </c>
      <c r="AK58" s="75">
        <f t="shared" si="3"/>
        <v>1</v>
      </c>
      <c r="AL58" s="75" t="s">
        <v>2467</v>
      </c>
      <c r="AM58" s="214" t="s">
        <v>739</v>
      </c>
      <c r="AN58" s="214" t="s">
        <v>739</v>
      </c>
      <c r="AO58" s="214" t="s">
        <v>739</v>
      </c>
      <c r="AP58" s="214"/>
      <c r="AQ58" s="214" t="s">
        <v>2907</v>
      </c>
      <c r="AR58" s="214" t="s">
        <v>2908</v>
      </c>
      <c r="AS58" s="214" t="s">
        <v>2909</v>
      </c>
      <c r="AT58" s="214"/>
      <c r="AU58" s="214" t="s">
        <v>739</v>
      </c>
      <c r="AV58" s="214" t="s">
        <v>739</v>
      </c>
      <c r="AW58" s="214" t="s">
        <v>739</v>
      </c>
      <c r="AX58" s="214"/>
      <c r="AY58" s="214" t="s">
        <v>2910</v>
      </c>
      <c r="AZ58" s="214" t="s">
        <v>2911</v>
      </c>
      <c r="BA58" s="214" t="s">
        <v>2912</v>
      </c>
      <c r="BB58" s="214"/>
      <c r="BC58" s="143" t="s">
        <v>727</v>
      </c>
    </row>
    <row r="59" spans="1:55" ht="15" customHeight="1" x14ac:dyDescent="0.25">
      <c r="A59" s="210">
        <v>8</v>
      </c>
      <c r="B59" s="143" t="s">
        <v>2841</v>
      </c>
      <c r="C59" s="143" t="s">
        <v>2880</v>
      </c>
      <c r="D59" s="143" t="s">
        <v>2899</v>
      </c>
      <c r="E59" s="143" t="s">
        <v>728</v>
      </c>
      <c r="F59" s="143" t="s">
        <v>757</v>
      </c>
      <c r="G59" s="143" t="s">
        <v>730</v>
      </c>
      <c r="H59" s="143" t="s">
        <v>731</v>
      </c>
      <c r="I59" s="143" t="s">
        <v>2913</v>
      </c>
      <c r="J59" s="217">
        <v>44228</v>
      </c>
      <c r="K59" s="217">
        <v>44561</v>
      </c>
      <c r="L59" s="143" t="s">
        <v>2901</v>
      </c>
      <c r="M59" s="143" t="s">
        <v>2902</v>
      </c>
      <c r="N59" s="143" t="s">
        <v>60</v>
      </c>
      <c r="O59" s="143" t="s">
        <v>2903</v>
      </c>
      <c r="P59" s="143" t="s">
        <v>735</v>
      </c>
      <c r="Q59" s="215">
        <f t="shared" si="4"/>
        <v>3.4</v>
      </c>
      <c r="R59" s="215">
        <v>0.85</v>
      </c>
      <c r="S59" s="215">
        <v>0.85</v>
      </c>
      <c r="T59" s="215">
        <v>0.85</v>
      </c>
      <c r="U59" s="215">
        <v>0.85</v>
      </c>
      <c r="V59" s="215">
        <v>0.51</v>
      </c>
      <c r="W59" s="215" t="s">
        <v>2914</v>
      </c>
      <c r="X59" s="215">
        <v>0.92</v>
      </c>
      <c r="Y59" s="215" t="s">
        <v>2915</v>
      </c>
      <c r="Z59" s="215">
        <v>0.81</v>
      </c>
      <c r="AA59" s="215" t="s">
        <v>2916</v>
      </c>
      <c r="AB59" s="215"/>
      <c r="AC59" s="215"/>
      <c r="AD59" s="213">
        <v>44295</v>
      </c>
      <c r="AE59" s="213">
        <v>44379</v>
      </c>
      <c r="AF59" s="213">
        <v>44483</v>
      </c>
      <c r="AG59" s="213"/>
      <c r="AH59" s="75">
        <f t="shared" si="0"/>
        <v>0.65882352941176481</v>
      </c>
      <c r="AI59" s="75">
        <f t="shared" si="1"/>
        <v>0.6</v>
      </c>
      <c r="AJ59" s="75">
        <f t="shared" si="2"/>
        <v>1</v>
      </c>
      <c r="AK59" s="75">
        <f t="shared" si="3"/>
        <v>1</v>
      </c>
      <c r="AL59" s="75" t="s">
        <v>2467</v>
      </c>
      <c r="AM59" s="214" t="s">
        <v>739</v>
      </c>
      <c r="AN59" s="214" t="s">
        <v>739</v>
      </c>
      <c r="AO59" s="214" t="s">
        <v>739</v>
      </c>
      <c r="AP59" s="214"/>
      <c r="AQ59" s="214" t="s">
        <v>2917</v>
      </c>
      <c r="AR59" s="214" t="s">
        <v>2918</v>
      </c>
      <c r="AS59" s="214" t="s">
        <v>2919</v>
      </c>
      <c r="AT59" s="214"/>
      <c r="AU59" s="214" t="s">
        <v>828</v>
      </c>
      <c r="AV59" s="214" t="s">
        <v>739</v>
      </c>
      <c r="AW59" s="214" t="s">
        <v>739</v>
      </c>
      <c r="AX59" s="214"/>
      <c r="AY59" s="214" t="s">
        <v>2920</v>
      </c>
      <c r="AZ59" s="214" t="s">
        <v>2921</v>
      </c>
      <c r="BA59" s="214" t="s">
        <v>2922</v>
      </c>
      <c r="BB59" s="214"/>
      <c r="BC59" s="143" t="s">
        <v>727</v>
      </c>
    </row>
    <row r="60" spans="1:55" ht="15" customHeight="1" x14ac:dyDescent="0.25">
      <c r="A60" s="210">
        <v>9</v>
      </c>
      <c r="B60" s="143" t="s">
        <v>2841</v>
      </c>
      <c r="C60" s="143" t="s">
        <v>2880</v>
      </c>
      <c r="D60" s="143" t="s">
        <v>2899</v>
      </c>
      <c r="E60" s="143" t="s">
        <v>728</v>
      </c>
      <c r="F60" s="143" t="s">
        <v>757</v>
      </c>
      <c r="G60" s="143" t="s">
        <v>730</v>
      </c>
      <c r="H60" s="143" t="s">
        <v>731</v>
      </c>
      <c r="I60" s="143" t="s">
        <v>2923</v>
      </c>
      <c r="J60" s="217">
        <v>44228</v>
      </c>
      <c r="K60" s="217">
        <v>44561</v>
      </c>
      <c r="L60" s="143" t="s">
        <v>2901</v>
      </c>
      <c r="M60" s="143" t="s">
        <v>2902</v>
      </c>
      <c r="N60" s="143" t="s">
        <v>30</v>
      </c>
      <c r="O60" s="143" t="s">
        <v>2924</v>
      </c>
      <c r="P60" s="143" t="s">
        <v>735</v>
      </c>
      <c r="Q60" s="218">
        <f t="shared" si="4"/>
        <v>12</v>
      </c>
      <c r="R60" s="218">
        <v>3</v>
      </c>
      <c r="S60" s="218">
        <v>3</v>
      </c>
      <c r="T60" s="218">
        <v>3</v>
      </c>
      <c r="U60" s="218">
        <v>3</v>
      </c>
      <c r="V60" s="218">
        <v>3</v>
      </c>
      <c r="W60" s="218" t="s">
        <v>2925</v>
      </c>
      <c r="X60" s="218">
        <v>3</v>
      </c>
      <c r="Y60" s="218" t="s">
        <v>2926</v>
      </c>
      <c r="Z60" s="218">
        <v>3</v>
      </c>
      <c r="AA60" s="218" t="s">
        <v>2927</v>
      </c>
      <c r="AB60" s="218"/>
      <c r="AC60" s="218"/>
      <c r="AD60" s="213">
        <v>44295</v>
      </c>
      <c r="AE60" s="213">
        <v>44379</v>
      </c>
      <c r="AF60" s="213">
        <v>44483</v>
      </c>
      <c r="AG60" s="213"/>
      <c r="AH60" s="75">
        <f t="shared" si="0"/>
        <v>0.75</v>
      </c>
      <c r="AI60" s="75">
        <f t="shared" si="1"/>
        <v>1</v>
      </c>
      <c r="AJ60" s="75">
        <f t="shared" si="2"/>
        <v>1</v>
      </c>
      <c r="AK60" s="75">
        <f t="shared" si="3"/>
        <v>1</v>
      </c>
      <c r="AL60" s="75" t="s">
        <v>2467</v>
      </c>
      <c r="AM60" s="214" t="s">
        <v>739</v>
      </c>
      <c r="AN60" s="214" t="s">
        <v>739</v>
      </c>
      <c r="AO60" s="214" t="s">
        <v>739</v>
      </c>
      <c r="AP60" s="214"/>
      <c r="AQ60" s="214" t="s">
        <v>2928</v>
      </c>
      <c r="AR60" s="214" t="s">
        <v>2929</v>
      </c>
      <c r="AS60" s="214" t="s">
        <v>2930</v>
      </c>
      <c r="AT60" s="214"/>
      <c r="AU60" s="214" t="s">
        <v>739</v>
      </c>
      <c r="AV60" s="214" t="s">
        <v>739</v>
      </c>
      <c r="AW60" s="214" t="s">
        <v>739</v>
      </c>
      <c r="AX60" s="214"/>
      <c r="AY60" s="214" t="s">
        <v>2931</v>
      </c>
      <c r="AZ60" s="214" t="s">
        <v>2932</v>
      </c>
      <c r="BA60" s="214" t="s">
        <v>2933</v>
      </c>
      <c r="BB60" s="214"/>
      <c r="BC60" s="143" t="s">
        <v>727</v>
      </c>
    </row>
    <row r="61" spans="1:55" ht="15" customHeight="1" x14ac:dyDescent="0.25">
      <c r="A61" s="210">
        <v>10</v>
      </c>
      <c r="B61" s="143" t="s">
        <v>2841</v>
      </c>
      <c r="C61" s="143" t="s">
        <v>2880</v>
      </c>
      <c r="D61" s="143" t="s">
        <v>2934</v>
      </c>
      <c r="E61" s="143" t="s">
        <v>728</v>
      </c>
      <c r="F61" s="143" t="s">
        <v>729</v>
      </c>
      <c r="G61" s="143" t="s">
        <v>730</v>
      </c>
      <c r="H61" s="143" t="s">
        <v>731</v>
      </c>
      <c r="I61" s="143" t="s">
        <v>2935</v>
      </c>
      <c r="J61" s="217">
        <v>44256</v>
      </c>
      <c r="K61" s="217">
        <v>44561</v>
      </c>
      <c r="L61" s="143" t="s">
        <v>2936</v>
      </c>
      <c r="M61" s="143" t="s">
        <v>2902</v>
      </c>
      <c r="N61" s="143" t="s">
        <v>60</v>
      </c>
      <c r="O61" s="143" t="s">
        <v>2937</v>
      </c>
      <c r="P61" s="143" t="s">
        <v>735</v>
      </c>
      <c r="Q61" s="219">
        <f t="shared" si="4"/>
        <v>1</v>
      </c>
      <c r="R61" s="219">
        <v>0.1</v>
      </c>
      <c r="S61" s="219">
        <v>0.3</v>
      </c>
      <c r="T61" s="219">
        <v>0.3</v>
      </c>
      <c r="U61" s="219">
        <v>0.3</v>
      </c>
      <c r="V61" s="219">
        <v>0.1</v>
      </c>
      <c r="W61" s="219" t="s">
        <v>2938</v>
      </c>
      <c r="X61" s="219">
        <v>0.3</v>
      </c>
      <c r="Y61" s="219" t="s">
        <v>2939</v>
      </c>
      <c r="Z61" s="219">
        <v>0.09</v>
      </c>
      <c r="AA61" s="219" t="s">
        <v>2940</v>
      </c>
      <c r="AB61" s="219"/>
      <c r="AC61" s="219"/>
      <c r="AD61" s="213">
        <v>44295</v>
      </c>
      <c r="AE61" s="213">
        <v>44379</v>
      </c>
      <c r="AF61" s="213">
        <v>44483</v>
      </c>
      <c r="AG61" s="213"/>
      <c r="AH61" s="75">
        <f t="shared" si="0"/>
        <v>0.49</v>
      </c>
      <c r="AI61" s="75">
        <f t="shared" si="1"/>
        <v>1</v>
      </c>
      <c r="AJ61" s="75">
        <f t="shared" si="2"/>
        <v>1</v>
      </c>
      <c r="AK61" s="75">
        <f t="shared" si="3"/>
        <v>0.7</v>
      </c>
      <c r="AL61" s="75" t="s">
        <v>2467</v>
      </c>
      <c r="AM61" s="214" t="s">
        <v>739</v>
      </c>
      <c r="AN61" s="214" t="s">
        <v>739</v>
      </c>
      <c r="AO61" s="214" t="s">
        <v>739</v>
      </c>
      <c r="AP61" s="214"/>
      <c r="AQ61" s="214" t="s">
        <v>2941</v>
      </c>
      <c r="AR61" s="214" t="s">
        <v>2942</v>
      </c>
      <c r="AS61" s="214" t="s">
        <v>2943</v>
      </c>
      <c r="AT61" s="214"/>
      <c r="AU61" s="214" t="s">
        <v>828</v>
      </c>
      <c r="AV61" s="214" t="s">
        <v>828</v>
      </c>
      <c r="AW61" s="214" t="s">
        <v>828</v>
      </c>
      <c r="AX61" s="214"/>
      <c r="AY61" s="214" t="s">
        <v>2944</v>
      </c>
      <c r="AZ61" s="214" t="s">
        <v>2945</v>
      </c>
      <c r="BA61" s="214" t="s">
        <v>2945</v>
      </c>
      <c r="BB61" s="214"/>
      <c r="BC61" s="143" t="s">
        <v>727</v>
      </c>
    </row>
    <row r="62" spans="1:55" ht="15" customHeight="1" x14ac:dyDescent="0.25">
      <c r="A62" s="210">
        <v>11</v>
      </c>
      <c r="B62" s="143" t="s">
        <v>2841</v>
      </c>
      <c r="C62" s="143" t="s">
        <v>2880</v>
      </c>
      <c r="D62" s="143" t="s">
        <v>2946</v>
      </c>
      <c r="E62" s="143" t="s">
        <v>728</v>
      </c>
      <c r="F62" s="143" t="s">
        <v>729</v>
      </c>
      <c r="G62" s="143" t="s">
        <v>730</v>
      </c>
      <c r="H62" s="143" t="s">
        <v>731</v>
      </c>
      <c r="I62" s="143" t="s">
        <v>2947</v>
      </c>
      <c r="J62" s="217">
        <v>44197</v>
      </c>
      <c r="K62" s="217">
        <v>44561</v>
      </c>
      <c r="L62" s="143" t="s">
        <v>2948</v>
      </c>
      <c r="M62" s="143" t="s">
        <v>2902</v>
      </c>
      <c r="N62" s="143" t="s">
        <v>30</v>
      </c>
      <c r="O62" s="143" t="s">
        <v>2949</v>
      </c>
      <c r="P62" s="143" t="s">
        <v>735</v>
      </c>
      <c r="Q62" s="212">
        <f t="shared" si="4"/>
        <v>448209</v>
      </c>
      <c r="R62" s="212">
        <v>90000</v>
      </c>
      <c r="S62" s="212">
        <v>119403</v>
      </c>
      <c r="T62" s="212">
        <v>119403</v>
      </c>
      <c r="U62" s="212">
        <v>119403</v>
      </c>
      <c r="V62" s="212">
        <v>77533</v>
      </c>
      <c r="W62" s="212" t="s">
        <v>2950</v>
      </c>
      <c r="X62" s="212">
        <v>186451</v>
      </c>
      <c r="Y62" s="212" t="s">
        <v>2951</v>
      </c>
      <c r="Z62" s="212">
        <v>286470</v>
      </c>
      <c r="AA62" s="212" t="s">
        <v>2952</v>
      </c>
      <c r="AB62" s="212"/>
      <c r="AC62" s="212"/>
      <c r="AD62" s="213">
        <v>44295</v>
      </c>
      <c r="AE62" s="213">
        <v>44379</v>
      </c>
      <c r="AF62" s="213">
        <v>44483</v>
      </c>
      <c r="AG62" s="213"/>
      <c r="AH62" s="75">
        <f t="shared" si="0"/>
        <v>1</v>
      </c>
      <c r="AI62" s="75">
        <f t="shared" si="1"/>
        <v>0.86147777777777779</v>
      </c>
      <c r="AJ62" s="75">
        <f t="shared" si="2"/>
        <v>1</v>
      </c>
      <c r="AK62" s="75">
        <f t="shared" si="3"/>
        <v>1</v>
      </c>
      <c r="AL62" s="75" t="s">
        <v>2467</v>
      </c>
      <c r="AM62" s="214" t="s">
        <v>739</v>
      </c>
      <c r="AN62" s="214" t="s">
        <v>739</v>
      </c>
      <c r="AO62" s="214" t="s">
        <v>739</v>
      </c>
      <c r="AP62" s="214"/>
      <c r="AQ62" s="214" t="s">
        <v>2953</v>
      </c>
      <c r="AR62" s="214" t="s">
        <v>2954</v>
      </c>
      <c r="AS62" s="214" t="s">
        <v>2955</v>
      </c>
      <c r="AT62" s="214"/>
      <c r="AU62" s="214" t="s">
        <v>739</v>
      </c>
      <c r="AV62" s="214" t="s">
        <v>739</v>
      </c>
      <c r="AW62" s="214" t="s">
        <v>828</v>
      </c>
      <c r="AX62" s="214"/>
      <c r="AY62" s="214" t="s">
        <v>2956</v>
      </c>
      <c r="AZ62" s="214" t="s">
        <v>2957</v>
      </c>
      <c r="BA62" s="214" t="s">
        <v>2958</v>
      </c>
      <c r="BB62" s="214"/>
      <c r="BC62" s="143" t="s">
        <v>727</v>
      </c>
    </row>
    <row r="63" spans="1:55" ht="15" customHeight="1" x14ac:dyDescent="0.25">
      <c r="A63" s="210">
        <v>12</v>
      </c>
      <c r="B63" s="143" t="s">
        <v>2841</v>
      </c>
      <c r="C63" s="143" t="s">
        <v>2880</v>
      </c>
      <c r="D63" s="143" t="s">
        <v>2959</v>
      </c>
      <c r="E63" s="143" t="s">
        <v>728</v>
      </c>
      <c r="F63" s="143" t="s">
        <v>729</v>
      </c>
      <c r="G63" s="143" t="s">
        <v>730</v>
      </c>
      <c r="H63" s="143" t="s">
        <v>731</v>
      </c>
      <c r="I63" s="143" t="s">
        <v>2960</v>
      </c>
      <c r="J63" s="217">
        <v>44197</v>
      </c>
      <c r="K63" s="217">
        <v>44561</v>
      </c>
      <c r="L63" s="143" t="s">
        <v>2961</v>
      </c>
      <c r="M63" s="143" t="s">
        <v>2962</v>
      </c>
      <c r="N63" s="143" t="s">
        <v>30</v>
      </c>
      <c r="O63" s="143" t="s">
        <v>2963</v>
      </c>
      <c r="P63" s="143" t="s">
        <v>735</v>
      </c>
      <c r="Q63" s="218">
        <f t="shared" si="4"/>
        <v>12</v>
      </c>
      <c r="R63" s="218">
        <v>3</v>
      </c>
      <c r="S63" s="218">
        <v>3</v>
      </c>
      <c r="T63" s="218">
        <v>3</v>
      </c>
      <c r="U63" s="218">
        <v>3</v>
      </c>
      <c r="V63" s="218">
        <v>2</v>
      </c>
      <c r="W63" s="218" t="s">
        <v>2964</v>
      </c>
      <c r="X63" s="218">
        <v>3</v>
      </c>
      <c r="Y63" s="218" t="s">
        <v>2965</v>
      </c>
      <c r="Z63" s="218">
        <v>3</v>
      </c>
      <c r="AA63" s="218" t="s">
        <v>2966</v>
      </c>
      <c r="AB63" s="218"/>
      <c r="AC63" s="218"/>
      <c r="AD63" s="213">
        <v>44295</v>
      </c>
      <c r="AE63" s="213">
        <v>44379</v>
      </c>
      <c r="AF63" s="213">
        <v>44483</v>
      </c>
      <c r="AG63" s="213"/>
      <c r="AH63" s="75">
        <f t="shared" si="0"/>
        <v>0.66666666666666663</v>
      </c>
      <c r="AI63" s="75">
        <f t="shared" si="1"/>
        <v>0.66666666666666663</v>
      </c>
      <c r="AJ63" s="75">
        <f t="shared" si="2"/>
        <v>1</v>
      </c>
      <c r="AK63" s="75">
        <f t="shared" si="3"/>
        <v>1</v>
      </c>
      <c r="AL63" s="75" t="s">
        <v>2467</v>
      </c>
      <c r="AM63" s="214" t="s">
        <v>739</v>
      </c>
      <c r="AN63" s="214" t="s">
        <v>739</v>
      </c>
      <c r="AO63" s="214" t="s">
        <v>739</v>
      </c>
      <c r="AP63" s="214"/>
      <c r="AQ63" s="214" t="s">
        <v>2967</v>
      </c>
      <c r="AR63" s="214" t="s">
        <v>2968</v>
      </c>
      <c r="AS63" s="214" t="s">
        <v>2969</v>
      </c>
      <c r="AT63" s="214"/>
      <c r="AU63" s="214" t="s">
        <v>739</v>
      </c>
      <c r="AV63" s="214" t="s">
        <v>739</v>
      </c>
      <c r="AW63" s="214" t="s">
        <v>739</v>
      </c>
      <c r="AX63" s="214"/>
      <c r="AY63" s="214" t="s">
        <v>2970</v>
      </c>
      <c r="AZ63" s="214" t="s">
        <v>2971</v>
      </c>
      <c r="BA63" s="214" t="s">
        <v>2972</v>
      </c>
      <c r="BB63" s="214"/>
      <c r="BC63" s="143" t="s">
        <v>727</v>
      </c>
    </row>
    <row r="64" spans="1:55" ht="15" customHeight="1" x14ac:dyDescent="0.25">
      <c r="A64" s="210">
        <v>13</v>
      </c>
      <c r="B64" s="143" t="s">
        <v>2841</v>
      </c>
      <c r="C64" s="143" t="s">
        <v>2973</v>
      </c>
      <c r="D64" s="143" t="s">
        <v>2974</v>
      </c>
      <c r="E64" s="143" t="s">
        <v>728</v>
      </c>
      <c r="F64" s="143" t="s">
        <v>2975</v>
      </c>
      <c r="G64" s="143" t="s">
        <v>730</v>
      </c>
      <c r="H64" s="143" t="s">
        <v>731</v>
      </c>
      <c r="I64" s="143" t="s">
        <v>2976</v>
      </c>
      <c r="J64" s="217">
        <v>44256</v>
      </c>
      <c r="K64" s="217">
        <v>44561</v>
      </c>
      <c r="L64" s="143" t="s">
        <v>733</v>
      </c>
      <c r="M64" s="143" t="s">
        <v>2902</v>
      </c>
      <c r="N64" s="143" t="s">
        <v>30</v>
      </c>
      <c r="O64" s="143" t="s">
        <v>2977</v>
      </c>
      <c r="P64" s="143" t="s">
        <v>735</v>
      </c>
      <c r="Q64" s="210">
        <f t="shared" si="4"/>
        <v>3</v>
      </c>
      <c r="R64" s="210">
        <v>0</v>
      </c>
      <c r="S64" s="210">
        <v>0</v>
      </c>
      <c r="T64" s="210">
        <v>2</v>
      </c>
      <c r="U64" s="210">
        <v>1</v>
      </c>
      <c r="V64" s="210">
        <v>0</v>
      </c>
      <c r="W64" s="210" t="s">
        <v>1710</v>
      </c>
      <c r="X64" s="210">
        <v>1</v>
      </c>
      <c r="Y64" s="210" t="s">
        <v>2978</v>
      </c>
      <c r="Z64" s="210">
        <v>8</v>
      </c>
      <c r="AA64" s="210" t="s">
        <v>2979</v>
      </c>
      <c r="AB64" s="210"/>
      <c r="AC64" s="210"/>
      <c r="AD64" s="213">
        <v>44295</v>
      </c>
      <c r="AE64" s="213">
        <v>44379</v>
      </c>
      <c r="AF64" s="213">
        <v>44483</v>
      </c>
      <c r="AG64" s="213"/>
      <c r="AH64" s="75">
        <f t="shared" si="0"/>
        <v>1</v>
      </c>
      <c r="AI64" s="75" t="str">
        <f t="shared" si="1"/>
        <v/>
      </c>
      <c r="AJ64" s="75" t="str">
        <f t="shared" si="2"/>
        <v/>
      </c>
      <c r="AK64" s="75">
        <f t="shared" si="3"/>
        <v>1</v>
      </c>
      <c r="AL64" s="75" t="s">
        <v>2467</v>
      </c>
      <c r="AM64" s="214" t="s">
        <v>838</v>
      </c>
      <c r="AN64" s="214" t="s">
        <v>739</v>
      </c>
      <c r="AO64" s="214" t="s">
        <v>739</v>
      </c>
      <c r="AP64" s="214"/>
      <c r="AQ64" s="214" t="s">
        <v>1578</v>
      </c>
      <c r="AR64" s="214" t="s">
        <v>2980</v>
      </c>
      <c r="AS64" s="214" t="s">
        <v>2981</v>
      </c>
      <c r="AT64" s="214"/>
      <c r="AU64" s="214" t="s">
        <v>838</v>
      </c>
      <c r="AV64" s="214" t="s">
        <v>739</v>
      </c>
      <c r="AW64" s="214" t="s">
        <v>739</v>
      </c>
      <c r="AX64" s="214"/>
      <c r="AY64" s="214" t="s">
        <v>1712</v>
      </c>
      <c r="AZ64" s="214" t="s">
        <v>2982</v>
      </c>
      <c r="BA64" s="214" t="s">
        <v>2983</v>
      </c>
      <c r="BB64" s="214"/>
      <c r="BC64" s="143" t="s">
        <v>727</v>
      </c>
    </row>
    <row r="65" spans="1:55" ht="15" customHeight="1" x14ac:dyDescent="0.25">
      <c r="A65" s="210">
        <v>14</v>
      </c>
      <c r="B65" s="143" t="s">
        <v>2841</v>
      </c>
      <c r="C65" s="143" t="s">
        <v>2973</v>
      </c>
      <c r="D65" s="143" t="s">
        <v>2984</v>
      </c>
      <c r="E65" s="143" t="s">
        <v>2985</v>
      </c>
      <c r="F65" s="143" t="s">
        <v>2986</v>
      </c>
      <c r="G65" s="143" t="s">
        <v>730</v>
      </c>
      <c r="H65" s="143" t="s">
        <v>731</v>
      </c>
      <c r="I65" s="143" t="s">
        <v>2987</v>
      </c>
      <c r="J65" s="217">
        <v>44197</v>
      </c>
      <c r="K65" s="217">
        <v>44377</v>
      </c>
      <c r="L65" s="143" t="s">
        <v>2988</v>
      </c>
      <c r="M65" s="143" t="s">
        <v>2962</v>
      </c>
      <c r="N65" s="143" t="s">
        <v>60</v>
      </c>
      <c r="O65" s="143" t="s">
        <v>2989</v>
      </c>
      <c r="P65" s="143" t="s">
        <v>11</v>
      </c>
      <c r="Q65" s="215">
        <f t="shared" si="4"/>
        <v>1</v>
      </c>
      <c r="R65" s="215">
        <v>0.5</v>
      </c>
      <c r="S65" s="215">
        <v>0.5</v>
      </c>
      <c r="T65" s="215">
        <v>0</v>
      </c>
      <c r="U65" s="215">
        <v>0</v>
      </c>
      <c r="V65" s="215">
        <v>0.5</v>
      </c>
      <c r="W65" s="215" t="s">
        <v>2990</v>
      </c>
      <c r="X65" s="215">
        <v>0.25</v>
      </c>
      <c r="Y65" s="215" t="s">
        <v>2991</v>
      </c>
      <c r="Z65" s="215">
        <v>0.25</v>
      </c>
      <c r="AA65" s="215" t="s">
        <v>2992</v>
      </c>
      <c r="AB65" s="215"/>
      <c r="AC65" s="215"/>
      <c r="AD65" s="213">
        <v>44295</v>
      </c>
      <c r="AE65" s="213">
        <v>44379</v>
      </c>
      <c r="AF65" s="213">
        <v>44483</v>
      </c>
      <c r="AG65" s="213"/>
      <c r="AH65" s="75">
        <f t="shared" si="0"/>
        <v>1</v>
      </c>
      <c r="AI65" s="75">
        <f t="shared" si="1"/>
        <v>1</v>
      </c>
      <c r="AJ65" s="75">
        <f t="shared" si="2"/>
        <v>1</v>
      </c>
      <c r="AK65" s="75" t="str">
        <f t="shared" si="3"/>
        <v/>
      </c>
      <c r="AL65" s="75" t="s">
        <v>2467</v>
      </c>
      <c r="AM65" s="214" t="s">
        <v>739</v>
      </c>
      <c r="AN65" s="214" t="s">
        <v>739</v>
      </c>
      <c r="AO65" s="214" t="s">
        <v>739</v>
      </c>
      <c r="AP65" s="214"/>
      <c r="AQ65" s="214" t="s">
        <v>2993</v>
      </c>
      <c r="AR65" s="214" t="s">
        <v>2994</v>
      </c>
      <c r="AS65" s="214" t="s">
        <v>2995</v>
      </c>
      <c r="AT65" s="214"/>
      <c r="AU65" s="214" t="s">
        <v>739</v>
      </c>
      <c r="AV65" s="214" t="s">
        <v>739</v>
      </c>
      <c r="AW65" s="214" t="s">
        <v>739</v>
      </c>
      <c r="AX65" s="214"/>
      <c r="AY65" s="214" t="s">
        <v>2996</v>
      </c>
      <c r="AZ65" s="214" t="s">
        <v>2997</v>
      </c>
      <c r="BA65" s="214" t="s">
        <v>2998</v>
      </c>
      <c r="BB65" s="214"/>
      <c r="BC65" s="143" t="s">
        <v>727</v>
      </c>
    </row>
    <row r="66" spans="1:55" ht="15" customHeight="1" x14ac:dyDescent="0.25">
      <c r="A66" s="210">
        <v>15</v>
      </c>
      <c r="B66" s="143" t="s">
        <v>2841</v>
      </c>
      <c r="C66" s="143" t="s">
        <v>2880</v>
      </c>
      <c r="D66" s="143" t="s">
        <v>2984</v>
      </c>
      <c r="E66" s="143" t="s">
        <v>2985</v>
      </c>
      <c r="F66" s="143" t="s">
        <v>2986</v>
      </c>
      <c r="G66" s="143" t="s">
        <v>730</v>
      </c>
      <c r="H66" s="143" t="s">
        <v>731</v>
      </c>
      <c r="I66" s="143" t="s">
        <v>2999</v>
      </c>
      <c r="J66" s="217">
        <v>44287</v>
      </c>
      <c r="K66" s="217">
        <v>44469</v>
      </c>
      <c r="L66" s="143" t="s">
        <v>2988</v>
      </c>
      <c r="M66" s="143" t="s">
        <v>3000</v>
      </c>
      <c r="N66" s="143" t="s">
        <v>60</v>
      </c>
      <c r="O66" s="143" t="s">
        <v>2989</v>
      </c>
      <c r="P66" s="143" t="s">
        <v>11</v>
      </c>
      <c r="Q66" s="215">
        <f t="shared" si="4"/>
        <v>1</v>
      </c>
      <c r="R66" s="215">
        <v>0</v>
      </c>
      <c r="S66" s="215">
        <v>0.5</v>
      </c>
      <c r="T66" s="215">
        <v>0.5</v>
      </c>
      <c r="U66" s="215">
        <v>0</v>
      </c>
      <c r="V66" s="215">
        <v>0</v>
      </c>
      <c r="W66" s="215" t="s">
        <v>1578</v>
      </c>
      <c r="X66" s="215">
        <v>0.2</v>
      </c>
      <c r="Y66" s="215" t="s">
        <v>3001</v>
      </c>
      <c r="Z66" s="215">
        <v>0.8</v>
      </c>
      <c r="AA66" s="215" t="s">
        <v>3002</v>
      </c>
      <c r="AB66" s="215"/>
      <c r="AC66" s="215"/>
      <c r="AD66" s="213">
        <v>44295</v>
      </c>
      <c r="AE66" s="213">
        <v>44379</v>
      </c>
      <c r="AF66" s="213">
        <v>44483</v>
      </c>
      <c r="AG66" s="213"/>
      <c r="AH66" s="75">
        <f t="shared" si="0"/>
        <v>1</v>
      </c>
      <c r="AI66" s="75" t="str">
        <f t="shared" si="1"/>
        <v/>
      </c>
      <c r="AJ66" s="75">
        <f t="shared" si="2"/>
        <v>0.4</v>
      </c>
      <c r="AK66" s="75">
        <f t="shared" si="3"/>
        <v>1</v>
      </c>
      <c r="AL66" s="75" t="s">
        <v>2467</v>
      </c>
      <c r="AM66" s="214" t="s">
        <v>838</v>
      </c>
      <c r="AN66" s="214" t="s">
        <v>739</v>
      </c>
      <c r="AO66" s="214" t="s">
        <v>739</v>
      </c>
      <c r="AP66" s="214"/>
      <c r="AQ66" s="214" t="s">
        <v>1710</v>
      </c>
      <c r="AR66" s="214" t="s">
        <v>3003</v>
      </c>
      <c r="AS66" s="214" t="s">
        <v>3004</v>
      </c>
      <c r="AT66" s="214"/>
      <c r="AU66" s="214" t="s">
        <v>838</v>
      </c>
      <c r="AV66" s="214" t="s">
        <v>739</v>
      </c>
      <c r="AW66" s="214" t="s">
        <v>828</v>
      </c>
      <c r="AX66" s="214"/>
      <c r="AY66" s="214" t="s">
        <v>1712</v>
      </c>
      <c r="AZ66" s="214" t="s">
        <v>3005</v>
      </c>
      <c r="BA66" s="214" t="s">
        <v>3006</v>
      </c>
      <c r="BB66" s="214"/>
      <c r="BC66" s="143" t="s">
        <v>727</v>
      </c>
    </row>
    <row r="67" spans="1:55" ht="15" customHeight="1" x14ac:dyDescent="0.25">
      <c r="A67" s="210">
        <v>16</v>
      </c>
      <c r="B67" s="143" t="s">
        <v>2841</v>
      </c>
      <c r="C67" s="143" t="s">
        <v>2973</v>
      </c>
      <c r="D67" s="143" t="s">
        <v>3007</v>
      </c>
      <c r="E67" s="143" t="s">
        <v>3008</v>
      </c>
      <c r="F67" s="143" t="s">
        <v>3009</v>
      </c>
      <c r="G67" s="143" t="s">
        <v>730</v>
      </c>
      <c r="H67" s="143" t="s">
        <v>731</v>
      </c>
      <c r="I67" s="143" t="s">
        <v>3010</v>
      </c>
      <c r="J67" s="217">
        <v>44287</v>
      </c>
      <c r="K67" s="217">
        <v>44377</v>
      </c>
      <c r="L67" s="143" t="s">
        <v>2858</v>
      </c>
      <c r="M67" s="143" t="s">
        <v>2962</v>
      </c>
      <c r="N67" s="143" t="s">
        <v>60</v>
      </c>
      <c r="O67" s="143" t="s">
        <v>3011</v>
      </c>
      <c r="P67" s="143" t="s">
        <v>11</v>
      </c>
      <c r="Q67" s="240">
        <f t="shared" si="4"/>
        <v>1</v>
      </c>
      <c r="R67" s="240">
        <v>0</v>
      </c>
      <c r="S67" s="240">
        <v>1</v>
      </c>
      <c r="T67" s="240">
        <v>0</v>
      </c>
      <c r="U67" s="240">
        <v>0</v>
      </c>
      <c r="V67" s="240">
        <v>0</v>
      </c>
      <c r="W67" s="240" t="s">
        <v>1710</v>
      </c>
      <c r="X67" s="240">
        <v>0.05</v>
      </c>
      <c r="Y67" s="240" t="s">
        <v>3012</v>
      </c>
      <c r="Z67" s="240">
        <v>0.05</v>
      </c>
      <c r="AA67" s="240" t="s">
        <v>3013</v>
      </c>
      <c r="AB67" s="240"/>
      <c r="AC67" s="240"/>
      <c r="AD67" s="213">
        <v>44295</v>
      </c>
      <c r="AE67" s="213">
        <v>44379</v>
      </c>
      <c r="AF67" s="213">
        <v>44483</v>
      </c>
      <c r="AG67" s="213"/>
      <c r="AH67" s="75">
        <f t="shared" ref="AH67:AH130" si="5">IFERROR(IF((V67+X67+Z67+AB67)/Q67&gt;1,1,(V67+X67+Z67+AB67)/Q67),0)</f>
        <v>0.1</v>
      </c>
      <c r="AI67" s="75" t="str">
        <f t="shared" ref="AI67:AI130" si="6">IFERROR(IF(R67=0,"",IF((V67/R67)&gt;1,1,(V67/R67))),"")</f>
        <v/>
      </c>
      <c r="AJ67" s="75">
        <f t="shared" ref="AJ67:AJ130" si="7">IFERROR(IF(S67=0,"",IF((V67+X67/S67)&gt;1,1,(V67+X67/S67))),"")</f>
        <v>0.05</v>
      </c>
      <c r="AK67" s="75" t="str">
        <f t="shared" ref="AK67:AK130" si="8">IFERROR(IF(T67=0,"",IF((V67+X67+Z67/T67)&gt;1,1,(V67+X67+Z67/T67))),"")</f>
        <v/>
      </c>
      <c r="AL67" s="75" t="s">
        <v>2467</v>
      </c>
      <c r="AM67" s="214" t="s">
        <v>838</v>
      </c>
      <c r="AN67" s="214" t="s">
        <v>739</v>
      </c>
      <c r="AO67" s="214" t="s">
        <v>739</v>
      </c>
      <c r="AP67" s="214"/>
      <c r="AQ67" s="214" t="s">
        <v>1710</v>
      </c>
      <c r="AR67" s="214" t="s">
        <v>3014</v>
      </c>
      <c r="AS67" s="214" t="s">
        <v>3015</v>
      </c>
      <c r="AT67" s="214"/>
      <c r="AU67" s="214" t="s">
        <v>838</v>
      </c>
      <c r="AV67" s="214" t="s">
        <v>828</v>
      </c>
      <c r="AW67" s="214" t="s">
        <v>828</v>
      </c>
      <c r="AX67" s="214"/>
      <c r="AY67" s="214" t="s">
        <v>3016</v>
      </c>
      <c r="AZ67" s="214" t="s">
        <v>3017</v>
      </c>
      <c r="BA67" s="214" t="s">
        <v>3018</v>
      </c>
      <c r="BB67" s="214"/>
      <c r="BC67" s="143" t="s">
        <v>727</v>
      </c>
    </row>
    <row r="68" spans="1:55" ht="15" customHeight="1" x14ac:dyDescent="0.25">
      <c r="A68" s="210">
        <v>17</v>
      </c>
      <c r="B68" s="143" t="s">
        <v>2841</v>
      </c>
      <c r="C68" s="143" t="s">
        <v>2973</v>
      </c>
      <c r="D68" s="143" t="s">
        <v>3007</v>
      </c>
      <c r="E68" s="143" t="s">
        <v>3008</v>
      </c>
      <c r="F68" s="143" t="s">
        <v>3009</v>
      </c>
      <c r="G68" s="143" t="s">
        <v>730</v>
      </c>
      <c r="H68" s="143" t="s">
        <v>731</v>
      </c>
      <c r="I68" s="143" t="s">
        <v>3019</v>
      </c>
      <c r="J68" s="217">
        <v>44378</v>
      </c>
      <c r="K68" s="217">
        <v>44561</v>
      </c>
      <c r="L68" s="143" t="s">
        <v>2868</v>
      </c>
      <c r="M68" s="143" t="s">
        <v>2962</v>
      </c>
      <c r="N68" s="143" t="s">
        <v>60</v>
      </c>
      <c r="O68" s="143" t="s">
        <v>3011</v>
      </c>
      <c r="P68" s="143" t="s">
        <v>11</v>
      </c>
      <c r="Q68" s="240">
        <f t="shared" si="4"/>
        <v>1</v>
      </c>
      <c r="R68" s="240">
        <v>0</v>
      </c>
      <c r="S68" s="240">
        <v>0</v>
      </c>
      <c r="T68" s="240">
        <v>0.5</v>
      </c>
      <c r="U68" s="240">
        <v>0.5</v>
      </c>
      <c r="V68" s="240">
        <v>0</v>
      </c>
      <c r="W68" s="240" t="s">
        <v>1710</v>
      </c>
      <c r="X68" s="240">
        <v>0</v>
      </c>
      <c r="Y68" s="240" t="s">
        <v>1576</v>
      </c>
      <c r="Z68" s="240">
        <v>0</v>
      </c>
      <c r="AA68" s="240" t="s">
        <v>3020</v>
      </c>
      <c r="AB68" s="240"/>
      <c r="AC68" s="240"/>
      <c r="AD68" s="213">
        <v>44295</v>
      </c>
      <c r="AE68" s="213">
        <v>44379</v>
      </c>
      <c r="AF68" s="213">
        <v>44483</v>
      </c>
      <c r="AG68" s="213"/>
      <c r="AH68" s="75">
        <f t="shared" si="5"/>
        <v>0</v>
      </c>
      <c r="AI68" s="75" t="str">
        <f t="shared" si="6"/>
        <v/>
      </c>
      <c r="AJ68" s="75" t="str">
        <f t="shared" si="7"/>
        <v/>
      </c>
      <c r="AK68" s="75">
        <f t="shared" si="8"/>
        <v>0</v>
      </c>
      <c r="AL68" s="75" t="s">
        <v>2467</v>
      </c>
      <c r="AM68" s="214" t="s">
        <v>838</v>
      </c>
      <c r="AN68" s="214" t="s">
        <v>838</v>
      </c>
      <c r="AO68" s="214" t="s">
        <v>838</v>
      </c>
      <c r="AP68" s="214"/>
      <c r="AQ68" s="214" t="s">
        <v>1710</v>
      </c>
      <c r="AR68" s="214" t="s">
        <v>1578</v>
      </c>
      <c r="AS68" s="214" t="s">
        <v>3021</v>
      </c>
      <c r="AT68" s="214"/>
      <c r="AU68" s="214" t="s">
        <v>838</v>
      </c>
      <c r="AV68" s="214" t="s">
        <v>838</v>
      </c>
      <c r="AW68" s="214" t="s">
        <v>828</v>
      </c>
      <c r="AX68" s="214"/>
      <c r="AY68" s="214" t="s">
        <v>1712</v>
      </c>
      <c r="AZ68" s="214" t="s">
        <v>1712</v>
      </c>
      <c r="BA68" s="214" t="s">
        <v>3022</v>
      </c>
      <c r="BB68" s="214"/>
      <c r="BC68" s="143" t="s">
        <v>727</v>
      </c>
    </row>
    <row r="69" spans="1:55" ht="15" customHeight="1" x14ac:dyDescent="0.25">
      <c r="A69" s="210">
        <v>18</v>
      </c>
      <c r="B69" s="143" t="s">
        <v>2841</v>
      </c>
      <c r="C69" s="143" t="s">
        <v>2973</v>
      </c>
      <c r="D69" s="143" t="s">
        <v>3023</v>
      </c>
      <c r="E69" s="143" t="s">
        <v>3008</v>
      </c>
      <c r="F69" s="143" t="s">
        <v>3024</v>
      </c>
      <c r="G69" s="143" t="s">
        <v>730</v>
      </c>
      <c r="H69" s="143" t="s">
        <v>731</v>
      </c>
      <c r="I69" s="143" t="s">
        <v>3025</v>
      </c>
      <c r="J69" s="217">
        <v>44197</v>
      </c>
      <c r="K69" s="217">
        <v>44377</v>
      </c>
      <c r="L69" s="143" t="s">
        <v>2858</v>
      </c>
      <c r="M69" s="143" t="s">
        <v>2962</v>
      </c>
      <c r="N69" s="143" t="s">
        <v>60</v>
      </c>
      <c r="O69" s="143" t="s">
        <v>3026</v>
      </c>
      <c r="P69" s="143" t="s">
        <v>11</v>
      </c>
      <c r="Q69" s="240">
        <f t="shared" si="4"/>
        <v>1</v>
      </c>
      <c r="R69" s="240">
        <v>0.5</v>
      </c>
      <c r="S69" s="240">
        <v>0.5</v>
      </c>
      <c r="T69" s="240">
        <v>0</v>
      </c>
      <c r="U69" s="240">
        <v>0</v>
      </c>
      <c r="V69" s="240">
        <v>0.5</v>
      </c>
      <c r="W69" s="240" t="s">
        <v>3027</v>
      </c>
      <c r="X69" s="240">
        <v>0.1</v>
      </c>
      <c r="Y69" s="240" t="s">
        <v>3028</v>
      </c>
      <c r="Z69" s="240">
        <v>0</v>
      </c>
      <c r="AA69" s="240" t="s">
        <v>3029</v>
      </c>
      <c r="AB69" s="240"/>
      <c r="AC69" s="240"/>
      <c r="AD69" s="213">
        <v>44295</v>
      </c>
      <c r="AE69" s="213">
        <v>44379</v>
      </c>
      <c r="AF69" s="213">
        <v>44483</v>
      </c>
      <c r="AG69" s="213"/>
      <c r="AH69" s="75">
        <f t="shared" si="5"/>
        <v>0.6</v>
      </c>
      <c r="AI69" s="75">
        <f t="shared" si="6"/>
        <v>1</v>
      </c>
      <c r="AJ69" s="75">
        <f t="shared" si="7"/>
        <v>0.7</v>
      </c>
      <c r="AK69" s="75" t="str">
        <f t="shared" si="8"/>
        <v/>
      </c>
      <c r="AL69" s="75" t="s">
        <v>2467</v>
      </c>
      <c r="AM69" s="214" t="s">
        <v>739</v>
      </c>
      <c r="AN69" s="214" t="s">
        <v>739</v>
      </c>
      <c r="AO69" s="214" t="s">
        <v>838</v>
      </c>
      <c r="AP69" s="214"/>
      <c r="AQ69" s="214" t="s">
        <v>3030</v>
      </c>
      <c r="AR69" s="214" t="s">
        <v>3031</v>
      </c>
      <c r="AS69" s="214" t="s">
        <v>3032</v>
      </c>
      <c r="AT69" s="214"/>
      <c r="AU69" s="214" t="s">
        <v>739</v>
      </c>
      <c r="AV69" s="214" t="s">
        <v>828</v>
      </c>
      <c r="AW69" s="214" t="s">
        <v>828</v>
      </c>
      <c r="AX69" s="214"/>
      <c r="AY69" s="214" t="s">
        <v>3033</v>
      </c>
      <c r="AZ69" s="214" t="s">
        <v>3034</v>
      </c>
      <c r="BA69" s="214" t="s">
        <v>3035</v>
      </c>
      <c r="BB69" s="214"/>
      <c r="BC69" s="143" t="s">
        <v>727</v>
      </c>
    </row>
    <row r="70" spans="1:55" ht="15" customHeight="1" x14ac:dyDescent="0.25">
      <c r="A70" s="210">
        <v>19</v>
      </c>
      <c r="B70" s="143" t="s">
        <v>2841</v>
      </c>
      <c r="C70" s="143" t="s">
        <v>2973</v>
      </c>
      <c r="D70" s="143" t="s">
        <v>3036</v>
      </c>
      <c r="E70" s="143" t="s">
        <v>3008</v>
      </c>
      <c r="F70" s="143" t="s">
        <v>3024</v>
      </c>
      <c r="G70" s="143" t="s">
        <v>730</v>
      </c>
      <c r="H70" s="143" t="s">
        <v>731</v>
      </c>
      <c r="I70" s="143" t="s">
        <v>3037</v>
      </c>
      <c r="J70" s="217">
        <v>44287</v>
      </c>
      <c r="K70" s="217">
        <v>44469</v>
      </c>
      <c r="L70" s="143" t="s">
        <v>2868</v>
      </c>
      <c r="M70" s="143" t="s">
        <v>2962</v>
      </c>
      <c r="N70" s="143" t="s">
        <v>60</v>
      </c>
      <c r="O70" s="143" t="s">
        <v>3026</v>
      </c>
      <c r="P70" s="143" t="s">
        <v>11</v>
      </c>
      <c r="Q70" s="240">
        <f t="shared" si="4"/>
        <v>1</v>
      </c>
      <c r="R70" s="240">
        <v>0</v>
      </c>
      <c r="S70" s="240">
        <v>0.3</v>
      </c>
      <c r="T70" s="240">
        <v>0.7</v>
      </c>
      <c r="U70" s="240">
        <v>0</v>
      </c>
      <c r="V70" s="240">
        <v>0</v>
      </c>
      <c r="W70" s="240" t="s">
        <v>1710</v>
      </c>
      <c r="X70" s="240">
        <v>0</v>
      </c>
      <c r="Y70" s="240" t="s">
        <v>3038</v>
      </c>
      <c r="Z70" s="240">
        <v>0</v>
      </c>
      <c r="AA70" s="240" t="s">
        <v>3039</v>
      </c>
      <c r="AB70" s="240"/>
      <c r="AC70" s="240"/>
      <c r="AD70" s="213">
        <v>44295</v>
      </c>
      <c r="AE70" s="213">
        <v>44379</v>
      </c>
      <c r="AF70" s="213">
        <v>44483</v>
      </c>
      <c r="AG70" s="213"/>
      <c r="AH70" s="75">
        <f t="shared" si="5"/>
        <v>0</v>
      </c>
      <c r="AI70" s="75" t="str">
        <f t="shared" si="6"/>
        <v/>
      </c>
      <c r="AJ70" s="75">
        <f t="shared" si="7"/>
        <v>0</v>
      </c>
      <c r="AK70" s="75">
        <f t="shared" si="8"/>
        <v>0</v>
      </c>
      <c r="AL70" s="75" t="s">
        <v>2467</v>
      </c>
      <c r="AM70" s="214" t="s">
        <v>838</v>
      </c>
      <c r="AN70" s="214" t="s">
        <v>838</v>
      </c>
      <c r="AO70" s="214" t="s">
        <v>838</v>
      </c>
      <c r="AP70" s="214"/>
      <c r="AQ70" s="214" t="s">
        <v>1710</v>
      </c>
      <c r="AR70" s="214" t="s">
        <v>1578</v>
      </c>
      <c r="AS70" s="214" t="s">
        <v>3040</v>
      </c>
      <c r="AT70" s="214"/>
      <c r="AU70" s="214" t="s">
        <v>838</v>
      </c>
      <c r="AV70" s="214" t="s">
        <v>828</v>
      </c>
      <c r="AW70" s="214" t="s">
        <v>828</v>
      </c>
      <c r="AX70" s="214"/>
      <c r="AY70" s="214" t="s">
        <v>1712</v>
      </c>
      <c r="AZ70" s="214" t="s">
        <v>3041</v>
      </c>
      <c r="BA70" s="214" t="s">
        <v>3041</v>
      </c>
      <c r="BB70" s="214"/>
      <c r="BC70" s="143" t="s">
        <v>727</v>
      </c>
    </row>
    <row r="71" spans="1:55" ht="15" customHeight="1" x14ac:dyDescent="0.25">
      <c r="A71" s="210">
        <v>20</v>
      </c>
      <c r="B71" s="143" t="s">
        <v>2841</v>
      </c>
      <c r="C71" s="143" t="s">
        <v>2552</v>
      </c>
      <c r="D71" s="143" t="s">
        <v>2583</v>
      </c>
      <c r="E71" s="143" t="s">
        <v>2584</v>
      </c>
      <c r="F71" s="143" t="s">
        <v>793</v>
      </c>
      <c r="G71" s="143" t="s">
        <v>2458</v>
      </c>
      <c r="H71" s="143" t="s">
        <v>731</v>
      </c>
      <c r="I71" s="143" t="s">
        <v>2595</v>
      </c>
      <c r="J71" s="217">
        <v>44214</v>
      </c>
      <c r="K71" s="217">
        <v>44362</v>
      </c>
      <c r="L71" s="143" t="s">
        <v>3042</v>
      </c>
      <c r="M71" s="143" t="s">
        <v>2962</v>
      </c>
      <c r="N71" s="143" t="s">
        <v>3043</v>
      </c>
      <c r="O71" s="143" t="s">
        <v>3044</v>
      </c>
      <c r="P71" s="143" t="s">
        <v>11</v>
      </c>
      <c r="Q71" s="241">
        <f t="shared" si="4"/>
        <v>1</v>
      </c>
      <c r="R71" s="241">
        <v>0</v>
      </c>
      <c r="S71" s="241">
        <v>0</v>
      </c>
      <c r="T71" s="241">
        <v>0.5</v>
      </c>
      <c r="U71" s="241">
        <v>0.5</v>
      </c>
      <c r="V71" s="241">
        <v>0</v>
      </c>
      <c r="W71" s="241" t="s">
        <v>1710</v>
      </c>
      <c r="X71" s="241">
        <v>0</v>
      </c>
      <c r="Y71" s="241" t="s">
        <v>3045</v>
      </c>
      <c r="Z71" s="241">
        <v>0</v>
      </c>
      <c r="AA71" s="241" t="s">
        <v>3046</v>
      </c>
      <c r="AB71" s="241"/>
      <c r="AC71" s="241"/>
      <c r="AD71" s="213">
        <v>44295</v>
      </c>
      <c r="AE71" s="213">
        <v>44379</v>
      </c>
      <c r="AF71" s="213">
        <v>44483</v>
      </c>
      <c r="AG71" s="213"/>
      <c r="AH71" s="75">
        <f t="shared" si="5"/>
        <v>0</v>
      </c>
      <c r="AI71" s="75" t="str">
        <f t="shared" si="6"/>
        <v/>
      </c>
      <c r="AJ71" s="75" t="str">
        <f t="shared" si="7"/>
        <v/>
      </c>
      <c r="AK71" s="75">
        <f t="shared" si="8"/>
        <v>0</v>
      </c>
      <c r="AL71" s="75" t="s">
        <v>2467</v>
      </c>
      <c r="AM71" s="214" t="s">
        <v>838</v>
      </c>
      <c r="AN71" s="214" t="s">
        <v>838</v>
      </c>
      <c r="AO71" s="214" t="s">
        <v>838</v>
      </c>
      <c r="AP71" s="214"/>
      <c r="AQ71" s="214" t="s">
        <v>1710</v>
      </c>
      <c r="AR71" s="214" t="s">
        <v>1578</v>
      </c>
      <c r="AS71" s="214" t="s">
        <v>3047</v>
      </c>
      <c r="AT71" s="214"/>
      <c r="AU71" s="214" t="s">
        <v>838</v>
      </c>
      <c r="AV71" s="214" t="s">
        <v>828</v>
      </c>
      <c r="AW71" s="214" t="s">
        <v>828</v>
      </c>
      <c r="AX71" s="214"/>
      <c r="AY71" s="214" t="s">
        <v>1712</v>
      </c>
      <c r="AZ71" s="214" t="s">
        <v>3016</v>
      </c>
      <c r="BA71" s="214" t="s">
        <v>3041</v>
      </c>
      <c r="BB71" s="214"/>
      <c r="BC71" s="143" t="s">
        <v>727</v>
      </c>
    </row>
    <row r="72" spans="1:55" ht="15" customHeight="1" x14ac:dyDescent="0.25">
      <c r="A72" s="210">
        <v>21</v>
      </c>
      <c r="B72" s="143" t="s">
        <v>2841</v>
      </c>
      <c r="C72" s="143" t="s">
        <v>2601</v>
      </c>
      <c r="D72" s="143" t="s">
        <v>2583</v>
      </c>
      <c r="E72" s="143" t="s">
        <v>2584</v>
      </c>
      <c r="F72" s="143" t="s">
        <v>793</v>
      </c>
      <c r="G72" s="143" t="s">
        <v>2458</v>
      </c>
      <c r="H72" s="143" t="s">
        <v>731</v>
      </c>
      <c r="I72" s="143" t="s">
        <v>2825</v>
      </c>
      <c r="J72" s="217">
        <v>44197</v>
      </c>
      <c r="K72" s="217">
        <v>44561</v>
      </c>
      <c r="L72" s="143" t="s">
        <v>3048</v>
      </c>
      <c r="M72" s="143" t="s">
        <v>2962</v>
      </c>
      <c r="N72" s="143" t="s">
        <v>30</v>
      </c>
      <c r="O72" s="143" t="s">
        <v>3044</v>
      </c>
      <c r="P72" s="143" t="s">
        <v>11</v>
      </c>
      <c r="Q72" s="212">
        <f t="shared" si="4"/>
        <v>4</v>
      </c>
      <c r="R72" s="212">
        <v>1</v>
      </c>
      <c r="S72" s="212">
        <v>1</v>
      </c>
      <c r="T72" s="212">
        <v>1</v>
      </c>
      <c r="U72" s="212">
        <v>1</v>
      </c>
      <c r="V72" s="212">
        <v>1</v>
      </c>
      <c r="W72" s="212" t="s">
        <v>3049</v>
      </c>
      <c r="X72" s="212">
        <v>1</v>
      </c>
      <c r="Y72" s="212" t="s">
        <v>3050</v>
      </c>
      <c r="Z72" s="212">
        <v>1</v>
      </c>
      <c r="AA72" s="212" t="s">
        <v>3051</v>
      </c>
      <c r="AB72" s="212"/>
      <c r="AC72" s="212"/>
      <c r="AD72" s="213">
        <v>44295</v>
      </c>
      <c r="AE72" s="213">
        <v>44379</v>
      </c>
      <c r="AF72" s="213">
        <v>44483</v>
      </c>
      <c r="AG72" s="213"/>
      <c r="AH72" s="75">
        <f t="shared" si="5"/>
        <v>0.75</v>
      </c>
      <c r="AI72" s="75">
        <f t="shared" si="6"/>
        <v>1</v>
      </c>
      <c r="AJ72" s="75">
        <f t="shared" si="7"/>
        <v>1</v>
      </c>
      <c r="AK72" s="75">
        <f t="shared" si="8"/>
        <v>1</v>
      </c>
      <c r="AL72" s="75" t="s">
        <v>2467</v>
      </c>
      <c r="AM72" s="214" t="s">
        <v>739</v>
      </c>
      <c r="AN72" s="214" t="s">
        <v>739</v>
      </c>
      <c r="AO72" s="214" t="s">
        <v>739</v>
      </c>
      <c r="AP72" s="214"/>
      <c r="AQ72" s="214" t="s">
        <v>3052</v>
      </c>
      <c r="AR72" s="214" t="s">
        <v>3053</v>
      </c>
      <c r="AS72" s="214" t="s">
        <v>3054</v>
      </c>
      <c r="AT72" s="214"/>
      <c r="AU72" s="214" t="s">
        <v>739</v>
      </c>
      <c r="AV72" s="214" t="s">
        <v>739</v>
      </c>
      <c r="AW72" s="214" t="s">
        <v>739</v>
      </c>
      <c r="AX72" s="214"/>
      <c r="AY72" s="214" t="s">
        <v>3055</v>
      </c>
      <c r="AZ72" s="214" t="s">
        <v>3055</v>
      </c>
      <c r="BA72" s="214" t="s">
        <v>3055</v>
      </c>
      <c r="BB72" s="214"/>
      <c r="BC72" s="143" t="s">
        <v>727</v>
      </c>
    </row>
    <row r="73" spans="1:55" ht="15" customHeight="1" x14ac:dyDescent="0.25">
      <c r="A73" s="210">
        <v>22</v>
      </c>
      <c r="B73" s="143" t="s">
        <v>2841</v>
      </c>
      <c r="C73" s="143" t="s">
        <v>2552</v>
      </c>
      <c r="D73" s="143" t="s">
        <v>2583</v>
      </c>
      <c r="E73" s="143" t="s">
        <v>2584</v>
      </c>
      <c r="F73" s="143" t="s">
        <v>793</v>
      </c>
      <c r="G73" s="143" t="s">
        <v>2458</v>
      </c>
      <c r="H73" s="143" t="s">
        <v>731</v>
      </c>
      <c r="I73" s="143" t="s">
        <v>3056</v>
      </c>
      <c r="J73" s="217">
        <v>44197</v>
      </c>
      <c r="K73" s="217">
        <v>44560</v>
      </c>
      <c r="L73" s="143" t="s">
        <v>3057</v>
      </c>
      <c r="M73" s="143" t="s">
        <v>2962</v>
      </c>
      <c r="N73" s="143" t="s">
        <v>30</v>
      </c>
      <c r="O73" s="143" t="s">
        <v>3058</v>
      </c>
      <c r="P73" s="143" t="s">
        <v>11</v>
      </c>
      <c r="Q73" s="212">
        <f t="shared" si="4"/>
        <v>12</v>
      </c>
      <c r="R73" s="212">
        <v>3</v>
      </c>
      <c r="S73" s="212">
        <v>3</v>
      </c>
      <c r="T73" s="212">
        <v>3</v>
      </c>
      <c r="U73" s="212">
        <v>3</v>
      </c>
      <c r="V73" s="212">
        <v>3</v>
      </c>
      <c r="W73" s="212" t="s">
        <v>3059</v>
      </c>
      <c r="X73" s="212">
        <v>3</v>
      </c>
      <c r="Y73" s="212" t="s">
        <v>3060</v>
      </c>
      <c r="Z73" s="212">
        <v>3</v>
      </c>
      <c r="AA73" s="212" t="s">
        <v>3061</v>
      </c>
      <c r="AB73" s="212"/>
      <c r="AC73" s="212"/>
      <c r="AD73" s="213">
        <v>44295</v>
      </c>
      <c r="AE73" s="213">
        <v>44379</v>
      </c>
      <c r="AF73" s="213">
        <v>44483</v>
      </c>
      <c r="AG73" s="213"/>
      <c r="AH73" s="75">
        <f t="shared" si="5"/>
        <v>0.75</v>
      </c>
      <c r="AI73" s="75">
        <f t="shared" si="6"/>
        <v>1</v>
      </c>
      <c r="AJ73" s="75">
        <f t="shared" si="7"/>
        <v>1</v>
      </c>
      <c r="AK73" s="75">
        <f t="shared" si="8"/>
        <v>1</v>
      </c>
      <c r="AL73" s="75" t="s">
        <v>2467</v>
      </c>
      <c r="AM73" s="214" t="s">
        <v>739</v>
      </c>
      <c r="AN73" s="214" t="s">
        <v>739</v>
      </c>
      <c r="AO73" s="214" t="s">
        <v>739</v>
      </c>
      <c r="AP73" s="214"/>
      <c r="AQ73" s="214" t="s">
        <v>3062</v>
      </c>
      <c r="AR73" s="214" t="s">
        <v>3063</v>
      </c>
      <c r="AS73" s="214" t="s">
        <v>3064</v>
      </c>
      <c r="AT73" s="214"/>
      <c r="AU73" s="214" t="s">
        <v>739</v>
      </c>
      <c r="AV73" s="214" t="s">
        <v>739</v>
      </c>
      <c r="AW73" s="214" t="s">
        <v>739</v>
      </c>
      <c r="AX73" s="214"/>
      <c r="AY73" s="214" t="s">
        <v>3065</v>
      </c>
      <c r="AZ73" s="214" t="s">
        <v>3065</v>
      </c>
      <c r="BA73" s="214" t="s">
        <v>3065</v>
      </c>
      <c r="BB73" s="214"/>
      <c r="BC73" s="143" t="s">
        <v>727</v>
      </c>
    </row>
    <row r="74" spans="1:55" ht="15" customHeight="1" x14ac:dyDescent="0.25">
      <c r="A74" s="210">
        <v>1</v>
      </c>
      <c r="B74" s="135" t="s">
        <v>3066</v>
      </c>
      <c r="C74" s="143" t="s">
        <v>1710</v>
      </c>
      <c r="D74" s="135" t="s">
        <v>3067</v>
      </c>
      <c r="E74" s="135" t="s">
        <v>3068</v>
      </c>
      <c r="F74" s="135" t="s">
        <v>965</v>
      </c>
      <c r="G74" s="135" t="s">
        <v>2458</v>
      </c>
      <c r="H74" s="135" t="s">
        <v>3069</v>
      </c>
      <c r="I74" s="135" t="s">
        <v>3070</v>
      </c>
      <c r="J74" s="217">
        <v>44440</v>
      </c>
      <c r="K74" s="217">
        <v>44469</v>
      </c>
      <c r="L74" s="135" t="s">
        <v>3071</v>
      </c>
      <c r="M74" s="143" t="s">
        <v>3072</v>
      </c>
      <c r="N74" s="143" t="s">
        <v>3073</v>
      </c>
      <c r="O74" s="135" t="s">
        <v>3074</v>
      </c>
      <c r="P74" s="143" t="s">
        <v>821</v>
      </c>
      <c r="Q74" s="210">
        <v>1</v>
      </c>
      <c r="R74" s="210">
        <v>0</v>
      </c>
      <c r="S74" s="210">
        <v>0</v>
      </c>
      <c r="T74" s="210">
        <v>0</v>
      </c>
      <c r="U74" s="210">
        <v>1</v>
      </c>
      <c r="V74" s="210"/>
      <c r="W74" s="210"/>
      <c r="X74" s="210"/>
      <c r="Y74" s="210"/>
      <c r="Z74" s="210">
        <v>0</v>
      </c>
      <c r="AA74" s="210" t="s">
        <v>1417</v>
      </c>
      <c r="AB74" s="212"/>
      <c r="AC74" s="212"/>
      <c r="AD74" s="213"/>
      <c r="AE74" s="213"/>
      <c r="AF74" s="213">
        <v>44483</v>
      </c>
      <c r="AG74" s="213"/>
      <c r="AH74" s="75">
        <f t="shared" si="5"/>
        <v>0</v>
      </c>
      <c r="AI74" s="75" t="str">
        <f t="shared" si="6"/>
        <v/>
      </c>
      <c r="AJ74" s="75" t="str">
        <f t="shared" si="7"/>
        <v/>
      </c>
      <c r="AK74" s="75" t="str">
        <f t="shared" si="8"/>
        <v/>
      </c>
      <c r="AL74" s="75" t="s">
        <v>2467</v>
      </c>
      <c r="AM74" s="214"/>
      <c r="AN74" s="214"/>
      <c r="AO74" s="214" t="s">
        <v>838</v>
      </c>
      <c r="AP74" s="214"/>
      <c r="AQ74" s="214"/>
      <c r="AR74" s="214"/>
      <c r="AS74" s="214" t="s">
        <v>838</v>
      </c>
      <c r="AT74" s="214"/>
      <c r="AU74" s="214"/>
      <c r="AV74" s="214"/>
      <c r="AW74" s="214" t="s">
        <v>838</v>
      </c>
      <c r="AX74" s="214"/>
      <c r="AY74" s="214"/>
      <c r="AZ74" s="214"/>
      <c r="BA74" s="214" t="s">
        <v>3075</v>
      </c>
      <c r="BB74" s="214"/>
      <c r="BC74" s="135" t="s">
        <v>1710</v>
      </c>
    </row>
    <row r="75" spans="1:55" ht="15" customHeight="1" x14ac:dyDescent="0.25">
      <c r="A75" s="210">
        <v>2</v>
      </c>
      <c r="B75" s="135" t="s">
        <v>3066</v>
      </c>
      <c r="C75" s="143" t="s">
        <v>1710</v>
      </c>
      <c r="D75" s="135" t="s">
        <v>3067</v>
      </c>
      <c r="E75" s="135" t="s">
        <v>3068</v>
      </c>
      <c r="F75" s="135" t="s">
        <v>965</v>
      </c>
      <c r="G75" s="135" t="s">
        <v>3076</v>
      </c>
      <c r="H75" s="135" t="s">
        <v>3077</v>
      </c>
      <c r="I75" s="135" t="s">
        <v>3078</v>
      </c>
      <c r="J75" s="217">
        <v>44440</v>
      </c>
      <c r="K75" s="217">
        <v>44469</v>
      </c>
      <c r="L75" s="135" t="s">
        <v>3079</v>
      </c>
      <c r="M75" s="143" t="s">
        <v>3072</v>
      </c>
      <c r="N75" s="143" t="s">
        <v>3073</v>
      </c>
      <c r="O75" s="135" t="s">
        <v>3080</v>
      </c>
      <c r="P75" s="143" t="s">
        <v>821</v>
      </c>
      <c r="Q75" s="210">
        <v>1</v>
      </c>
      <c r="R75" s="210">
        <v>0</v>
      </c>
      <c r="S75" s="210">
        <v>1</v>
      </c>
      <c r="T75" s="210">
        <v>0</v>
      </c>
      <c r="U75" s="210">
        <v>0</v>
      </c>
      <c r="V75" s="210"/>
      <c r="W75" s="210"/>
      <c r="X75" s="210"/>
      <c r="Y75" s="210"/>
      <c r="Z75" s="210">
        <v>1</v>
      </c>
      <c r="AA75" s="210" t="s">
        <v>3081</v>
      </c>
      <c r="AB75" s="215"/>
      <c r="AC75" s="215"/>
      <c r="AD75" s="213"/>
      <c r="AE75" s="213"/>
      <c r="AF75" s="213">
        <v>44483</v>
      </c>
      <c r="AG75" s="213"/>
      <c r="AH75" s="75">
        <f t="shared" si="5"/>
        <v>1</v>
      </c>
      <c r="AI75" s="75" t="str">
        <f t="shared" si="6"/>
        <v/>
      </c>
      <c r="AJ75" s="75">
        <f t="shared" si="7"/>
        <v>0</v>
      </c>
      <c r="AK75" s="75" t="str">
        <f t="shared" si="8"/>
        <v/>
      </c>
      <c r="AL75" s="75" t="s">
        <v>2467</v>
      </c>
      <c r="AM75" s="214"/>
      <c r="AN75" s="214"/>
      <c r="AO75" s="214" t="s">
        <v>739</v>
      </c>
      <c r="AP75" s="214"/>
      <c r="AQ75" s="214"/>
      <c r="AR75" s="214"/>
      <c r="AS75" s="214" t="s">
        <v>2724</v>
      </c>
      <c r="AT75" s="214"/>
      <c r="AU75" s="214"/>
      <c r="AV75" s="214"/>
      <c r="AW75" s="214" t="s">
        <v>739</v>
      </c>
      <c r="AX75" s="214"/>
      <c r="AY75" s="214"/>
      <c r="AZ75" s="214"/>
      <c r="BA75" s="119" t="s">
        <v>3082</v>
      </c>
      <c r="BB75" s="119"/>
      <c r="BC75" s="135" t="s">
        <v>1710</v>
      </c>
    </row>
    <row r="76" spans="1:55" ht="15" customHeight="1" x14ac:dyDescent="0.25">
      <c r="A76" s="210">
        <v>3</v>
      </c>
      <c r="B76" s="135" t="s">
        <v>3066</v>
      </c>
      <c r="C76" s="143" t="s">
        <v>1710</v>
      </c>
      <c r="D76" s="135" t="s">
        <v>3067</v>
      </c>
      <c r="E76" s="135" t="s">
        <v>3068</v>
      </c>
      <c r="F76" s="135" t="s">
        <v>965</v>
      </c>
      <c r="G76" s="135" t="s">
        <v>730</v>
      </c>
      <c r="H76" s="135" t="s">
        <v>3083</v>
      </c>
      <c r="I76" s="135" t="s">
        <v>3084</v>
      </c>
      <c r="J76" s="217">
        <v>44440</v>
      </c>
      <c r="K76" s="217">
        <v>44561</v>
      </c>
      <c r="L76" s="143" t="s">
        <v>3085</v>
      </c>
      <c r="M76" s="143" t="s">
        <v>3072</v>
      </c>
      <c r="N76" s="143" t="s">
        <v>3073</v>
      </c>
      <c r="O76" s="135" t="s">
        <v>3080</v>
      </c>
      <c r="P76" s="143" t="s">
        <v>821</v>
      </c>
      <c r="Q76" s="210">
        <v>600</v>
      </c>
      <c r="R76" s="210">
        <v>250</v>
      </c>
      <c r="S76" s="210">
        <v>250</v>
      </c>
      <c r="T76" s="210">
        <v>50</v>
      </c>
      <c r="U76" s="210">
        <v>50</v>
      </c>
      <c r="V76" s="210"/>
      <c r="W76" s="210"/>
      <c r="X76" s="210"/>
      <c r="Y76" s="210"/>
      <c r="Z76" s="210">
        <v>430</v>
      </c>
      <c r="AA76" s="210" t="s">
        <v>3086</v>
      </c>
      <c r="AB76" s="215"/>
      <c r="AC76" s="215"/>
      <c r="AD76" s="213"/>
      <c r="AE76" s="213"/>
      <c r="AF76" s="213">
        <v>44483</v>
      </c>
      <c r="AG76" s="213"/>
      <c r="AH76" s="75">
        <f t="shared" si="5"/>
        <v>0.71666666666666667</v>
      </c>
      <c r="AI76" s="75">
        <f t="shared" si="6"/>
        <v>0</v>
      </c>
      <c r="AJ76" s="75">
        <f t="shared" si="7"/>
        <v>0</v>
      </c>
      <c r="AK76" s="75">
        <f t="shared" si="8"/>
        <v>1</v>
      </c>
      <c r="AL76" s="75" t="s">
        <v>2467</v>
      </c>
      <c r="AM76" s="214"/>
      <c r="AN76" s="214"/>
      <c r="AO76" s="214" t="s">
        <v>739</v>
      </c>
      <c r="AP76" s="214"/>
      <c r="AQ76" s="214"/>
      <c r="AR76" s="214"/>
      <c r="AS76" s="214" t="s">
        <v>2724</v>
      </c>
      <c r="AT76" s="214"/>
      <c r="AU76" s="214"/>
      <c r="AV76" s="214"/>
      <c r="AW76" s="214" t="s">
        <v>739</v>
      </c>
      <c r="AX76" s="214"/>
      <c r="AY76" s="214"/>
      <c r="AZ76" s="214"/>
      <c r="BA76" s="119" t="s">
        <v>3087</v>
      </c>
      <c r="BB76" s="119"/>
      <c r="BC76" s="135" t="s">
        <v>1710</v>
      </c>
    </row>
    <row r="77" spans="1:55" ht="15" customHeight="1" x14ac:dyDescent="0.25">
      <c r="A77" s="210">
        <v>4</v>
      </c>
      <c r="B77" s="135" t="s">
        <v>3066</v>
      </c>
      <c r="C77" s="143" t="s">
        <v>1710</v>
      </c>
      <c r="D77" s="135" t="s">
        <v>3067</v>
      </c>
      <c r="E77" s="135" t="s">
        <v>3068</v>
      </c>
      <c r="F77" s="135" t="s">
        <v>965</v>
      </c>
      <c r="G77" s="135" t="s">
        <v>730</v>
      </c>
      <c r="H77" s="135" t="s">
        <v>3083</v>
      </c>
      <c r="I77" s="135" t="s">
        <v>3088</v>
      </c>
      <c r="J77" s="217">
        <v>44440</v>
      </c>
      <c r="K77" s="217">
        <v>44561</v>
      </c>
      <c r="L77" s="135" t="s">
        <v>3089</v>
      </c>
      <c r="M77" s="143" t="s">
        <v>3072</v>
      </c>
      <c r="N77" s="143" t="s">
        <v>3073</v>
      </c>
      <c r="O77" s="135" t="s">
        <v>3080</v>
      </c>
      <c r="P77" s="143" t="s">
        <v>821</v>
      </c>
      <c r="Q77" s="210">
        <v>87</v>
      </c>
      <c r="R77" s="210">
        <v>20</v>
      </c>
      <c r="S77" s="210">
        <v>32</v>
      </c>
      <c r="T77" s="210">
        <f>23+2</f>
        <v>25</v>
      </c>
      <c r="U77" s="210">
        <v>10</v>
      </c>
      <c r="V77" s="210"/>
      <c r="W77" s="210"/>
      <c r="X77" s="210"/>
      <c r="Y77" s="210"/>
      <c r="Z77" s="210">
        <v>112</v>
      </c>
      <c r="AA77" s="210" t="s">
        <v>3090</v>
      </c>
      <c r="AB77" s="215"/>
      <c r="AC77" s="215"/>
      <c r="AD77" s="213"/>
      <c r="AE77" s="213"/>
      <c r="AF77" s="213">
        <v>44483</v>
      </c>
      <c r="AG77" s="213"/>
      <c r="AH77" s="75">
        <f t="shared" si="5"/>
        <v>1</v>
      </c>
      <c r="AI77" s="75">
        <f t="shared" si="6"/>
        <v>0</v>
      </c>
      <c r="AJ77" s="75">
        <f t="shared" si="7"/>
        <v>0</v>
      </c>
      <c r="AK77" s="75">
        <f t="shared" si="8"/>
        <v>1</v>
      </c>
      <c r="AL77" s="75" t="s">
        <v>2467</v>
      </c>
      <c r="AM77" s="214"/>
      <c r="AN77" s="214"/>
      <c r="AO77" s="214" t="s">
        <v>739</v>
      </c>
      <c r="AP77" s="214"/>
      <c r="AQ77" s="214"/>
      <c r="AR77" s="214"/>
      <c r="AS77" s="214" t="s">
        <v>2724</v>
      </c>
      <c r="AT77" s="214"/>
      <c r="AU77" s="214"/>
      <c r="AV77" s="214"/>
      <c r="AW77" s="214" t="s">
        <v>739</v>
      </c>
      <c r="AX77" s="214"/>
      <c r="AY77" s="214"/>
      <c r="AZ77" s="214"/>
      <c r="BA77" s="119" t="s">
        <v>3091</v>
      </c>
      <c r="BB77" s="119"/>
      <c r="BC77" s="135" t="s">
        <v>1710</v>
      </c>
    </row>
    <row r="78" spans="1:55" ht="15" customHeight="1" x14ac:dyDescent="0.25">
      <c r="A78" s="210">
        <v>5</v>
      </c>
      <c r="B78" s="135" t="s">
        <v>3066</v>
      </c>
      <c r="C78" s="143" t="s">
        <v>1710</v>
      </c>
      <c r="D78" s="135" t="s">
        <v>3067</v>
      </c>
      <c r="E78" s="135" t="s">
        <v>3068</v>
      </c>
      <c r="F78" s="135" t="s">
        <v>965</v>
      </c>
      <c r="G78" s="135" t="s">
        <v>730</v>
      </c>
      <c r="H78" s="135" t="s">
        <v>3083</v>
      </c>
      <c r="I78" s="135" t="s">
        <v>3092</v>
      </c>
      <c r="J78" s="217">
        <v>44440</v>
      </c>
      <c r="K78" s="217">
        <v>44561</v>
      </c>
      <c r="L78" s="143" t="s">
        <v>3093</v>
      </c>
      <c r="M78" s="143" t="s">
        <v>3072</v>
      </c>
      <c r="N78" s="143" t="s">
        <v>3094</v>
      </c>
      <c r="O78" s="135" t="s">
        <v>3080</v>
      </c>
      <c r="P78" s="143" t="s">
        <v>821</v>
      </c>
      <c r="Q78" s="221">
        <v>1</v>
      </c>
      <c r="R78" s="221">
        <v>0.2</v>
      </c>
      <c r="S78" s="221">
        <v>0.5</v>
      </c>
      <c r="T78" s="221">
        <v>0.15</v>
      </c>
      <c r="U78" s="221">
        <v>0.15</v>
      </c>
      <c r="V78" s="221"/>
      <c r="W78" s="221"/>
      <c r="X78" s="221"/>
      <c r="Y78" s="221"/>
      <c r="Z78" s="221">
        <v>0.85</v>
      </c>
      <c r="AA78" s="221" t="s">
        <v>3095</v>
      </c>
      <c r="AB78" s="212"/>
      <c r="AC78" s="212"/>
      <c r="AD78" s="213"/>
      <c r="AE78" s="213"/>
      <c r="AF78" s="213">
        <v>44483</v>
      </c>
      <c r="AG78" s="213"/>
      <c r="AH78" s="75">
        <f t="shared" si="5"/>
        <v>0.85</v>
      </c>
      <c r="AI78" s="75">
        <f t="shared" si="6"/>
        <v>0</v>
      </c>
      <c r="AJ78" s="75">
        <f t="shared" si="7"/>
        <v>0</v>
      </c>
      <c r="AK78" s="75">
        <f t="shared" si="8"/>
        <v>1</v>
      </c>
      <c r="AL78" s="75" t="s">
        <v>2467</v>
      </c>
      <c r="AM78" s="214"/>
      <c r="AN78" s="214"/>
      <c r="AO78" s="214" t="s">
        <v>739</v>
      </c>
      <c r="AP78" s="214"/>
      <c r="AQ78" s="214"/>
      <c r="AR78" s="214"/>
      <c r="AS78" s="214" t="s">
        <v>2724</v>
      </c>
      <c r="AT78" s="214"/>
      <c r="AU78" s="214"/>
      <c r="AV78" s="214"/>
      <c r="AW78" s="214" t="s">
        <v>828</v>
      </c>
      <c r="AX78" s="214"/>
      <c r="AY78" s="214"/>
      <c r="AZ78" s="214"/>
      <c r="BA78" s="119" t="s">
        <v>3096</v>
      </c>
      <c r="BB78" s="119"/>
      <c r="BC78" s="135" t="s">
        <v>1710</v>
      </c>
    </row>
    <row r="79" spans="1:55" ht="15" customHeight="1" x14ac:dyDescent="0.25">
      <c r="A79" s="210">
        <v>6</v>
      </c>
      <c r="B79" s="135" t="s">
        <v>3066</v>
      </c>
      <c r="C79" s="143" t="s">
        <v>1710</v>
      </c>
      <c r="D79" s="135" t="s">
        <v>3067</v>
      </c>
      <c r="E79" s="135" t="s">
        <v>3068</v>
      </c>
      <c r="F79" s="135" t="s">
        <v>965</v>
      </c>
      <c r="G79" s="135" t="s">
        <v>730</v>
      </c>
      <c r="H79" s="135" t="s">
        <v>731</v>
      </c>
      <c r="I79" s="135" t="s">
        <v>3097</v>
      </c>
      <c r="J79" s="217">
        <v>44440</v>
      </c>
      <c r="K79" s="217">
        <v>44561</v>
      </c>
      <c r="L79" s="135" t="s">
        <v>3098</v>
      </c>
      <c r="M79" s="143" t="s">
        <v>3072</v>
      </c>
      <c r="N79" s="143" t="s">
        <v>3073</v>
      </c>
      <c r="O79" s="135" t="s">
        <v>3080</v>
      </c>
      <c r="P79" s="143" t="s">
        <v>821</v>
      </c>
      <c r="Q79" s="210">
        <v>10</v>
      </c>
      <c r="R79" s="210">
        <v>2</v>
      </c>
      <c r="S79" s="210">
        <v>4</v>
      </c>
      <c r="T79" s="210">
        <v>2</v>
      </c>
      <c r="U79" s="210">
        <v>2</v>
      </c>
      <c r="V79" s="210"/>
      <c r="W79" s="210"/>
      <c r="X79" s="210"/>
      <c r="Y79" s="210"/>
      <c r="Z79" s="210">
        <v>13</v>
      </c>
      <c r="AA79" s="210" t="s">
        <v>3099</v>
      </c>
      <c r="AB79" s="212"/>
      <c r="AC79" s="212"/>
      <c r="AD79" s="213"/>
      <c r="AE79" s="213"/>
      <c r="AF79" s="213">
        <v>44483</v>
      </c>
      <c r="AG79" s="213"/>
      <c r="AH79" s="75">
        <f t="shared" si="5"/>
        <v>1</v>
      </c>
      <c r="AI79" s="75">
        <f t="shared" si="6"/>
        <v>0</v>
      </c>
      <c r="AJ79" s="75">
        <f t="shared" si="7"/>
        <v>0</v>
      </c>
      <c r="AK79" s="75">
        <f t="shared" si="8"/>
        <v>1</v>
      </c>
      <c r="AL79" s="75" t="s">
        <v>2467</v>
      </c>
      <c r="AM79" s="214"/>
      <c r="AN79" s="214"/>
      <c r="AO79" s="214" t="s">
        <v>739</v>
      </c>
      <c r="AP79" s="214"/>
      <c r="AQ79" s="214"/>
      <c r="AR79" s="214"/>
      <c r="AS79" s="214" t="s">
        <v>2724</v>
      </c>
      <c r="AT79" s="214"/>
      <c r="AU79" s="214"/>
      <c r="AV79" s="214"/>
      <c r="AW79" s="214" t="s">
        <v>739</v>
      </c>
      <c r="AX79" s="214"/>
      <c r="AY79" s="214"/>
      <c r="AZ79" s="214"/>
      <c r="BA79" s="119" t="s">
        <v>3100</v>
      </c>
      <c r="BB79" s="119"/>
      <c r="BC79" s="135" t="s">
        <v>1710</v>
      </c>
    </row>
    <row r="80" spans="1:55" ht="15" customHeight="1" x14ac:dyDescent="0.25">
      <c r="A80" s="210">
        <v>7</v>
      </c>
      <c r="B80" s="135" t="s">
        <v>3066</v>
      </c>
      <c r="C80" s="143" t="s">
        <v>1710</v>
      </c>
      <c r="D80" s="135" t="s">
        <v>3067</v>
      </c>
      <c r="E80" s="135" t="s">
        <v>3068</v>
      </c>
      <c r="F80" s="135" t="s">
        <v>965</v>
      </c>
      <c r="G80" s="135" t="s">
        <v>730</v>
      </c>
      <c r="H80" s="135" t="s">
        <v>3101</v>
      </c>
      <c r="I80" s="135" t="s">
        <v>3102</v>
      </c>
      <c r="J80" s="217">
        <v>44440</v>
      </c>
      <c r="K80" s="217">
        <v>44561</v>
      </c>
      <c r="L80" s="135" t="s">
        <v>3103</v>
      </c>
      <c r="M80" s="143" t="s">
        <v>3072</v>
      </c>
      <c r="N80" s="143" t="s">
        <v>3073</v>
      </c>
      <c r="O80" s="135" t="s">
        <v>3080</v>
      </c>
      <c r="P80" s="143" t="s">
        <v>821</v>
      </c>
      <c r="Q80" s="210">
        <v>12</v>
      </c>
      <c r="R80" s="210">
        <v>3</v>
      </c>
      <c r="S80" s="210">
        <v>3</v>
      </c>
      <c r="T80" s="210">
        <v>3</v>
      </c>
      <c r="U80" s="210">
        <v>3</v>
      </c>
      <c r="V80" s="210"/>
      <c r="W80" s="210"/>
      <c r="X80" s="210"/>
      <c r="Y80" s="210"/>
      <c r="Z80" s="210">
        <v>12</v>
      </c>
      <c r="AA80" s="210" t="s">
        <v>3104</v>
      </c>
      <c r="AB80" s="212"/>
      <c r="AC80" s="212"/>
      <c r="AD80" s="213"/>
      <c r="AE80" s="213"/>
      <c r="AF80" s="213">
        <v>44483</v>
      </c>
      <c r="AG80" s="213"/>
      <c r="AH80" s="75">
        <f t="shared" si="5"/>
        <v>1</v>
      </c>
      <c r="AI80" s="75">
        <f t="shared" si="6"/>
        <v>0</v>
      </c>
      <c r="AJ80" s="75">
        <f t="shared" si="7"/>
        <v>0</v>
      </c>
      <c r="AK80" s="75">
        <f t="shared" si="8"/>
        <v>1</v>
      </c>
      <c r="AL80" s="75" t="s">
        <v>2467</v>
      </c>
      <c r="AM80" s="214"/>
      <c r="AN80" s="214"/>
      <c r="AO80" s="214" t="s">
        <v>739</v>
      </c>
      <c r="AP80" s="214"/>
      <c r="AQ80" s="214"/>
      <c r="AR80" s="214"/>
      <c r="AS80" s="214" t="s">
        <v>2724</v>
      </c>
      <c r="AT80" s="214"/>
      <c r="AU80" s="214"/>
      <c r="AV80" s="214"/>
      <c r="AW80" s="214" t="s">
        <v>739</v>
      </c>
      <c r="AX80" s="214"/>
      <c r="AY80" s="214"/>
      <c r="AZ80" s="214"/>
      <c r="BA80" s="119" t="s">
        <v>3105</v>
      </c>
      <c r="BB80" s="119"/>
      <c r="BC80" s="135" t="s">
        <v>1710</v>
      </c>
    </row>
    <row r="81" spans="1:55" ht="15" customHeight="1" x14ac:dyDescent="0.25">
      <c r="A81" s="210">
        <v>8</v>
      </c>
      <c r="B81" s="135" t="s">
        <v>3066</v>
      </c>
      <c r="C81" s="143" t="s">
        <v>1710</v>
      </c>
      <c r="D81" s="135" t="s">
        <v>3067</v>
      </c>
      <c r="E81" s="135" t="s">
        <v>3068</v>
      </c>
      <c r="F81" s="135" t="s">
        <v>965</v>
      </c>
      <c r="G81" s="135" t="s">
        <v>3106</v>
      </c>
      <c r="H81" s="135" t="s">
        <v>3107</v>
      </c>
      <c r="I81" s="135" t="s">
        <v>3108</v>
      </c>
      <c r="J81" s="217">
        <v>44440</v>
      </c>
      <c r="K81" s="217">
        <v>44561</v>
      </c>
      <c r="L81" s="135" t="s">
        <v>3109</v>
      </c>
      <c r="M81" s="143" t="s">
        <v>3072</v>
      </c>
      <c r="N81" s="143" t="s">
        <v>3073</v>
      </c>
      <c r="O81" s="143" t="s">
        <v>3110</v>
      </c>
      <c r="P81" s="143" t="s">
        <v>3111</v>
      </c>
      <c r="Q81" s="210">
        <v>10</v>
      </c>
      <c r="R81" s="210">
        <v>1</v>
      </c>
      <c r="S81" s="210">
        <v>3</v>
      </c>
      <c r="T81" s="210">
        <v>3</v>
      </c>
      <c r="U81" s="210">
        <v>3</v>
      </c>
      <c r="V81" s="210"/>
      <c r="W81" s="210"/>
      <c r="X81" s="210"/>
      <c r="Y81" s="210"/>
      <c r="Z81" s="210">
        <v>11</v>
      </c>
      <c r="AA81" s="210" t="s">
        <v>3112</v>
      </c>
      <c r="AB81" s="215"/>
      <c r="AC81" s="215"/>
      <c r="AD81" s="213"/>
      <c r="AE81" s="213"/>
      <c r="AF81" s="213">
        <v>44483</v>
      </c>
      <c r="AG81" s="213"/>
      <c r="AH81" s="75">
        <f t="shared" si="5"/>
        <v>1</v>
      </c>
      <c r="AI81" s="75">
        <f t="shared" si="6"/>
        <v>0</v>
      </c>
      <c r="AJ81" s="75">
        <f t="shared" si="7"/>
        <v>0</v>
      </c>
      <c r="AK81" s="75">
        <f t="shared" si="8"/>
        <v>1</v>
      </c>
      <c r="AL81" s="75" t="s">
        <v>2467</v>
      </c>
      <c r="AM81" s="214"/>
      <c r="AN81" s="214"/>
      <c r="AO81" s="214" t="s">
        <v>739</v>
      </c>
      <c r="AP81" s="214"/>
      <c r="AQ81" s="214"/>
      <c r="AR81" s="214"/>
      <c r="AS81" s="214" t="s">
        <v>2724</v>
      </c>
      <c r="AT81" s="214"/>
      <c r="AU81" s="214"/>
      <c r="AV81" s="214"/>
      <c r="AW81" s="214" t="s">
        <v>739</v>
      </c>
      <c r="AX81" s="214"/>
      <c r="AY81" s="214"/>
      <c r="AZ81" s="214"/>
      <c r="BA81" s="119" t="s">
        <v>3113</v>
      </c>
      <c r="BB81" s="119"/>
      <c r="BC81" s="135" t="s">
        <v>1710</v>
      </c>
    </row>
    <row r="82" spans="1:55" ht="15" customHeight="1" x14ac:dyDescent="0.25">
      <c r="A82" s="210">
        <v>9</v>
      </c>
      <c r="B82" s="135" t="s">
        <v>3066</v>
      </c>
      <c r="C82" s="143" t="s">
        <v>1710</v>
      </c>
      <c r="D82" s="135" t="s">
        <v>3067</v>
      </c>
      <c r="E82" s="135" t="s">
        <v>3068</v>
      </c>
      <c r="F82" s="135" t="s">
        <v>965</v>
      </c>
      <c r="G82" s="135" t="s">
        <v>3106</v>
      </c>
      <c r="H82" s="135" t="s">
        <v>3107</v>
      </c>
      <c r="I82" s="135" t="s">
        <v>3114</v>
      </c>
      <c r="J82" s="217">
        <v>44440</v>
      </c>
      <c r="K82" s="217">
        <v>44561</v>
      </c>
      <c r="L82" s="135" t="s">
        <v>3115</v>
      </c>
      <c r="M82" s="143" t="s">
        <v>3072</v>
      </c>
      <c r="N82" s="143" t="s">
        <v>3073</v>
      </c>
      <c r="O82" s="135" t="s">
        <v>3116</v>
      </c>
      <c r="P82" s="143" t="s">
        <v>3117</v>
      </c>
      <c r="Q82" s="210">
        <v>3</v>
      </c>
      <c r="R82" s="210">
        <v>0</v>
      </c>
      <c r="S82" s="210">
        <v>0</v>
      </c>
      <c r="T82" s="210">
        <v>1</v>
      </c>
      <c r="U82" s="210">
        <v>2</v>
      </c>
      <c r="V82" s="210"/>
      <c r="W82" s="210"/>
      <c r="X82" s="210"/>
      <c r="Y82" s="210"/>
      <c r="Z82" s="210">
        <v>1</v>
      </c>
      <c r="AA82" s="210" t="s">
        <v>3118</v>
      </c>
      <c r="AB82" s="215"/>
      <c r="AC82" s="215"/>
      <c r="AD82" s="213"/>
      <c r="AE82" s="213"/>
      <c r="AF82" s="213">
        <v>44483</v>
      </c>
      <c r="AG82" s="213"/>
      <c r="AH82" s="75">
        <f t="shared" si="5"/>
        <v>0.33333333333333331</v>
      </c>
      <c r="AI82" s="75" t="str">
        <f t="shared" si="6"/>
        <v/>
      </c>
      <c r="AJ82" s="75" t="str">
        <f t="shared" si="7"/>
        <v/>
      </c>
      <c r="AK82" s="75">
        <f t="shared" si="8"/>
        <v>1</v>
      </c>
      <c r="AL82" s="75" t="s">
        <v>2467</v>
      </c>
      <c r="AM82" s="214"/>
      <c r="AN82" s="214"/>
      <c r="AO82" s="214" t="s">
        <v>739</v>
      </c>
      <c r="AP82" s="214"/>
      <c r="AQ82" s="214"/>
      <c r="AR82" s="214"/>
      <c r="AS82" s="214" t="s">
        <v>2724</v>
      </c>
      <c r="AT82" s="214"/>
      <c r="AU82" s="214"/>
      <c r="AV82" s="214"/>
      <c r="AW82" s="214" t="s">
        <v>739</v>
      </c>
      <c r="AX82" s="214"/>
      <c r="AY82" s="214"/>
      <c r="AZ82" s="214"/>
      <c r="BA82" s="119" t="s">
        <v>3119</v>
      </c>
      <c r="BB82" s="119"/>
      <c r="BC82" s="135" t="s">
        <v>1710</v>
      </c>
    </row>
    <row r="83" spans="1:55" ht="15" customHeight="1" x14ac:dyDescent="0.25">
      <c r="A83" s="210">
        <v>10</v>
      </c>
      <c r="B83" s="135" t="s">
        <v>3066</v>
      </c>
      <c r="C83" s="143" t="s">
        <v>1710</v>
      </c>
      <c r="D83" s="135" t="s">
        <v>3067</v>
      </c>
      <c r="E83" s="135" t="s">
        <v>3068</v>
      </c>
      <c r="F83" s="135" t="s">
        <v>965</v>
      </c>
      <c r="G83" s="135" t="s">
        <v>3106</v>
      </c>
      <c r="H83" s="135" t="s">
        <v>3107</v>
      </c>
      <c r="I83" s="135" t="s">
        <v>3120</v>
      </c>
      <c r="J83" s="217">
        <v>44440</v>
      </c>
      <c r="K83" s="217">
        <v>44561</v>
      </c>
      <c r="L83" s="135" t="s">
        <v>3121</v>
      </c>
      <c r="M83" s="143" t="s">
        <v>3072</v>
      </c>
      <c r="N83" s="143" t="s">
        <v>3073</v>
      </c>
      <c r="O83" s="135" t="s">
        <v>3116</v>
      </c>
      <c r="P83" s="143" t="s">
        <v>3117</v>
      </c>
      <c r="Q83" s="210">
        <v>1</v>
      </c>
      <c r="R83" s="210">
        <v>0</v>
      </c>
      <c r="S83" s="210">
        <v>0</v>
      </c>
      <c r="T83" s="210">
        <v>0</v>
      </c>
      <c r="U83" s="210">
        <v>1</v>
      </c>
      <c r="V83" s="210"/>
      <c r="W83" s="210"/>
      <c r="X83" s="210"/>
      <c r="Y83" s="210"/>
      <c r="Z83" s="210">
        <v>0</v>
      </c>
      <c r="AA83" s="210" t="s">
        <v>1417</v>
      </c>
      <c r="AB83" s="215"/>
      <c r="AC83" s="215"/>
      <c r="AD83" s="213"/>
      <c r="AE83" s="213"/>
      <c r="AF83" s="213">
        <v>44483</v>
      </c>
      <c r="AG83" s="213"/>
      <c r="AH83" s="75">
        <f t="shared" si="5"/>
        <v>0</v>
      </c>
      <c r="AI83" s="75" t="str">
        <f t="shared" si="6"/>
        <v/>
      </c>
      <c r="AJ83" s="75" t="str">
        <f t="shared" si="7"/>
        <v/>
      </c>
      <c r="AK83" s="75" t="str">
        <f t="shared" si="8"/>
        <v/>
      </c>
      <c r="AL83" s="75" t="s">
        <v>2467</v>
      </c>
      <c r="AM83" s="214"/>
      <c r="AN83" s="214"/>
      <c r="AO83" s="214" t="s">
        <v>838</v>
      </c>
      <c r="AP83" s="214"/>
      <c r="AQ83" s="214"/>
      <c r="AR83" s="214"/>
      <c r="AS83" s="214" t="s">
        <v>838</v>
      </c>
      <c r="AT83" s="214"/>
      <c r="AU83" s="214"/>
      <c r="AV83" s="214"/>
      <c r="AW83" s="214" t="s">
        <v>838</v>
      </c>
      <c r="AX83" s="214"/>
      <c r="AY83" s="214"/>
      <c r="AZ83" s="214"/>
      <c r="BA83" s="119" t="s">
        <v>3122</v>
      </c>
      <c r="BB83" s="119"/>
      <c r="BC83" s="135" t="s">
        <v>1710</v>
      </c>
    </row>
    <row r="84" spans="1:55" ht="15" customHeight="1" x14ac:dyDescent="0.25">
      <c r="A84" s="210">
        <v>11</v>
      </c>
      <c r="B84" s="135" t="s">
        <v>3066</v>
      </c>
      <c r="C84" s="143" t="s">
        <v>1710</v>
      </c>
      <c r="D84" s="143" t="s">
        <v>2583</v>
      </c>
      <c r="E84" s="143" t="s">
        <v>3123</v>
      </c>
      <c r="F84" s="143" t="s">
        <v>793</v>
      </c>
      <c r="G84" s="143" t="s">
        <v>2458</v>
      </c>
      <c r="H84" s="143" t="s">
        <v>731</v>
      </c>
      <c r="I84" s="143" t="s">
        <v>2595</v>
      </c>
      <c r="J84" s="217">
        <v>44409</v>
      </c>
      <c r="K84" s="217">
        <v>44439</v>
      </c>
      <c r="L84" s="143" t="s">
        <v>3124</v>
      </c>
      <c r="M84" s="143" t="s">
        <v>3072</v>
      </c>
      <c r="N84" s="143" t="s">
        <v>60</v>
      </c>
      <c r="O84" s="143" t="s">
        <v>3058</v>
      </c>
      <c r="P84" s="143" t="s">
        <v>735</v>
      </c>
      <c r="Q84" s="221">
        <v>1</v>
      </c>
      <c r="R84" s="221">
        <v>0</v>
      </c>
      <c r="S84" s="221">
        <v>0</v>
      </c>
      <c r="T84" s="221">
        <v>0.5</v>
      </c>
      <c r="U84" s="221">
        <v>0.5</v>
      </c>
      <c r="V84" s="221"/>
      <c r="W84" s="221"/>
      <c r="X84" s="221"/>
      <c r="Y84" s="221"/>
      <c r="Z84" s="221">
        <v>0.5</v>
      </c>
      <c r="AA84" s="221" t="s">
        <v>3125</v>
      </c>
      <c r="AB84" s="215"/>
      <c r="AC84" s="215"/>
      <c r="AD84" s="213"/>
      <c r="AE84" s="213"/>
      <c r="AF84" s="213">
        <v>44477</v>
      </c>
      <c r="AG84" s="213"/>
      <c r="AH84" s="75">
        <f t="shared" si="5"/>
        <v>0.5</v>
      </c>
      <c r="AI84" s="75" t="str">
        <f t="shared" si="6"/>
        <v/>
      </c>
      <c r="AJ84" s="75" t="str">
        <f t="shared" si="7"/>
        <v/>
      </c>
      <c r="AK84" s="75">
        <f t="shared" si="8"/>
        <v>1</v>
      </c>
      <c r="AL84" s="75" t="s">
        <v>2467</v>
      </c>
      <c r="AM84" s="214"/>
      <c r="AN84" s="214"/>
      <c r="AO84" s="214" t="s">
        <v>739</v>
      </c>
      <c r="AP84" s="214"/>
      <c r="AQ84" s="214"/>
      <c r="AR84" s="214"/>
      <c r="AS84" s="214" t="s">
        <v>2724</v>
      </c>
      <c r="AT84" s="214"/>
      <c r="AU84" s="214"/>
      <c r="AV84" s="214"/>
      <c r="AW84" s="214" t="s">
        <v>739</v>
      </c>
      <c r="AX84" s="214"/>
      <c r="AY84" s="214"/>
      <c r="AZ84" s="214"/>
      <c r="BA84" s="119" t="s">
        <v>3126</v>
      </c>
      <c r="BB84" s="119"/>
      <c r="BC84" s="135" t="s">
        <v>1710</v>
      </c>
    </row>
    <row r="85" spans="1:55" ht="15" customHeight="1" x14ac:dyDescent="0.25">
      <c r="A85" s="210">
        <v>12</v>
      </c>
      <c r="B85" s="135" t="s">
        <v>3066</v>
      </c>
      <c r="C85" s="143" t="s">
        <v>1710</v>
      </c>
      <c r="D85" s="143" t="s">
        <v>2583</v>
      </c>
      <c r="E85" s="143" t="s">
        <v>3123</v>
      </c>
      <c r="F85" s="143" t="s">
        <v>793</v>
      </c>
      <c r="G85" s="143" t="s">
        <v>2458</v>
      </c>
      <c r="H85" s="143" t="s">
        <v>731</v>
      </c>
      <c r="I85" s="143" t="s">
        <v>2829</v>
      </c>
      <c r="J85" s="217">
        <v>44287</v>
      </c>
      <c r="K85" s="217">
        <v>44561</v>
      </c>
      <c r="L85" s="143" t="s">
        <v>3127</v>
      </c>
      <c r="M85" s="143" t="s">
        <v>3072</v>
      </c>
      <c r="N85" s="143" t="s">
        <v>60</v>
      </c>
      <c r="O85" s="143" t="s">
        <v>3058</v>
      </c>
      <c r="P85" s="143" t="s">
        <v>735</v>
      </c>
      <c r="Q85" s="221">
        <v>1</v>
      </c>
      <c r="R85" s="221">
        <v>0</v>
      </c>
      <c r="S85" s="221">
        <v>0</v>
      </c>
      <c r="T85" s="221">
        <v>0.5</v>
      </c>
      <c r="U85" s="221">
        <v>0.5</v>
      </c>
      <c r="V85" s="221"/>
      <c r="W85" s="221"/>
      <c r="X85" s="221"/>
      <c r="Y85" s="221"/>
      <c r="Z85" s="221">
        <v>0.5</v>
      </c>
      <c r="AA85" s="221" t="s">
        <v>3128</v>
      </c>
      <c r="AB85" s="215"/>
      <c r="AC85" s="215"/>
      <c r="AD85" s="213"/>
      <c r="AE85" s="213"/>
      <c r="AF85" s="213">
        <v>44477</v>
      </c>
      <c r="AG85" s="213"/>
      <c r="AH85" s="75">
        <f t="shared" si="5"/>
        <v>0.5</v>
      </c>
      <c r="AI85" s="75" t="str">
        <f t="shared" si="6"/>
        <v/>
      </c>
      <c r="AJ85" s="75" t="str">
        <f t="shared" si="7"/>
        <v/>
      </c>
      <c r="AK85" s="75">
        <f t="shared" si="8"/>
        <v>1</v>
      </c>
      <c r="AL85" s="75" t="s">
        <v>2467</v>
      </c>
      <c r="AM85" s="214"/>
      <c r="AN85" s="214"/>
      <c r="AO85" s="214" t="s">
        <v>739</v>
      </c>
      <c r="AP85" s="214"/>
      <c r="AQ85" s="214"/>
      <c r="AR85" s="214"/>
      <c r="AS85" s="214" t="s">
        <v>2724</v>
      </c>
      <c r="AT85" s="214"/>
      <c r="AU85" s="214"/>
      <c r="AV85" s="214"/>
      <c r="AW85" s="214" t="s">
        <v>838</v>
      </c>
      <c r="AX85" s="214"/>
      <c r="AY85" s="214"/>
      <c r="AZ85" s="214"/>
      <c r="BA85" s="119" t="s">
        <v>3129</v>
      </c>
      <c r="BB85" s="119"/>
      <c r="BC85" s="135" t="s">
        <v>1710</v>
      </c>
    </row>
    <row r="86" spans="1:55" ht="15" customHeight="1" x14ac:dyDescent="0.25">
      <c r="A86" s="210">
        <v>13</v>
      </c>
      <c r="B86" s="135" t="s">
        <v>3066</v>
      </c>
      <c r="C86" s="143" t="s">
        <v>1710</v>
      </c>
      <c r="D86" s="143" t="s">
        <v>2583</v>
      </c>
      <c r="E86" s="143" t="s">
        <v>3123</v>
      </c>
      <c r="F86" s="143" t="s">
        <v>793</v>
      </c>
      <c r="G86" s="143" t="s">
        <v>2458</v>
      </c>
      <c r="H86" s="143" t="s">
        <v>731</v>
      </c>
      <c r="I86" s="143" t="s">
        <v>3130</v>
      </c>
      <c r="J86" s="217">
        <v>44348</v>
      </c>
      <c r="K86" s="217">
        <v>44377</v>
      </c>
      <c r="L86" s="143" t="s">
        <v>3131</v>
      </c>
      <c r="M86" s="143" t="s">
        <v>3072</v>
      </c>
      <c r="N86" s="143" t="s">
        <v>60</v>
      </c>
      <c r="O86" s="143" t="s">
        <v>3058</v>
      </c>
      <c r="P86" s="143" t="s">
        <v>735</v>
      </c>
      <c r="Q86" s="221">
        <v>1</v>
      </c>
      <c r="R86" s="221">
        <v>0</v>
      </c>
      <c r="S86" s="221">
        <v>0</v>
      </c>
      <c r="T86" s="221">
        <v>0</v>
      </c>
      <c r="U86" s="221">
        <v>1</v>
      </c>
      <c r="V86" s="221"/>
      <c r="W86" s="221"/>
      <c r="X86" s="221"/>
      <c r="Y86" s="221"/>
      <c r="Z86" s="221">
        <v>1</v>
      </c>
      <c r="AA86" s="221" t="s">
        <v>3132</v>
      </c>
      <c r="AB86" s="212"/>
      <c r="AC86" s="212"/>
      <c r="AD86" s="213"/>
      <c r="AE86" s="213"/>
      <c r="AF86" s="213">
        <v>44477</v>
      </c>
      <c r="AG86" s="213"/>
      <c r="AH86" s="75">
        <f t="shared" si="5"/>
        <v>1</v>
      </c>
      <c r="AI86" s="75" t="str">
        <f t="shared" si="6"/>
        <v/>
      </c>
      <c r="AJ86" s="75" t="str">
        <f t="shared" si="7"/>
        <v/>
      </c>
      <c r="AK86" s="75" t="str">
        <f t="shared" si="8"/>
        <v/>
      </c>
      <c r="AL86" s="75" t="s">
        <v>2467</v>
      </c>
      <c r="AM86" s="214"/>
      <c r="AN86" s="214"/>
      <c r="AO86" s="214" t="s">
        <v>739</v>
      </c>
      <c r="AP86" s="214"/>
      <c r="AQ86" s="214"/>
      <c r="AR86" s="214"/>
      <c r="AS86" s="214" t="s">
        <v>2724</v>
      </c>
      <c r="AT86" s="214"/>
      <c r="AU86" s="214"/>
      <c r="AV86" s="214"/>
      <c r="AW86" s="214" t="s">
        <v>838</v>
      </c>
      <c r="AX86" s="214"/>
      <c r="AY86" s="214"/>
      <c r="AZ86" s="214"/>
      <c r="BA86" s="119" t="s">
        <v>3129</v>
      </c>
      <c r="BB86" s="119"/>
      <c r="BC86" s="135" t="s">
        <v>727</v>
      </c>
    </row>
    <row r="87" spans="1:55" ht="15" customHeight="1" x14ac:dyDescent="0.25">
      <c r="A87" s="210">
        <v>14</v>
      </c>
      <c r="B87" s="135" t="s">
        <v>3066</v>
      </c>
      <c r="C87" s="143" t="s">
        <v>1710</v>
      </c>
      <c r="D87" s="143" t="s">
        <v>2583</v>
      </c>
      <c r="E87" s="143" t="s">
        <v>3123</v>
      </c>
      <c r="F87" s="143" t="s">
        <v>793</v>
      </c>
      <c r="G87" s="143" t="s">
        <v>2458</v>
      </c>
      <c r="H87" s="143" t="s">
        <v>731</v>
      </c>
      <c r="I87" s="143" t="s">
        <v>2825</v>
      </c>
      <c r="J87" s="217">
        <v>44378</v>
      </c>
      <c r="K87" s="217">
        <v>44408</v>
      </c>
      <c r="L87" s="143" t="s">
        <v>3133</v>
      </c>
      <c r="M87" s="143" t="s">
        <v>3072</v>
      </c>
      <c r="N87" s="143" t="s">
        <v>60</v>
      </c>
      <c r="O87" s="143" t="s">
        <v>3058</v>
      </c>
      <c r="P87" s="143" t="s">
        <v>735</v>
      </c>
      <c r="Q87" s="221">
        <v>1</v>
      </c>
      <c r="R87" s="221">
        <v>0</v>
      </c>
      <c r="S87" s="221">
        <v>0</v>
      </c>
      <c r="T87" s="221">
        <v>0</v>
      </c>
      <c r="U87" s="221">
        <v>1</v>
      </c>
      <c r="V87" s="221"/>
      <c r="W87" s="221"/>
      <c r="X87" s="221"/>
      <c r="Y87" s="221"/>
      <c r="Z87" s="221">
        <v>0</v>
      </c>
      <c r="AA87" s="221" t="s">
        <v>3134</v>
      </c>
      <c r="AB87" s="212"/>
      <c r="AC87" s="212"/>
      <c r="AD87" s="213"/>
      <c r="AE87" s="213"/>
      <c r="AF87" s="213">
        <v>44477</v>
      </c>
      <c r="AG87" s="213"/>
      <c r="AH87" s="75">
        <f t="shared" si="5"/>
        <v>0</v>
      </c>
      <c r="AI87" s="75" t="str">
        <f t="shared" si="6"/>
        <v/>
      </c>
      <c r="AJ87" s="75" t="str">
        <f t="shared" si="7"/>
        <v/>
      </c>
      <c r="AK87" s="75" t="str">
        <f t="shared" si="8"/>
        <v/>
      </c>
      <c r="AL87" s="75" t="s">
        <v>2467</v>
      </c>
      <c r="AM87" s="214"/>
      <c r="AN87" s="214"/>
      <c r="AO87" s="214" t="s">
        <v>838</v>
      </c>
      <c r="AP87" s="214"/>
      <c r="AQ87" s="214"/>
      <c r="AR87" s="214"/>
      <c r="AS87" s="214" t="s">
        <v>838</v>
      </c>
      <c r="AT87" s="214"/>
      <c r="AU87" s="214"/>
      <c r="AV87" s="214"/>
      <c r="AW87" s="214" t="s">
        <v>838</v>
      </c>
      <c r="AX87" s="214"/>
      <c r="AY87" s="214"/>
      <c r="AZ87" s="214"/>
      <c r="BA87" s="119" t="s">
        <v>3129</v>
      </c>
      <c r="BB87" s="119"/>
      <c r="BC87" s="135" t="s">
        <v>727</v>
      </c>
    </row>
    <row r="88" spans="1:55" ht="15" customHeight="1" x14ac:dyDescent="0.25">
      <c r="A88" s="210">
        <v>15</v>
      </c>
      <c r="B88" s="135" t="s">
        <v>3066</v>
      </c>
      <c r="C88" s="143" t="s">
        <v>1710</v>
      </c>
      <c r="D88" s="143" t="s">
        <v>2583</v>
      </c>
      <c r="E88" s="143" t="s">
        <v>3123</v>
      </c>
      <c r="F88" s="143" t="s">
        <v>793</v>
      </c>
      <c r="G88" s="143" t="s">
        <v>2458</v>
      </c>
      <c r="H88" s="143" t="s">
        <v>731</v>
      </c>
      <c r="I88" s="143" t="s">
        <v>3135</v>
      </c>
      <c r="J88" s="217">
        <v>44197</v>
      </c>
      <c r="K88" s="217">
        <v>44560</v>
      </c>
      <c r="L88" s="143" t="s">
        <v>3057</v>
      </c>
      <c r="M88" s="143" t="s">
        <v>3072</v>
      </c>
      <c r="N88" s="143" t="s">
        <v>30</v>
      </c>
      <c r="O88" s="143" t="s">
        <v>3058</v>
      </c>
      <c r="P88" s="143" t="s">
        <v>11</v>
      </c>
      <c r="Q88" s="212">
        <v>4</v>
      </c>
      <c r="R88" s="212">
        <v>0</v>
      </c>
      <c r="S88" s="212">
        <v>0</v>
      </c>
      <c r="T88" s="212">
        <v>1</v>
      </c>
      <c r="U88" s="212">
        <v>3</v>
      </c>
      <c r="V88" s="212"/>
      <c r="W88" s="212"/>
      <c r="X88" s="212"/>
      <c r="Y88" s="212"/>
      <c r="Z88" s="212">
        <v>1</v>
      </c>
      <c r="AA88" s="212" t="s">
        <v>3136</v>
      </c>
      <c r="AB88" s="240"/>
      <c r="AC88" s="240"/>
      <c r="AD88" s="213"/>
      <c r="AE88" s="213"/>
      <c r="AF88" s="213">
        <v>44477</v>
      </c>
      <c r="AG88" s="213"/>
      <c r="AH88" s="75">
        <f t="shared" si="5"/>
        <v>0.25</v>
      </c>
      <c r="AI88" s="75" t="str">
        <f t="shared" si="6"/>
        <v/>
      </c>
      <c r="AJ88" s="75" t="str">
        <f t="shared" si="7"/>
        <v/>
      </c>
      <c r="AK88" s="75">
        <f t="shared" si="8"/>
        <v>1</v>
      </c>
      <c r="AL88" s="75" t="s">
        <v>2467</v>
      </c>
      <c r="AM88" s="214"/>
      <c r="AN88" s="214"/>
      <c r="AO88" s="214" t="s">
        <v>739</v>
      </c>
      <c r="AP88" s="214"/>
      <c r="AQ88" s="214"/>
      <c r="AR88" s="214"/>
      <c r="AS88" s="214" t="s">
        <v>2724</v>
      </c>
      <c r="AT88" s="214"/>
      <c r="AU88" s="214"/>
      <c r="AV88" s="214"/>
      <c r="AW88" s="214" t="s">
        <v>838</v>
      </c>
      <c r="AX88" s="214"/>
      <c r="AY88" s="214"/>
      <c r="AZ88" s="214"/>
      <c r="BA88" s="119" t="s">
        <v>3129</v>
      </c>
      <c r="BB88" s="119"/>
      <c r="BC88" s="135" t="s">
        <v>727</v>
      </c>
    </row>
    <row r="89" spans="1:55" ht="15" customHeight="1" x14ac:dyDescent="0.25">
      <c r="A89" s="210">
        <v>1</v>
      </c>
      <c r="B89" s="143" t="s">
        <v>3137</v>
      </c>
      <c r="C89" s="143" t="s">
        <v>727</v>
      </c>
      <c r="D89" s="143" t="s">
        <v>3138</v>
      </c>
      <c r="E89" s="143" t="s">
        <v>792</v>
      </c>
      <c r="F89" s="143" t="s">
        <v>793</v>
      </c>
      <c r="G89" s="143" t="s">
        <v>2458</v>
      </c>
      <c r="H89" s="143" t="s">
        <v>2461</v>
      </c>
      <c r="I89" s="143" t="s">
        <v>3139</v>
      </c>
      <c r="J89" s="217">
        <v>44197</v>
      </c>
      <c r="K89" s="217">
        <v>44561</v>
      </c>
      <c r="L89" s="143" t="s">
        <v>3140</v>
      </c>
      <c r="M89" s="143" t="s">
        <v>2718</v>
      </c>
      <c r="N89" s="143" t="s">
        <v>30</v>
      </c>
      <c r="O89" s="143" t="s">
        <v>3141</v>
      </c>
      <c r="P89" s="143" t="s">
        <v>2455</v>
      </c>
      <c r="Q89" s="212">
        <v>12</v>
      </c>
      <c r="R89" s="212">
        <v>3</v>
      </c>
      <c r="S89" s="212">
        <v>3</v>
      </c>
      <c r="T89" s="212">
        <v>3</v>
      </c>
      <c r="U89" s="212">
        <v>3</v>
      </c>
      <c r="V89" s="212">
        <v>3</v>
      </c>
      <c r="W89" s="212" t="s">
        <v>3142</v>
      </c>
      <c r="X89" s="212">
        <v>3</v>
      </c>
      <c r="Y89" s="212" t="s">
        <v>3143</v>
      </c>
      <c r="Z89" s="212">
        <v>3</v>
      </c>
      <c r="AA89" s="212" t="s">
        <v>3143</v>
      </c>
      <c r="AB89" s="212"/>
      <c r="AC89" s="212"/>
      <c r="AD89" s="213">
        <v>44296</v>
      </c>
      <c r="AE89" s="213">
        <v>44384</v>
      </c>
      <c r="AF89" s="213">
        <v>44480</v>
      </c>
      <c r="AG89" s="213"/>
      <c r="AH89" s="75">
        <f t="shared" si="5"/>
        <v>0.75</v>
      </c>
      <c r="AI89" s="75">
        <f t="shared" si="6"/>
        <v>1</v>
      </c>
      <c r="AJ89" s="75">
        <f t="shared" si="7"/>
        <v>1</v>
      </c>
      <c r="AK89" s="75">
        <f t="shared" si="8"/>
        <v>1</v>
      </c>
      <c r="AL89" s="75" t="s">
        <v>2467</v>
      </c>
      <c r="AM89" s="212" t="s">
        <v>739</v>
      </c>
      <c r="AN89" s="212" t="s">
        <v>739</v>
      </c>
      <c r="AO89" s="119" t="s">
        <v>739</v>
      </c>
      <c r="AP89" s="119"/>
      <c r="AQ89" s="212" t="s">
        <v>2723</v>
      </c>
      <c r="AR89" s="212" t="s">
        <v>1258</v>
      </c>
      <c r="AS89" s="119" t="s">
        <v>3144</v>
      </c>
      <c r="AT89" s="119"/>
      <c r="AU89" s="212" t="s">
        <v>739</v>
      </c>
      <c r="AV89" s="212" t="s">
        <v>739</v>
      </c>
      <c r="AW89" s="119" t="s">
        <v>739</v>
      </c>
      <c r="AX89" s="119"/>
      <c r="AY89" s="212" t="s">
        <v>3145</v>
      </c>
      <c r="AZ89" s="212" t="s">
        <v>3146</v>
      </c>
      <c r="BA89" s="119" t="s">
        <v>3147</v>
      </c>
      <c r="BB89" s="119"/>
      <c r="BC89" s="143" t="s">
        <v>2734</v>
      </c>
    </row>
    <row r="90" spans="1:55" ht="15" customHeight="1" x14ac:dyDescent="0.25">
      <c r="A90" s="210">
        <v>2</v>
      </c>
      <c r="B90" s="143" t="s">
        <v>3137</v>
      </c>
      <c r="C90" s="143" t="s">
        <v>727</v>
      </c>
      <c r="D90" s="143" t="s">
        <v>3138</v>
      </c>
      <c r="E90" s="143" t="s">
        <v>792</v>
      </c>
      <c r="F90" s="143" t="s">
        <v>793</v>
      </c>
      <c r="G90" s="143" t="s">
        <v>2458</v>
      </c>
      <c r="H90" s="143" t="s">
        <v>2461</v>
      </c>
      <c r="I90" s="143" t="s">
        <v>3148</v>
      </c>
      <c r="J90" s="217">
        <v>44197</v>
      </c>
      <c r="K90" s="217">
        <v>44561</v>
      </c>
      <c r="L90" s="143" t="s">
        <v>3149</v>
      </c>
      <c r="M90" s="143" t="s">
        <v>2718</v>
      </c>
      <c r="N90" s="143" t="s">
        <v>60</v>
      </c>
      <c r="O90" s="143" t="s">
        <v>3141</v>
      </c>
      <c r="P90" s="143" t="s">
        <v>2455</v>
      </c>
      <c r="Q90" s="215">
        <v>1</v>
      </c>
      <c r="R90" s="215">
        <v>0.25</v>
      </c>
      <c r="S90" s="215">
        <v>0.25</v>
      </c>
      <c r="T90" s="215">
        <v>0.25</v>
      </c>
      <c r="U90" s="215">
        <v>0.25</v>
      </c>
      <c r="V90" s="215">
        <v>0.25</v>
      </c>
      <c r="W90" s="215" t="s">
        <v>3150</v>
      </c>
      <c r="X90" s="215">
        <v>0.25</v>
      </c>
      <c r="Y90" s="215" t="s">
        <v>3151</v>
      </c>
      <c r="Z90" s="215">
        <v>0.25</v>
      </c>
      <c r="AA90" s="215" t="s">
        <v>3152</v>
      </c>
      <c r="AB90" s="212"/>
      <c r="AC90" s="212"/>
      <c r="AD90" s="213">
        <v>44296</v>
      </c>
      <c r="AE90" s="213">
        <v>44384</v>
      </c>
      <c r="AF90" s="213">
        <v>44480</v>
      </c>
      <c r="AG90" s="213"/>
      <c r="AH90" s="75">
        <f t="shared" si="5"/>
        <v>0.75</v>
      </c>
      <c r="AI90" s="75">
        <f t="shared" si="6"/>
        <v>1</v>
      </c>
      <c r="AJ90" s="75">
        <f t="shared" si="7"/>
        <v>1</v>
      </c>
      <c r="AK90" s="75">
        <f t="shared" si="8"/>
        <v>1</v>
      </c>
      <c r="AL90" s="75" t="s">
        <v>2467</v>
      </c>
      <c r="AM90" s="212" t="s">
        <v>739</v>
      </c>
      <c r="AN90" s="212" t="s">
        <v>739</v>
      </c>
      <c r="AO90" s="119" t="s">
        <v>739</v>
      </c>
      <c r="AP90" s="119"/>
      <c r="AQ90" s="212" t="s">
        <v>2723</v>
      </c>
      <c r="AR90" s="212" t="s">
        <v>1258</v>
      </c>
      <c r="AS90" s="119" t="s">
        <v>3153</v>
      </c>
      <c r="AT90" s="119"/>
      <c r="AU90" s="212" t="s">
        <v>739</v>
      </c>
      <c r="AV90" s="212" t="s">
        <v>739</v>
      </c>
      <c r="AW90" s="119" t="s">
        <v>739</v>
      </c>
      <c r="AX90" s="119"/>
      <c r="AY90" s="212" t="s">
        <v>3154</v>
      </c>
      <c r="AZ90" s="212" t="s">
        <v>3155</v>
      </c>
      <c r="BA90" s="119" t="s">
        <v>3156</v>
      </c>
      <c r="BB90" s="119"/>
      <c r="BC90" s="143" t="s">
        <v>2734</v>
      </c>
    </row>
    <row r="91" spans="1:55" ht="15" customHeight="1" x14ac:dyDescent="0.25">
      <c r="A91" s="210">
        <v>3</v>
      </c>
      <c r="B91" s="143" t="s">
        <v>3137</v>
      </c>
      <c r="C91" s="143" t="s">
        <v>727</v>
      </c>
      <c r="D91" s="143" t="s">
        <v>3138</v>
      </c>
      <c r="E91" s="143" t="s">
        <v>792</v>
      </c>
      <c r="F91" s="143" t="s">
        <v>793</v>
      </c>
      <c r="G91" s="143" t="s">
        <v>2458</v>
      </c>
      <c r="H91" s="143" t="s">
        <v>2461</v>
      </c>
      <c r="I91" s="143" t="s">
        <v>3157</v>
      </c>
      <c r="J91" s="217">
        <v>44197</v>
      </c>
      <c r="K91" s="217">
        <v>44561</v>
      </c>
      <c r="L91" s="143" t="s">
        <v>3158</v>
      </c>
      <c r="M91" s="143" t="s">
        <v>2718</v>
      </c>
      <c r="N91" s="143" t="s">
        <v>60</v>
      </c>
      <c r="O91" s="143" t="s">
        <v>3141</v>
      </c>
      <c r="P91" s="143" t="s">
        <v>2455</v>
      </c>
      <c r="Q91" s="215">
        <v>1</v>
      </c>
      <c r="R91" s="215">
        <v>0.25</v>
      </c>
      <c r="S91" s="215">
        <v>0.25</v>
      </c>
      <c r="T91" s="215">
        <v>0.25</v>
      </c>
      <c r="U91" s="215">
        <v>0.25</v>
      </c>
      <c r="V91" s="215">
        <v>0.25</v>
      </c>
      <c r="W91" s="215" t="s">
        <v>3159</v>
      </c>
      <c r="X91" s="215">
        <v>0.25</v>
      </c>
      <c r="Y91" s="215" t="s">
        <v>3160</v>
      </c>
      <c r="Z91" s="215">
        <v>0.25</v>
      </c>
      <c r="AA91" s="215" t="s">
        <v>3161</v>
      </c>
      <c r="AB91" s="212"/>
      <c r="AC91" s="212"/>
      <c r="AD91" s="213">
        <v>44296</v>
      </c>
      <c r="AE91" s="213">
        <v>44384</v>
      </c>
      <c r="AF91" s="213">
        <v>44480</v>
      </c>
      <c r="AG91" s="213"/>
      <c r="AH91" s="75">
        <f t="shared" si="5"/>
        <v>0.75</v>
      </c>
      <c r="AI91" s="75">
        <f t="shared" si="6"/>
        <v>1</v>
      </c>
      <c r="AJ91" s="75">
        <f t="shared" si="7"/>
        <v>1</v>
      </c>
      <c r="AK91" s="75">
        <f t="shared" si="8"/>
        <v>1</v>
      </c>
      <c r="AL91" s="75" t="s">
        <v>2467</v>
      </c>
      <c r="AM91" s="212" t="s">
        <v>739</v>
      </c>
      <c r="AN91" s="212" t="s">
        <v>739</v>
      </c>
      <c r="AO91" s="119" t="s">
        <v>739</v>
      </c>
      <c r="AP91" s="119"/>
      <c r="AQ91" s="212" t="s">
        <v>2723</v>
      </c>
      <c r="AR91" s="212" t="s">
        <v>1258</v>
      </c>
      <c r="AS91" s="119" t="s">
        <v>3162</v>
      </c>
      <c r="AT91" s="119"/>
      <c r="AU91" s="212" t="s">
        <v>739</v>
      </c>
      <c r="AV91" s="212" t="s">
        <v>739</v>
      </c>
      <c r="AW91" s="119" t="s">
        <v>739</v>
      </c>
      <c r="AX91" s="119"/>
      <c r="AY91" s="212" t="s">
        <v>3163</v>
      </c>
      <c r="AZ91" s="212" t="s">
        <v>3164</v>
      </c>
      <c r="BA91" s="119" t="s">
        <v>3165</v>
      </c>
      <c r="BB91" s="119"/>
      <c r="BC91" s="143" t="s">
        <v>727</v>
      </c>
    </row>
    <row r="92" spans="1:55" ht="15" customHeight="1" x14ac:dyDescent="0.25">
      <c r="A92" s="210">
        <v>4</v>
      </c>
      <c r="B92" s="143" t="s">
        <v>3137</v>
      </c>
      <c r="C92" s="143" t="s">
        <v>727</v>
      </c>
      <c r="D92" s="143" t="s">
        <v>3138</v>
      </c>
      <c r="E92" s="143" t="s">
        <v>792</v>
      </c>
      <c r="F92" s="143" t="s">
        <v>793</v>
      </c>
      <c r="G92" s="143" t="s">
        <v>2458</v>
      </c>
      <c r="H92" s="143" t="s">
        <v>2461</v>
      </c>
      <c r="I92" s="143" t="s">
        <v>3166</v>
      </c>
      <c r="J92" s="217">
        <v>44197</v>
      </c>
      <c r="K92" s="217">
        <v>44561</v>
      </c>
      <c r="L92" s="143" t="s">
        <v>2760</v>
      </c>
      <c r="M92" s="143" t="s">
        <v>2718</v>
      </c>
      <c r="N92" s="143" t="s">
        <v>60</v>
      </c>
      <c r="O92" s="143" t="s">
        <v>3141</v>
      </c>
      <c r="P92" s="143" t="s">
        <v>2455</v>
      </c>
      <c r="Q92" s="215">
        <v>1</v>
      </c>
      <c r="R92" s="215">
        <v>0.25</v>
      </c>
      <c r="S92" s="215">
        <v>0.25</v>
      </c>
      <c r="T92" s="215">
        <v>0.25</v>
      </c>
      <c r="U92" s="215">
        <v>0.25</v>
      </c>
      <c r="V92" s="215">
        <v>0.25</v>
      </c>
      <c r="W92" s="215" t="s">
        <v>3167</v>
      </c>
      <c r="X92" s="215">
        <v>0.25</v>
      </c>
      <c r="Y92" s="215" t="s">
        <v>3168</v>
      </c>
      <c r="Z92" s="215">
        <v>0.25</v>
      </c>
      <c r="AA92" s="215" t="s">
        <v>3169</v>
      </c>
      <c r="AB92" s="212"/>
      <c r="AC92" s="212"/>
      <c r="AD92" s="213">
        <v>44296</v>
      </c>
      <c r="AE92" s="213">
        <v>44384</v>
      </c>
      <c r="AF92" s="213">
        <v>44480</v>
      </c>
      <c r="AG92" s="213"/>
      <c r="AH92" s="75">
        <f t="shared" si="5"/>
        <v>0.75</v>
      </c>
      <c r="AI92" s="75">
        <f t="shared" si="6"/>
        <v>1</v>
      </c>
      <c r="AJ92" s="75">
        <f t="shared" si="7"/>
        <v>1</v>
      </c>
      <c r="AK92" s="75">
        <f t="shared" si="8"/>
        <v>1</v>
      </c>
      <c r="AL92" s="75" t="s">
        <v>2467</v>
      </c>
      <c r="AM92" s="212" t="s">
        <v>739</v>
      </c>
      <c r="AN92" s="212" t="s">
        <v>739</v>
      </c>
      <c r="AO92" s="119" t="s">
        <v>739</v>
      </c>
      <c r="AP92" s="119"/>
      <c r="AQ92" s="212" t="s">
        <v>2723</v>
      </c>
      <c r="AR92" s="212" t="s">
        <v>1258</v>
      </c>
      <c r="AS92" s="119" t="s">
        <v>3170</v>
      </c>
      <c r="AT92" s="119"/>
      <c r="AU92" s="212" t="s">
        <v>739</v>
      </c>
      <c r="AV92" s="212" t="s">
        <v>739</v>
      </c>
      <c r="AW92" s="119" t="s">
        <v>739</v>
      </c>
      <c r="AX92" s="119"/>
      <c r="AY92" s="212" t="s">
        <v>3171</v>
      </c>
      <c r="AZ92" s="212" t="s">
        <v>3172</v>
      </c>
      <c r="BA92" s="119" t="s">
        <v>3173</v>
      </c>
      <c r="BB92" s="119"/>
      <c r="BC92" s="143" t="s">
        <v>727</v>
      </c>
    </row>
    <row r="93" spans="1:55" ht="15" customHeight="1" x14ac:dyDescent="0.25">
      <c r="A93" s="210">
        <v>5</v>
      </c>
      <c r="B93" s="143" t="s">
        <v>3137</v>
      </c>
      <c r="C93" s="143" t="s">
        <v>727</v>
      </c>
      <c r="D93" s="143" t="s">
        <v>3138</v>
      </c>
      <c r="E93" s="143" t="s">
        <v>792</v>
      </c>
      <c r="F93" s="143" t="s">
        <v>793</v>
      </c>
      <c r="G93" s="143" t="s">
        <v>2458</v>
      </c>
      <c r="H93" s="143" t="s">
        <v>2461</v>
      </c>
      <c r="I93" s="143" t="s">
        <v>3174</v>
      </c>
      <c r="J93" s="217">
        <v>44197</v>
      </c>
      <c r="K93" s="217">
        <v>44561</v>
      </c>
      <c r="L93" s="143" t="s">
        <v>3175</v>
      </c>
      <c r="M93" s="143" t="s">
        <v>2718</v>
      </c>
      <c r="N93" s="143" t="s">
        <v>30</v>
      </c>
      <c r="O93" s="143" t="s">
        <v>3141</v>
      </c>
      <c r="P93" s="143" t="s">
        <v>2455</v>
      </c>
      <c r="Q93" s="212">
        <v>12</v>
      </c>
      <c r="R93" s="212">
        <v>3</v>
      </c>
      <c r="S93" s="212">
        <v>3</v>
      </c>
      <c r="T93" s="212">
        <v>3</v>
      </c>
      <c r="U93" s="212">
        <v>3</v>
      </c>
      <c r="V93" s="212">
        <v>3</v>
      </c>
      <c r="W93" s="212" t="s">
        <v>3176</v>
      </c>
      <c r="X93" s="212">
        <v>3</v>
      </c>
      <c r="Y93" s="212" t="s">
        <v>3177</v>
      </c>
      <c r="Z93" s="212">
        <v>3</v>
      </c>
      <c r="AA93" s="212" t="s">
        <v>3177</v>
      </c>
      <c r="AB93" s="212"/>
      <c r="AC93" s="212"/>
      <c r="AD93" s="213">
        <v>44296</v>
      </c>
      <c r="AE93" s="213">
        <v>44384</v>
      </c>
      <c r="AF93" s="213">
        <v>44480</v>
      </c>
      <c r="AG93" s="213"/>
      <c r="AH93" s="75">
        <f t="shared" si="5"/>
        <v>0.75</v>
      </c>
      <c r="AI93" s="75">
        <f t="shared" si="6"/>
        <v>1</v>
      </c>
      <c r="AJ93" s="75">
        <f t="shared" si="7"/>
        <v>1</v>
      </c>
      <c r="AK93" s="75">
        <f t="shared" si="8"/>
        <v>1</v>
      </c>
      <c r="AL93" s="75" t="s">
        <v>2467</v>
      </c>
      <c r="AM93" s="212" t="s">
        <v>739</v>
      </c>
      <c r="AN93" s="212" t="s">
        <v>739</v>
      </c>
      <c r="AO93" s="119" t="s">
        <v>739</v>
      </c>
      <c r="AP93" s="119"/>
      <c r="AQ93" s="212" t="s">
        <v>2723</v>
      </c>
      <c r="AR93" s="212" t="s">
        <v>1258</v>
      </c>
      <c r="AS93" s="119" t="s">
        <v>3178</v>
      </c>
      <c r="AT93" s="119"/>
      <c r="AU93" s="212" t="s">
        <v>739</v>
      </c>
      <c r="AV93" s="212" t="s">
        <v>739</v>
      </c>
      <c r="AW93" s="119" t="s">
        <v>739</v>
      </c>
      <c r="AX93" s="119"/>
      <c r="AY93" s="212" t="s">
        <v>3179</v>
      </c>
      <c r="AZ93" s="212" t="s">
        <v>3180</v>
      </c>
      <c r="BA93" s="119" t="s">
        <v>3181</v>
      </c>
      <c r="BB93" s="119"/>
      <c r="BC93" s="143" t="s">
        <v>727</v>
      </c>
    </row>
    <row r="94" spans="1:55" ht="15" customHeight="1" x14ac:dyDescent="0.25">
      <c r="A94" s="210">
        <v>6</v>
      </c>
      <c r="B94" s="143" t="s">
        <v>3137</v>
      </c>
      <c r="C94" s="143" t="s">
        <v>727</v>
      </c>
      <c r="D94" s="143" t="s">
        <v>3182</v>
      </c>
      <c r="E94" s="143" t="s">
        <v>792</v>
      </c>
      <c r="F94" s="143" t="s">
        <v>793</v>
      </c>
      <c r="G94" s="143" t="s">
        <v>2458</v>
      </c>
      <c r="H94" s="143" t="s">
        <v>2461</v>
      </c>
      <c r="I94" s="143" t="s">
        <v>3183</v>
      </c>
      <c r="J94" s="217">
        <v>44256</v>
      </c>
      <c r="K94" s="217">
        <v>44561</v>
      </c>
      <c r="L94" s="143" t="s">
        <v>3184</v>
      </c>
      <c r="M94" s="143" t="s">
        <v>2718</v>
      </c>
      <c r="N94" s="143" t="s">
        <v>30</v>
      </c>
      <c r="O94" s="143" t="s">
        <v>3185</v>
      </c>
      <c r="P94" s="143" t="s">
        <v>735</v>
      </c>
      <c r="Q94" s="212">
        <v>4</v>
      </c>
      <c r="R94" s="212">
        <v>1</v>
      </c>
      <c r="S94" s="212">
        <v>1</v>
      </c>
      <c r="T94" s="212">
        <v>1</v>
      </c>
      <c r="U94" s="212">
        <v>1</v>
      </c>
      <c r="V94" s="212">
        <v>10</v>
      </c>
      <c r="W94" s="212" t="s">
        <v>3186</v>
      </c>
      <c r="X94" s="212">
        <v>7</v>
      </c>
      <c r="Y94" s="212" t="s">
        <v>3187</v>
      </c>
      <c r="Z94" s="212">
        <v>10</v>
      </c>
      <c r="AA94" s="212" t="s">
        <v>3188</v>
      </c>
      <c r="AB94" s="240"/>
      <c r="AC94" s="240"/>
      <c r="AD94" s="213">
        <v>44296</v>
      </c>
      <c r="AE94" s="213">
        <v>44384</v>
      </c>
      <c r="AF94" s="213">
        <v>44480</v>
      </c>
      <c r="AG94" s="213"/>
      <c r="AH94" s="75">
        <f t="shared" si="5"/>
        <v>1</v>
      </c>
      <c r="AI94" s="75">
        <f t="shared" si="6"/>
        <v>1</v>
      </c>
      <c r="AJ94" s="75">
        <f t="shared" si="7"/>
        <v>1</v>
      </c>
      <c r="AK94" s="75">
        <f t="shared" si="8"/>
        <v>1</v>
      </c>
      <c r="AL94" s="75" t="s">
        <v>2467</v>
      </c>
      <c r="AM94" s="212" t="s">
        <v>739</v>
      </c>
      <c r="AN94" s="212" t="s">
        <v>739</v>
      </c>
      <c r="AO94" s="119" t="s">
        <v>739</v>
      </c>
      <c r="AP94" s="119"/>
      <c r="AQ94" s="212" t="s">
        <v>2723</v>
      </c>
      <c r="AR94" s="212" t="s">
        <v>1258</v>
      </c>
      <c r="AS94" s="119" t="s">
        <v>3189</v>
      </c>
      <c r="AT94" s="119"/>
      <c r="AU94" s="212" t="s">
        <v>739</v>
      </c>
      <c r="AV94" s="212" t="s">
        <v>739</v>
      </c>
      <c r="AW94" s="119" t="s">
        <v>739</v>
      </c>
      <c r="AX94" s="119"/>
      <c r="AY94" s="212" t="s">
        <v>3190</v>
      </c>
      <c r="AZ94" s="212" t="s">
        <v>3191</v>
      </c>
      <c r="BA94" s="119" t="s">
        <v>3192</v>
      </c>
      <c r="BB94" s="119"/>
      <c r="BC94" s="143" t="s">
        <v>727</v>
      </c>
    </row>
    <row r="95" spans="1:55" ht="15" customHeight="1" x14ac:dyDescent="0.25">
      <c r="A95" s="210">
        <v>7</v>
      </c>
      <c r="B95" s="143" t="s">
        <v>3137</v>
      </c>
      <c r="C95" s="143" t="s">
        <v>727</v>
      </c>
      <c r="D95" s="143" t="s">
        <v>3182</v>
      </c>
      <c r="E95" s="143" t="s">
        <v>792</v>
      </c>
      <c r="F95" s="143" t="s">
        <v>793</v>
      </c>
      <c r="G95" s="143" t="s">
        <v>2458</v>
      </c>
      <c r="H95" s="143" t="s">
        <v>2461</v>
      </c>
      <c r="I95" s="143" t="s">
        <v>3193</v>
      </c>
      <c r="J95" s="217">
        <v>44228</v>
      </c>
      <c r="K95" s="217">
        <v>44561</v>
      </c>
      <c r="L95" s="143" t="s">
        <v>3194</v>
      </c>
      <c r="M95" s="143" t="s">
        <v>2718</v>
      </c>
      <c r="N95" s="143" t="s">
        <v>30</v>
      </c>
      <c r="O95" s="143" t="s">
        <v>3185</v>
      </c>
      <c r="P95" s="143" t="s">
        <v>735</v>
      </c>
      <c r="Q95" s="212">
        <v>8</v>
      </c>
      <c r="R95" s="212">
        <v>2</v>
      </c>
      <c r="S95" s="212">
        <v>2</v>
      </c>
      <c r="T95" s="212">
        <v>2</v>
      </c>
      <c r="U95" s="212">
        <v>2</v>
      </c>
      <c r="V95" s="212">
        <v>5</v>
      </c>
      <c r="W95" s="212" t="s">
        <v>3195</v>
      </c>
      <c r="X95" s="212">
        <v>5</v>
      </c>
      <c r="Y95" s="212" t="s">
        <v>3196</v>
      </c>
      <c r="Z95" s="212">
        <v>2</v>
      </c>
      <c r="AA95" s="212" t="s">
        <v>3197</v>
      </c>
      <c r="AB95" s="212"/>
      <c r="AC95" s="212"/>
      <c r="AD95" s="213">
        <v>44296</v>
      </c>
      <c r="AE95" s="213">
        <v>44384</v>
      </c>
      <c r="AF95" s="213">
        <v>44480</v>
      </c>
      <c r="AG95" s="213"/>
      <c r="AH95" s="75">
        <f t="shared" si="5"/>
        <v>1</v>
      </c>
      <c r="AI95" s="75">
        <f t="shared" si="6"/>
        <v>1</v>
      </c>
      <c r="AJ95" s="75">
        <f t="shared" si="7"/>
        <v>1</v>
      </c>
      <c r="AK95" s="75">
        <f t="shared" si="8"/>
        <v>1</v>
      </c>
      <c r="AL95" s="75" t="s">
        <v>2467</v>
      </c>
      <c r="AM95" s="212" t="s">
        <v>739</v>
      </c>
      <c r="AN95" s="212" t="s">
        <v>739</v>
      </c>
      <c r="AO95" s="119" t="s">
        <v>739</v>
      </c>
      <c r="AP95" s="119"/>
      <c r="AQ95" s="212" t="s">
        <v>2723</v>
      </c>
      <c r="AR95" s="212" t="s">
        <v>1258</v>
      </c>
      <c r="AS95" s="119" t="s">
        <v>3198</v>
      </c>
      <c r="AT95" s="119"/>
      <c r="AU95" s="212" t="s">
        <v>739</v>
      </c>
      <c r="AV95" s="212" t="s">
        <v>739</v>
      </c>
      <c r="AW95" s="119" t="s">
        <v>739</v>
      </c>
      <c r="AX95" s="119"/>
      <c r="AY95" s="212" t="s">
        <v>3199</v>
      </c>
      <c r="AZ95" s="212" t="s">
        <v>3200</v>
      </c>
      <c r="BA95" s="119" t="s">
        <v>3201</v>
      </c>
      <c r="BB95" s="119"/>
      <c r="BC95" s="143" t="s">
        <v>727</v>
      </c>
    </row>
    <row r="96" spans="1:55" ht="15" customHeight="1" x14ac:dyDescent="0.25">
      <c r="A96" s="210">
        <v>8</v>
      </c>
      <c r="B96" s="143" t="s">
        <v>3137</v>
      </c>
      <c r="C96" s="143" t="s">
        <v>2552</v>
      </c>
      <c r="D96" s="143" t="s">
        <v>2583</v>
      </c>
      <c r="E96" s="143" t="s">
        <v>792</v>
      </c>
      <c r="F96" s="143" t="s">
        <v>793</v>
      </c>
      <c r="G96" s="143" t="s">
        <v>2458</v>
      </c>
      <c r="H96" s="143" t="s">
        <v>731</v>
      </c>
      <c r="I96" s="143" t="s">
        <v>2595</v>
      </c>
      <c r="J96" s="217">
        <v>44348</v>
      </c>
      <c r="K96" s="217">
        <v>44469</v>
      </c>
      <c r="L96" s="143" t="s">
        <v>733</v>
      </c>
      <c r="M96" s="143" t="s">
        <v>2718</v>
      </c>
      <c r="N96" s="143" t="s">
        <v>60</v>
      </c>
      <c r="O96" s="143" t="s">
        <v>3202</v>
      </c>
      <c r="P96" s="143" t="s">
        <v>11</v>
      </c>
      <c r="Q96" s="215">
        <v>1</v>
      </c>
      <c r="R96" s="215">
        <v>0</v>
      </c>
      <c r="S96" s="215">
        <v>0</v>
      </c>
      <c r="T96" s="215">
        <v>0.5</v>
      </c>
      <c r="U96" s="215">
        <v>0.5</v>
      </c>
      <c r="V96" s="215">
        <v>0</v>
      </c>
      <c r="W96" s="215" t="s">
        <v>3203</v>
      </c>
      <c r="X96" s="215">
        <v>0</v>
      </c>
      <c r="Y96" s="215" t="s">
        <v>3204</v>
      </c>
      <c r="Z96" s="215">
        <v>0</v>
      </c>
      <c r="AA96" s="215" t="s">
        <v>3205</v>
      </c>
      <c r="AB96" s="212"/>
      <c r="AC96" s="212"/>
      <c r="AD96" s="213">
        <v>44296</v>
      </c>
      <c r="AE96" s="213">
        <v>44384</v>
      </c>
      <c r="AF96" s="213">
        <v>44482</v>
      </c>
      <c r="AG96" s="213"/>
      <c r="AH96" s="75">
        <f t="shared" si="5"/>
        <v>0</v>
      </c>
      <c r="AI96" s="75" t="str">
        <f t="shared" si="6"/>
        <v/>
      </c>
      <c r="AJ96" s="75" t="str">
        <f t="shared" si="7"/>
        <v/>
      </c>
      <c r="AK96" s="75">
        <f t="shared" si="8"/>
        <v>0</v>
      </c>
      <c r="AL96" s="75" t="s">
        <v>2467</v>
      </c>
      <c r="AM96" s="212" t="s">
        <v>838</v>
      </c>
      <c r="AN96" s="212" t="s">
        <v>838</v>
      </c>
      <c r="AO96" s="119" t="s">
        <v>828</v>
      </c>
      <c r="AP96" s="119"/>
      <c r="AQ96" s="212" t="s">
        <v>3206</v>
      </c>
      <c r="AR96" s="212" t="s">
        <v>3207</v>
      </c>
      <c r="AS96" s="119" t="s">
        <v>3208</v>
      </c>
      <c r="AT96" s="119"/>
      <c r="AU96" s="212" t="s">
        <v>838</v>
      </c>
      <c r="AV96" s="212" t="s">
        <v>838</v>
      </c>
      <c r="AW96" s="119" t="s">
        <v>828</v>
      </c>
      <c r="AX96" s="119"/>
      <c r="AY96" s="212" t="s">
        <v>3209</v>
      </c>
      <c r="AZ96" s="212" t="s">
        <v>3209</v>
      </c>
      <c r="BA96" s="119" t="s">
        <v>3210</v>
      </c>
      <c r="BB96" s="119"/>
      <c r="BC96" s="143" t="s">
        <v>727</v>
      </c>
    </row>
    <row r="97" spans="1:55" ht="15" customHeight="1" x14ac:dyDescent="0.25">
      <c r="A97" s="210">
        <v>9</v>
      </c>
      <c r="B97" s="143" t="s">
        <v>3137</v>
      </c>
      <c r="C97" s="143" t="s">
        <v>2459</v>
      </c>
      <c r="D97" s="143" t="s">
        <v>2583</v>
      </c>
      <c r="E97" s="143" t="s">
        <v>792</v>
      </c>
      <c r="F97" s="143" t="s">
        <v>793</v>
      </c>
      <c r="G97" s="143" t="s">
        <v>2458</v>
      </c>
      <c r="H97" s="143" t="s">
        <v>731</v>
      </c>
      <c r="I97" t="s">
        <v>3211</v>
      </c>
      <c r="J97" s="217">
        <v>44287</v>
      </c>
      <c r="K97" s="217">
        <v>44561</v>
      </c>
      <c r="L97" s="143" t="s">
        <v>733</v>
      </c>
      <c r="M97" s="143" t="s">
        <v>2718</v>
      </c>
      <c r="N97" s="143" t="s">
        <v>60</v>
      </c>
      <c r="O97" s="143" t="s">
        <v>3202</v>
      </c>
      <c r="P97" s="143" t="s">
        <v>11</v>
      </c>
      <c r="Q97" s="215">
        <v>1</v>
      </c>
      <c r="R97" s="215">
        <v>0</v>
      </c>
      <c r="S97" s="215">
        <v>0.3</v>
      </c>
      <c r="T97" s="215">
        <v>0.3</v>
      </c>
      <c r="U97" s="215">
        <v>0.4</v>
      </c>
      <c r="V97" s="215">
        <v>1</v>
      </c>
      <c r="W97" s="215" t="s">
        <v>3212</v>
      </c>
      <c r="X97" s="215">
        <v>0.3</v>
      </c>
      <c r="Y97" s="215" t="s">
        <v>3212</v>
      </c>
      <c r="Z97" s="215">
        <v>0.3</v>
      </c>
      <c r="AA97" s="215" t="s">
        <v>3212</v>
      </c>
      <c r="AB97" s="240"/>
      <c r="AC97" s="240"/>
      <c r="AD97" s="213">
        <v>44296</v>
      </c>
      <c r="AE97" s="213">
        <v>44384</v>
      </c>
      <c r="AF97" s="213">
        <v>44480</v>
      </c>
      <c r="AG97" s="213"/>
      <c r="AH97" s="75">
        <f t="shared" si="5"/>
        <v>1</v>
      </c>
      <c r="AI97" s="75" t="str">
        <f t="shared" si="6"/>
        <v/>
      </c>
      <c r="AJ97" s="75">
        <f t="shared" si="7"/>
        <v>1</v>
      </c>
      <c r="AK97" s="75">
        <f t="shared" si="8"/>
        <v>1</v>
      </c>
      <c r="AL97" s="75" t="s">
        <v>2467</v>
      </c>
      <c r="AM97" s="212" t="s">
        <v>739</v>
      </c>
      <c r="AN97" s="212" t="s">
        <v>739</v>
      </c>
      <c r="AO97" s="119" t="s">
        <v>739</v>
      </c>
      <c r="AP97" s="119"/>
      <c r="AQ97" s="212" t="s">
        <v>2723</v>
      </c>
      <c r="AR97" s="212" t="s">
        <v>1258</v>
      </c>
      <c r="AS97" s="119" t="s">
        <v>3213</v>
      </c>
      <c r="AT97" s="119"/>
      <c r="AU97" s="212" t="s">
        <v>739</v>
      </c>
      <c r="AV97" s="212" t="s">
        <v>739</v>
      </c>
      <c r="AW97" s="119" t="s">
        <v>739</v>
      </c>
      <c r="AX97" s="119"/>
      <c r="AY97" s="212" t="s">
        <v>3214</v>
      </c>
      <c r="AZ97" s="212" t="s">
        <v>3215</v>
      </c>
      <c r="BA97" s="119" t="s">
        <v>3216</v>
      </c>
      <c r="BB97" s="119"/>
      <c r="BC97" s="143" t="s">
        <v>727</v>
      </c>
    </row>
    <row r="98" spans="1:55" ht="15" customHeight="1" x14ac:dyDescent="0.25">
      <c r="A98" s="210">
        <v>10</v>
      </c>
      <c r="B98" s="143" t="s">
        <v>3137</v>
      </c>
      <c r="C98" s="143" t="s">
        <v>2552</v>
      </c>
      <c r="D98" s="143" t="s">
        <v>2583</v>
      </c>
      <c r="E98" s="143" t="s">
        <v>792</v>
      </c>
      <c r="F98" s="143" t="s">
        <v>793</v>
      </c>
      <c r="G98" s="143" t="s">
        <v>2458</v>
      </c>
      <c r="H98" s="143" t="s">
        <v>731</v>
      </c>
      <c r="I98" s="143" t="s">
        <v>3217</v>
      </c>
      <c r="J98" s="217">
        <v>44378</v>
      </c>
      <c r="K98" s="217">
        <v>44408</v>
      </c>
      <c r="L98" s="143" t="s">
        <v>733</v>
      </c>
      <c r="M98" s="143" t="s">
        <v>2718</v>
      </c>
      <c r="N98" s="143" t="s">
        <v>60</v>
      </c>
      <c r="O98" s="143" t="s">
        <v>3202</v>
      </c>
      <c r="P98" s="143" t="s">
        <v>11</v>
      </c>
      <c r="Q98" s="215">
        <v>1</v>
      </c>
      <c r="R98" s="215">
        <v>0</v>
      </c>
      <c r="S98" s="215">
        <v>0</v>
      </c>
      <c r="T98" s="215">
        <v>1</v>
      </c>
      <c r="U98" s="215">
        <v>0</v>
      </c>
      <c r="V98" s="215">
        <v>0</v>
      </c>
      <c r="W98" s="215" t="s">
        <v>3203</v>
      </c>
      <c r="X98" s="215">
        <v>0</v>
      </c>
      <c r="Y98" s="215" t="s">
        <v>3218</v>
      </c>
      <c r="Z98" s="215">
        <v>1</v>
      </c>
      <c r="AA98" s="215" t="s">
        <v>3219</v>
      </c>
      <c r="AB98" s="240"/>
      <c r="AC98" s="240"/>
      <c r="AD98" s="213">
        <v>44296</v>
      </c>
      <c r="AE98" s="213">
        <v>44384</v>
      </c>
      <c r="AF98" s="213">
        <v>44480</v>
      </c>
      <c r="AG98" s="213"/>
      <c r="AH98" s="75">
        <f t="shared" si="5"/>
        <v>1</v>
      </c>
      <c r="AI98" s="75" t="str">
        <f t="shared" si="6"/>
        <v/>
      </c>
      <c r="AJ98" s="75" t="str">
        <f t="shared" si="7"/>
        <v/>
      </c>
      <c r="AK98" s="75">
        <f t="shared" si="8"/>
        <v>1</v>
      </c>
      <c r="AL98" s="75" t="s">
        <v>2467</v>
      </c>
      <c r="AM98" s="212" t="s">
        <v>838</v>
      </c>
      <c r="AN98" s="212" t="s">
        <v>838</v>
      </c>
      <c r="AO98" s="119" t="s">
        <v>739</v>
      </c>
      <c r="AP98" s="119"/>
      <c r="AQ98" s="212" t="s">
        <v>3220</v>
      </c>
      <c r="AR98" s="212" t="s">
        <v>3221</v>
      </c>
      <c r="AS98" s="119" t="s">
        <v>3222</v>
      </c>
      <c r="AT98" s="119"/>
      <c r="AU98" s="212" t="s">
        <v>838</v>
      </c>
      <c r="AV98" s="212" t="s">
        <v>838</v>
      </c>
      <c r="AW98" s="119" t="s">
        <v>739</v>
      </c>
      <c r="AX98" s="119"/>
      <c r="AY98" s="212" t="s">
        <v>3223</v>
      </c>
      <c r="AZ98" s="212" t="s">
        <v>3224</v>
      </c>
      <c r="BA98" s="119" t="s">
        <v>3225</v>
      </c>
      <c r="BB98" s="119"/>
      <c r="BC98" s="143" t="s">
        <v>727</v>
      </c>
    </row>
    <row r="99" spans="1:55" ht="15" customHeight="1" x14ac:dyDescent="0.25">
      <c r="A99" s="210">
        <v>11</v>
      </c>
      <c r="B99" s="143" t="s">
        <v>3137</v>
      </c>
      <c r="C99" s="143" t="s">
        <v>2552</v>
      </c>
      <c r="D99" s="143" t="s">
        <v>2583</v>
      </c>
      <c r="E99" s="143" t="s">
        <v>792</v>
      </c>
      <c r="F99" s="143" t="s">
        <v>793</v>
      </c>
      <c r="G99" s="143" t="s">
        <v>2458</v>
      </c>
      <c r="H99" s="143" t="s">
        <v>731</v>
      </c>
      <c r="I99" s="143" t="s">
        <v>2837</v>
      </c>
      <c r="J99" s="217">
        <v>44378</v>
      </c>
      <c r="K99" s="217">
        <v>44561</v>
      </c>
      <c r="L99" s="143" t="s">
        <v>733</v>
      </c>
      <c r="M99" s="143" t="s">
        <v>2718</v>
      </c>
      <c r="N99" s="143" t="s">
        <v>60</v>
      </c>
      <c r="O99" s="143" t="s">
        <v>3202</v>
      </c>
      <c r="P99" s="143" t="s">
        <v>11</v>
      </c>
      <c r="Q99" s="215">
        <v>1</v>
      </c>
      <c r="R99" s="215">
        <v>0</v>
      </c>
      <c r="S99" s="215">
        <v>0</v>
      </c>
      <c r="T99" s="215">
        <v>0.45</v>
      </c>
      <c r="U99" s="215">
        <v>0.55000000000000004</v>
      </c>
      <c r="V99" s="215">
        <v>0</v>
      </c>
      <c r="W99" s="215" t="s">
        <v>3203</v>
      </c>
      <c r="X99" s="215">
        <v>0</v>
      </c>
      <c r="Y99" s="215" t="s">
        <v>3218</v>
      </c>
      <c r="Z99" s="215">
        <v>0.45</v>
      </c>
      <c r="AA99" s="215" t="s">
        <v>3226</v>
      </c>
      <c r="AB99" s="212"/>
      <c r="AC99" s="212"/>
      <c r="AD99" s="213">
        <v>44296</v>
      </c>
      <c r="AE99" s="213">
        <v>44384</v>
      </c>
      <c r="AF99" s="213">
        <v>44480</v>
      </c>
      <c r="AG99" s="213"/>
      <c r="AH99" s="75">
        <f t="shared" si="5"/>
        <v>0.45</v>
      </c>
      <c r="AI99" s="75" t="str">
        <f t="shared" si="6"/>
        <v/>
      </c>
      <c r="AJ99" s="75" t="str">
        <f t="shared" si="7"/>
        <v/>
      </c>
      <c r="AK99" s="75">
        <f t="shared" si="8"/>
        <v>1</v>
      </c>
      <c r="AL99" s="75" t="s">
        <v>2467</v>
      </c>
      <c r="AM99" s="212" t="s">
        <v>838</v>
      </c>
      <c r="AN99" s="212" t="s">
        <v>838</v>
      </c>
      <c r="AO99" s="119" t="s">
        <v>739</v>
      </c>
      <c r="AP99" s="119"/>
      <c r="AQ99" s="212" t="s">
        <v>3220</v>
      </c>
      <c r="AR99" s="212" t="s">
        <v>3227</v>
      </c>
      <c r="AS99" s="119" t="s">
        <v>3228</v>
      </c>
      <c r="AT99" s="119"/>
      <c r="AU99" s="212" t="s">
        <v>838</v>
      </c>
      <c r="AV99" s="212" t="s">
        <v>838</v>
      </c>
      <c r="AW99" s="119" t="s">
        <v>739</v>
      </c>
      <c r="AX99" s="119"/>
      <c r="AY99" s="212" t="s">
        <v>3223</v>
      </c>
      <c r="AZ99" s="212" t="s">
        <v>3229</v>
      </c>
      <c r="BA99" s="119" t="s">
        <v>3230</v>
      </c>
      <c r="BB99" s="119"/>
      <c r="BC99" s="143" t="s">
        <v>727</v>
      </c>
    </row>
    <row r="100" spans="1:55" ht="15" customHeight="1" x14ac:dyDescent="0.25">
      <c r="A100" s="210">
        <v>12</v>
      </c>
      <c r="B100" s="143" t="s">
        <v>3137</v>
      </c>
      <c r="C100" s="143" t="s">
        <v>2601</v>
      </c>
      <c r="D100" s="143" t="s">
        <v>2583</v>
      </c>
      <c r="E100" s="143" t="s">
        <v>792</v>
      </c>
      <c r="F100" s="143" t="s">
        <v>793</v>
      </c>
      <c r="G100" s="143" t="s">
        <v>2458</v>
      </c>
      <c r="H100" s="143" t="s">
        <v>731</v>
      </c>
      <c r="I100" s="143" t="s">
        <v>2825</v>
      </c>
      <c r="J100" s="217">
        <v>44378</v>
      </c>
      <c r="K100" s="217">
        <v>44408</v>
      </c>
      <c r="L100" s="143" t="s">
        <v>733</v>
      </c>
      <c r="M100" s="143" t="s">
        <v>2718</v>
      </c>
      <c r="N100" s="143" t="s">
        <v>60</v>
      </c>
      <c r="O100" s="143" t="s">
        <v>3202</v>
      </c>
      <c r="P100" s="143" t="s">
        <v>11</v>
      </c>
      <c r="Q100" s="215">
        <v>1</v>
      </c>
      <c r="R100" s="215">
        <v>0</v>
      </c>
      <c r="S100" s="215">
        <v>0</v>
      </c>
      <c r="T100" s="215">
        <v>0</v>
      </c>
      <c r="U100" s="215">
        <v>1</v>
      </c>
      <c r="V100" s="215">
        <v>0</v>
      </c>
      <c r="W100" s="215" t="s">
        <v>3203</v>
      </c>
      <c r="X100" s="215">
        <v>0</v>
      </c>
      <c r="Y100" s="215" t="s">
        <v>3218</v>
      </c>
      <c r="Z100" s="215">
        <v>0</v>
      </c>
      <c r="AA100" s="215" t="s">
        <v>3231</v>
      </c>
      <c r="AB100" s="220"/>
      <c r="AC100" s="220"/>
      <c r="AD100" s="213">
        <v>44296</v>
      </c>
      <c r="AE100" s="213">
        <v>44384</v>
      </c>
      <c r="AF100" s="213">
        <v>44482</v>
      </c>
      <c r="AG100" s="213"/>
      <c r="AH100" s="75">
        <f t="shared" si="5"/>
        <v>0</v>
      </c>
      <c r="AI100" s="75" t="str">
        <f t="shared" si="6"/>
        <v/>
      </c>
      <c r="AJ100" s="75" t="str">
        <f t="shared" si="7"/>
        <v/>
      </c>
      <c r="AK100" s="75" t="str">
        <f t="shared" si="8"/>
        <v/>
      </c>
      <c r="AL100" s="75" t="s">
        <v>2467</v>
      </c>
      <c r="AM100" s="212" t="s">
        <v>838</v>
      </c>
      <c r="AN100" s="212" t="s">
        <v>838</v>
      </c>
      <c r="AO100" s="119" t="s">
        <v>838</v>
      </c>
      <c r="AP100" s="119"/>
      <c r="AQ100" s="212" t="s">
        <v>3232</v>
      </c>
      <c r="AR100" s="212" t="s">
        <v>3233</v>
      </c>
      <c r="AS100" s="119" t="s">
        <v>3234</v>
      </c>
      <c r="AT100" s="119"/>
      <c r="AU100" s="212" t="s">
        <v>838</v>
      </c>
      <c r="AV100" s="212" t="s">
        <v>838</v>
      </c>
      <c r="AW100" s="119" t="s">
        <v>838</v>
      </c>
      <c r="AX100" s="119"/>
      <c r="AY100" s="212" t="s">
        <v>3223</v>
      </c>
      <c r="AZ100" s="212" t="s">
        <v>3209</v>
      </c>
      <c r="BA100" s="119" t="s">
        <v>3122</v>
      </c>
      <c r="BB100" s="119"/>
      <c r="BC100" s="143" t="s">
        <v>727</v>
      </c>
    </row>
    <row r="101" spans="1:55" ht="15" customHeight="1" x14ac:dyDescent="0.25">
      <c r="A101" s="210">
        <v>1</v>
      </c>
      <c r="B101" s="143" t="s">
        <v>3235</v>
      </c>
      <c r="C101" s="143" t="s">
        <v>3236</v>
      </c>
      <c r="D101" s="143" t="s">
        <v>3237</v>
      </c>
      <c r="E101" s="143" t="s">
        <v>3238</v>
      </c>
      <c r="F101" s="143" t="s">
        <v>3239</v>
      </c>
      <c r="G101" s="143" t="s">
        <v>3240</v>
      </c>
      <c r="H101" s="143" t="s">
        <v>818</v>
      </c>
      <c r="I101" s="143" t="s">
        <v>3241</v>
      </c>
      <c r="J101" s="217">
        <v>44197</v>
      </c>
      <c r="K101" s="217">
        <v>44286</v>
      </c>
      <c r="L101" s="143" t="s">
        <v>3242</v>
      </c>
      <c r="M101" s="143" t="s">
        <v>3243</v>
      </c>
      <c r="N101" s="143" t="s">
        <v>30</v>
      </c>
      <c r="O101" s="143" t="s">
        <v>3244</v>
      </c>
      <c r="P101" s="143" t="s">
        <v>735</v>
      </c>
      <c r="Q101" s="212">
        <v>1</v>
      </c>
      <c r="R101" s="212">
        <v>1</v>
      </c>
      <c r="S101" s="212">
        <v>0</v>
      </c>
      <c r="T101" s="212">
        <v>0</v>
      </c>
      <c r="U101" s="212">
        <v>0</v>
      </c>
      <c r="V101" s="212">
        <v>1</v>
      </c>
      <c r="W101" s="212" t="s">
        <v>3245</v>
      </c>
      <c r="X101" s="212">
        <v>0</v>
      </c>
      <c r="Y101" s="212" t="s">
        <v>3246</v>
      </c>
      <c r="Z101" s="212">
        <v>0</v>
      </c>
      <c r="AA101" s="212" t="s">
        <v>3246</v>
      </c>
      <c r="AB101" s="220"/>
      <c r="AC101" s="220"/>
      <c r="AD101" s="213">
        <v>44295</v>
      </c>
      <c r="AE101" s="213">
        <v>44379</v>
      </c>
      <c r="AF101" s="213">
        <v>44480</v>
      </c>
      <c r="AG101" s="213"/>
      <c r="AH101" s="75">
        <f t="shared" si="5"/>
        <v>1</v>
      </c>
      <c r="AI101" s="75">
        <f t="shared" si="6"/>
        <v>1</v>
      </c>
      <c r="AJ101" s="75" t="str">
        <f t="shared" si="7"/>
        <v/>
      </c>
      <c r="AK101" s="75" t="str">
        <f t="shared" si="8"/>
        <v/>
      </c>
      <c r="AL101" s="75" t="s">
        <v>2467</v>
      </c>
      <c r="AM101" s="214" t="s">
        <v>739</v>
      </c>
      <c r="AN101" s="214" t="s">
        <v>838</v>
      </c>
      <c r="AO101" s="214" t="s">
        <v>838</v>
      </c>
      <c r="AP101" s="214"/>
      <c r="AQ101" s="214" t="s">
        <v>2724</v>
      </c>
      <c r="AR101" s="214" t="s">
        <v>838</v>
      </c>
      <c r="AS101" s="214" t="s">
        <v>838</v>
      </c>
      <c r="AT101" s="214"/>
      <c r="AU101" s="214" t="s">
        <v>739</v>
      </c>
      <c r="AV101" s="214" t="s">
        <v>838</v>
      </c>
      <c r="AW101" s="214" t="s">
        <v>838</v>
      </c>
      <c r="AX101" s="214"/>
      <c r="AY101" s="214" t="s">
        <v>3247</v>
      </c>
      <c r="AZ101" s="214" t="s">
        <v>838</v>
      </c>
      <c r="BA101" s="214" t="s">
        <v>838</v>
      </c>
      <c r="BB101" s="214"/>
      <c r="BC101" s="143" t="s">
        <v>727</v>
      </c>
    </row>
    <row r="102" spans="1:55" ht="15" customHeight="1" x14ac:dyDescent="0.25">
      <c r="A102" s="210">
        <v>2</v>
      </c>
      <c r="B102" s="143" t="s">
        <v>3235</v>
      </c>
      <c r="C102" s="143" t="s">
        <v>3236</v>
      </c>
      <c r="D102" s="143" t="s">
        <v>3237</v>
      </c>
      <c r="E102" s="143" t="s">
        <v>3238</v>
      </c>
      <c r="F102" s="143" t="s">
        <v>3239</v>
      </c>
      <c r="G102" s="143" t="s">
        <v>3240</v>
      </c>
      <c r="H102" s="143" t="s">
        <v>818</v>
      </c>
      <c r="I102" s="143" t="s">
        <v>3248</v>
      </c>
      <c r="J102" s="217">
        <v>44256</v>
      </c>
      <c r="K102" s="217">
        <v>44377</v>
      </c>
      <c r="L102" s="143" t="s">
        <v>3249</v>
      </c>
      <c r="M102" s="143" t="s">
        <v>3243</v>
      </c>
      <c r="N102" s="143" t="s">
        <v>30</v>
      </c>
      <c r="O102" s="143" t="s">
        <v>3250</v>
      </c>
      <c r="P102" s="143" t="s">
        <v>735</v>
      </c>
      <c r="Q102" s="212">
        <v>1</v>
      </c>
      <c r="R102" s="212">
        <v>1</v>
      </c>
      <c r="S102" s="212">
        <v>0</v>
      </c>
      <c r="T102" s="212">
        <v>0</v>
      </c>
      <c r="U102" s="212">
        <v>0</v>
      </c>
      <c r="V102" s="212">
        <v>1</v>
      </c>
      <c r="W102" s="212" t="s">
        <v>3251</v>
      </c>
      <c r="X102" s="212">
        <v>1</v>
      </c>
      <c r="Y102" s="212" t="s">
        <v>3252</v>
      </c>
      <c r="Z102" s="212">
        <v>3</v>
      </c>
      <c r="AA102" s="212" t="s">
        <v>3253</v>
      </c>
      <c r="AB102" s="220"/>
      <c r="AC102" s="220"/>
      <c r="AD102" s="213">
        <v>44295</v>
      </c>
      <c r="AE102" s="213">
        <v>44379</v>
      </c>
      <c r="AF102" s="213">
        <v>44480</v>
      </c>
      <c r="AG102" s="213"/>
      <c r="AH102" s="75">
        <f t="shared" si="5"/>
        <v>1</v>
      </c>
      <c r="AI102" s="75">
        <f t="shared" si="6"/>
        <v>1</v>
      </c>
      <c r="AJ102" s="75" t="str">
        <f t="shared" si="7"/>
        <v/>
      </c>
      <c r="AK102" s="75" t="str">
        <f t="shared" si="8"/>
        <v/>
      </c>
      <c r="AL102" s="75" t="s">
        <v>2467</v>
      </c>
      <c r="AM102" s="214" t="s">
        <v>739</v>
      </c>
      <c r="AN102" s="214" t="s">
        <v>739</v>
      </c>
      <c r="AO102" s="214" t="s">
        <v>739</v>
      </c>
      <c r="AP102" s="214"/>
      <c r="AQ102" s="214" t="s">
        <v>2724</v>
      </c>
      <c r="AR102" s="214" t="s">
        <v>2724</v>
      </c>
      <c r="AS102" s="214" t="s">
        <v>2724</v>
      </c>
      <c r="AT102" s="214"/>
      <c r="AU102" s="214" t="s">
        <v>739</v>
      </c>
      <c r="AV102" s="214" t="s">
        <v>739</v>
      </c>
      <c r="AW102" s="214" t="s">
        <v>739</v>
      </c>
      <c r="AX102" s="214"/>
      <c r="AY102" s="214" t="s">
        <v>3254</v>
      </c>
      <c r="AZ102" s="214" t="s">
        <v>3255</v>
      </c>
      <c r="BA102" s="214" t="s">
        <v>3256</v>
      </c>
      <c r="BB102" s="214"/>
      <c r="BC102" s="143" t="s">
        <v>727</v>
      </c>
    </row>
    <row r="103" spans="1:55" ht="15" customHeight="1" x14ac:dyDescent="0.25">
      <c r="A103" s="210">
        <v>3</v>
      </c>
      <c r="B103" s="143" t="s">
        <v>3235</v>
      </c>
      <c r="C103" s="143" t="s">
        <v>3236</v>
      </c>
      <c r="D103" s="143" t="s">
        <v>3237</v>
      </c>
      <c r="E103" s="143" t="s">
        <v>3238</v>
      </c>
      <c r="F103" s="143" t="s">
        <v>3239</v>
      </c>
      <c r="G103" s="143" t="s">
        <v>3240</v>
      </c>
      <c r="H103" s="143" t="s">
        <v>818</v>
      </c>
      <c r="I103" s="143" t="s">
        <v>3257</v>
      </c>
      <c r="J103" s="217">
        <v>44256</v>
      </c>
      <c r="K103" s="217">
        <v>44561</v>
      </c>
      <c r="L103" s="143" t="s">
        <v>3258</v>
      </c>
      <c r="M103" s="143" t="s">
        <v>3243</v>
      </c>
      <c r="N103" s="143" t="s">
        <v>60</v>
      </c>
      <c r="O103" s="143" t="s">
        <v>3250</v>
      </c>
      <c r="P103" s="143" t="s">
        <v>735</v>
      </c>
      <c r="Q103" s="240">
        <v>1</v>
      </c>
      <c r="R103" s="240">
        <v>0.25</v>
      </c>
      <c r="S103" s="240">
        <v>0.25</v>
      </c>
      <c r="T103" s="240">
        <v>0.25</v>
      </c>
      <c r="U103" s="240">
        <v>0.25</v>
      </c>
      <c r="V103" s="240">
        <v>0.25</v>
      </c>
      <c r="W103" s="240" t="s">
        <v>3259</v>
      </c>
      <c r="X103" s="240">
        <v>0.25</v>
      </c>
      <c r="Y103" s="240" t="s">
        <v>3260</v>
      </c>
      <c r="Z103" s="240">
        <v>0.25</v>
      </c>
      <c r="AA103" s="240" t="s">
        <v>3261</v>
      </c>
      <c r="AB103" s="210"/>
      <c r="AC103" s="210"/>
      <c r="AD103" s="213">
        <v>44295</v>
      </c>
      <c r="AE103" s="213">
        <v>44379</v>
      </c>
      <c r="AF103" s="213">
        <v>44480</v>
      </c>
      <c r="AG103" s="213"/>
      <c r="AH103" s="75">
        <f t="shared" si="5"/>
        <v>0.75</v>
      </c>
      <c r="AI103" s="75">
        <f t="shared" si="6"/>
        <v>1</v>
      </c>
      <c r="AJ103" s="75">
        <f t="shared" si="7"/>
        <v>1</v>
      </c>
      <c r="AK103" s="75">
        <f t="shared" si="8"/>
        <v>1</v>
      </c>
      <c r="AL103" s="75" t="s">
        <v>2467</v>
      </c>
      <c r="AM103" s="214" t="s">
        <v>739</v>
      </c>
      <c r="AN103" s="214" t="s">
        <v>739</v>
      </c>
      <c r="AO103" s="214" t="s">
        <v>739</v>
      </c>
      <c r="AP103" s="214"/>
      <c r="AQ103" s="214" t="s">
        <v>2724</v>
      </c>
      <c r="AR103" s="214" t="s">
        <v>2724</v>
      </c>
      <c r="AS103" s="214" t="s">
        <v>2724</v>
      </c>
      <c r="AT103" s="214"/>
      <c r="AU103" s="214" t="s">
        <v>739</v>
      </c>
      <c r="AV103" s="214" t="s">
        <v>739</v>
      </c>
      <c r="AW103" s="214" t="s">
        <v>739</v>
      </c>
      <c r="AX103" s="214"/>
      <c r="AY103" s="214" t="s">
        <v>3262</v>
      </c>
      <c r="AZ103" s="214" t="s">
        <v>3263</v>
      </c>
      <c r="BA103" s="214" t="s">
        <v>3264</v>
      </c>
      <c r="BB103" s="214"/>
      <c r="BC103" s="143" t="s">
        <v>727</v>
      </c>
    </row>
    <row r="104" spans="1:55" ht="15" customHeight="1" x14ac:dyDescent="0.25">
      <c r="A104" s="210">
        <v>4</v>
      </c>
      <c r="B104" s="143" t="s">
        <v>3235</v>
      </c>
      <c r="C104" s="143" t="s">
        <v>3236</v>
      </c>
      <c r="D104" s="143" t="s">
        <v>3237</v>
      </c>
      <c r="E104" s="143" t="s">
        <v>3238</v>
      </c>
      <c r="F104" s="143" t="s">
        <v>3239</v>
      </c>
      <c r="G104" s="143" t="s">
        <v>3240</v>
      </c>
      <c r="H104" s="143" t="s">
        <v>818</v>
      </c>
      <c r="I104" s="143" t="s">
        <v>3265</v>
      </c>
      <c r="J104" s="217">
        <v>44256</v>
      </c>
      <c r="K104" s="217">
        <v>44561</v>
      </c>
      <c r="L104" s="143" t="s">
        <v>3266</v>
      </c>
      <c r="M104" s="143" t="s">
        <v>3243</v>
      </c>
      <c r="N104" s="143" t="s">
        <v>30</v>
      </c>
      <c r="O104" s="143" t="s">
        <v>3250</v>
      </c>
      <c r="P104" s="143" t="s">
        <v>735</v>
      </c>
      <c r="Q104" s="212">
        <v>20</v>
      </c>
      <c r="R104" s="212">
        <v>2</v>
      </c>
      <c r="S104" s="212">
        <v>6</v>
      </c>
      <c r="T104" s="212">
        <v>6</v>
      </c>
      <c r="U104" s="212">
        <v>6</v>
      </c>
      <c r="V104" s="212">
        <v>6</v>
      </c>
      <c r="W104" s="212" t="s">
        <v>3267</v>
      </c>
      <c r="X104" s="212">
        <v>4</v>
      </c>
      <c r="Y104" s="212" t="s">
        <v>3268</v>
      </c>
      <c r="Z104" s="212">
        <v>2</v>
      </c>
      <c r="AA104" s="212" t="s">
        <v>3269</v>
      </c>
      <c r="AB104" s="215"/>
      <c r="AC104" s="215"/>
      <c r="AD104" s="213">
        <v>44295</v>
      </c>
      <c r="AE104" s="213">
        <v>44379</v>
      </c>
      <c r="AF104" s="213">
        <v>44481</v>
      </c>
      <c r="AG104" s="213"/>
      <c r="AH104" s="75">
        <f t="shared" si="5"/>
        <v>0.6</v>
      </c>
      <c r="AI104" s="75">
        <f t="shared" si="6"/>
        <v>1</v>
      </c>
      <c r="AJ104" s="75">
        <f t="shared" si="7"/>
        <v>1</v>
      </c>
      <c r="AK104" s="75">
        <f t="shared" si="8"/>
        <v>1</v>
      </c>
      <c r="AL104" s="75" t="s">
        <v>2467</v>
      </c>
      <c r="AM104" s="214" t="s">
        <v>739</v>
      </c>
      <c r="AN104" s="214" t="s">
        <v>739</v>
      </c>
      <c r="AO104" s="214" t="s">
        <v>739</v>
      </c>
      <c r="AP104" s="214"/>
      <c r="AQ104" s="214" t="s">
        <v>2724</v>
      </c>
      <c r="AR104" s="214" t="s">
        <v>2724</v>
      </c>
      <c r="AS104" s="214" t="s">
        <v>2724</v>
      </c>
      <c r="AT104" s="214"/>
      <c r="AU104" s="214" t="s">
        <v>739</v>
      </c>
      <c r="AV104" s="214" t="s">
        <v>739</v>
      </c>
      <c r="AW104" s="214" t="s">
        <v>739</v>
      </c>
      <c r="AX104" s="214"/>
      <c r="AY104" s="214" t="s">
        <v>3270</v>
      </c>
      <c r="AZ104" s="214" t="s">
        <v>3271</v>
      </c>
      <c r="BA104" s="214" t="s">
        <v>3272</v>
      </c>
      <c r="BB104" s="214"/>
      <c r="BC104" s="143" t="s">
        <v>727</v>
      </c>
    </row>
    <row r="105" spans="1:55" ht="15" customHeight="1" x14ac:dyDescent="0.25">
      <c r="A105" s="210">
        <v>5</v>
      </c>
      <c r="B105" s="143" t="s">
        <v>3235</v>
      </c>
      <c r="C105" s="143" t="s">
        <v>3236</v>
      </c>
      <c r="D105" s="143" t="s">
        <v>3237</v>
      </c>
      <c r="E105" s="143" t="s">
        <v>3238</v>
      </c>
      <c r="F105" s="143" t="s">
        <v>3239</v>
      </c>
      <c r="G105" s="143" t="s">
        <v>3240</v>
      </c>
      <c r="H105" s="143" t="s">
        <v>818</v>
      </c>
      <c r="I105" s="143" t="s">
        <v>3273</v>
      </c>
      <c r="J105" s="217">
        <v>44256</v>
      </c>
      <c r="K105" s="217">
        <v>44561</v>
      </c>
      <c r="L105" s="143" t="s">
        <v>3274</v>
      </c>
      <c r="M105" s="143" t="s">
        <v>3243</v>
      </c>
      <c r="N105" s="143" t="s">
        <v>30</v>
      </c>
      <c r="O105" s="143" t="s">
        <v>3250</v>
      </c>
      <c r="P105" s="143" t="s">
        <v>735</v>
      </c>
      <c r="Q105" s="212">
        <v>10</v>
      </c>
      <c r="R105" s="212">
        <v>2</v>
      </c>
      <c r="S105" s="212">
        <v>3</v>
      </c>
      <c r="T105" s="212">
        <v>3</v>
      </c>
      <c r="U105" s="212">
        <v>2</v>
      </c>
      <c r="V105" s="212">
        <v>4</v>
      </c>
      <c r="W105" s="212" t="s">
        <v>3275</v>
      </c>
      <c r="X105" s="212">
        <v>5</v>
      </c>
      <c r="Y105" s="212" t="s">
        <v>3276</v>
      </c>
      <c r="Z105" s="212">
        <v>4</v>
      </c>
      <c r="AA105" s="212" t="s">
        <v>3277</v>
      </c>
      <c r="AB105" s="215"/>
      <c r="AC105" s="215"/>
      <c r="AD105" s="213">
        <v>44295</v>
      </c>
      <c r="AE105" s="213">
        <v>44379</v>
      </c>
      <c r="AF105" s="213">
        <v>44480</v>
      </c>
      <c r="AG105" s="213"/>
      <c r="AH105" s="75">
        <f t="shared" si="5"/>
        <v>1</v>
      </c>
      <c r="AI105" s="75">
        <f t="shared" si="6"/>
        <v>1</v>
      </c>
      <c r="AJ105" s="75">
        <f t="shared" si="7"/>
        <v>1</v>
      </c>
      <c r="AK105" s="75">
        <f t="shared" si="8"/>
        <v>1</v>
      </c>
      <c r="AL105" s="75" t="s">
        <v>2467</v>
      </c>
      <c r="AM105" s="214" t="s">
        <v>739</v>
      </c>
      <c r="AN105" s="214" t="s">
        <v>739</v>
      </c>
      <c r="AO105" s="214" t="s">
        <v>739</v>
      </c>
      <c r="AP105" s="214"/>
      <c r="AQ105" s="214" t="s">
        <v>2724</v>
      </c>
      <c r="AR105" s="214" t="s">
        <v>2724</v>
      </c>
      <c r="AS105" s="214" t="s">
        <v>2724</v>
      </c>
      <c r="AT105" s="214"/>
      <c r="AU105" s="214" t="s">
        <v>739</v>
      </c>
      <c r="AV105" s="214" t="s">
        <v>739</v>
      </c>
      <c r="AW105" s="214" t="s">
        <v>739</v>
      </c>
      <c r="AX105" s="214"/>
      <c r="AY105" s="214" t="s">
        <v>3278</v>
      </c>
      <c r="AZ105" s="214" t="s">
        <v>3279</v>
      </c>
      <c r="BA105" s="214" t="s">
        <v>3280</v>
      </c>
      <c r="BB105" s="214"/>
      <c r="BC105" s="143" t="s">
        <v>727</v>
      </c>
    </row>
    <row r="106" spans="1:55" ht="15" customHeight="1" x14ac:dyDescent="0.25">
      <c r="A106" s="210">
        <v>6</v>
      </c>
      <c r="B106" s="143" t="s">
        <v>3235</v>
      </c>
      <c r="C106" s="143" t="s">
        <v>3236</v>
      </c>
      <c r="D106" s="143" t="s">
        <v>3237</v>
      </c>
      <c r="E106" s="143" t="s">
        <v>3238</v>
      </c>
      <c r="F106" s="143" t="s">
        <v>3239</v>
      </c>
      <c r="G106" s="143" t="s">
        <v>3240</v>
      </c>
      <c r="H106" s="143" t="s">
        <v>818</v>
      </c>
      <c r="I106" s="143" t="s">
        <v>3281</v>
      </c>
      <c r="J106" s="217">
        <v>44256</v>
      </c>
      <c r="K106" s="217">
        <v>44561</v>
      </c>
      <c r="L106" s="143" t="s">
        <v>3282</v>
      </c>
      <c r="M106" s="143" t="s">
        <v>3243</v>
      </c>
      <c r="N106" s="143" t="s">
        <v>30</v>
      </c>
      <c r="O106" s="143" t="s">
        <v>3250</v>
      </c>
      <c r="P106" s="143" t="s">
        <v>735</v>
      </c>
      <c r="Q106" s="212">
        <v>150</v>
      </c>
      <c r="R106" s="212">
        <v>38</v>
      </c>
      <c r="S106" s="212">
        <v>38</v>
      </c>
      <c r="T106" s="212">
        <v>38</v>
      </c>
      <c r="U106" s="212">
        <v>36</v>
      </c>
      <c r="V106" s="212">
        <v>201</v>
      </c>
      <c r="W106" s="212" t="s">
        <v>3283</v>
      </c>
      <c r="X106" s="212">
        <v>149</v>
      </c>
      <c r="Y106" s="212" t="s">
        <v>3284</v>
      </c>
      <c r="Z106" s="212">
        <v>95</v>
      </c>
      <c r="AA106" s="212" t="s">
        <v>3285</v>
      </c>
      <c r="AB106" s="215"/>
      <c r="AC106" s="215"/>
      <c r="AD106" s="213">
        <v>44295</v>
      </c>
      <c r="AE106" s="213">
        <v>44379</v>
      </c>
      <c r="AF106" s="213">
        <v>44480</v>
      </c>
      <c r="AG106" s="213"/>
      <c r="AH106" s="75">
        <f t="shared" si="5"/>
        <v>1</v>
      </c>
      <c r="AI106" s="75">
        <f t="shared" si="6"/>
        <v>1</v>
      </c>
      <c r="AJ106" s="75">
        <f t="shared" si="7"/>
        <v>1</v>
      </c>
      <c r="AK106" s="75">
        <f t="shared" si="8"/>
        <v>1</v>
      </c>
      <c r="AL106" s="75" t="s">
        <v>2467</v>
      </c>
      <c r="AM106" s="214" t="s">
        <v>739</v>
      </c>
      <c r="AN106" s="214" t="s">
        <v>739</v>
      </c>
      <c r="AO106" s="214" t="s">
        <v>739</v>
      </c>
      <c r="AP106" s="214"/>
      <c r="AQ106" s="214" t="s">
        <v>3286</v>
      </c>
      <c r="AR106" s="214" t="s">
        <v>2724</v>
      </c>
      <c r="AS106" s="214" t="s">
        <v>2724</v>
      </c>
      <c r="AT106" s="214"/>
      <c r="AU106" s="214" t="s">
        <v>739</v>
      </c>
      <c r="AV106" s="214" t="s">
        <v>739</v>
      </c>
      <c r="AW106" s="214" t="s">
        <v>739</v>
      </c>
      <c r="AX106" s="214"/>
      <c r="AY106" s="214" t="s">
        <v>3287</v>
      </c>
      <c r="AZ106" s="214" t="s">
        <v>3288</v>
      </c>
      <c r="BA106" s="214" t="s">
        <v>3289</v>
      </c>
      <c r="BB106" s="214"/>
      <c r="BC106" s="143" t="s">
        <v>727</v>
      </c>
    </row>
    <row r="107" spans="1:55" ht="15" customHeight="1" x14ac:dyDescent="0.25">
      <c r="A107" s="210">
        <v>7</v>
      </c>
      <c r="B107" s="143" t="s">
        <v>3235</v>
      </c>
      <c r="C107" s="143" t="s">
        <v>3236</v>
      </c>
      <c r="D107" s="143" t="s">
        <v>3237</v>
      </c>
      <c r="E107" s="143" t="s">
        <v>3238</v>
      </c>
      <c r="F107" s="143" t="s">
        <v>3239</v>
      </c>
      <c r="G107" s="143" t="s">
        <v>3240</v>
      </c>
      <c r="H107" s="143" t="s">
        <v>818</v>
      </c>
      <c r="I107" s="143" t="s">
        <v>3290</v>
      </c>
      <c r="J107" s="217">
        <v>44256</v>
      </c>
      <c r="K107" s="217">
        <v>44561</v>
      </c>
      <c r="L107" s="143" t="s">
        <v>3291</v>
      </c>
      <c r="M107" s="143" t="s">
        <v>3243</v>
      </c>
      <c r="N107" s="143" t="s">
        <v>30</v>
      </c>
      <c r="O107" s="143" t="s">
        <v>3250</v>
      </c>
      <c r="P107" s="143" t="s">
        <v>735</v>
      </c>
      <c r="Q107" s="212">
        <v>12</v>
      </c>
      <c r="R107" s="212">
        <v>3</v>
      </c>
      <c r="S107" s="212">
        <v>3</v>
      </c>
      <c r="T107" s="212">
        <v>3</v>
      </c>
      <c r="U107" s="212">
        <v>3</v>
      </c>
      <c r="V107" s="212">
        <v>6</v>
      </c>
      <c r="W107" s="212" t="s">
        <v>3292</v>
      </c>
      <c r="X107" s="212">
        <v>5</v>
      </c>
      <c r="Y107" s="212" t="s">
        <v>3293</v>
      </c>
      <c r="Z107" s="212">
        <v>4</v>
      </c>
      <c r="AA107" s="212" t="s">
        <v>3294</v>
      </c>
      <c r="AB107" s="215"/>
      <c r="AC107" s="215"/>
      <c r="AD107" s="213">
        <v>44295</v>
      </c>
      <c r="AE107" s="213">
        <v>44379</v>
      </c>
      <c r="AF107" s="213">
        <v>44480</v>
      </c>
      <c r="AG107" s="213"/>
      <c r="AH107" s="75">
        <f t="shared" si="5"/>
        <v>1</v>
      </c>
      <c r="AI107" s="75">
        <f t="shared" si="6"/>
        <v>1</v>
      </c>
      <c r="AJ107" s="75">
        <f t="shared" si="7"/>
        <v>1</v>
      </c>
      <c r="AK107" s="75">
        <f t="shared" si="8"/>
        <v>1</v>
      </c>
      <c r="AL107" s="75" t="s">
        <v>2467</v>
      </c>
      <c r="AM107" s="214" t="s">
        <v>739</v>
      </c>
      <c r="AN107" s="214" t="s">
        <v>739</v>
      </c>
      <c r="AO107" s="214" t="s">
        <v>739</v>
      </c>
      <c r="AP107" s="214"/>
      <c r="AQ107" s="214" t="s">
        <v>2724</v>
      </c>
      <c r="AR107" s="214" t="s">
        <v>2724</v>
      </c>
      <c r="AS107" s="214" t="s">
        <v>2724</v>
      </c>
      <c r="AT107" s="214"/>
      <c r="AU107" s="214" t="s">
        <v>739</v>
      </c>
      <c r="AV107" s="214" t="s">
        <v>739</v>
      </c>
      <c r="AW107" s="214" t="s">
        <v>739</v>
      </c>
      <c r="AX107" s="214"/>
      <c r="AY107" s="214" t="s">
        <v>3295</v>
      </c>
      <c r="AZ107" s="214" t="s">
        <v>3296</v>
      </c>
      <c r="BA107" s="214" t="s">
        <v>3297</v>
      </c>
      <c r="BB107" s="214"/>
      <c r="BC107" s="143" t="s">
        <v>727</v>
      </c>
    </row>
    <row r="108" spans="1:55" ht="15" customHeight="1" x14ac:dyDescent="0.25">
      <c r="A108" s="210">
        <v>8</v>
      </c>
      <c r="B108" s="143" t="s">
        <v>3235</v>
      </c>
      <c r="C108" s="143" t="s">
        <v>3236</v>
      </c>
      <c r="D108" s="143" t="s">
        <v>3237</v>
      </c>
      <c r="E108" s="143" t="s">
        <v>3238</v>
      </c>
      <c r="F108" s="143" t="s">
        <v>3239</v>
      </c>
      <c r="G108" s="143" t="s">
        <v>3240</v>
      </c>
      <c r="H108" s="143" t="s">
        <v>818</v>
      </c>
      <c r="I108" s="143" t="s">
        <v>3298</v>
      </c>
      <c r="J108" s="217">
        <v>44287</v>
      </c>
      <c r="K108" s="217">
        <v>44561</v>
      </c>
      <c r="L108" s="143" t="s">
        <v>3299</v>
      </c>
      <c r="M108" s="143" t="s">
        <v>3243</v>
      </c>
      <c r="N108" s="143" t="s">
        <v>30</v>
      </c>
      <c r="O108" s="143" t="s">
        <v>3250</v>
      </c>
      <c r="P108" s="143" t="s">
        <v>735</v>
      </c>
      <c r="Q108" s="212">
        <v>3</v>
      </c>
      <c r="R108" s="212">
        <v>1</v>
      </c>
      <c r="S108" s="212">
        <v>1</v>
      </c>
      <c r="T108" s="212">
        <v>1</v>
      </c>
      <c r="U108" s="212">
        <v>0</v>
      </c>
      <c r="V108" s="212">
        <v>1</v>
      </c>
      <c r="W108" s="212" t="s">
        <v>3300</v>
      </c>
      <c r="X108" s="212">
        <v>3</v>
      </c>
      <c r="Y108" s="212" t="s">
        <v>3301</v>
      </c>
      <c r="Z108" s="212">
        <v>12</v>
      </c>
      <c r="AA108" s="212" t="s">
        <v>3302</v>
      </c>
      <c r="AB108" s="212"/>
      <c r="AC108" s="212"/>
      <c r="AD108" s="213">
        <v>44295</v>
      </c>
      <c r="AE108" s="213">
        <v>44379</v>
      </c>
      <c r="AF108" s="213">
        <v>44480</v>
      </c>
      <c r="AG108" s="213"/>
      <c r="AH108" s="75">
        <f t="shared" si="5"/>
        <v>1</v>
      </c>
      <c r="AI108" s="75">
        <f t="shared" si="6"/>
        <v>1</v>
      </c>
      <c r="AJ108" s="75">
        <f t="shared" si="7"/>
        <v>1</v>
      </c>
      <c r="AK108" s="75">
        <f t="shared" si="8"/>
        <v>1</v>
      </c>
      <c r="AL108" s="75" t="s">
        <v>2467</v>
      </c>
      <c r="AM108" s="214" t="s">
        <v>739</v>
      </c>
      <c r="AN108" s="214" t="s">
        <v>739</v>
      </c>
      <c r="AO108" s="214" t="s">
        <v>739</v>
      </c>
      <c r="AP108" s="214"/>
      <c r="AQ108" s="214" t="s">
        <v>2724</v>
      </c>
      <c r="AR108" s="214" t="s">
        <v>2724</v>
      </c>
      <c r="AS108" s="214" t="s">
        <v>2724</v>
      </c>
      <c r="AT108" s="214"/>
      <c r="AU108" s="214" t="s">
        <v>739</v>
      </c>
      <c r="AV108" s="214" t="s">
        <v>739</v>
      </c>
      <c r="AW108" s="214" t="s">
        <v>739</v>
      </c>
      <c r="AX108" s="214"/>
      <c r="AY108" s="214" t="s">
        <v>3303</v>
      </c>
      <c r="AZ108" s="214" t="s">
        <v>3304</v>
      </c>
      <c r="BA108" s="214" t="s">
        <v>3305</v>
      </c>
      <c r="BB108" s="214"/>
      <c r="BC108" s="143" t="s">
        <v>727</v>
      </c>
    </row>
    <row r="109" spans="1:55" ht="15" customHeight="1" x14ac:dyDescent="0.25">
      <c r="A109" s="210">
        <v>9</v>
      </c>
      <c r="B109" s="143" t="s">
        <v>3235</v>
      </c>
      <c r="C109" s="143" t="s">
        <v>3236</v>
      </c>
      <c r="D109" s="143" t="s">
        <v>3237</v>
      </c>
      <c r="E109" s="143" t="s">
        <v>3238</v>
      </c>
      <c r="F109" s="143" t="s">
        <v>3239</v>
      </c>
      <c r="G109" s="143" t="s">
        <v>3240</v>
      </c>
      <c r="H109" s="143" t="s">
        <v>818</v>
      </c>
      <c r="I109" s="143" t="s">
        <v>3306</v>
      </c>
      <c r="J109" s="217">
        <v>44287</v>
      </c>
      <c r="K109" s="217">
        <v>44561</v>
      </c>
      <c r="L109" s="143" t="s">
        <v>3307</v>
      </c>
      <c r="M109" s="143" t="s">
        <v>3243</v>
      </c>
      <c r="N109" s="143" t="s">
        <v>60</v>
      </c>
      <c r="O109" s="143" t="s">
        <v>3250</v>
      </c>
      <c r="P109" s="143" t="s">
        <v>735</v>
      </c>
      <c r="Q109" s="240">
        <v>1</v>
      </c>
      <c r="R109" s="240">
        <v>0.25</v>
      </c>
      <c r="S109" s="240">
        <v>0.25</v>
      </c>
      <c r="T109" s="240">
        <v>0.25</v>
      </c>
      <c r="U109" s="240">
        <v>0.25</v>
      </c>
      <c r="V109" s="240">
        <v>0.25</v>
      </c>
      <c r="W109" s="240" t="s">
        <v>3308</v>
      </c>
      <c r="X109" s="240">
        <v>0.25</v>
      </c>
      <c r="Y109" s="240" t="s">
        <v>3309</v>
      </c>
      <c r="Z109" s="240">
        <v>0.25</v>
      </c>
      <c r="AA109" s="240" t="s">
        <v>3310</v>
      </c>
      <c r="AB109" s="215"/>
      <c r="AC109" s="215"/>
      <c r="AD109" s="213">
        <v>44295</v>
      </c>
      <c r="AE109" s="213">
        <v>44379</v>
      </c>
      <c r="AF109" s="213">
        <v>44480</v>
      </c>
      <c r="AG109" s="213"/>
      <c r="AH109" s="75">
        <f t="shared" si="5"/>
        <v>0.75</v>
      </c>
      <c r="AI109" s="75">
        <f t="shared" si="6"/>
        <v>1</v>
      </c>
      <c r="AJ109" s="75">
        <f t="shared" si="7"/>
        <v>1</v>
      </c>
      <c r="AK109" s="75">
        <f t="shared" si="8"/>
        <v>1</v>
      </c>
      <c r="AL109" s="75" t="s">
        <v>2467</v>
      </c>
      <c r="AM109" s="214" t="s">
        <v>739</v>
      </c>
      <c r="AN109" s="214" t="s">
        <v>739</v>
      </c>
      <c r="AO109" s="214" t="s">
        <v>739</v>
      </c>
      <c r="AP109" s="214"/>
      <c r="AQ109" s="214" t="s">
        <v>2724</v>
      </c>
      <c r="AR109" s="214" t="s">
        <v>2724</v>
      </c>
      <c r="AS109" s="214" t="s">
        <v>2724</v>
      </c>
      <c r="AT109" s="214"/>
      <c r="AU109" s="214" t="s">
        <v>739</v>
      </c>
      <c r="AV109" s="214" t="s">
        <v>739</v>
      </c>
      <c r="AW109" s="214" t="s">
        <v>739</v>
      </c>
      <c r="AX109" s="214"/>
      <c r="AY109" s="214" t="s">
        <v>3311</v>
      </c>
      <c r="AZ109" s="214" t="s">
        <v>3312</v>
      </c>
      <c r="BA109" s="214" t="s">
        <v>3313</v>
      </c>
      <c r="BB109" s="214"/>
      <c r="BC109" s="143" t="s">
        <v>727</v>
      </c>
    </row>
    <row r="110" spans="1:55" ht="15" customHeight="1" x14ac:dyDescent="0.25">
      <c r="A110" s="210">
        <v>10</v>
      </c>
      <c r="B110" s="143" t="s">
        <v>3235</v>
      </c>
      <c r="C110" s="143" t="s">
        <v>3314</v>
      </c>
      <c r="D110" s="143" t="s">
        <v>3237</v>
      </c>
      <c r="E110" s="143" t="s">
        <v>3238</v>
      </c>
      <c r="F110" s="143" t="s">
        <v>3239</v>
      </c>
      <c r="G110" s="143" t="s">
        <v>3240</v>
      </c>
      <c r="H110" s="143" t="s">
        <v>818</v>
      </c>
      <c r="I110" s="143" t="s">
        <v>3315</v>
      </c>
      <c r="J110" s="217">
        <v>44256</v>
      </c>
      <c r="K110" s="217">
        <v>44561</v>
      </c>
      <c r="L110" s="143" t="s">
        <v>3316</v>
      </c>
      <c r="M110" s="143" t="s">
        <v>3243</v>
      </c>
      <c r="N110" s="143" t="s">
        <v>30</v>
      </c>
      <c r="O110" s="143" t="s">
        <v>3317</v>
      </c>
      <c r="P110" s="143" t="s">
        <v>735</v>
      </c>
      <c r="Q110" s="212">
        <v>4</v>
      </c>
      <c r="R110" s="212">
        <v>1</v>
      </c>
      <c r="S110" s="212">
        <v>1</v>
      </c>
      <c r="T110" s="212">
        <v>1</v>
      </c>
      <c r="U110" s="212">
        <v>1</v>
      </c>
      <c r="V110" s="212">
        <v>2</v>
      </c>
      <c r="W110" s="212" t="s">
        <v>3318</v>
      </c>
      <c r="X110" s="212">
        <v>1</v>
      </c>
      <c r="Y110" s="212" t="s">
        <v>3319</v>
      </c>
      <c r="Z110" s="212">
        <v>4</v>
      </c>
      <c r="AA110" s="212" t="s">
        <v>3320</v>
      </c>
      <c r="AB110" s="215"/>
      <c r="AC110" s="215"/>
      <c r="AD110" s="213">
        <v>44295</v>
      </c>
      <c r="AE110" s="213">
        <v>44379</v>
      </c>
      <c r="AF110" s="213">
        <v>44480</v>
      </c>
      <c r="AG110" s="213"/>
      <c r="AH110" s="75">
        <f t="shared" si="5"/>
        <v>1</v>
      </c>
      <c r="AI110" s="75">
        <f t="shared" si="6"/>
        <v>1</v>
      </c>
      <c r="AJ110" s="75">
        <f t="shared" si="7"/>
        <v>1</v>
      </c>
      <c r="AK110" s="75">
        <f t="shared" si="8"/>
        <v>1</v>
      </c>
      <c r="AL110" s="75" t="s">
        <v>2467</v>
      </c>
      <c r="AM110" s="214" t="s">
        <v>739</v>
      </c>
      <c r="AN110" s="214" t="s">
        <v>739</v>
      </c>
      <c r="AO110" s="214" t="s">
        <v>739</v>
      </c>
      <c r="AP110" s="214"/>
      <c r="AQ110" s="214" t="s">
        <v>2724</v>
      </c>
      <c r="AR110" s="214" t="s">
        <v>2724</v>
      </c>
      <c r="AS110" s="214" t="s">
        <v>2724</v>
      </c>
      <c r="AT110" s="214"/>
      <c r="AU110" s="214" t="s">
        <v>739</v>
      </c>
      <c r="AV110" s="214" t="s">
        <v>739</v>
      </c>
      <c r="AW110" s="214" t="s">
        <v>739</v>
      </c>
      <c r="AX110" s="214"/>
      <c r="AY110" s="214" t="s">
        <v>3321</v>
      </c>
      <c r="AZ110" s="214" t="s">
        <v>3322</v>
      </c>
      <c r="BA110" s="214" t="s">
        <v>3323</v>
      </c>
      <c r="BB110" s="214"/>
      <c r="BC110" s="143" t="s">
        <v>727</v>
      </c>
    </row>
    <row r="111" spans="1:55" ht="15" customHeight="1" x14ac:dyDescent="0.25">
      <c r="A111" s="210">
        <v>11</v>
      </c>
      <c r="B111" s="143" t="s">
        <v>3235</v>
      </c>
      <c r="C111" s="143" t="s">
        <v>3314</v>
      </c>
      <c r="D111" s="143" t="s">
        <v>3237</v>
      </c>
      <c r="E111" s="143" t="s">
        <v>3238</v>
      </c>
      <c r="F111" s="143" t="s">
        <v>3239</v>
      </c>
      <c r="G111" s="143" t="s">
        <v>3240</v>
      </c>
      <c r="H111" s="143" t="s">
        <v>818</v>
      </c>
      <c r="I111" s="143" t="s">
        <v>3324</v>
      </c>
      <c r="J111" s="217">
        <v>44256</v>
      </c>
      <c r="K111" s="217">
        <v>44561</v>
      </c>
      <c r="L111" s="143" t="s">
        <v>3325</v>
      </c>
      <c r="M111" s="143" t="s">
        <v>3243</v>
      </c>
      <c r="N111" s="143" t="s">
        <v>30</v>
      </c>
      <c r="O111" s="143" t="s">
        <v>3317</v>
      </c>
      <c r="P111" s="143" t="s">
        <v>735</v>
      </c>
      <c r="Q111" s="212">
        <v>20</v>
      </c>
      <c r="R111" s="212">
        <v>4</v>
      </c>
      <c r="S111" s="212">
        <v>6</v>
      </c>
      <c r="T111" s="212">
        <v>6</v>
      </c>
      <c r="U111" s="212">
        <v>4</v>
      </c>
      <c r="V111" s="212">
        <v>4</v>
      </c>
      <c r="W111" s="212" t="s">
        <v>3326</v>
      </c>
      <c r="X111" s="212">
        <v>6</v>
      </c>
      <c r="Y111" s="212" t="s">
        <v>3327</v>
      </c>
      <c r="Z111" s="212">
        <v>6</v>
      </c>
      <c r="AA111" s="212" t="s">
        <v>3328</v>
      </c>
      <c r="AB111" s="215"/>
      <c r="AC111" s="215"/>
      <c r="AD111" s="213">
        <v>44295</v>
      </c>
      <c r="AE111" s="213">
        <v>44379</v>
      </c>
      <c r="AF111" s="213">
        <v>44480</v>
      </c>
      <c r="AG111" s="213"/>
      <c r="AH111" s="75">
        <f t="shared" si="5"/>
        <v>0.8</v>
      </c>
      <c r="AI111" s="75">
        <f t="shared" si="6"/>
        <v>1</v>
      </c>
      <c r="AJ111" s="75">
        <f t="shared" si="7"/>
        <v>1</v>
      </c>
      <c r="AK111" s="75">
        <f t="shared" si="8"/>
        <v>1</v>
      </c>
      <c r="AL111" s="75" t="s">
        <v>2467</v>
      </c>
      <c r="AM111" s="214" t="s">
        <v>739</v>
      </c>
      <c r="AN111" s="214" t="s">
        <v>739</v>
      </c>
      <c r="AO111" s="214" t="s">
        <v>739</v>
      </c>
      <c r="AP111" s="214"/>
      <c r="AQ111" s="214" t="s">
        <v>2724</v>
      </c>
      <c r="AR111" s="214" t="s">
        <v>2724</v>
      </c>
      <c r="AS111" s="214" t="s">
        <v>2724</v>
      </c>
      <c r="AT111" s="214"/>
      <c r="AU111" s="214" t="s">
        <v>739</v>
      </c>
      <c r="AV111" s="214" t="s">
        <v>739</v>
      </c>
      <c r="AW111" s="214" t="s">
        <v>739</v>
      </c>
      <c r="AX111" s="214"/>
      <c r="AY111" s="214" t="s">
        <v>3329</v>
      </c>
      <c r="AZ111" s="214" t="s">
        <v>3330</v>
      </c>
      <c r="BA111" s="214" t="s">
        <v>3331</v>
      </c>
      <c r="BB111" s="214"/>
      <c r="BC111" s="143" t="s">
        <v>727</v>
      </c>
    </row>
    <row r="112" spans="1:55" ht="15" customHeight="1" x14ac:dyDescent="0.25">
      <c r="A112" s="210">
        <v>12</v>
      </c>
      <c r="B112" s="143" t="s">
        <v>3235</v>
      </c>
      <c r="C112" s="143" t="s">
        <v>3314</v>
      </c>
      <c r="D112" s="143" t="s">
        <v>3237</v>
      </c>
      <c r="E112" s="143" t="s">
        <v>3238</v>
      </c>
      <c r="F112" s="143" t="s">
        <v>3239</v>
      </c>
      <c r="G112" s="143" t="s">
        <v>3240</v>
      </c>
      <c r="H112" s="143" t="s">
        <v>818</v>
      </c>
      <c r="I112" s="143" t="s">
        <v>3332</v>
      </c>
      <c r="J112" s="217">
        <v>44256</v>
      </c>
      <c r="K112" s="217">
        <v>44377</v>
      </c>
      <c r="L112" s="143" t="s">
        <v>3333</v>
      </c>
      <c r="M112" s="143" t="s">
        <v>3243</v>
      </c>
      <c r="N112" s="143" t="s">
        <v>60</v>
      </c>
      <c r="O112" s="143" t="s">
        <v>3317</v>
      </c>
      <c r="P112" s="143" t="s">
        <v>735</v>
      </c>
      <c r="Q112" s="240">
        <v>1</v>
      </c>
      <c r="R112" s="240">
        <v>0.5</v>
      </c>
      <c r="S112" s="240">
        <v>0.5</v>
      </c>
      <c r="T112" s="240">
        <v>0</v>
      </c>
      <c r="U112" s="240">
        <v>0</v>
      </c>
      <c r="V112" s="240">
        <v>0.5</v>
      </c>
      <c r="W112" s="240" t="s">
        <v>3334</v>
      </c>
      <c r="X112" s="240">
        <v>0.5</v>
      </c>
      <c r="Y112" s="240" t="s">
        <v>3335</v>
      </c>
      <c r="Z112" s="240">
        <v>0</v>
      </c>
      <c r="AA112" s="240" t="s">
        <v>3336</v>
      </c>
      <c r="AB112" s="215"/>
      <c r="AC112" s="215"/>
      <c r="AD112" s="213">
        <v>44295</v>
      </c>
      <c r="AE112" s="213">
        <v>44379</v>
      </c>
      <c r="AF112" s="213">
        <v>44480</v>
      </c>
      <c r="AG112" s="213"/>
      <c r="AH112" s="75">
        <f t="shared" si="5"/>
        <v>1</v>
      </c>
      <c r="AI112" s="75">
        <f t="shared" si="6"/>
        <v>1</v>
      </c>
      <c r="AJ112" s="75">
        <f t="shared" si="7"/>
        <v>1</v>
      </c>
      <c r="AK112" s="75" t="str">
        <f t="shared" si="8"/>
        <v/>
      </c>
      <c r="AL112" s="75" t="s">
        <v>2467</v>
      </c>
      <c r="AM112" s="214" t="s">
        <v>739</v>
      </c>
      <c r="AN112" s="214" t="s">
        <v>739</v>
      </c>
      <c r="AO112" s="214" t="s">
        <v>739</v>
      </c>
      <c r="AP112" s="214"/>
      <c r="AQ112" s="214" t="s">
        <v>2724</v>
      </c>
      <c r="AR112" s="214" t="s">
        <v>2724</v>
      </c>
      <c r="AS112" s="214" t="s">
        <v>2724</v>
      </c>
      <c r="AT112" s="214"/>
      <c r="AU112" s="214" t="s">
        <v>739</v>
      </c>
      <c r="AV112" s="214" t="s">
        <v>739</v>
      </c>
      <c r="AW112" s="214" t="s">
        <v>739</v>
      </c>
      <c r="AX112" s="214"/>
      <c r="AY112" s="214" t="s">
        <v>3337</v>
      </c>
      <c r="AZ112" s="214" t="s">
        <v>3338</v>
      </c>
      <c r="BA112" s="214" t="s">
        <v>3339</v>
      </c>
      <c r="BB112" s="214"/>
      <c r="BC112" s="143" t="s">
        <v>727</v>
      </c>
    </row>
    <row r="113" spans="1:55" ht="15" customHeight="1" x14ac:dyDescent="0.25">
      <c r="A113" s="210">
        <v>13</v>
      </c>
      <c r="B113" s="143" t="s">
        <v>3235</v>
      </c>
      <c r="C113" s="143" t="s">
        <v>3314</v>
      </c>
      <c r="D113" s="143" t="s">
        <v>3237</v>
      </c>
      <c r="E113" s="143" t="s">
        <v>3238</v>
      </c>
      <c r="F113" s="143" t="s">
        <v>3239</v>
      </c>
      <c r="G113" s="143" t="s">
        <v>3240</v>
      </c>
      <c r="H113" s="143" t="s">
        <v>818</v>
      </c>
      <c r="I113" s="143" t="s">
        <v>3340</v>
      </c>
      <c r="J113" s="217">
        <v>44287</v>
      </c>
      <c r="K113" s="217">
        <v>44561</v>
      </c>
      <c r="L113" s="143" t="s">
        <v>3333</v>
      </c>
      <c r="M113" s="143" t="s">
        <v>3243</v>
      </c>
      <c r="N113" s="143" t="s">
        <v>60</v>
      </c>
      <c r="O113" s="143" t="s">
        <v>3317</v>
      </c>
      <c r="P113" s="143" t="s">
        <v>821</v>
      </c>
      <c r="Q113" s="240">
        <v>1</v>
      </c>
      <c r="R113" s="240">
        <v>0.25</v>
      </c>
      <c r="S113" s="240">
        <v>0.25</v>
      </c>
      <c r="T113" s="240">
        <v>0.25</v>
      </c>
      <c r="U113" s="240">
        <v>0.25</v>
      </c>
      <c r="V113" s="240">
        <v>0.25</v>
      </c>
      <c r="W113" s="240" t="s">
        <v>3341</v>
      </c>
      <c r="X113" s="240">
        <v>0.25</v>
      </c>
      <c r="Y113" s="240" t="s">
        <v>3342</v>
      </c>
      <c r="Z113" s="240">
        <v>0.25</v>
      </c>
      <c r="AA113" s="240" t="s">
        <v>3343</v>
      </c>
      <c r="AB113" s="215"/>
      <c r="AC113" s="215"/>
      <c r="AD113" s="213">
        <v>44295</v>
      </c>
      <c r="AE113" s="213">
        <v>44379</v>
      </c>
      <c r="AF113" s="213">
        <v>44480</v>
      </c>
      <c r="AG113" s="213"/>
      <c r="AH113" s="75">
        <f t="shared" si="5"/>
        <v>0.75</v>
      </c>
      <c r="AI113" s="75">
        <f t="shared" si="6"/>
        <v>1</v>
      </c>
      <c r="AJ113" s="75">
        <f t="shared" si="7"/>
        <v>1</v>
      </c>
      <c r="AK113" s="75">
        <f t="shared" si="8"/>
        <v>1</v>
      </c>
      <c r="AL113" s="75" t="s">
        <v>2467</v>
      </c>
      <c r="AM113" s="214" t="s">
        <v>739</v>
      </c>
      <c r="AN113" s="214" t="s">
        <v>739</v>
      </c>
      <c r="AO113" s="214" t="s">
        <v>739</v>
      </c>
      <c r="AP113" s="214"/>
      <c r="AQ113" s="214" t="s">
        <v>2724</v>
      </c>
      <c r="AR113" s="214" t="s">
        <v>2724</v>
      </c>
      <c r="AS113" s="214" t="s">
        <v>2724</v>
      </c>
      <c r="AT113" s="214"/>
      <c r="AU113" s="214" t="s">
        <v>739</v>
      </c>
      <c r="AV113" s="214" t="s">
        <v>739</v>
      </c>
      <c r="AW113" s="214" t="s">
        <v>739</v>
      </c>
      <c r="AX113" s="214"/>
      <c r="AY113" s="214" t="s">
        <v>3344</v>
      </c>
      <c r="AZ113" s="214" t="s">
        <v>3345</v>
      </c>
      <c r="BA113" s="214" t="s">
        <v>3346</v>
      </c>
      <c r="BB113" s="214"/>
      <c r="BC113" s="143" t="s">
        <v>727</v>
      </c>
    </row>
    <row r="114" spans="1:55" ht="15" customHeight="1" x14ac:dyDescent="0.25">
      <c r="A114" s="210">
        <v>14</v>
      </c>
      <c r="B114" s="143" t="s">
        <v>3235</v>
      </c>
      <c r="C114" s="143" t="s">
        <v>3314</v>
      </c>
      <c r="D114" s="143" t="s">
        <v>3237</v>
      </c>
      <c r="E114" s="143" t="s">
        <v>3238</v>
      </c>
      <c r="F114" s="143" t="s">
        <v>3239</v>
      </c>
      <c r="G114" s="143" t="s">
        <v>3240</v>
      </c>
      <c r="H114" s="143" t="s">
        <v>818</v>
      </c>
      <c r="I114" s="143" t="s">
        <v>3347</v>
      </c>
      <c r="J114" s="217">
        <v>44228</v>
      </c>
      <c r="K114" s="217">
        <v>44561</v>
      </c>
      <c r="L114" s="143" t="s">
        <v>3348</v>
      </c>
      <c r="M114" s="143" t="s">
        <v>3243</v>
      </c>
      <c r="N114" s="143" t="s">
        <v>30</v>
      </c>
      <c r="O114" s="143" t="s">
        <v>3317</v>
      </c>
      <c r="P114" s="143" t="s">
        <v>821</v>
      </c>
      <c r="Q114" s="212">
        <v>11</v>
      </c>
      <c r="R114" s="212">
        <v>2</v>
      </c>
      <c r="S114" s="212">
        <v>3</v>
      </c>
      <c r="T114" s="212">
        <v>3</v>
      </c>
      <c r="U114" s="212">
        <v>3</v>
      </c>
      <c r="V114" s="212">
        <v>2</v>
      </c>
      <c r="W114" s="212" t="s">
        <v>3349</v>
      </c>
      <c r="X114" s="212">
        <v>3</v>
      </c>
      <c r="Y114" s="212" t="s">
        <v>3350</v>
      </c>
      <c r="Z114" s="212">
        <v>3</v>
      </c>
      <c r="AA114" s="212" t="s">
        <v>3351</v>
      </c>
      <c r="AB114" s="212"/>
      <c r="AC114" s="212"/>
      <c r="AD114" s="213">
        <v>44295</v>
      </c>
      <c r="AE114" s="213">
        <v>44379</v>
      </c>
      <c r="AF114" s="213">
        <v>44480</v>
      </c>
      <c r="AG114" s="213"/>
      <c r="AH114" s="75">
        <f t="shared" si="5"/>
        <v>0.72727272727272729</v>
      </c>
      <c r="AI114" s="75">
        <f t="shared" si="6"/>
        <v>1</v>
      </c>
      <c r="AJ114" s="75">
        <f t="shared" si="7"/>
        <v>1</v>
      </c>
      <c r="AK114" s="75">
        <f t="shared" si="8"/>
        <v>1</v>
      </c>
      <c r="AL114" s="75" t="s">
        <v>2467</v>
      </c>
      <c r="AM114" s="214" t="s">
        <v>739</v>
      </c>
      <c r="AN114" s="214" t="s">
        <v>739</v>
      </c>
      <c r="AO114" s="214" t="s">
        <v>828</v>
      </c>
      <c r="AP114" s="214"/>
      <c r="AQ114" s="214" t="s">
        <v>2724</v>
      </c>
      <c r="AR114" s="214" t="s">
        <v>2724</v>
      </c>
      <c r="AS114" s="214" t="s">
        <v>2724</v>
      </c>
      <c r="AT114" s="214"/>
      <c r="AU114" s="214" t="s">
        <v>739</v>
      </c>
      <c r="AV114" s="214" t="s">
        <v>739</v>
      </c>
      <c r="AW114" s="214" t="s">
        <v>739</v>
      </c>
      <c r="AX114" s="214"/>
      <c r="AY114" s="214" t="s">
        <v>3352</v>
      </c>
      <c r="AZ114" s="214" t="s">
        <v>3353</v>
      </c>
      <c r="BA114" s="214" t="s">
        <v>3354</v>
      </c>
      <c r="BB114" s="214"/>
      <c r="BC114" s="143" t="s">
        <v>727</v>
      </c>
    </row>
    <row r="115" spans="1:55" ht="15" customHeight="1" x14ac:dyDescent="0.25">
      <c r="A115" s="210">
        <v>15</v>
      </c>
      <c r="B115" s="143" t="s">
        <v>3235</v>
      </c>
      <c r="C115" s="143" t="s">
        <v>3314</v>
      </c>
      <c r="D115" s="143" t="s">
        <v>3237</v>
      </c>
      <c r="E115" s="143" t="s">
        <v>3238</v>
      </c>
      <c r="F115" s="143" t="s">
        <v>3239</v>
      </c>
      <c r="G115" s="143" t="s">
        <v>3240</v>
      </c>
      <c r="H115" s="143" t="s">
        <v>818</v>
      </c>
      <c r="I115" s="143" t="s">
        <v>3355</v>
      </c>
      <c r="J115" s="217">
        <v>44256</v>
      </c>
      <c r="K115" s="217">
        <v>44561</v>
      </c>
      <c r="L115" s="143" t="s">
        <v>3356</v>
      </c>
      <c r="M115" s="143" t="s">
        <v>3243</v>
      </c>
      <c r="N115" s="143" t="s">
        <v>60</v>
      </c>
      <c r="O115" s="143" t="s">
        <v>3317</v>
      </c>
      <c r="P115" s="143" t="s">
        <v>735</v>
      </c>
      <c r="Q115" s="220">
        <v>1</v>
      </c>
      <c r="R115" s="220">
        <v>0.25</v>
      </c>
      <c r="S115" s="220">
        <v>0.25</v>
      </c>
      <c r="T115" s="220">
        <v>0.25</v>
      </c>
      <c r="U115" s="220">
        <v>0.25</v>
      </c>
      <c r="V115" s="220">
        <v>0.25</v>
      </c>
      <c r="W115" s="220" t="s">
        <v>3357</v>
      </c>
      <c r="X115" s="220">
        <v>0.25</v>
      </c>
      <c r="Y115" s="220" t="s">
        <v>3358</v>
      </c>
      <c r="Z115" s="220">
        <v>0.25</v>
      </c>
      <c r="AA115" s="220" t="s">
        <v>3358</v>
      </c>
      <c r="AB115" s="215"/>
      <c r="AC115" s="215"/>
      <c r="AD115" s="213">
        <v>44295</v>
      </c>
      <c r="AE115" s="213">
        <v>44379</v>
      </c>
      <c r="AF115" s="213">
        <v>44480</v>
      </c>
      <c r="AG115" s="213"/>
      <c r="AH115" s="75">
        <f t="shared" si="5"/>
        <v>0.75</v>
      </c>
      <c r="AI115" s="75">
        <f t="shared" si="6"/>
        <v>1</v>
      </c>
      <c r="AJ115" s="75">
        <f t="shared" si="7"/>
        <v>1</v>
      </c>
      <c r="AK115" s="75">
        <f t="shared" si="8"/>
        <v>1</v>
      </c>
      <c r="AL115" s="75" t="s">
        <v>2467</v>
      </c>
      <c r="AM115" s="214" t="s">
        <v>739</v>
      </c>
      <c r="AN115" s="214" t="s">
        <v>739</v>
      </c>
      <c r="AO115" s="214" t="s">
        <v>739</v>
      </c>
      <c r="AP115" s="214"/>
      <c r="AQ115" s="214" t="s">
        <v>2724</v>
      </c>
      <c r="AR115" s="214" t="s">
        <v>2724</v>
      </c>
      <c r="AS115" s="214" t="s">
        <v>2724</v>
      </c>
      <c r="AT115" s="214"/>
      <c r="AU115" s="214" t="s">
        <v>739</v>
      </c>
      <c r="AV115" s="214" t="s">
        <v>739</v>
      </c>
      <c r="AW115" s="214" t="s">
        <v>739</v>
      </c>
      <c r="AX115" s="214"/>
      <c r="AY115" s="214" t="s">
        <v>3359</v>
      </c>
      <c r="AZ115" s="214" t="s">
        <v>3360</v>
      </c>
      <c r="BA115" s="214" t="s">
        <v>3360</v>
      </c>
      <c r="BB115" s="214"/>
      <c r="BC115" s="143" t="s">
        <v>727</v>
      </c>
    </row>
    <row r="116" spans="1:55" ht="15" customHeight="1" x14ac:dyDescent="0.25">
      <c r="A116" s="210">
        <v>16</v>
      </c>
      <c r="B116" s="143" t="s">
        <v>3235</v>
      </c>
      <c r="C116" s="143" t="s">
        <v>3314</v>
      </c>
      <c r="D116" s="143" t="s">
        <v>3237</v>
      </c>
      <c r="E116" s="143" t="s">
        <v>3238</v>
      </c>
      <c r="F116" s="143" t="s">
        <v>3239</v>
      </c>
      <c r="G116" s="143" t="s">
        <v>3240</v>
      </c>
      <c r="H116" s="143" t="s">
        <v>818</v>
      </c>
      <c r="I116" s="143" t="s">
        <v>3361</v>
      </c>
      <c r="J116" s="217">
        <v>44256</v>
      </c>
      <c r="K116" s="217">
        <v>44561</v>
      </c>
      <c r="L116" s="143" t="s">
        <v>3362</v>
      </c>
      <c r="M116" s="143" t="s">
        <v>3243</v>
      </c>
      <c r="N116" s="143" t="s">
        <v>60</v>
      </c>
      <c r="O116" s="143" t="s">
        <v>3317</v>
      </c>
      <c r="P116" s="143" t="s">
        <v>735</v>
      </c>
      <c r="Q116" s="220">
        <v>1</v>
      </c>
      <c r="R116" s="220">
        <v>0</v>
      </c>
      <c r="S116" s="220">
        <v>0.3</v>
      </c>
      <c r="T116" s="220">
        <v>0.4</v>
      </c>
      <c r="U116" s="220">
        <v>0.3</v>
      </c>
      <c r="V116" s="220">
        <v>0</v>
      </c>
      <c r="W116" s="215" t="s">
        <v>3363</v>
      </c>
      <c r="X116" s="220">
        <v>0.3</v>
      </c>
      <c r="Y116" s="220" t="s">
        <v>3364</v>
      </c>
      <c r="Z116" s="220">
        <v>0.4</v>
      </c>
      <c r="AA116" s="220" t="s">
        <v>3365</v>
      </c>
      <c r="AB116" s="215"/>
      <c r="AC116" s="215"/>
      <c r="AD116" s="213">
        <v>44295</v>
      </c>
      <c r="AE116" s="213">
        <v>44379</v>
      </c>
      <c r="AF116" s="213">
        <v>44480</v>
      </c>
      <c r="AG116" s="213"/>
      <c r="AH116" s="75">
        <f t="shared" si="5"/>
        <v>0.7</v>
      </c>
      <c r="AI116" s="75" t="str">
        <f t="shared" si="6"/>
        <v/>
      </c>
      <c r="AJ116" s="75">
        <f t="shared" si="7"/>
        <v>1</v>
      </c>
      <c r="AK116" s="75">
        <f t="shared" si="8"/>
        <v>1</v>
      </c>
      <c r="AL116" s="75" t="s">
        <v>2467</v>
      </c>
      <c r="AM116" s="214" t="s">
        <v>838</v>
      </c>
      <c r="AN116" s="214" t="s">
        <v>739</v>
      </c>
      <c r="AO116" s="214" t="s">
        <v>739</v>
      </c>
      <c r="AP116" s="214"/>
      <c r="AQ116" s="214" t="s">
        <v>838</v>
      </c>
      <c r="AR116" s="214" t="s">
        <v>2724</v>
      </c>
      <c r="AS116" s="214" t="s">
        <v>2724</v>
      </c>
      <c r="AT116" s="214"/>
      <c r="AU116" s="214" t="s">
        <v>838</v>
      </c>
      <c r="AV116" s="214" t="s">
        <v>739</v>
      </c>
      <c r="AW116" s="214" t="s">
        <v>739</v>
      </c>
      <c r="AX116" s="214"/>
      <c r="AY116" s="214" t="s">
        <v>850</v>
      </c>
      <c r="AZ116" s="214" t="s">
        <v>3366</v>
      </c>
      <c r="BA116" s="214" t="s">
        <v>3367</v>
      </c>
      <c r="BB116" s="214"/>
      <c r="BC116" s="143" t="s">
        <v>727</v>
      </c>
    </row>
    <row r="117" spans="1:55" ht="15" customHeight="1" x14ac:dyDescent="0.25">
      <c r="A117" s="210">
        <v>17</v>
      </c>
      <c r="B117" s="143" t="s">
        <v>3235</v>
      </c>
      <c r="C117" s="143" t="s">
        <v>3314</v>
      </c>
      <c r="D117" s="143" t="s">
        <v>3237</v>
      </c>
      <c r="E117" s="143" t="s">
        <v>3238</v>
      </c>
      <c r="F117" s="143" t="s">
        <v>3239</v>
      </c>
      <c r="G117" s="143" t="s">
        <v>3240</v>
      </c>
      <c r="H117" s="143" t="s">
        <v>818</v>
      </c>
      <c r="I117" s="143" t="s">
        <v>3368</v>
      </c>
      <c r="J117" s="217">
        <v>44256</v>
      </c>
      <c r="K117" s="217">
        <v>44561</v>
      </c>
      <c r="L117" s="143" t="s">
        <v>3249</v>
      </c>
      <c r="M117" s="143" t="s">
        <v>3243</v>
      </c>
      <c r="N117" s="143" t="s">
        <v>60</v>
      </c>
      <c r="O117" s="143" t="s">
        <v>3317</v>
      </c>
      <c r="P117" s="143" t="s">
        <v>735</v>
      </c>
      <c r="Q117" s="220">
        <v>1</v>
      </c>
      <c r="R117" s="220">
        <v>0.25</v>
      </c>
      <c r="S117" s="220">
        <v>0.25</v>
      </c>
      <c r="T117" s="220">
        <v>0.25</v>
      </c>
      <c r="U117" s="220">
        <v>0.25</v>
      </c>
      <c r="V117" s="220">
        <v>0.25</v>
      </c>
      <c r="W117" s="220" t="s">
        <v>3369</v>
      </c>
      <c r="X117" s="220">
        <v>0.25</v>
      </c>
      <c r="Y117" s="220" t="s">
        <v>3370</v>
      </c>
      <c r="Z117" s="220">
        <v>0.25</v>
      </c>
      <c r="AA117" s="220" t="s">
        <v>3371</v>
      </c>
      <c r="AB117" s="212"/>
      <c r="AC117" s="212"/>
      <c r="AD117" s="213">
        <v>44295</v>
      </c>
      <c r="AE117" s="213">
        <v>44379</v>
      </c>
      <c r="AF117" s="213">
        <v>44480</v>
      </c>
      <c r="AG117" s="213"/>
      <c r="AH117" s="75">
        <f t="shared" si="5"/>
        <v>0.75</v>
      </c>
      <c r="AI117" s="75">
        <f t="shared" si="6"/>
        <v>1</v>
      </c>
      <c r="AJ117" s="75">
        <f t="shared" si="7"/>
        <v>1</v>
      </c>
      <c r="AK117" s="75">
        <f t="shared" si="8"/>
        <v>1</v>
      </c>
      <c r="AL117" s="75" t="s">
        <v>2467</v>
      </c>
      <c r="AM117" s="214" t="s">
        <v>739</v>
      </c>
      <c r="AN117" s="214" t="s">
        <v>739</v>
      </c>
      <c r="AO117" s="214" t="s">
        <v>739</v>
      </c>
      <c r="AP117" s="214"/>
      <c r="AQ117" s="214" t="s">
        <v>2724</v>
      </c>
      <c r="AR117" s="214" t="s">
        <v>2724</v>
      </c>
      <c r="AS117" s="214" t="s">
        <v>2724</v>
      </c>
      <c r="AT117" s="214"/>
      <c r="AU117" s="214" t="s">
        <v>739</v>
      </c>
      <c r="AV117" s="214" t="s">
        <v>739</v>
      </c>
      <c r="AW117" s="214" t="s">
        <v>739</v>
      </c>
      <c r="AX117" s="214"/>
      <c r="AY117" s="214" t="s">
        <v>3372</v>
      </c>
      <c r="AZ117" s="214" t="s">
        <v>3373</v>
      </c>
      <c r="BA117" s="214" t="s">
        <v>3374</v>
      </c>
      <c r="BB117" s="214"/>
      <c r="BC117" s="143" t="s">
        <v>727</v>
      </c>
    </row>
    <row r="118" spans="1:55" ht="15" customHeight="1" x14ac:dyDescent="0.25">
      <c r="A118" s="210">
        <v>18</v>
      </c>
      <c r="B118" s="143" t="s">
        <v>3235</v>
      </c>
      <c r="C118" s="143" t="s">
        <v>3314</v>
      </c>
      <c r="D118" s="143" t="s">
        <v>3237</v>
      </c>
      <c r="E118" s="143" t="s">
        <v>3238</v>
      </c>
      <c r="F118" s="143" t="s">
        <v>3239</v>
      </c>
      <c r="G118" s="143" t="s">
        <v>3240</v>
      </c>
      <c r="H118" s="143" t="s">
        <v>818</v>
      </c>
      <c r="I118" s="143" t="s">
        <v>3375</v>
      </c>
      <c r="J118" s="217">
        <v>44256</v>
      </c>
      <c r="K118" s="217">
        <v>44561</v>
      </c>
      <c r="L118" s="143" t="s">
        <v>3376</v>
      </c>
      <c r="M118" s="143" t="s">
        <v>3243</v>
      </c>
      <c r="N118" s="143" t="s">
        <v>30</v>
      </c>
      <c r="O118" s="143" t="s">
        <v>3377</v>
      </c>
      <c r="P118" s="143" t="s">
        <v>735</v>
      </c>
      <c r="Q118" s="210">
        <v>2</v>
      </c>
      <c r="R118" s="210">
        <v>0</v>
      </c>
      <c r="S118" s="210">
        <v>1</v>
      </c>
      <c r="T118" s="210">
        <v>0</v>
      </c>
      <c r="U118" s="210">
        <v>1</v>
      </c>
      <c r="V118" s="210">
        <v>0</v>
      </c>
      <c r="W118" s="210">
        <v>0</v>
      </c>
      <c r="X118" s="210">
        <v>1</v>
      </c>
      <c r="Y118" s="210" t="s">
        <v>3378</v>
      </c>
      <c r="Z118" s="210">
        <v>0</v>
      </c>
      <c r="AA118" s="210" t="s">
        <v>2780</v>
      </c>
      <c r="AB118" s="212"/>
      <c r="AC118" s="212"/>
      <c r="AD118" s="213">
        <v>44295</v>
      </c>
      <c r="AE118" s="213">
        <v>44379</v>
      </c>
      <c r="AF118" s="213">
        <v>44480</v>
      </c>
      <c r="AG118" s="213"/>
      <c r="AH118" s="75">
        <f t="shared" si="5"/>
        <v>0.5</v>
      </c>
      <c r="AI118" s="75" t="str">
        <f t="shared" si="6"/>
        <v/>
      </c>
      <c r="AJ118" s="75">
        <f t="shared" si="7"/>
        <v>1</v>
      </c>
      <c r="AK118" s="75" t="str">
        <f t="shared" si="8"/>
        <v/>
      </c>
      <c r="AL118" s="75" t="s">
        <v>2467</v>
      </c>
      <c r="AM118" s="214" t="s">
        <v>838</v>
      </c>
      <c r="AN118" s="214" t="s">
        <v>739</v>
      </c>
      <c r="AO118" s="214" t="s">
        <v>838</v>
      </c>
      <c r="AP118" s="214"/>
      <c r="AQ118" s="214" t="s">
        <v>838</v>
      </c>
      <c r="AR118" s="214" t="s">
        <v>2724</v>
      </c>
      <c r="AS118" s="214" t="s">
        <v>838</v>
      </c>
      <c r="AT118" s="214"/>
      <c r="AU118" s="214" t="s">
        <v>838</v>
      </c>
      <c r="AV118" s="214" t="s">
        <v>739</v>
      </c>
      <c r="AW118" s="214" t="s">
        <v>838</v>
      </c>
      <c r="AX118" s="214"/>
      <c r="AY118" s="214" t="s">
        <v>838</v>
      </c>
      <c r="AZ118" s="214" t="s">
        <v>3379</v>
      </c>
      <c r="BA118" s="214" t="s">
        <v>3380</v>
      </c>
      <c r="BB118" s="214"/>
      <c r="BC118" s="143" t="s">
        <v>727</v>
      </c>
    </row>
    <row r="119" spans="1:55" ht="15" customHeight="1" x14ac:dyDescent="0.25">
      <c r="A119" s="210">
        <v>19</v>
      </c>
      <c r="B119" s="143" t="s">
        <v>3235</v>
      </c>
      <c r="C119" s="143" t="s">
        <v>2552</v>
      </c>
      <c r="D119" s="143" t="s">
        <v>2583</v>
      </c>
      <c r="E119" s="143" t="s">
        <v>2584</v>
      </c>
      <c r="F119" s="143" t="s">
        <v>793</v>
      </c>
      <c r="G119" s="143" t="s">
        <v>2458</v>
      </c>
      <c r="H119" s="143" t="s">
        <v>731</v>
      </c>
      <c r="I119" s="143" t="s">
        <v>2595</v>
      </c>
      <c r="J119" s="217">
        <v>44409</v>
      </c>
      <c r="K119" s="217">
        <v>44439</v>
      </c>
      <c r="L119" s="143" t="s">
        <v>3381</v>
      </c>
      <c r="M119" s="143" t="s">
        <v>3243</v>
      </c>
      <c r="N119" s="143" t="s">
        <v>60</v>
      </c>
      <c r="O119" s="143" t="s">
        <v>3058</v>
      </c>
      <c r="P119" s="143" t="s">
        <v>735</v>
      </c>
      <c r="Q119" s="215">
        <v>1</v>
      </c>
      <c r="R119" s="215">
        <v>0</v>
      </c>
      <c r="S119" s="215">
        <v>0</v>
      </c>
      <c r="T119" s="215">
        <v>0.5</v>
      </c>
      <c r="U119" s="215">
        <v>0.5</v>
      </c>
      <c r="V119" s="215">
        <v>0</v>
      </c>
      <c r="W119" s="215" t="s">
        <v>3363</v>
      </c>
      <c r="X119" s="215">
        <v>0</v>
      </c>
      <c r="Y119" s="215" t="s">
        <v>3382</v>
      </c>
      <c r="Z119" s="215">
        <v>0.5</v>
      </c>
      <c r="AA119" s="215" t="s">
        <v>3383</v>
      </c>
      <c r="AB119" s="212"/>
      <c r="AC119" s="212"/>
      <c r="AD119" s="213">
        <v>44295</v>
      </c>
      <c r="AE119" s="213">
        <v>44379</v>
      </c>
      <c r="AF119" s="213">
        <v>44474</v>
      </c>
      <c r="AG119" s="213"/>
      <c r="AH119" s="75">
        <f t="shared" si="5"/>
        <v>0.5</v>
      </c>
      <c r="AI119" s="75" t="str">
        <f t="shared" si="6"/>
        <v/>
      </c>
      <c r="AJ119" s="75" t="str">
        <f t="shared" si="7"/>
        <v/>
      </c>
      <c r="AK119" s="75">
        <f t="shared" si="8"/>
        <v>1</v>
      </c>
      <c r="AL119" s="75" t="s">
        <v>2467</v>
      </c>
      <c r="AM119" s="214" t="s">
        <v>838</v>
      </c>
      <c r="AN119" s="214" t="s">
        <v>838</v>
      </c>
      <c r="AO119" s="214" t="s">
        <v>739</v>
      </c>
      <c r="AP119" s="214"/>
      <c r="AQ119" s="214" t="s">
        <v>838</v>
      </c>
      <c r="AR119" s="214" t="s">
        <v>838</v>
      </c>
      <c r="AS119" s="214" t="s">
        <v>2724</v>
      </c>
      <c r="AT119" s="214"/>
      <c r="AU119" s="214" t="s">
        <v>838</v>
      </c>
      <c r="AV119" s="214" t="s">
        <v>838</v>
      </c>
      <c r="AW119" s="214" t="s">
        <v>739</v>
      </c>
      <c r="AX119" s="214"/>
      <c r="AY119" s="214" t="s">
        <v>838</v>
      </c>
      <c r="AZ119" s="214" t="s">
        <v>838</v>
      </c>
      <c r="BA119" s="214" t="s">
        <v>3384</v>
      </c>
      <c r="BB119" s="214"/>
      <c r="BC119" s="143" t="s">
        <v>727</v>
      </c>
    </row>
    <row r="120" spans="1:55" ht="15" customHeight="1" x14ac:dyDescent="0.25">
      <c r="A120" s="210">
        <v>20</v>
      </c>
      <c r="B120" s="143" t="s">
        <v>3235</v>
      </c>
      <c r="C120" s="143" t="s">
        <v>2459</v>
      </c>
      <c r="D120" s="143" t="s">
        <v>2583</v>
      </c>
      <c r="E120" s="143" t="s">
        <v>2584</v>
      </c>
      <c r="F120" s="143" t="s">
        <v>793</v>
      </c>
      <c r="G120" s="143" t="s">
        <v>2458</v>
      </c>
      <c r="H120" s="143" t="s">
        <v>731</v>
      </c>
      <c r="I120" s="143" t="s">
        <v>2829</v>
      </c>
      <c r="J120" s="217">
        <v>44287</v>
      </c>
      <c r="K120" s="217">
        <v>44561</v>
      </c>
      <c r="L120" s="143" t="s">
        <v>3385</v>
      </c>
      <c r="M120" s="143" t="s">
        <v>3243</v>
      </c>
      <c r="N120" s="143" t="s">
        <v>60</v>
      </c>
      <c r="O120" s="143" t="s">
        <v>3058</v>
      </c>
      <c r="P120" s="143" t="s">
        <v>735</v>
      </c>
      <c r="Q120" s="215">
        <v>1</v>
      </c>
      <c r="R120" s="215">
        <v>0.25</v>
      </c>
      <c r="S120" s="215">
        <v>0.25</v>
      </c>
      <c r="T120" s="215">
        <v>0.25</v>
      </c>
      <c r="U120" s="215">
        <v>0.25</v>
      </c>
      <c r="V120" s="215">
        <v>0.25</v>
      </c>
      <c r="W120" s="215" t="s">
        <v>3386</v>
      </c>
      <c r="X120" s="215">
        <v>0.25</v>
      </c>
      <c r="Y120" s="215" t="s">
        <v>3386</v>
      </c>
      <c r="Z120" s="215">
        <v>0.25</v>
      </c>
      <c r="AA120" s="215" t="s">
        <v>3387</v>
      </c>
      <c r="AB120" s="212"/>
      <c r="AC120" s="212"/>
      <c r="AD120" s="213">
        <v>44295</v>
      </c>
      <c r="AE120" s="213">
        <v>44379</v>
      </c>
      <c r="AF120" s="213">
        <v>44474</v>
      </c>
      <c r="AG120" s="213"/>
      <c r="AH120" s="75">
        <f t="shared" si="5"/>
        <v>0.75</v>
      </c>
      <c r="AI120" s="75">
        <f t="shared" si="6"/>
        <v>1</v>
      </c>
      <c r="AJ120" s="75">
        <f t="shared" si="7"/>
        <v>1</v>
      </c>
      <c r="AK120" s="75">
        <f t="shared" si="8"/>
        <v>1</v>
      </c>
      <c r="AL120" s="75" t="s">
        <v>2467</v>
      </c>
      <c r="AM120" s="214" t="s">
        <v>739</v>
      </c>
      <c r="AN120" s="214" t="s">
        <v>739</v>
      </c>
      <c r="AO120" s="214" t="s">
        <v>739</v>
      </c>
      <c r="AP120" s="214"/>
      <c r="AQ120" s="214" t="s">
        <v>2724</v>
      </c>
      <c r="AR120" s="214" t="s">
        <v>2724</v>
      </c>
      <c r="AS120" s="214" t="s">
        <v>2724</v>
      </c>
      <c r="AT120" s="214"/>
      <c r="AU120" s="214" t="s">
        <v>739</v>
      </c>
      <c r="AV120" s="214" t="s">
        <v>739</v>
      </c>
      <c r="AW120" s="214" t="s">
        <v>739</v>
      </c>
      <c r="AX120" s="214"/>
      <c r="AY120" s="214" t="s">
        <v>3388</v>
      </c>
      <c r="AZ120" s="214" t="s">
        <v>3389</v>
      </c>
      <c r="BA120" s="214" t="s">
        <v>3390</v>
      </c>
      <c r="BB120" s="214"/>
      <c r="BC120" s="143" t="s">
        <v>727</v>
      </c>
    </row>
    <row r="121" spans="1:55" ht="15" customHeight="1" x14ac:dyDescent="0.25">
      <c r="A121" s="210">
        <v>21</v>
      </c>
      <c r="B121" s="143" t="s">
        <v>3235</v>
      </c>
      <c r="C121" s="143" t="s">
        <v>2552</v>
      </c>
      <c r="D121" s="143" t="s">
        <v>2583</v>
      </c>
      <c r="E121" s="143" t="s">
        <v>2584</v>
      </c>
      <c r="F121" s="143" t="s">
        <v>793</v>
      </c>
      <c r="G121" s="143" t="s">
        <v>2458</v>
      </c>
      <c r="H121" s="143" t="s">
        <v>731</v>
      </c>
      <c r="I121" s="143" t="s">
        <v>3130</v>
      </c>
      <c r="J121" s="217">
        <v>44348</v>
      </c>
      <c r="K121" s="217">
        <v>44377</v>
      </c>
      <c r="L121" s="143" t="s">
        <v>3131</v>
      </c>
      <c r="M121" s="143" t="s">
        <v>3243</v>
      </c>
      <c r="N121" s="143" t="s">
        <v>60</v>
      </c>
      <c r="O121" s="143" t="s">
        <v>3058</v>
      </c>
      <c r="P121" s="143" t="s">
        <v>735</v>
      </c>
      <c r="Q121" s="215">
        <v>1</v>
      </c>
      <c r="R121" s="215">
        <v>0</v>
      </c>
      <c r="S121" s="215">
        <v>1</v>
      </c>
      <c r="T121" s="215">
        <v>0</v>
      </c>
      <c r="U121" s="215">
        <v>0</v>
      </c>
      <c r="V121" s="215">
        <v>0</v>
      </c>
      <c r="W121" s="215" t="s">
        <v>3363</v>
      </c>
      <c r="X121" s="215">
        <v>0</v>
      </c>
      <c r="Y121" s="215" t="s">
        <v>3382</v>
      </c>
      <c r="Z121" s="215">
        <v>1</v>
      </c>
      <c r="AA121" s="215" t="s">
        <v>3391</v>
      </c>
      <c r="AB121" s="212"/>
      <c r="AC121" s="212"/>
      <c r="AD121" s="213">
        <v>44295</v>
      </c>
      <c r="AE121" s="213">
        <v>44379</v>
      </c>
      <c r="AF121" s="213">
        <v>44474</v>
      </c>
      <c r="AG121" s="213"/>
      <c r="AH121" s="75">
        <f t="shared" si="5"/>
        <v>1</v>
      </c>
      <c r="AI121" s="75" t="str">
        <f t="shared" si="6"/>
        <v/>
      </c>
      <c r="AJ121" s="75">
        <f t="shared" si="7"/>
        <v>0</v>
      </c>
      <c r="AK121" s="75" t="str">
        <f t="shared" si="8"/>
        <v/>
      </c>
      <c r="AL121" s="75" t="s">
        <v>2467</v>
      </c>
      <c r="AM121" s="214" t="s">
        <v>838</v>
      </c>
      <c r="AN121" s="214" t="s">
        <v>838</v>
      </c>
      <c r="AO121" s="214" t="s">
        <v>739</v>
      </c>
      <c r="AP121" s="214"/>
      <c r="AQ121" s="214" t="s">
        <v>838</v>
      </c>
      <c r="AR121" s="214" t="s">
        <v>838</v>
      </c>
      <c r="AS121" s="214" t="s">
        <v>2724</v>
      </c>
      <c r="AT121" s="214"/>
      <c r="AU121" s="214" t="s">
        <v>838</v>
      </c>
      <c r="AV121" s="214" t="s">
        <v>838</v>
      </c>
      <c r="AW121" s="214" t="s">
        <v>739</v>
      </c>
      <c r="AX121" s="214"/>
      <c r="AY121" s="214" t="s">
        <v>838</v>
      </c>
      <c r="AZ121" s="214" t="s">
        <v>3392</v>
      </c>
      <c r="BA121" s="214" t="s">
        <v>3393</v>
      </c>
      <c r="BB121" s="214"/>
      <c r="BC121" s="143" t="s">
        <v>727</v>
      </c>
    </row>
    <row r="122" spans="1:55" ht="15" customHeight="1" x14ac:dyDescent="0.25">
      <c r="A122" s="210">
        <v>22</v>
      </c>
      <c r="B122" s="143" t="s">
        <v>3235</v>
      </c>
      <c r="C122" s="143" t="s">
        <v>2601</v>
      </c>
      <c r="D122" s="143" t="s">
        <v>2583</v>
      </c>
      <c r="E122" s="143" t="s">
        <v>2584</v>
      </c>
      <c r="F122" s="143" t="s">
        <v>793</v>
      </c>
      <c r="G122" s="143" t="s">
        <v>2458</v>
      </c>
      <c r="H122" s="143" t="s">
        <v>731</v>
      </c>
      <c r="I122" s="143" t="s">
        <v>2825</v>
      </c>
      <c r="J122" s="217">
        <v>44378</v>
      </c>
      <c r="K122" s="217">
        <v>44408</v>
      </c>
      <c r="L122" s="143" t="s">
        <v>3133</v>
      </c>
      <c r="M122" s="143" t="s">
        <v>3243</v>
      </c>
      <c r="N122" s="143" t="s">
        <v>60</v>
      </c>
      <c r="O122" s="143" t="s">
        <v>3058</v>
      </c>
      <c r="P122" s="143" t="s">
        <v>735</v>
      </c>
      <c r="Q122" s="215">
        <v>1</v>
      </c>
      <c r="R122" s="215">
        <v>0</v>
      </c>
      <c r="S122" s="215">
        <v>0</v>
      </c>
      <c r="T122" s="215">
        <v>0</v>
      </c>
      <c r="U122" s="215">
        <v>1</v>
      </c>
      <c r="V122" s="215">
        <v>0</v>
      </c>
      <c r="W122" s="215" t="s">
        <v>3363</v>
      </c>
      <c r="X122" s="215">
        <v>0</v>
      </c>
      <c r="Y122" s="215" t="s">
        <v>3394</v>
      </c>
      <c r="Z122" s="215">
        <v>0</v>
      </c>
      <c r="AA122" s="215" t="s">
        <v>3363</v>
      </c>
      <c r="AB122" s="210"/>
      <c r="AC122" s="210"/>
      <c r="AD122" s="213">
        <v>44295</v>
      </c>
      <c r="AE122" s="213">
        <v>44379</v>
      </c>
      <c r="AF122" s="213">
        <v>44474</v>
      </c>
      <c r="AG122" s="213"/>
      <c r="AH122" s="75">
        <f t="shared" si="5"/>
        <v>0</v>
      </c>
      <c r="AI122" s="75" t="str">
        <f t="shared" si="6"/>
        <v/>
      </c>
      <c r="AJ122" s="75" t="str">
        <f t="shared" si="7"/>
        <v/>
      </c>
      <c r="AK122" s="75" t="str">
        <f t="shared" si="8"/>
        <v/>
      </c>
      <c r="AL122" s="75" t="s">
        <v>2467</v>
      </c>
      <c r="AM122" s="214" t="s">
        <v>838</v>
      </c>
      <c r="AN122" s="214" t="s">
        <v>838</v>
      </c>
      <c r="AO122" s="214" t="s">
        <v>838</v>
      </c>
      <c r="AP122" s="214"/>
      <c r="AQ122" s="214" t="s">
        <v>838</v>
      </c>
      <c r="AR122" s="214" t="s">
        <v>3394</v>
      </c>
      <c r="AS122" s="214" t="s">
        <v>838</v>
      </c>
      <c r="AT122" s="214"/>
      <c r="AU122" s="214" t="s">
        <v>838</v>
      </c>
      <c r="AV122" s="214" t="s">
        <v>838</v>
      </c>
      <c r="AW122" s="214" t="s">
        <v>838</v>
      </c>
      <c r="AX122" s="214"/>
      <c r="AY122" s="214" t="s">
        <v>838</v>
      </c>
      <c r="AZ122" s="214" t="s">
        <v>3395</v>
      </c>
      <c r="BA122" s="214" t="s">
        <v>3396</v>
      </c>
      <c r="BB122" s="214"/>
      <c r="BC122" s="143" t="s">
        <v>727</v>
      </c>
    </row>
    <row r="123" spans="1:55" ht="15" customHeight="1" x14ac:dyDescent="0.25">
      <c r="A123" s="210">
        <v>1</v>
      </c>
      <c r="B123" s="143" t="s">
        <v>3397</v>
      </c>
      <c r="C123" s="143" t="s">
        <v>3398</v>
      </c>
      <c r="D123" s="143" t="s">
        <v>3399</v>
      </c>
      <c r="E123" s="143" t="s">
        <v>728</v>
      </c>
      <c r="F123" s="143" t="s">
        <v>3399</v>
      </c>
      <c r="G123" s="143" t="s">
        <v>730</v>
      </c>
      <c r="H123" s="143" t="s">
        <v>3400</v>
      </c>
      <c r="I123" s="143" t="s">
        <v>3401</v>
      </c>
      <c r="J123" s="217">
        <v>44228</v>
      </c>
      <c r="K123" s="217">
        <v>44561</v>
      </c>
      <c r="L123" s="143" t="s">
        <v>733</v>
      </c>
      <c r="M123" s="143" t="s">
        <v>517</v>
      </c>
      <c r="N123" s="143" t="s">
        <v>60</v>
      </c>
      <c r="O123" s="143" t="s">
        <v>3402</v>
      </c>
      <c r="P123" s="143" t="s">
        <v>3403</v>
      </c>
      <c r="Q123" s="222">
        <v>1</v>
      </c>
      <c r="R123" s="222">
        <v>0.15</v>
      </c>
      <c r="S123" s="222">
        <v>0.3</v>
      </c>
      <c r="T123" s="222">
        <v>0.3</v>
      </c>
      <c r="U123" s="222">
        <v>0.25</v>
      </c>
      <c r="V123" s="222">
        <v>2.7040000000000002E-2</v>
      </c>
      <c r="W123" s="222" t="s">
        <v>3404</v>
      </c>
      <c r="X123" s="222">
        <v>0.35</v>
      </c>
      <c r="Y123" s="222" t="s">
        <v>3405</v>
      </c>
      <c r="Z123" s="222">
        <v>0.24</v>
      </c>
      <c r="AA123" s="222" t="s">
        <v>3406</v>
      </c>
      <c r="AB123" s="210"/>
      <c r="AC123" s="210"/>
      <c r="AD123" s="213">
        <v>44295</v>
      </c>
      <c r="AE123" s="213">
        <v>44379</v>
      </c>
      <c r="AF123" s="213">
        <v>44479</v>
      </c>
      <c r="AG123" s="213"/>
      <c r="AH123" s="75">
        <f t="shared" si="5"/>
        <v>0.61704000000000003</v>
      </c>
      <c r="AI123" s="75">
        <f t="shared" si="6"/>
        <v>0.18026666666666669</v>
      </c>
      <c r="AJ123" s="75">
        <f t="shared" si="7"/>
        <v>1</v>
      </c>
      <c r="AK123" s="75">
        <f t="shared" si="8"/>
        <v>1</v>
      </c>
      <c r="AL123" s="75" t="s">
        <v>2467</v>
      </c>
      <c r="AM123" s="214" t="s">
        <v>828</v>
      </c>
      <c r="AN123" s="214" t="s">
        <v>739</v>
      </c>
      <c r="AO123" s="214" t="s">
        <v>828</v>
      </c>
      <c r="AP123" s="214"/>
      <c r="AQ123" s="214" t="s">
        <v>3407</v>
      </c>
      <c r="AR123" s="214" t="s">
        <v>3408</v>
      </c>
      <c r="AS123" s="214" t="s">
        <v>3409</v>
      </c>
      <c r="AT123" s="214"/>
      <c r="AU123" s="214" t="s">
        <v>828</v>
      </c>
      <c r="AV123" s="214" t="s">
        <v>739</v>
      </c>
      <c r="AW123" s="214" t="s">
        <v>828</v>
      </c>
      <c r="AX123" s="214"/>
      <c r="AY123" s="214" t="s">
        <v>3410</v>
      </c>
      <c r="AZ123" s="214" t="s">
        <v>3411</v>
      </c>
      <c r="BA123" s="214" t="s">
        <v>3412</v>
      </c>
      <c r="BB123" s="214"/>
      <c r="BC123" s="143" t="s">
        <v>727</v>
      </c>
    </row>
    <row r="124" spans="1:55" ht="15" customHeight="1" x14ac:dyDescent="0.25">
      <c r="A124" s="210">
        <v>2</v>
      </c>
      <c r="B124" s="143" t="s">
        <v>3397</v>
      </c>
      <c r="C124" s="143" t="s">
        <v>3398</v>
      </c>
      <c r="D124" s="143" t="s">
        <v>3399</v>
      </c>
      <c r="E124" s="143" t="s">
        <v>728</v>
      </c>
      <c r="F124" s="143" t="s">
        <v>3399</v>
      </c>
      <c r="G124" s="143" t="s">
        <v>730</v>
      </c>
      <c r="H124" s="143" t="s">
        <v>3400</v>
      </c>
      <c r="I124" s="143" t="s">
        <v>3413</v>
      </c>
      <c r="J124" s="217">
        <v>44228</v>
      </c>
      <c r="K124" s="217">
        <v>44561</v>
      </c>
      <c r="L124" s="143" t="s">
        <v>733</v>
      </c>
      <c r="M124" s="143" t="s">
        <v>517</v>
      </c>
      <c r="N124" s="143" t="s">
        <v>60</v>
      </c>
      <c r="O124" s="143" t="s">
        <v>3402</v>
      </c>
      <c r="P124" s="143" t="s">
        <v>3403</v>
      </c>
      <c r="Q124" s="222">
        <v>1</v>
      </c>
      <c r="R124" s="222">
        <v>0.15</v>
      </c>
      <c r="S124" s="222">
        <v>0.3</v>
      </c>
      <c r="T124" s="222">
        <v>0.3</v>
      </c>
      <c r="U124" s="222">
        <v>0.25</v>
      </c>
      <c r="V124" s="222">
        <v>1.4999999999999999E-2</v>
      </c>
      <c r="W124" s="222" t="s">
        <v>3414</v>
      </c>
      <c r="X124" s="222">
        <v>0.33</v>
      </c>
      <c r="Y124" s="222" t="s">
        <v>3415</v>
      </c>
      <c r="Z124" s="222">
        <v>0.3</v>
      </c>
      <c r="AA124" s="222" t="s">
        <v>3416</v>
      </c>
      <c r="AB124" s="210"/>
      <c r="AC124" s="210"/>
      <c r="AD124" s="213">
        <v>44295</v>
      </c>
      <c r="AE124" s="213">
        <v>44379</v>
      </c>
      <c r="AF124" s="213">
        <v>44479</v>
      </c>
      <c r="AG124" s="213"/>
      <c r="AH124" s="75">
        <f t="shared" si="5"/>
        <v>0.64500000000000002</v>
      </c>
      <c r="AI124" s="75">
        <f t="shared" si="6"/>
        <v>0.1</v>
      </c>
      <c r="AJ124" s="75">
        <f t="shared" si="7"/>
        <v>1</v>
      </c>
      <c r="AK124" s="75">
        <f t="shared" si="8"/>
        <v>1</v>
      </c>
      <c r="AL124" s="75" t="s">
        <v>2467</v>
      </c>
      <c r="AM124" s="214" t="s">
        <v>828</v>
      </c>
      <c r="AN124" s="214" t="s">
        <v>739</v>
      </c>
      <c r="AO124" s="214" t="s">
        <v>739</v>
      </c>
      <c r="AP124" s="214"/>
      <c r="AQ124" s="214" t="s">
        <v>3407</v>
      </c>
      <c r="AR124" s="214" t="s">
        <v>3417</v>
      </c>
      <c r="AS124" s="214" t="s">
        <v>3418</v>
      </c>
      <c r="AT124" s="214"/>
      <c r="AU124" s="214" t="s">
        <v>828</v>
      </c>
      <c r="AV124" s="214" t="s">
        <v>828</v>
      </c>
      <c r="AW124" s="214" t="s">
        <v>739</v>
      </c>
      <c r="AX124" s="214"/>
      <c r="AY124" s="214" t="s">
        <v>3419</v>
      </c>
      <c r="AZ124" s="214" t="s">
        <v>3420</v>
      </c>
      <c r="BA124" s="214" t="s">
        <v>3421</v>
      </c>
      <c r="BB124" s="214"/>
      <c r="BC124" s="143" t="s">
        <v>727</v>
      </c>
    </row>
    <row r="125" spans="1:55" ht="15" customHeight="1" x14ac:dyDescent="0.25">
      <c r="A125" s="210">
        <v>3</v>
      </c>
      <c r="B125" s="143" t="s">
        <v>3397</v>
      </c>
      <c r="C125" s="143" t="s">
        <v>3398</v>
      </c>
      <c r="D125" s="143" t="s">
        <v>3399</v>
      </c>
      <c r="E125" s="143" t="s">
        <v>728</v>
      </c>
      <c r="F125" s="143" t="s">
        <v>3399</v>
      </c>
      <c r="G125" s="143" t="s">
        <v>730</v>
      </c>
      <c r="H125" s="143" t="s">
        <v>3400</v>
      </c>
      <c r="I125" s="143" t="s">
        <v>3422</v>
      </c>
      <c r="J125" s="217">
        <v>44228</v>
      </c>
      <c r="K125" s="217">
        <v>44561</v>
      </c>
      <c r="L125" s="143" t="s">
        <v>733</v>
      </c>
      <c r="M125" s="143" t="s">
        <v>517</v>
      </c>
      <c r="N125" s="143" t="s">
        <v>60</v>
      </c>
      <c r="O125" s="143" t="s">
        <v>3402</v>
      </c>
      <c r="P125" s="143" t="s">
        <v>3403</v>
      </c>
      <c r="Q125" s="222">
        <v>1</v>
      </c>
      <c r="R125" s="222">
        <v>0.15</v>
      </c>
      <c r="S125" s="222">
        <v>0.3</v>
      </c>
      <c r="T125" s="222">
        <v>0.3</v>
      </c>
      <c r="U125" s="222">
        <v>0.25</v>
      </c>
      <c r="V125" s="222">
        <v>0.13</v>
      </c>
      <c r="W125" s="222" t="s">
        <v>3423</v>
      </c>
      <c r="X125" s="222">
        <v>0.44</v>
      </c>
      <c r="Y125" s="222" t="s">
        <v>3424</v>
      </c>
      <c r="Z125" s="222">
        <v>0.17</v>
      </c>
      <c r="AA125" s="222" t="s">
        <v>3425</v>
      </c>
      <c r="AB125" s="210"/>
      <c r="AC125" s="210"/>
      <c r="AD125" s="213">
        <v>44295</v>
      </c>
      <c r="AE125" s="213">
        <v>44379</v>
      </c>
      <c r="AF125" s="213">
        <v>44479</v>
      </c>
      <c r="AG125" s="213"/>
      <c r="AH125" s="75">
        <f t="shared" si="5"/>
        <v>0.7400000000000001</v>
      </c>
      <c r="AI125" s="75">
        <f t="shared" si="6"/>
        <v>0.8666666666666667</v>
      </c>
      <c r="AJ125" s="75">
        <f t="shared" si="7"/>
        <v>1</v>
      </c>
      <c r="AK125" s="75">
        <f t="shared" si="8"/>
        <v>1</v>
      </c>
      <c r="AL125" s="75" t="s">
        <v>2467</v>
      </c>
      <c r="AM125" s="214" t="s">
        <v>828</v>
      </c>
      <c r="AN125" s="214" t="s">
        <v>739</v>
      </c>
      <c r="AO125" s="214" t="s">
        <v>828</v>
      </c>
      <c r="AP125" s="214"/>
      <c r="AQ125" s="214" t="s">
        <v>3407</v>
      </c>
      <c r="AR125" s="214" t="s">
        <v>3426</v>
      </c>
      <c r="AS125" s="214" t="s">
        <v>3427</v>
      </c>
      <c r="AT125" s="214"/>
      <c r="AU125" s="214" t="s">
        <v>828</v>
      </c>
      <c r="AV125" s="214" t="s">
        <v>739</v>
      </c>
      <c r="AW125" s="214" t="s">
        <v>828</v>
      </c>
      <c r="AX125" s="214"/>
      <c r="AY125" s="214" t="s">
        <v>3428</v>
      </c>
      <c r="AZ125" s="214" t="s">
        <v>3429</v>
      </c>
      <c r="BA125" s="214" t="s">
        <v>3430</v>
      </c>
      <c r="BB125" s="214"/>
      <c r="BC125" s="143" t="s">
        <v>727</v>
      </c>
    </row>
    <row r="126" spans="1:55" ht="15" customHeight="1" x14ac:dyDescent="0.25">
      <c r="A126" s="210">
        <v>4</v>
      </c>
      <c r="B126" s="143" t="s">
        <v>3397</v>
      </c>
      <c r="C126" s="143" t="s">
        <v>3398</v>
      </c>
      <c r="D126" s="143" t="s">
        <v>3399</v>
      </c>
      <c r="E126" s="143" t="s">
        <v>728</v>
      </c>
      <c r="F126" s="143" t="s">
        <v>3399</v>
      </c>
      <c r="G126" s="143" t="s">
        <v>730</v>
      </c>
      <c r="H126" s="143" t="s">
        <v>3400</v>
      </c>
      <c r="I126" s="143" t="s">
        <v>3431</v>
      </c>
      <c r="J126" s="217">
        <v>44228</v>
      </c>
      <c r="K126" s="217">
        <v>44561</v>
      </c>
      <c r="L126" s="143" t="s">
        <v>733</v>
      </c>
      <c r="M126" s="143" t="s">
        <v>517</v>
      </c>
      <c r="N126" s="143" t="s">
        <v>60</v>
      </c>
      <c r="O126" s="143" t="s">
        <v>3402</v>
      </c>
      <c r="P126" s="143" t="s">
        <v>3403</v>
      </c>
      <c r="Q126" s="222">
        <v>1</v>
      </c>
      <c r="R126" s="222">
        <v>0.15</v>
      </c>
      <c r="S126" s="222">
        <v>0.3</v>
      </c>
      <c r="T126" s="222">
        <v>0.3</v>
      </c>
      <c r="U126" s="222">
        <v>0.25</v>
      </c>
      <c r="V126" s="222">
        <v>0.15</v>
      </c>
      <c r="W126" s="222" t="s">
        <v>3432</v>
      </c>
      <c r="X126" s="222">
        <v>0.3</v>
      </c>
      <c r="Y126" s="222" t="s">
        <v>3433</v>
      </c>
      <c r="Z126" s="222">
        <v>0.17</v>
      </c>
      <c r="AA126" s="222" t="s">
        <v>3434</v>
      </c>
      <c r="AB126" s="221"/>
      <c r="AC126" s="221"/>
      <c r="AD126" s="213">
        <v>44295</v>
      </c>
      <c r="AE126" s="213">
        <v>44379</v>
      </c>
      <c r="AF126" s="213">
        <v>44479</v>
      </c>
      <c r="AG126" s="213"/>
      <c r="AH126" s="75">
        <f t="shared" si="5"/>
        <v>0.62</v>
      </c>
      <c r="AI126" s="75">
        <f t="shared" si="6"/>
        <v>1</v>
      </c>
      <c r="AJ126" s="75">
        <f t="shared" si="7"/>
        <v>1</v>
      </c>
      <c r="AK126" s="75">
        <f t="shared" si="8"/>
        <v>1</v>
      </c>
      <c r="AL126" s="75" t="s">
        <v>2467</v>
      </c>
      <c r="AM126" s="214" t="s">
        <v>739</v>
      </c>
      <c r="AN126" s="214" t="s">
        <v>739</v>
      </c>
      <c r="AO126" s="214" t="s">
        <v>828</v>
      </c>
      <c r="AP126" s="214"/>
      <c r="AQ126" s="214" t="s">
        <v>3435</v>
      </c>
      <c r="AR126" s="214" t="s">
        <v>3436</v>
      </c>
      <c r="AS126" s="214" t="s">
        <v>3437</v>
      </c>
      <c r="AT126" s="214"/>
      <c r="AU126" s="214" t="s">
        <v>739</v>
      </c>
      <c r="AV126" s="214" t="s">
        <v>739</v>
      </c>
      <c r="AW126" s="214" t="s">
        <v>828</v>
      </c>
      <c r="AX126" s="214"/>
      <c r="AY126" s="214" t="s">
        <v>3438</v>
      </c>
      <c r="AZ126" s="214" t="s">
        <v>3439</v>
      </c>
      <c r="BA126" s="214" t="s">
        <v>3440</v>
      </c>
      <c r="BB126" s="214"/>
      <c r="BC126" s="143" t="s">
        <v>727</v>
      </c>
    </row>
    <row r="127" spans="1:55" ht="15" customHeight="1" x14ac:dyDescent="0.25">
      <c r="A127" s="210">
        <v>5</v>
      </c>
      <c r="B127" s="143" t="s">
        <v>3397</v>
      </c>
      <c r="C127" s="143" t="s">
        <v>3398</v>
      </c>
      <c r="D127" s="143" t="s">
        <v>3441</v>
      </c>
      <c r="E127" s="143" t="s">
        <v>728</v>
      </c>
      <c r="F127" s="143" t="s">
        <v>3442</v>
      </c>
      <c r="G127" s="143" t="s">
        <v>730</v>
      </c>
      <c r="H127" s="143" t="s">
        <v>3400</v>
      </c>
      <c r="I127" s="143" t="s">
        <v>3443</v>
      </c>
      <c r="J127" s="217">
        <v>44228</v>
      </c>
      <c r="K127" s="217">
        <v>44561</v>
      </c>
      <c r="L127" s="143" t="s">
        <v>733</v>
      </c>
      <c r="M127" s="143" t="s">
        <v>517</v>
      </c>
      <c r="N127" s="143" t="s">
        <v>60</v>
      </c>
      <c r="O127" s="143" t="s">
        <v>3444</v>
      </c>
      <c r="P127" s="143" t="s">
        <v>3403</v>
      </c>
      <c r="Q127" s="222">
        <v>1</v>
      </c>
      <c r="R127" s="222">
        <v>0.1</v>
      </c>
      <c r="S127" s="222">
        <v>0.4</v>
      </c>
      <c r="T127" s="222">
        <v>0.3</v>
      </c>
      <c r="U127" s="222">
        <v>0.2</v>
      </c>
      <c r="V127" s="222">
        <v>0.15</v>
      </c>
      <c r="W127" s="222" t="s">
        <v>3445</v>
      </c>
      <c r="X127" s="222">
        <v>0.35</v>
      </c>
      <c r="Y127" s="222" t="s">
        <v>3446</v>
      </c>
      <c r="Z127" s="222">
        <v>0.35</v>
      </c>
      <c r="AA127" s="222" t="s">
        <v>3447</v>
      </c>
      <c r="AB127" s="210"/>
      <c r="AC127" s="210"/>
      <c r="AD127" s="213">
        <v>44295</v>
      </c>
      <c r="AE127" s="213">
        <v>44379</v>
      </c>
      <c r="AF127" s="213">
        <v>44479</v>
      </c>
      <c r="AG127" s="213"/>
      <c r="AH127" s="75">
        <f t="shared" si="5"/>
        <v>0.85</v>
      </c>
      <c r="AI127" s="75">
        <f t="shared" si="6"/>
        <v>1</v>
      </c>
      <c r="AJ127" s="75">
        <f t="shared" si="7"/>
        <v>1</v>
      </c>
      <c r="AK127" s="75">
        <f t="shared" si="8"/>
        <v>1</v>
      </c>
      <c r="AL127" s="75" t="s">
        <v>2467</v>
      </c>
      <c r="AM127" s="214" t="s">
        <v>739</v>
      </c>
      <c r="AN127" s="214" t="s">
        <v>739</v>
      </c>
      <c r="AO127" s="214" t="s">
        <v>739</v>
      </c>
      <c r="AP127" s="214"/>
      <c r="AQ127" s="214" t="s">
        <v>3448</v>
      </c>
      <c r="AR127" s="214" t="s">
        <v>3449</v>
      </c>
      <c r="AS127" s="214" t="s">
        <v>3450</v>
      </c>
      <c r="AT127" s="214"/>
      <c r="AU127" s="214" t="s">
        <v>739</v>
      </c>
      <c r="AV127" s="214" t="s">
        <v>739</v>
      </c>
      <c r="AW127" s="214" t="s">
        <v>739</v>
      </c>
      <c r="AX127" s="214"/>
      <c r="AY127" s="214" t="s">
        <v>3451</v>
      </c>
      <c r="AZ127" s="214" t="s">
        <v>3452</v>
      </c>
      <c r="BA127" s="214" t="s">
        <v>3453</v>
      </c>
      <c r="BB127" s="214"/>
      <c r="BC127" s="143" t="s">
        <v>727</v>
      </c>
    </row>
    <row r="128" spans="1:55" ht="15" customHeight="1" x14ac:dyDescent="0.25">
      <c r="A128" s="210">
        <v>6</v>
      </c>
      <c r="B128" s="143" t="s">
        <v>3397</v>
      </c>
      <c r="C128" s="143" t="s">
        <v>3398</v>
      </c>
      <c r="D128" s="143" t="s">
        <v>3441</v>
      </c>
      <c r="E128" s="143" t="s">
        <v>728</v>
      </c>
      <c r="F128" s="143" t="s">
        <v>3442</v>
      </c>
      <c r="G128" s="143" t="s">
        <v>730</v>
      </c>
      <c r="H128" s="143" t="s">
        <v>3400</v>
      </c>
      <c r="I128" s="143" t="s">
        <v>3454</v>
      </c>
      <c r="J128" s="217">
        <v>44228</v>
      </c>
      <c r="K128" s="217">
        <v>44561</v>
      </c>
      <c r="L128" s="143" t="s">
        <v>733</v>
      </c>
      <c r="M128" s="143" t="s">
        <v>517</v>
      </c>
      <c r="N128" s="143" t="s">
        <v>60</v>
      </c>
      <c r="O128" s="143" t="s">
        <v>3444</v>
      </c>
      <c r="P128" s="143" t="s">
        <v>3403</v>
      </c>
      <c r="Q128" s="222">
        <v>1</v>
      </c>
      <c r="R128" s="222">
        <v>0.1</v>
      </c>
      <c r="S128" s="222">
        <v>0.4</v>
      </c>
      <c r="T128" s="222">
        <v>0.3</v>
      </c>
      <c r="U128" s="222">
        <v>0.2</v>
      </c>
      <c r="V128" s="222">
        <v>4.2500000000000003E-2</v>
      </c>
      <c r="W128" s="222" t="s">
        <v>3455</v>
      </c>
      <c r="X128" s="222">
        <v>0.38</v>
      </c>
      <c r="Y128" s="222" t="s">
        <v>3456</v>
      </c>
      <c r="Z128" s="222">
        <v>0.37</v>
      </c>
      <c r="AA128" s="222" t="s">
        <v>3457</v>
      </c>
      <c r="AB128" s="210"/>
      <c r="AC128" s="210"/>
      <c r="AD128" s="213">
        <v>44295</v>
      </c>
      <c r="AE128" s="213">
        <v>44379</v>
      </c>
      <c r="AF128" s="213">
        <v>44479</v>
      </c>
      <c r="AG128" s="213"/>
      <c r="AH128" s="75">
        <f t="shared" si="5"/>
        <v>0.79249999999999998</v>
      </c>
      <c r="AI128" s="75">
        <f t="shared" si="6"/>
        <v>0.42499999999999999</v>
      </c>
      <c r="AJ128" s="75">
        <f t="shared" si="7"/>
        <v>0.99249999999999994</v>
      </c>
      <c r="AK128" s="75">
        <f t="shared" si="8"/>
        <v>1</v>
      </c>
      <c r="AL128" s="75" t="s">
        <v>2467</v>
      </c>
      <c r="AM128" s="214" t="s">
        <v>828</v>
      </c>
      <c r="AN128" s="214" t="s">
        <v>828</v>
      </c>
      <c r="AO128" s="214" t="s">
        <v>739</v>
      </c>
      <c r="AP128" s="214"/>
      <c r="AQ128" s="214" t="s">
        <v>3458</v>
      </c>
      <c r="AR128" s="214" t="s">
        <v>3459</v>
      </c>
      <c r="AS128" s="214" t="s">
        <v>3460</v>
      </c>
      <c r="AT128" s="214"/>
      <c r="AU128" s="214" t="s">
        <v>828</v>
      </c>
      <c r="AV128" s="214" t="s">
        <v>828</v>
      </c>
      <c r="AW128" s="214" t="s">
        <v>739</v>
      </c>
      <c r="AX128" s="214"/>
      <c r="AY128" s="214" t="s">
        <v>3461</v>
      </c>
      <c r="AZ128" s="214" t="s">
        <v>3462</v>
      </c>
      <c r="BA128" s="214" t="s">
        <v>3463</v>
      </c>
      <c r="BB128" s="214"/>
      <c r="BC128" s="143" t="s">
        <v>727</v>
      </c>
    </row>
    <row r="129" spans="1:55" ht="15" customHeight="1" x14ac:dyDescent="0.25">
      <c r="A129" s="210">
        <v>7</v>
      </c>
      <c r="B129" s="143" t="s">
        <v>3397</v>
      </c>
      <c r="C129" s="143" t="s">
        <v>3398</v>
      </c>
      <c r="D129" s="143" t="s">
        <v>3441</v>
      </c>
      <c r="E129" s="143" t="s">
        <v>728</v>
      </c>
      <c r="F129" s="143" t="s">
        <v>3442</v>
      </c>
      <c r="G129" s="143" t="s">
        <v>730</v>
      </c>
      <c r="H129" s="143" t="s">
        <v>3400</v>
      </c>
      <c r="I129" s="143" t="s">
        <v>3464</v>
      </c>
      <c r="J129" s="217">
        <v>44228</v>
      </c>
      <c r="K129" s="217">
        <v>44561</v>
      </c>
      <c r="L129" s="143" t="s">
        <v>733</v>
      </c>
      <c r="M129" s="143" t="s">
        <v>517</v>
      </c>
      <c r="N129" s="143" t="s">
        <v>60</v>
      </c>
      <c r="O129" s="143" t="s">
        <v>3444</v>
      </c>
      <c r="P129" s="143" t="s">
        <v>3403</v>
      </c>
      <c r="Q129" s="222">
        <v>1</v>
      </c>
      <c r="R129" s="222">
        <v>0.1</v>
      </c>
      <c r="S129" s="222">
        <v>0.36</v>
      </c>
      <c r="T129" s="222">
        <v>0.3</v>
      </c>
      <c r="U129" s="222">
        <v>0.24</v>
      </c>
      <c r="V129" s="222">
        <v>0</v>
      </c>
      <c r="W129" s="222" t="s">
        <v>3465</v>
      </c>
      <c r="X129" s="222">
        <v>0.21</v>
      </c>
      <c r="Y129" s="222" t="s">
        <v>3466</v>
      </c>
      <c r="Z129" s="222">
        <v>0.27</v>
      </c>
      <c r="AA129" s="222" t="s">
        <v>3467</v>
      </c>
      <c r="AB129" s="210"/>
      <c r="AC129" s="210"/>
      <c r="AD129" s="213">
        <v>44295</v>
      </c>
      <c r="AE129" s="213">
        <v>44379</v>
      </c>
      <c r="AF129" s="213">
        <v>44479</v>
      </c>
      <c r="AG129" s="213"/>
      <c r="AH129" s="75">
        <f t="shared" si="5"/>
        <v>0.48</v>
      </c>
      <c r="AI129" s="75">
        <f t="shared" si="6"/>
        <v>0</v>
      </c>
      <c r="AJ129" s="75">
        <f t="shared" si="7"/>
        <v>0.58333333333333337</v>
      </c>
      <c r="AK129" s="75">
        <f t="shared" si="8"/>
        <v>1</v>
      </c>
      <c r="AL129" s="75" t="s">
        <v>2467</v>
      </c>
      <c r="AM129" s="214" t="s">
        <v>828</v>
      </c>
      <c r="AN129" s="214" t="s">
        <v>828</v>
      </c>
      <c r="AO129" s="214" t="s">
        <v>828</v>
      </c>
      <c r="AP129" s="214"/>
      <c r="AQ129" s="214" t="s">
        <v>3468</v>
      </c>
      <c r="AR129" s="214" t="s">
        <v>3469</v>
      </c>
      <c r="AS129" s="214" t="s">
        <v>3470</v>
      </c>
      <c r="AT129" s="214"/>
      <c r="AU129" s="214" t="s">
        <v>828</v>
      </c>
      <c r="AV129" s="214" t="s">
        <v>828</v>
      </c>
      <c r="AW129" s="214" t="s">
        <v>828</v>
      </c>
      <c r="AX129" s="214"/>
      <c r="AY129" s="214" t="s">
        <v>3471</v>
      </c>
      <c r="AZ129" s="214" t="s">
        <v>3472</v>
      </c>
      <c r="BA129" s="214" t="s">
        <v>3473</v>
      </c>
      <c r="BB129" s="214"/>
      <c r="BC129" s="143" t="s">
        <v>727</v>
      </c>
    </row>
    <row r="130" spans="1:55" ht="15" customHeight="1" x14ac:dyDescent="0.25">
      <c r="A130" s="210">
        <v>8</v>
      </c>
      <c r="B130" s="143" t="s">
        <v>3397</v>
      </c>
      <c r="C130" s="143" t="s">
        <v>3398</v>
      </c>
      <c r="D130" s="143" t="s">
        <v>3441</v>
      </c>
      <c r="E130" s="143" t="s">
        <v>728</v>
      </c>
      <c r="F130" s="143" t="s">
        <v>3442</v>
      </c>
      <c r="G130" s="143" t="s">
        <v>730</v>
      </c>
      <c r="H130" s="143" t="s">
        <v>3400</v>
      </c>
      <c r="I130" s="143" t="s">
        <v>3474</v>
      </c>
      <c r="J130" s="217">
        <v>44228</v>
      </c>
      <c r="K130" s="217">
        <v>44561</v>
      </c>
      <c r="L130" s="143" t="s">
        <v>733</v>
      </c>
      <c r="M130" s="143" t="s">
        <v>517</v>
      </c>
      <c r="N130" s="143" t="s">
        <v>60</v>
      </c>
      <c r="O130" s="143" t="s">
        <v>3444</v>
      </c>
      <c r="P130" s="143" t="s">
        <v>3403</v>
      </c>
      <c r="Q130" s="222">
        <v>1</v>
      </c>
      <c r="R130" s="222">
        <v>0.1</v>
      </c>
      <c r="S130" s="222">
        <v>0.36</v>
      </c>
      <c r="T130" s="222">
        <v>0.3</v>
      </c>
      <c r="U130" s="222">
        <v>0.24</v>
      </c>
      <c r="V130" s="222">
        <v>0</v>
      </c>
      <c r="W130" s="222" t="s">
        <v>3465</v>
      </c>
      <c r="X130" s="222">
        <v>0.34</v>
      </c>
      <c r="Y130" s="222" t="s">
        <v>3475</v>
      </c>
      <c r="Z130" s="222">
        <v>0.4</v>
      </c>
      <c r="AA130" s="222" t="s">
        <v>3476</v>
      </c>
      <c r="AB130" s="210"/>
      <c r="AC130" s="210"/>
      <c r="AD130" s="213">
        <v>44295</v>
      </c>
      <c r="AE130" s="213">
        <v>44379</v>
      </c>
      <c r="AF130" s="213">
        <v>44479</v>
      </c>
      <c r="AG130" s="213"/>
      <c r="AH130" s="75">
        <f t="shared" si="5"/>
        <v>0.74</v>
      </c>
      <c r="AI130" s="75">
        <f t="shared" si="6"/>
        <v>0</v>
      </c>
      <c r="AJ130" s="75">
        <f t="shared" si="7"/>
        <v>0.94444444444444453</v>
      </c>
      <c r="AK130" s="75">
        <f t="shared" si="8"/>
        <v>1</v>
      </c>
      <c r="AL130" s="75" t="s">
        <v>2467</v>
      </c>
      <c r="AM130" s="214" t="s">
        <v>828</v>
      </c>
      <c r="AN130" s="214" t="s">
        <v>828</v>
      </c>
      <c r="AO130" s="214" t="s">
        <v>739</v>
      </c>
      <c r="AP130" s="214"/>
      <c r="AQ130" s="214" t="s">
        <v>3468</v>
      </c>
      <c r="AR130" s="214" t="s">
        <v>3477</v>
      </c>
      <c r="AS130" s="214" t="s">
        <v>3478</v>
      </c>
      <c r="AT130" s="214"/>
      <c r="AU130" s="214" t="s">
        <v>828</v>
      </c>
      <c r="AV130" s="214" t="s">
        <v>828</v>
      </c>
      <c r="AW130" s="214" t="s">
        <v>739</v>
      </c>
      <c r="AX130" s="214"/>
      <c r="AY130" s="214" t="s">
        <v>3479</v>
      </c>
      <c r="AZ130" s="214" t="s">
        <v>3480</v>
      </c>
      <c r="BA130" s="214" t="s">
        <v>3481</v>
      </c>
      <c r="BB130" s="214"/>
      <c r="BC130" s="143" t="s">
        <v>727</v>
      </c>
    </row>
    <row r="131" spans="1:55" ht="15" customHeight="1" x14ac:dyDescent="0.25">
      <c r="A131" s="210">
        <v>9</v>
      </c>
      <c r="B131" s="143" t="s">
        <v>3397</v>
      </c>
      <c r="C131" s="143" t="s">
        <v>3398</v>
      </c>
      <c r="D131" s="143" t="s">
        <v>3482</v>
      </c>
      <c r="E131" s="143" t="s">
        <v>728</v>
      </c>
      <c r="F131" s="143" t="s">
        <v>3483</v>
      </c>
      <c r="G131" s="143" t="s">
        <v>730</v>
      </c>
      <c r="H131" s="143" t="s">
        <v>3400</v>
      </c>
      <c r="I131" s="143" t="s">
        <v>3484</v>
      </c>
      <c r="J131" s="217">
        <v>44197</v>
      </c>
      <c r="K131" s="217">
        <v>44561</v>
      </c>
      <c r="L131" s="143" t="s">
        <v>733</v>
      </c>
      <c r="M131" s="143" t="s">
        <v>517</v>
      </c>
      <c r="N131" s="143" t="s">
        <v>60</v>
      </c>
      <c r="O131" s="143" t="s">
        <v>3485</v>
      </c>
      <c r="P131" s="143" t="s">
        <v>3403</v>
      </c>
      <c r="Q131" s="222">
        <v>3.6</v>
      </c>
      <c r="R131" s="222">
        <v>0.9</v>
      </c>
      <c r="S131" s="222">
        <v>0.9</v>
      </c>
      <c r="T131" s="222">
        <v>0.9</v>
      </c>
      <c r="U131" s="222">
        <v>0.9</v>
      </c>
      <c r="V131" s="222">
        <v>0</v>
      </c>
      <c r="W131" s="222" t="s">
        <v>3465</v>
      </c>
      <c r="X131" s="222">
        <v>0.9</v>
      </c>
      <c r="Y131" s="222" t="s">
        <v>3486</v>
      </c>
      <c r="Z131" s="222">
        <v>0.98</v>
      </c>
      <c r="AA131" s="222" t="s">
        <v>3487</v>
      </c>
      <c r="AB131" s="210"/>
      <c r="AC131" s="210"/>
      <c r="AD131" s="213">
        <v>44295</v>
      </c>
      <c r="AE131" s="213">
        <v>44379</v>
      </c>
      <c r="AF131" s="213">
        <v>44479</v>
      </c>
      <c r="AG131" s="213"/>
      <c r="AH131" s="75">
        <f t="shared" ref="AH131:AH194" si="9">IFERROR(IF((V131+X131+Z131+AB131)/Q131&gt;1,1,(V131+X131+Z131+AB131)/Q131),0)</f>
        <v>0.52222222222222214</v>
      </c>
      <c r="AI131" s="75">
        <f t="shared" ref="AI131:AI194" si="10">IFERROR(IF(R131=0,"",IF((V131/R131)&gt;1,1,(V131/R131))),"")</f>
        <v>0</v>
      </c>
      <c r="AJ131" s="75">
        <f t="shared" ref="AJ131:AJ194" si="11">IFERROR(IF(S131=0,"",IF((V131+X131/S131)&gt;1,1,(V131+X131/S131))),"")</f>
        <v>1</v>
      </c>
      <c r="AK131" s="75">
        <f t="shared" ref="AK131:AK194" si="12">IFERROR(IF(T131=0,"",IF((V131+X131+Z131/T131)&gt;1,1,(V131+X131+Z131/T131))),"")</f>
        <v>1</v>
      </c>
      <c r="AL131" s="75" t="s">
        <v>2467</v>
      </c>
      <c r="AM131" s="214" t="s">
        <v>828</v>
      </c>
      <c r="AN131" s="214" t="s">
        <v>739</v>
      </c>
      <c r="AO131" s="214" t="s">
        <v>739</v>
      </c>
      <c r="AP131" s="214"/>
      <c r="AQ131" s="214" t="s">
        <v>3488</v>
      </c>
      <c r="AR131" s="214" t="s">
        <v>3489</v>
      </c>
      <c r="AS131" s="214" t="s">
        <v>3490</v>
      </c>
      <c r="AT131" s="214"/>
      <c r="AU131" s="214" t="s">
        <v>828</v>
      </c>
      <c r="AV131" s="214" t="s">
        <v>739</v>
      </c>
      <c r="AW131" s="214" t="s">
        <v>739</v>
      </c>
      <c r="AX131" s="214"/>
      <c r="AY131" s="214" t="s">
        <v>3488</v>
      </c>
      <c r="AZ131" s="214" t="s">
        <v>3491</v>
      </c>
      <c r="BA131" s="214" t="s">
        <v>3492</v>
      </c>
      <c r="BB131" s="214"/>
      <c r="BC131" s="143" t="s">
        <v>727</v>
      </c>
    </row>
    <row r="132" spans="1:55" ht="15" customHeight="1" x14ac:dyDescent="0.25">
      <c r="A132" s="210">
        <v>10</v>
      </c>
      <c r="B132" s="143" t="s">
        <v>3397</v>
      </c>
      <c r="C132" s="143" t="s">
        <v>3398</v>
      </c>
      <c r="D132" s="143" t="s">
        <v>3482</v>
      </c>
      <c r="E132" s="143" t="s">
        <v>728</v>
      </c>
      <c r="F132" s="143" t="s">
        <v>3483</v>
      </c>
      <c r="G132" s="143" t="s">
        <v>730</v>
      </c>
      <c r="H132" s="143" t="s">
        <v>3400</v>
      </c>
      <c r="I132" s="143" t="s">
        <v>3493</v>
      </c>
      <c r="J132" s="217">
        <v>44197</v>
      </c>
      <c r="K132" s="217">
        <v>44561</v>
      </c>
      <c r="L132" s="143" t="s">
        <v>733</v>
      </c>
      <c r="M132" s="143" t="s">
        <v>517</v>
      </c>
      <c r="N132" s="143" t="s">
        <v>60</v>
      </c>
      <c r="O132" s="143" t="s">
        <v>3485</v>
      </c>
      <c r="P132" s="143" t="s">
        <v>3403</v>
      </c>
      <c r="Q132" s="222">
        <v>3.6</v>
      </c>
      <c r="R132" s="222">
        <v>0.9</v>
      </c>
      <c r="S132" s="222">
        <v>0.9</v>
      </c>
      <c r="T132" s="222">
        <v>0.9</v>
      </c>
      <c r="U132" s="222">
        <v>0.9</v>
      </c>
      <c r="V132" s="222">
        <v>0</v>
      </c>
      <c r="W132" s="222" t="s">
        <v>3465</v>
      </c>
      <c r="X132" s="222">
        <v>0.98</v>
      </c>
      <c r="Y132" s="222" t="s">
        <v>3494</v>
      </c>
      <c r="Z132" s="222">
        <v>1</v>
      </c>
      <c r="AA132" s="222" t="s">
        <v>3495</v>
      </c>
      <c r="AB132" s="221"/>
      <c r="AC132" s="221"/>
      <c r="AD132" s="213">
        <v>44295</v>
      </c>
      <c r="AE132" s="213">
        <v>44379</v>
      </c>
      <c r="AF132" s="213">
        <v>44479</v>
      </c>
      <c r="AG132" s="213"/>
      <c r="AH132" s="75">
        <f t="shared" si="9"/>
        <v>0.54999999999999993</v>
      </c>
      <c r="AI132" s="75">
        <f t="shared" si="10"/>
        <v>0</v>
      </c>
      <c r="AJ132" s="75">
        <f t="shared" si="11"/>
        <v>1</v>
      </c>
      <c r="AK132" s="75">
        <f t="shared" si="12"/>
        <v>1</v>
      </c>
      <c r="AL132" s="75" t="s">
        <v>2467</v>
      </c>
      <c r="AM132" s="214" t="s">
        <v>828</v>
      </c>
      <c r="AN132" s="214" t="s">
        <v>739</v>
      </c>
      <c r="AO132" s="214" t="s">
        <v>739</v>
      </c>
      <c r="AP132" s="214"/>
      <c r="AQ132" s="214" t="s">
        <v>3496</v>
      </c>
      <c r="AR132" s="214" t="s">
        <v>3489</v>
      </c>
      <c r="AS132" s="214" t="s">
        <v>3497</v>
      </c>
      <c r="AT132" s="214"/>
      <c r="AU132" s="214" t="s">
        <v>828</v>
      </c>
      <c r="AV132" s="214" t="s">
        <v>739</v>
      </c>
      <c r="AW132" s="214" t="s">
        <v>739</v>
      </c>
      <c r="AX132" s="214"/>
      <c r="AY132" s="214" t="s">
        <v>3496</v>
      </c>
      <c r="AZ132" s="214" t="s">
        <v>3491</v>
      </c>
      <c r="BA132" s="214" t="s">
        <v>3498</v>
      </c>
      <c r="BB132" s="214"/>
      <c r="BC132" s="143" t="s">
        <v>727</v>
      </c>
    </row>
    <row r="133" spans="1:55" ht="15" customHeight="1" x14ac:dyDescent="0.25">
      <c r="A133" s="210">
        <v>11</v>
      </c>
      <c r="B133" s="143" t="s">
        <v>3397</v>
      </c>
      <c r="C133" s="143" t="s">
        <v>3398</v>
      </c>
      <c r="D133" s="143" t="s">
        <v>3482</v>
      </c>
      <c r="E133" s="143" t="s">
        <v>728</v>
      </c>
      <c r="F133" s="143" t="s">
        <v>3483</v>
      </c>
      <c r="G133" s="143" t="s">
        <v>730</v>
      </c>
      <c r="H133" s="143" t="s">
        <v>3400</v>
      </c>
      <c r="I133" s="143" t="s">
        <v>3499</v>
      </c>
      <c r="J133" s="217">
        <v>44197</v>
      </c>
      <c r="K133" s="217">
        <v>44561</v>
      </c>
      <c r="L133" s="143" t="s">
        <v>733</v>
      </c>
      <c r="M133" s="143" t="s">
        <v>517</v>
      </c>
      <c r="N133" s="143" t="s">
        <v>60</v>
      </c>
      <c r="O133" s="143" t="s">
        <v>3485</v>
      </c>
      <c r="P133" s="143" t="s">
        <v>3403</v>
      </c>
      <c r="Q133" s="222">
        <v>3.6</v>
      </c>
      <c r="R133" s="222">
        <v>0.9</v>
      </c>
      <c r="S133" s="222">
        <v>0.9</v>
      </c>
      <c r="T133" s="222">
        <v>0.9</v>
      </c>
      <c r="U133" s="222">
        <v>0.9</v>
      </c>
      <c r="V133" s="222">
        <v>0</v>
      </c>
      <c r="W133" s="222" t="s">
        <v>3465</v>
      </c>
      <c r="X133" s="222">
        <v>0.89</v>
      </c>
      <c r="Y133" s="222" t="s">
        <v>3500</v>
      </c>
      <c r="Z133" s="222">
        <v>0.67</v>
      </c>
      <c r="AA133" s="222" t="s">
        <v>3501</v>
      </c>
      <c r="AB133" s="221"/>
      <c r="AC133" s="221"/>
      <c r="AD133" s="213">
        <v>44295</v>
      </c>
      <c r="AE133" s="213">
        <v>44379</v>
      </c>
      <c r="AF133" s="213">
        <v>44479</v>
      </c>
      <c r="AG133" s="213"/>
      <c r="AH133" s="75">
        <f t="shared" si="9"/>
        <v>0.43333333333333335</v>
      </c>
      <c r="AI133" s="75">
        <f t="shared" si="10"/>
        <v>0</v>
      </c>
      <c r="AJ133" s="75">
        <f t="shared" si="11"/>
        <v>0.98888888888888893</v>
      </c>
      <c r="AK133" s="75">
        <f t="shared" si="12"/>
        <v>1</v>
      </c>
      <c r="AL133" s="75" t="s">
        <v>2467</v>
      </c>
      <c r="AM133" s="214" t="s">
        <v>828</v>
      </c>
      <c r="AN133" s="214" t="s">
        <v>739</v>
      </c>
      <c r="AO133" s="214" t="s">
        <v>828</v>
      </c>
      <c r="AP133" s="214"/>
      <c r="AQ133" s="214" t="s">
        <v>3502</v>
      </c>
      <c r="AR133" s="214" t="s">
        <v>3489</v>
      </c>
      <c r="AS133" s="214" t="s">
        <v>3503</v>
      </c>
      <c r="AT133" s="214"/>
      <c r="AU133" s="214" t="s">
        <v>828</v>
      </c>
      <c r="AV133" s="214" t="s">
        <v>739</v>
      </c>
      <c r="AW133" s="214" t="s">
        <v>828</v>
      </c>
      <c r="AX133" s="214"/>
      <c r="AY133" s="214" t="s">
        <v>3502</v>
      </c>
      <c r="AZ133" s="214" t="s">
        <v>3491</v>
      </c>
      <c r="BA133" s="214" t="s">
        <v>3504</v>
      </c>
      <c r="BB133" s="214"/>
      <c r="BC133" s="143" t="s">
        <v>727</v>
      </c>
    </row>
    <row r="134" spans="1:55" ht="15" customHeight="1" x14ac:dyDescent="0.25">
      <c r="A134" s="210">
        <v>12</v>
      </c>
      <c r="B134" s="143" t="s">
        <v>3397</v>
      </c>
      <c r="C134" s="143" t="s">
        <v>3398</v>
      </c>
      <c r="D134" s="143" t="s">
        <v>3482</v>
      </c>
      <c r="E134" s="143" t="s">
        <v>728</v>
      </c>
      <c r="F134" s="143" t="s">
        <v>3483</v>
      </c>
      <c r="G134" s="143" t="s">
        <v>730</v>
      </c>
      <c r="H134" s="143" t="s">
        <v>3400</v>
      </c>
      <c r="I134" s="143" t="s">
        <v>3505</v>
      </c>
      <c r="J134" s="217">
        <v>44197</v>
      </c>
      <c r="K134" s="217">
        <v>44561</v>
      </c>
      <c r="L134" s="143" t="s">
        <v>733</v>
      </c>
      <c r="M134" s="143" t="s">
        <v>517</v>
      </c>
      <c r="N134" s="143" t="s">
        <v>60</v>
      </c>
      <c r="O134" s="143" t="s">
        <v>3485</v>
      </c>
      <c r="P134" s="143" t="s">
        <v>3403</v>
      </c>
      <c r="Q134" s="222">
        <v>3.6</v>
      </c>
      <c r="R134" s="222">
        <v>0.9</v>
      </c>
      <c r="S134" s="222">
        <v>0.9</v>
      </c>
      <c r="T134" s="222">
        <v>0.9</v>
      </c>
      <c r="U134" s="222">
        <v>0.9</v>
      </c>
      <c r="V134" s="222">
        <v>0</v>
      </c>
      <c r="W134" s="222" t="s">
        <v>3465</v>
      </c>
      <c r="X134" s="222">
        <v>0.89</v>
      </c>
      <c r="Y134" s="222" t="s">
        <v>3506</v>
      </c>
      <c r="Z134" s="222">
        <v>0.9</v>
      </c>
      <c r="AA134" s="222" t="s">
        <v>3507</v>
      </c>
      <c r="AB134" s="221"/>
      <c r="AC134" s="221"/>
      <c r="AD134" s="213">
        <v>44295</v>
      </c>
      <c r="AE134" s="213">
        <v>44379</v>
      </c>
      <c r="AF134" s="213">
        <v>44479</v>
      </c>
      <c r="AG134" s="213"/>
      <c r="AH134" s="75">
        <f t="shared" si="9"/>
        <v>0.49722222222222223</v>
      </c>
      <c r="AI134" s="75">
        <f t="shared" si="10"/>
        <v>0</v>
      </c>
      <c r="AJ134" s="75">
        <f t="shared" si="11"/>
        <v>0.98888888888888893</v>
      </c>
      <c r="AK134" s="75">
        <f t="shared" si="12"/>
        <v>1</v>
      </c>
      <c r="AL134" s="75" t="s">
        <v>2467</v>
      </c>
      <c r="AM134" s="214" t="s">
        <v>828</v>
      </c>
      <c r="AN134" s="214" t="s">
        <v>739</v>
      </c>
      <c r="AO134" s="214" t="s">
        <v>739</v>
      </c>
      <c r="AP134" s="214"/>
      <c r="AQ134" s="214" t="s">
        <v>3508</v>
      </c>
      <c r="AR134" s="214" t="s">
        <v>3489</v>
      </c>
      <c r="AS134" s="214" t="s">
        <v>3509</v>
      </c>
      <c r="AT134" s="214"/>
      <c r="AU134" s="214" t="s">
        <v>828</v>
      </c>
      <c r="AV134" s="214" t="s">
        <v>739</v>
      </c>
      <c r="AW134" s="214" t="s">
        <v>739</v>
      </c>
      <c r="AX134" s="214"/>
      <c r="AY134" s="214" t="s">
        <v>3508</v>
      </c>
      <c r="AZ134" s="214" t="s">
        <v>3491</v>
      </c>
      <c r="BA134" s="214" t="s">
        <v>3510</v>
      </c>
      <c r="BB134" s="214"/>
      <c r="BC134" s="143" t="s">
        <v>727</v>
      </c>
    </row>
    <row r="135" spans="1:55" ht="15" customHeight="1" x14ac:dyDescent="0.25">
      <c r="A135" s="210">
        <v>13</v>
      </c>
      <c r="B135" s="143" t="s">
        <v>3397</v>
      </c>
      <c r="C135" s="143" t="s">
        <v>3511</v>
      </c>
      <c r="D135" s="143" t="s">
        <v>3512</v>
      </c>
      <c r="E135" s="143" t="s">
        <v>728</v>
      </c>
      <c r="F135" s="143" t="s">
        <v>3513</v>
      </c>
      <c r="G135" s="143" t="s">
        <v>730</v>
      </c>
      <c r="H135" s="143" t="s">
        <v>2688</v>
      </c>
      <c r="I135" s="143" t="s">
        <v>3514</v>
      </c>
      <c r="J135" s="217">
        <v>44200</v>
      </c>
      <c r="K135" s="217">
        <v>44561</v>
      </c>
      <c r="L135" s="143" t="s">
        <v>3515</v>
      </c>
      <c r="M135" s="143" t="s">
        <v>3516</v>
      </c>
      <c r="N135" s="143" t="s">
        <v>30</v>
      </c>
      <c r="O135" s="143" t="s">
        <v>3517</v>
      </c>
      <c r="P135" s="143" t="s">
        <v>735</v>
      </c>
      <c r="Q135" s="242">
        <v>1500000</v>
      </c>
      <c r="R135" s="242">
        <v>200000</v>
      </c>
      <c r="S135" s="242">
        <v>400000</v>
      </c>
      <c r="T135" s="242">
        <v>400000</v>
      </c>
      <c r="U135" s="242">
        <v>500000</v>
      </c>
      <c r="V135" s="242">
        <v>164505</v>
      </c>
      <c r="W135" s="242" t="s">
        <v>3518</v>
      </c>
      <c r="X135" s="242">
        <v>52727</v>
      </c>
      <c r="Y135" s="242" t="s">
        <v>3519</v>
      </c>
      <c r="Z135" s="242">
        <v>567448</v>
      </c>
      <c r="AA135" s="242" t="s">
        <v>3520</v>
      </c>
      <c r="AB135" s="221"/>
      <c r="AC135" s="221"/>
      <c r="AD135" s="213">
        <v>44295</v>
      </c>
      <c r="AE135" s="213">
        <v>44379</v>
      </c>
      <c r="AF135" s="213">
        <v>44483</v>
      </c>
      <c r="AG135" s="213"/>
      <c r="AH135" s="75">
        <f t="shared" si="9"/>
        <v>0.52312000000000003</v>
      </c>
      <c r="AI135" s="75">
        <f t="shared" si="10"/>
        <v>0.82252499999999995</v>
      </c>
      <c r="AJ135" s="75">
        <f t="shared" si="11"/>
        <v>1</v>
      </c>
      <c r="AK135" s="75">
        <f t="shared" si="12"/>
        <v>1</v>
      </c>
      <c r="AL135" s="75" t="s">
        <v>2467</v>
      </c>
      <c r="AM135" s="214" t="s">
        <v>739</v>
      </c>
      <c r="AN135" s="214" t="s">
        <v>739</v>
      </c>
      <c r="AO135" s="214" t="s">
        <v>739</v>
      </c>
      <c r="AP135" s="214"/>
      <c r="AQ135" s="214" t="s">
        <v>3521</v>
      </c>
      <c r="AR135" s="214" t="s">
        <v>3522</v>
      </c>
      <c r="AS135" s="214" t="s">
        <v>3523</v>
      </c>
      <c r="AT135" s="214"/>
      <c r="AU135" s="214" t="s">
        <v>828</v>
      </c>
      <c r="AV135" s="214" t="s">
        <v>828</v>
      </c>
      <c r="AW135" s="214" t="s">
        <v>739</v>
      </c>
      <c r="AX135" s="214"/>
      <c r="AY135" s="214" t="s">
        <v>3524</v>
      </c>
      <c r="AZ135" s="214" t="s">
        <v>3525</v>
      </c>
      <c r="BA135" s="214" t="s">
        <v>3526</v>
      </c>
      <c r="BB135" s="214"/>
      <c r="BC135" s="143" t="s">
        <v>727</v>
      </c>
    </row>
    <row r="136" spans="1:55" ht="15" customHeight="1" x14ac:dyDescent="0.25">
      <c r="A136" s="210">
        <v>14</v>
      </c>
      <c r="B136" s="143" t="s">
        <v>3397</v>
      </c>
      <c r="C136" s="143" t="s">
        <v>3511</v>
      </c>
      <c r="D136" s="143" t="s">
        <v>3512</v>
      </c>
      <c r="E136" s="143" t="s">
        <v>728</v>
      </c>
      <c r="F136" s="143" t="s">
        <v>3513</v>
      </c>
      <c r="G136" s="143" t="s">
        <v>730</v>
      </c>
      <c r="H136" s="143" t="s">
        <v>2688</v>
      </c>
      <c r="I136" s="143" t="s">
        <v>3527</v>
      </c>
      <c r="J136" s="217">
        <v>44200</v>
      </c>
      <c r="K136" s="217">
        <v>44561</v>
      </c>
      <c r="L136" s="143" t="s">
        <v>3515</v>
      </c>
      <c r="M136" s="143" t="s">
        <v>3516</v>
      </c>
      <c r="N136" s="143" t="s">
        <v>30</v>
      </c>
      <c r="O136" s="143" t="s">
        <v>3517</v>
      </c>
      <c r="P136" s="143" t="s">
        <v>735</v>
      </c>
      <c r="Q136" s="242">
        <v>7000</v>
      </c>
      <c r="R136" s="242">
        <v>700</v>
      </c>
      <c r="S136" s="242">
        <v>2100</v>
      </c>
      <c r="T136" s="242">
        <v>2100</v>
      </c>
      <c r="U136" s="242">
        <v>2100</v>
      </c>
      <c r="V136" s="242">
        <v>2726</v>
      </c>
      <c r="W136" s="242" t="s">
        <v>3528</v>
      </c>
      <c r="X136" s="242">
        <v>12040</v>
      </c>
      <c r="Y136" s="242" t="s">
        <v>3529</v>
      </c>
      <c r="Z136" s="242">
        <v>3198</v>
      </c>
      <c r="AA136" s="242" t="s">
        <v>3530</v>
      </c>
      <c r="AB136" s="212"/>
      <c r="AC136" s="212"/>
      <c r="AD136" s="213">
        <v>44295</v>
      </c>
      <c r="AE136" s="213">
        <v>44379</v>
      </c>
      <c r="AF136" s="213">
        <v>44483</v>
      </c>
      <c r="AG136" s="213"/>
      <c r="AH136" s="75">
        <f t="shared" si="9"/>
        <v>1</v>
      </c>
      <c r="AI136" s="75">
        <f t="shared" si="10"/>
        <v>1</v>
      </c>
      <c r="AJ136" s="75">
        <f t="shared" si="11"/>
        <v>1</v>
      </c>
      <c r="AK136" s="75">
        <f t="shared" si="12"/>
        <v>1</v>
      </c>
      <c r="AL136" s="75" t="s">
        <v>2467</v>
      </c>
      <c r="AM136" s="214" t="s">
        <v>739</v>
      </c>
      <c r="AN136" s="214" t="s">
        <v>739</v>
      </c>
      <c r="AO136" s="214" t="s">
        <v>739</v>
      </c>
      <c r="AP136" s="214"/>
      <c r="AQ136" s="214" t="s">
        <v>3531</v>
      </c>
      <c r="AR136" s="214" t="s">
        <v>3522</v>
      </c>
      <c r="AS136" s="214" t="s">
        <v>3523</v>
      </c>
      <c r="AT136" s="214"/>
      <c r="AU136" s="214" t="s">
        <v>739</v>
      </c>
      <c r="AV136" s="214" t="s">
        <v>739</v>
      </c>
      <c r="AW136" s="214" t="s">
        <v>739</v>
      </c>
      <c r="AX136" s="214"/>
      <c r="AY136" s="214" t="s">
        <v>3532</v>
      </c>
      <c r="AZ136" s="214" t="s">
        <v>3533</v>
      </c>
      <c r="BA136" s="214" t="s">
        <v>3534</v>
      </c>
      <c r="BB136" s="214"/>
      <c r="BC136" s="143" t="s">
        <v>727</v>
      </c>
    </row>
    <row r="137" spans="1:55" ht="15" customHeight="1" x14ac:dyDescent="0.25">
      <c r="A137" s="210">
        <v>15</v>
      </c>
      <c r="B137" s="143" t="s">
        <v>3397</v>
      </c>
      <c r="C137" s="143" t="s">
        <v>3511</v>
      </c>
      <c r="D137" s="143" t="s">
        <v>3512</v>
      </c>
      <c r="E137" s="143" t="s">
        <v>728</v>
      </c>
      <c r="F137" s="143" t="s">
        <v>3513</v>
      </c>
      <c r="G137" s="143" t="s">
        <v>730</v>
      </c>
      <c r="H137" s="143" t="s">
        <v>2688</v>
      </c>
      <c r="I137" s="143" t="s">
        <v>3535</v>
      </c>
      <c r="J137" s="217">
        <v>44200</v>
      </c>
      <c r="K137" s="217">
        <v>44561</v>
      </c>
      <c r="L137" s="143" t="s">
        <v>3515</v>
      </c>
      <c r="M137" s="143" t="s">
        <v>3516</v>
      </c>
      <c r="N137" s="143" t="s">
        <v>30</v>
      </c>
      <c r="O137" s="143" t="s">
        <v>3517</v>
      </c>
      <c r="P137" s="143" t="s">
        <v>735</v>
      </c>
      <c r="Q137" s="242">
        <v>10000000</v>
      </c>
      <c r="R137" s="242">
        <v>1000000</v>
      </c>
      <c r="S137" s="242">
        <v>3000000</v>
      </c>
      <c r="T137" s="242">
        <v>3000000</v>
      </c>
      <c r="U137" s="242">
        <v>3000000</v>
      </c>
      <c r="V137" s="242">
        <v>377440</v>
      </c>
      <c r="W137" s="242" t="s">
        <v>3536</v>
      </c>
      <c r="X137" s="242">
        <v>4074962</v>
      </c>
      <c r="Y137" s="242" t="s">
        <v>3537</v>
      </c>
      <c r="Z137" s="242">
        <v>4198574</v>
      </c>
      <c r="AA137" s="242" t="s">
        <v>3538</v>
      </c>
      <c r="AB137" s="215"/>
      <c r="AC137" s="215"/>
      <c r="AD137" s="213">
        <v>44295</v>
      </c>
      <c r="AE137" s="213">
        <v>44379</v>
      </c>
      <c r="AF137" s="213">
        <v>44483</v>
      </c>
      <c r="AG137" s="213"/>
      <c r="AH137" s="75">
        <f t="shared" si="9"/>
        <v>0.86509760000000002</v>
      </c>
      <c r="AI137" s="75">
        <f t="shared" si="10"/>
        <v>0.37744</v>
      </c>
      <c r="AJ137" s="75">
        <f t="shared" si="11"/>
        <v>1</v>
      </c>
      <c r="AK137" s="75">
        <f t="shared" si="12"/>
        <v>1</v>
      </c>
      <c r="AL137" s="75" t="s">
        <v>2467</v>
      </c>
      <c r="AM137" s="214" t="s">
        <v>739</v>
      </c>
      <c r="AN137" s="214" t="s">
        <v>739</v>
      </c>
      <c r="AO137" s="214" t="s">
        <v>739</v>
      </c>
      <c r="AP137" s="214"/>
      <c r="AQ137" s="214" t="s">
        <v>3521</v>
      </c>
      <c r="AR137" s="214" t="s">
        <v>3522</v>
      </c>
      <c r="AS137" s="214" t="s">
        <v>3523</v>
      </c>
      <c r="AT137" s="214"/>
      <c r="AU137" s="214" t="s">
        <v>828</v>
      </c>
      <c r="AV137" s="214" t="s">
        <v>739</v>
      </c>
      <c r="AW137" s="214" t="s">
        <v>739</v>
      </c>
      <c r="AX137" s="214"/>
      <c r="AY137" s="214" t="s">
        <v>3539</v>
      </c>
      <c r="AZ137" s="214" t="s">
        <v>3540</v>
      </c>
      <c r="BA137" s="214" t="s">
        <v>3541</v>
      </c>
      <c r="BB137" s="214"/>
      <c r="BC137" s="143" t="s">
        <v>727</v>
      </c>
    </row>
    <row r="138" spans="1:55" ht="15" customHeight="1" x14ac:dyDescent="0.25">
      <c r="A138" s="210">
        <v>16</v>
      </c>
      <c r="B138" s="143" t="s">
        <v>3397</v>
      </c>
      <c r="C138" s="143" t="s">
        <v>3511</v>
      </c>
      <c r="D138" s="143" t="s">
        <v>3512</v>
      </c>
      <c r="E138" s="143" t="s">
        <v>728</v>
      </c>
      <c r="F138" s="143" t="s">
        <v>3513</v>
      </c>
      <c r="G138" s="143" t="s">
        <v>730</v>
      </c>
      <c r="H138" s="143" t="s">
        <v>2688</v>
      </c>
      <c r="I138" s="143" t="s">
        <v>3542</v>
      </c>
      <c r="J138" s="217">
        <v>44200</v>
      </c>
      <c r="K138" s="217">
        <v>44561</v>
      </c>
      <c r="L138" s="143" t="s">
        <v>3515</v>
      </c>
      <c r="M138" s="143" t="s">
        <v>3516</v>
      </c>
      <c r="N138" s="143" t="s">
        <v>30</v>
      </c>
      <c r="O138" s="143" t="s">
        <v>3517</v>
      </c>
      <c r="P138" s="143" t="s">
        <v>735</v>
      </c>
      <c r="Q138" s="242">
        <v>2000000</v>
      </c>
      <c r="R138" s="242">
        <v>200000</v>
      </c>
      <c r="S138" s="242">
        <v>600000</v>
      </c>
      <c r="T138" s="242">
        <v>600000</v>
      </c>
      <c r="U138" s="242">
        <v>600000</v>
      </c>
      <c r="V138" s="242">
        <v>0</v>
      </c>
      <c r="W138" s="242" t="s">
        <v>3543</v>
      </c>
      <c r="X138" s="242">
        <v>17798</v>
      </c>
      <c r="Y138" s="242" t="s">
        <v>3544</v>
      </c>
      <c r="Z138" s="242">
        <v>380544</v>
      </c>
      <c r="AA138" s="242" t="s">
        <v>3545</v>
      </c>
      <c r="AB138" s="212"/>
      <c r="AC138" s="212"/>
      <c r="AD138" s="213">
        <v>44295</v>
      </c>
      <c r="AE138" s="213">
        <v>44379</v>
      </c>
      <c r="AF138" s="213">
        <v>44483</v>
      </c>
      <c r="AG138" s="213"/>
      <c r="AH138" s="75">
        <f t="shared" si="9"/>
        <v>0.19917099999999999</v>
      </c>
      <c r="AI138" s="75">
        <f t="shared" si="10"/>
        <v>0</v>
      </c>
      <c r="AJ138" s="75">
        <f t="shared" si="11"/>
        <v>2.9663333333333333E-2</v>
      </c>
      <c r="AK138" s="75">
        <f t="shared" si="12"/>
        <v>1</v>
      </c>
      <c r="AL138" s="75" t="s">
        <v>2467</v>
      </c>
      <c r="AM138" s="214" t="s">
        <v>739</v>
      </c>
      <c r="AN138" s="214" t="s">
        <v>739</v>
      </c>
      <c r="AO138" s="214" t="s">
        <v>739</v>
      </c>
      <c r="AP138" s="214"/>
      <c r="AQ138" s="214" t="s">
        <v>3521</v>
      </c>
      <c r="AR138" s="214" t="s">
        <v>3522</v>
      </c>
      <c r="AS138" s="214" t="s">
        <v>3523</v>
      </c>
      <c r="AT138" s="214"/>
      <c r="AU138" s="214" t="s">
        <v>739</v>
      </c>
      <c r="AV138" s="214" t="s">
        <v>828</v>
      </c>
      <c r="AW138" s="214" t="s">
        <v>828</v>
      </c>
      <c r="AX138" s="214"/>
      <c r="AY138" s="214" t="s">
        <v>3546</v>
      </c>
      <c r="AZ138" s="214" t="s">
        <v>3547</v>
      </c>
      <c r="BA138" s="214" t="s">
        <v>3548</v>
      </c>
      <c r="BB138" s="214"/>
      <c r="BC138" s="143" t="s">
        <v>727</v>
      </c>
    </row>
    <row r="139" spans="1:55" ht="15" customHeight="1" x14ac:dyDescent="0.25">
      <c r="A139" s="210">
        <v>17</v>
      </c>
      <c r="B139" s="143" t="s">
        <v>3397</v>
      </c>
      <c r="C139" s="143" t="s">
        <v>3511</v>
      </c>
      <c r="D139" s="143" t="s">
        <v>3512</v>
      </c>
      <c r="E139" s="143" t="s">
        <v>728</v>
      </c>
      <c r="F139" s="143" t="s">
        <v>3513</v>
      </c>
      <c r="G139" s="143" t="s">
        <v>730</v>
      </c>
      <c r="H139" s="143" t="s">
        <v>2688</v>
      </c>
      <c r="I139" s="143" t="s">
        <v>3549</v>
      </c>
      <c r="J139" s="217">
        <v>44200</v>
      </c>
      <c r="K139" s="217">
        <v>44561</v>
      </c>
      <c r="L139" s="143" t="s">
        <v>3550</v>
      </c>
      <c r="M139" s="143" t="s">
        <v>3516</v>
      </c>
      <c r="N139" s="143" t="s">
        <v>30</v>
      </c>
      <c r="O139" s="143" t="s">
        <v>3551</v>
      </c>
      <c r="P139" s="143" t="s">
        <v>735</v>
      </c>
      <c r="Q139" s="242">
        <v>5000000</v>
      </c>
      <c r="R139" s="242">
        <f>+Q139*10%</f>
        <v>500000</v>
      </c>
      <c r="S139" s="242">
        <f>+Q139*30%</f>
        <v>1500000</v>
      </c>
      <c r="T139" s="242">
        <f>+Q139*30%</f>
        <v>1500000</v>
      </c>
      <c r="U139" s="242">
        <f>+Q139*30%</f>
        <v>1500000</v>
      </c>
      <c r="V139" s="242">
        <v>1315763</v>
      </c>
      <c r="W139" s="242" t="s">
        <v>3552</v>
      </c>
      <c r="X139" s="242">
        <v>612221</v>
      </c>
      <c r="Y139" s="242" t="s">
        <v>3553</v>
      </c>
      <c r="Z139" s="242">
        <v>4911346</v>
      </c>
      <c r="AA139" s="242" t="s">
        <v>3554</v>
      </c>
      <c r="AB139" s="212"/>
      <c r="AC139" s="212"/>
      <c r="AD139" s="213">
        <v>44295</v>
      </c>
      <c r="AE139" s="213">
        <v>44379</v>
      </c>
      <c r="AF139" s="213">
        <v>44483</v>
      </c>
      <c r="AG139" s="213"/>
      <c r="AH139" s="75">
        <f t="shared" si="9"/>
        <v>1</v>
      </c>
      <c r="AI139" s="75">
        <f t="shared" si="10"/>
        <v>1</v>
      </c>
      <c r="AJ139" s="75">
        <f t="shared" si="11"/>
        <v>1</v>
      </c>
      <c r="AK139" s="75">
        <f t="shared" si="12"/>
        <v>1</v>
      </c>
      <c r="AL139" s="75" t="s">
        <v>2467</v>
      </c>
      <c r="AM139" s="214" t="s">
        <v>739</v>
      </c>
      <c r="AN139" s="214" t="s">
        <v>739</v>
      </c>
      <c r="AO139" s="214" t="s">
        <v>739</v>
      </c>
      <c r="AP139" s="214"/>
      <c r="AQ139" s="214" t="s">
        <v>3521</v>
      </c>
      <c r="AR139" s="214" t="s">
        <v>3522</v>
      </c>
      <c r="AS139" s="214" t="s">
        <v>3523</v>
      </c>
      <c r="AT139" s="214"/>
      <c r="AU139" s="214" t="s">
        <v>739</v>
      </c>
      <c r="AV139" s="214" t="s">
        <v>739</v>
      </c>
      <c r="AW139" s="214" t="s">
        <v>739</v>
      </c>
      <c r="AX139" s="214"/>
      <c r="AY139" s="214" t="s">
        <v>3555</v>
      </c>
      <c r="AZ139" s="214" t="s">
        <v>3556</v>
      </c>
      <c r="BA139" s="214" t="s">
        <v>3557</v>
      </c>
      <c r="BB139" s="214"/>
      <c r="BC139" s="143" t="s">
        <v>727</v>
      </c>
    </row>
    <row r="140" spans="1:55" ht="15" customHeight="1" x14ac:dyDescent="0.25">
      <c r="A140" s="210">
        <v>18</v>
      </c>
      <c r="B140" s="143" t="s">
        <v>3397</v>
      </c>
      <c r="C140" s="143" t="s">
        <v>3511</v>
      </c>
      <c r="D140" s="143" t="s">
        <v>3512</v>
      </c>
      <c r="E140" s="143" t="s">
        <v>728</v>
      </c>
      <c r="F140" s="143" t="s">
        <v>3513</v>
      </c>
      <c r="G140" s="143" t="s">
        <v>730</v>
      </c>
      <c r="H140" s="143" t="s">
        <v>2688</v>
      </c>
      <c r="I140" s="143" t="s">
        <v>3558</v>
      </c>
      <c r="J140" s="217">
        <v>44256</v>
      </c>
      <c r="K140" s="217">
        <v>44561</v>
      </c>
      <c r="L140" s="143" t="s">
        <v>3559</v>
      </c>
      <c r="M140" s="143" t="s">
        <v>3516</v>
      </c>
      <c r="N140" s="143" t="s">
        <v>30</v>
      </c>
      <c r="O140" s="143" t="s">
        <v>3560</v>
      </c>
      <c r="P140" s="143" t="s">
        <v>735</v>
      </c>
      <c r="Q140" s="242">
        <v>2</v>
      </c>
      <c r="R140" s="242">
        <v>0</v>
      </c>
      <c r="S140" s="242">
        <v>0</v>
      </c>
      <c r="T140" s="242">
        <v>1</v>
      </c>
      <c r="U140" s="242">
        <v>1</v>
      </c>
      <c r="V140" s="242">
        <v>1</v>
      </c>
      <c r="W140" s="242" t="s">
        <v>3561</v>
      </c>
      <c r="X140" s="242">
        <v>0</v>
      </c>
      <c r="Y140" s="242" t="s">
        <v>3562</v>
      </c>
      <c r="Z140" s="242">
        <v>1</v>
      </c>
      <c r="AA140" s="242" t="s">
        <v>3563</v>
      </c>
      <c r="AB140" s="212"/>
      <c r="AC140" s="212"/>
      <c r="AD140" s="213">
        <v>44295</v>
      </c>
      <c r="AE140" s="213">
        <v>44379</v>
      </c>
      <c r="AF140" s="213">
        <v>44483</v>
      </c>
      <c r="AG140" s="213"/>
      <c r="AH140" s="75">
        <f t="shared" si="9"/>
        <v>1</v>
      </c>
      <c r="AI140" s="75" t="str">
        <f t="shared" si="10"/>
        <v/>
      </c>
      <c r="AJ140" s="75" t="str">
        <f t="shared" si="11"/>
        <v/>
      </c>
      <c r="AK140" s="75">
        <f t="shared" si="12"/>
        <v>1</v>
      </c>
      <c r="AL140" s="75" t="s">
        <v>2467</v>
      </c>
      <c r="AM140" s="214" t="s">
        <v>739</v>
      </c>
      <c r="AN140" s="214" t="s">
        <v>739</v>
      </c>
      <c r="AO140" s="214" t="s">
        <v>739</v>
      </c>
      <c r="AP140" s="214"/>
      <c r="AQ140" s="214" t="s">
        <v>3564</v>
      </c>
      <c r="AR140" s="214" t="s">
        <v>3522</v>
      </c>
      <c r="AS140" s="214" t="s">
        <v>3523</v>
      </c>
      <c r="AT140" s="214"/>
      <c r="AU140" s="214" t="s">
        <v>739</v>
      </c>
      <c r="AV140" s="214" t="s">
        <v>739</v>
      </c>
      <c r="AW140" s="214" t="s">
        <v>739</v>
      </c>
      <c r="AX140" s="214"/>
      <c r="AY140" s="214" t="s">
        <v>3565</v>
      </c>
      <c r="AZ140" s="214" t="s">
        <v>3566</v>
      </c>
      <c r="BA140" s="214" t="s">
        <v>3567</v>
      </c>
      <c r="BB140" s="214"/>
      <c r="BC140" s="143" t="s">
        <v>727</v>
      </c>
    </row>
    <row r="141" spans="1:55" ht="15" customHeight="1" x14ac:dyDescent="0.25">
      <c r="A141" s="210">
        <v>19</v>
      </c>
      <c r="B141" s="143" t="s">
        <v>3397</v>
      </c>
      <c r="C141" s="143" t="s">
        <v>3511</v>
      </c>
      <c r="D141" s="143" t="s">
        <v>3568</v>
      </c>
      <c r="E141" s="143" t="s">
        <v>3569</v>
      </c>
      <c r="F141" s="143" t="s">
        <v>2986</v>
      </c>
      <c r="G141" s="143" t="s">
        <v>730</v>
      </c>
      <c r="H141" s="143" t="s">
        <v>2688</v>
      </c>
      <c r="I141" s="143" t="s">
        <v>3570</v>
      </c>
      <c r="J141" s="217">
        <v>44228</v>
      </c>
      <c r="K141" s="217">
        <v>44561</v>
      </c>
      <c r="L141" s="143" t="s">
        <v>3571</v>
      </c>
      <c r="M141" s="143" t="s">
        <v>3516</v>
      </c>
      <c r="N141" s="143" t="s">
        <v>30</v>
      </c>
      <c r="O141" s="143" t="s">
        <v>3572</v>
      </c>
      <c r="P141" s="143" t="s">
        <v>735</v>
      </c>
      <c r="Q141" s="242">
        <v>1</v>
      </c>
      <c r="R141" s="242">
        <v>0</v>
      </c>
      <c r="S141" s="242">
        <v>0</v>
      </c>
      <c r="T141" s="242">
        <v>1</v>
      </c>
      <c r="U141" s="242">
        <v>0</v>
      </c>
      <c r="V141" s="242">
        <v>0</v>
      </c>
      <c r="W141" s="242" t="s">
        <v>3573</v>
      </c>
      <c r="X141" s="242">
        <v>0</v>
      </c>
      <c r="Y141" s="242" t="s">
        <v>3574</v>
      </c>
      <c r="Z141" s="242">
        <v>1</v>
      </c>
      <c r="AA141" s="242" t="s">
        <v>3575</v>
      </c>
      <c r="AB141" s="215"/>
      <c r="AC141" s="215"/>
      <c r="AD141" s="213">
        <v>44295</v>
      </c>
      <c r="AE141" s="213">
        <v>44379</v>
      </c>
      <c r="AF141" s="213">
        <v>44483</v>
      </c>
      <c r="AG141" s="213"/>
      <c r="AH141" s="75">
        <f t="shared" si="9"/>
        <v>1</v>
      </c>
      <c r="AI141" s="75" t="str">
        <f t="shared" si="10"/>
        <v/>
      </c>
      <c r="AJ141" s="75" t="str">
        <f t="shared" si="11"/>
        <v/>
      </c>
      <c r="AK141" s="75">
        <f t="shared" si="12"/>
        <v>1</v>
      </c>
      <c r="AL141" s="75" t="s">
        <v>2467</v>
      </c>
      <c r="AM141" s="214" t="s">
        <v>739</v>
      </c>
      <c r="AN141" s="214" t="s">
        <v>739</v>
      </c>
      <c r="AO141" s="214" t="s">
        <v>739</v>
      </c>
      <c r="AP141" s="214"/>
      <c r="AQ141" s="214" t="s">
        <v>3522</v>
      </c>
      <c r="AR141" s="214" t="s">
        <v>3522</v>
      </c>
      <c r="AS141" s="214" t="s">
        <v>3523</v>
      </c>
      <c r="AT141" s="214"/>
      <c r="AU141" s="214" t="s">
        <v>838</v>
      </c>
      <c r="AV141" s="214" t="s">
        <v>739</v>
      </c>
      <c r="AW141" s="214" t="s">
        <v>739</v>
      </c>
      <c r="AX141" s="214"/>
      <c r="AY141" s="214" t="s">
        <v>3576</v>
      </c>
      <c r="AZ141" s="214" t="s">
        <v>3577</v>
      </c>
      <c r="BA141" s="214" t="s">
        <v>3578</v>
      </c>
      <c r="BB141" s="214"/>
      <c r="BC141" s="143" t="s">
        <v>727</v>
      </c>
    </row>
    <row r="142" spans="1:55" ht="15" customHeight="1" x14ac:dyDescent="0.25">
      <c r="A142" s="210">
        <v>20</v>
      </c>
      <c r="B142" s="143" t="s">
        <v>3397</v>
      </c>
      <c r="C142" s="143" t="s">
        <v>3511</v>
      </c>
      <c r="D142" s="143" t="s">
        <v>3568</v>
      </c>
      <c r="E142" s="143" t="s">
        <v>728</v>
      </c>
      <c r="F142" s="143" t="s">
        <v>3513</v>
      </c>
      <c r="G142" s="143" t="s">
        <v>730</v>
      </c>
      <c r="H142" s="143" t="s">
        <v>2688</v>
      </c>
      <c r="I142" s="143" t="s">
        <v>3579</v>
      </c>
      <c r="J142" s="217">
        <v>44200</v>
      </c>
      <c r="K142" s="217">
        <v>44561</v>
      </c>
      <c r="L142" s="143" t="s">
        <v>3580</v>
      </c>
      <c r="M142" s="143" t="s">
        <v>3516</v>
      </c>
      <c r="N142" s="143" t="s">
        <v>30</v>
      </c>
      <c r="O142" s="143" t="s">
        <v>3572</v>
      </c>
      <c r="P142" s="143" t="s">
        <v>735</v>
      </c>
      <c r="Q142" s="242">
        <v>3000000</v>
      </c>
      <c r="R142" s="242">
        <v>0</v>
      </c>
      <c r="S142" s="242">
        <v>900000</v>
      </c>
      <c r="T142" s="242">
        <v>900000</v>
      </c>
      <c r="U142" s="242">
        <v>1200000</v>
      </c>
      <c r="V142" s="242">
        <v>0</v>
      </c>
      <c r="W142" s="242" t="s">
        <v>3581</v>
      </c>
      <c r="X142" s="242">
        <v>6503000</v>
      </c>
      <c r="Y142" s="242" t="s">
        <v>3582</v>
      </c>
      <c r="Z142" s="242">
        <v>63322</v>
      </c>
      <c r="AA142" s="242" t="s">
        <v>3583</v>
      </c>
      <c r="AB142" s="212"/>
      <c r="AC142" s="212"/>
      <c r="AD142" s="213">
        <v>44295</v>
      </c>
      <c r="AE142" s="213">
        <v>44379</v>
      </c>
      <c r="AF142" s="213">
        <v>44483</v>
      </c>
      <c r="AG142" s="213"/>
      <c r="AH142" s="75">
        <f t="shared" si="9"/>
        <v>1</v>
      </c>
      <c r="AI142" s="75" t="str">
        <f t="shared" si="10"/>
        <v/>
      </c>
      <c r="AJ142" s="75">
        <f t="shared" si="11"/>
        <v>1</v>
      </c>
      <c r="AK142" s="75">
        <f t="shared" si="12"/>
        <v>1</v>
      </c>
      <c r="AL142" s="75" t="s">
        <v>2467</v>
      </c>
      <c r="AM142" s="214" t="s">
        <v>739</v>
      </c>
      <c r="AN142" s="214" t="s">
        <v>739</v>
      </c>
      <c r="AO142" s="214" t="s">
        <v>739</v>
      </c>
      <c r="AP142" s="214"/>
      <c r="AQ142" s="214" t="s">
        <v>3584</v>
      </c>
      <c r="AR142" s="214" t="s">
        <v>3522</v>
      </c>
      <c r="AS142" s="214" t="s">
        <v>3523</v>
      </c>
      <c r="AT142" s="214"/>
      <c r="AU142" s="214" t="s">
        <v>739</v>
      </c>
      <c r="AV142" s="214" t="s">
        <v>739</v>
      </c>
      <c r="AW142" s="214" t="s">
        <v>739</v>
      </c>
      <c r="AX142" s="214"/>
      <c r="AY142" s="214" t="s">
        <v>3585</v>
      </c>
      <c r="AZ142" s="214" t="s">
        <v>3586</v>
      </c>
      <c r="BA142" s="214" t="s">
        <v>3587</v>
      </c>
      <c r="BB142" s="214"/>
      <c r="BC142" s="143" t="s">
        <v>727</v>
      </c>
    </row>
    <row r="143" spans="1:55" ht="15" customHeight="1" x14ac:dyDescent="0.25">
      <c r="A143" s="210">
        <v>21</v>
      </c>
      <c r="B143" s="143" t="s">
        <v>3397</v>
      </c>
      <c r="C143" s="143" t="s">
        <v>3511</v>
      </c>
      <c r="D143" s="143" t="s">
        <v>3568</v>
      </c>
      <c r="E143" s="143" t="s">
        <v>728</v>
      </c>
      <c r="F143" s="143" t="s">
        <v>3513</v>
      </c>
      <c r="G143" s="143" t="s">
        <v>730</v>
      </c>
      <c r="H143" s="143" t="s">
        <v>2688</v>
      </c>
      <c r="I143" s="143" t="s">
        <v>3588</v>
      </c>
      <c r="J143" s="217">
        <v>44200</v>
      </c>
      <c r="K143" s="217">
        <v>44330</v>
      </c>
      <c r="L143" s="143" t="s">
        <v>3589</v>
      </c>
      <c r="M143" s="143" t="s">
        <v>3516</v>
      </c>
      <c r="N143" s="143" t="s">
        <v>30</v>
      </c>
      <c r="O143" s="143" t="s">
        <v>3572</v>
      </c>
      <c r="P143" s="143" t="s">
        <v>735</v>
      </c>
      <c r="Q143" s="242">
        <v>2</v>
      </c>
      <c r="R143" s="242">
        <v>1</v>
      </c>
      <c r="S143" s="242">
        <v>1</v>
      </c>
      <c r="T143" s="242">
        <v>0</v>
      </c>
      <c r="U143" s="242">
        <v>0</v>
      </c>
      <c r="V143" s="242">
        <v>1</v>
      </c>
      <c r="W143" s="242" t="s">
        <v>3590</v>
      </c>
      <c r="X143" s="242">
        <v>1</v>
      </c>
      <c r="Y143" s="242" t="s">
        <v>3591</v>
      </c>
      <c r="Z143" s="242">
        <v>0</v>
      </c>
      <c r="AA143" s="242" t="s">
        <v>3592</v>
      </c>
      <c r="AB143" s="212"/>
      <c r="AC143" s="212"/>
      <c r="AD143" s="213">
        <v>44295</v>
      </c>
      <c r="AE143" s="213">
        <v>44379</v>
      </c>
      <c r="AF143" s="213">
        <v>44483</v>
      </c>
      <c r="AG143" s="213"/>
      <c r="AH143" s="75">
        <f t="shared" si="9"/>
        <v>1</v>
      </c>
      <c r="AI143" s="75">
        <f t="shared" si="10"/>
        <v>1</v>
      </c>
      <c r="AJ143" s="75">
        <f t="shared" si="11"/>
        <v>1</v>
      </c>
      <c r="AK143" s="75" t="str">
        <f t="shared" si="12"/>
        <v/>
      </c>
      <c r="AL143" s="75" t="s">
        <v>2467</v>
      </c>
      <c r="AM143" s="214" t="s">
        <v>739</v>
      </c>
      <c r="AN143" s="214" t="s">
        <v>739</v>
      </c>
      <c r="AO143" s="214" t="s">
        <v>739</v>
      </c>
      <c r="AP143" s="214"/>
      <c r="AQ143" s="214" t="s">
        <v>3593</v>
      </c>
      <c r="AR143" s="214" t="s">
        <v>3522</v>
      </c>
      <c r="AS143" s="214" t="s">
        <v>3523</v>
      </c>
      <c r="AT143" s="214"/>
      <c r="AU143" s="214" t="s">
        <v>739</v>
      </c>
      <c r="AV143" s="214" t="s">
        <v>739</v>
      </c>
      <c r="AW143" s="214" t="s">
        <v>739</v>
      </c>
      <c r="AX143" s="214"/>
      <c r="AY143" s="214" t="s">
        <v>3594</v>
      </c>
      <c r="AZ143" s="214" t="s">
        <v>3595</v>
      </c>
      <c r="BA143" s="214" t="s">
        <v>3596</v>
      </c>
      <c r="BB143" s="214"/>
      <c r="BC143" s="143" t="s">
        <v>727</v>
      </c>
    </row>
    <row r="144" spans="1:55" ht="15" customHeight="1" x14ac:dyDescent="0.25">
      <c r="A144" s="210">
        <v>22</v>
      </c>
      <c r="B144" s="143" t="s">
        <v>3397</v>
      </c>
      <c r="C144" s="143" t="s">
        <v>3511</v>
      </c>
      <c r="D144" s="143" t="s">
        <v>3568</v>
      </c>
      <c r="E144" s="143" t="s">
        <v>728</v>
      </c>
      <c r="F144" s="143" t="s">
        <v>3513</v>
      </c>
      <c r="G144" s="143" t="s">
        <v>730</v>
      </c>
      <c r="H144" s="143" t="s">
        <v>2688</v>
      </c>
      <c r="I144" s="143" t="s">
        <v>3597</v>
      </c>
      <c r="J144" s="217">
        <v>44228</v>
      </c>
      <c r="K144" s="217">
        <v>44561</v>
      </c>
      <c r="L144" s="143" t="s">
        <v>3598</v>
      </c>
      <c r="M144" s="143" t="s">
        <v>3516</v>
      </c>
      <c r="N144" s="143" t="s">
        <v>60</v>
      </c>
      <c r="O144" s="143" t="s">
        <v>3572</v>
      </c>
      <c r="P144" s="143" t="s">
        <v>735</v>
      </c>
      <c r="Q144" s="215">
        <v>1</v>
      </c>
      <c r="R144" s="215">
        <v>0.1</v>
      </c>
      <c r="S144" s="215">
        <v>0.3</v>
      </c>
      <c r="T144" s="215">
        <v>0.3</v>
      </c>
      <c r="U144" s="215">
        <v>0.3</v>
      </c>
      <c r="V144" s="215">
        <v>0.1</v>
      </c>
      <c r="W144" s="215" t="s">
        <v>3599</v>
      </c>
      <c r="X144" s="215">
        <v>0.2</v>
      </c>
      <c r="Y144" s="215" t="s">
        <v>3600</v>
      </c>
      <c r="Z144" s="215">
        <v>0</v>
      </c>
      <c r="AA144" s="215" t="s">
        <v>3601</v>
      </c>
      <c r="AB144" s="215"/>
      <c r="AC144" s="215"/>
      <c r="AD144" s="213">
        <v>44295</v>
      </c>
      <c r="AE144" s="213">
        <v>44379</v>
      </c>
      <c r="AF144" s="213">
        <v>44483</v>
      </c>
      <c r="AG144" s="213"/>
      <c r="AH144" s="75">
        <f t="shared" si="9"/>
        <v>0.30000000000000004</v>
      </c>
      <c r="AI144" s="75">
        <f t="shared" si="10"/>
        <v>1</v>
      </c>
      <c r="AJ144" s="75">
        <f t="shared" si="11"/>
        <v>0.76666666666666672</v>
      </c>
      <c r="AK144" s="75">
        <f t="shared" si="12"/>
        <v>0.30000000000000004</v>
      </c>
      <c r="AL144" s="75" t="s">
        <v>2467</v>
      </c>
      <c r="AM144" s="214" t="s">
        <v>739</v>
      </c>
      <c r="AN144" s="214" t="s">
        <v>739</v>
      </c>
      <c r="AO144" s="214" t="s">
        <v>739</v>
      </c>
      <c r="AP144" s="214"/>
      <c r="AQ144" s="214" t="s">
        <v>3522</v>
      </c>
      <c r="AR144" s="214" t="s">
        <v>3522</v>
      </c>
      <c r="AS144" s="214" t="s">
        <v>3602</v>
      </c>
      <c r="AT144" s="214"/>
      <c r="AU144" s="214" t="s">
        <v>739</v>
      </c>
      <c r="AV144" s="214" t="s">
        <v>739</v>
      </c>
      <c r="AW144" s="214" t="s">
        <v>828</v>
      </c>
      <c r="AX144" s="214"/>
      <c r="AY144" s="214" t="s">
        <v>3603</v>
      </c>
      <c r="AZ144" s="214" t="s">
        <v>3604</v>
      </c>
      <c r="BA144" s="214" t="s">
        <v>3605</v>
      </c>
      <c r="BB144" s="214"/>
      <c r="BC144" s="143" t="s">
        <v>727</v>
      </c>
    </row>
    <row r="145" spans="1:55" ht="15" customHeight="1" x14ac:dyDescent="0.25">
      <c r="A145" s="210">
        <v>23</v>
      </c>
      <c r="B145" s="143" t="s">
        <v>3397</v>
      </c>
      <c r="C145" s="143" t="s">
        <v>3511</v>
      </c>
      <c r="D145" s="143" t="s">
        <v>204</v>
      </c>
      <c r="E145" s="143" t="s">
        <v>3606</v>
      </c>
      <c r="F145" s="143" t="s">
        <v>3607</v>
      </c>
      <c r="G145" s="143" t="s">
        <v>730</v>
      </c>
      <c r="H145" s="143" t="s">
        <v>2688</v>
      </c>
      <c r="I145" s="143" t="s">
        <v>3608</v>
      </c>
      <c r="J145" s="217">
        <v>44228</v>
      </c>
      <c r="K145" s="217">
        <v>44561</v>
      </c>
      <c r="L145" s="143" t="s">
        <v>3609</v>
      </c>
      <c r="M145" s="143" t="s">
        <v>3516</v>
      </c>
      <c r="N145" s="143" t="s">
        <v>60</v>
      </c>
      <c r="O145" s="143" t="s">
        <v>58</v>
      </c>
      <c r="P145" s="143" t="s">
        <v>821</v>
      </c>
      <c r="Q145" s="215">
        <v>1</v>
      </c>
      <c r="R145" s="215">
        <v>0.25</v>
      </c>
      <c r="S145" s="215">
        <v>0.25</v>
      </c>
      <c r="T145" s="215">
        <v>0.25</v>
      </c>
      <c r="U145" s="215">
        <v>0.25</v>
      </c>
      <c r="V145" s="215">
        <v>0.25</v>
      </c>
      <c r="W145" s="215" t="s">
        <v>3610</v>
      </c>
      <c r="X145" s="215">
        <v>0.25</v>
      </c>
      <c r="Y145" s="215" t="s">
        <v>3611</v>
      </c>
      <c r="Z145" s="215">
        <v>0.25</v>
      </c>
      <c r="AA145" s="215" t="s">
        <v>3612</v>
      </c>
      <c r="AB145" s="212"/>
      <c r="AC145" s="212"/>
      <c r="AD145" s="213">
        <v>44295</v>
      </c>
      <c r="AE145" s="213">
        <v>44379</v>
      </c>
      <c r="AF145" s="213">
        <v>44483</v>
      </c>
      <c r="AG145" s="213"/>
      <c r="AH145" s="75">
        <f t="shared" si="9"/>
        <v>0.75</v>
      </c>
      <c r="AI145" s="75">
        <f t="shared" si="10"/>
        <v>1</v>
      </c>
      <c r="AJ145" s="75">
        <f t="shared" si="11"/>
        <v>1</v>
      </c>
      <c r="AK145" s="75">
        <f t="shared" si="12"/>
        <v>1</v>
      </c>
      <c r="AL145" s="75" t="s">
        <v>2467</v>
      </c>
      <c r="AM145" s="214" t="s">
        <v>739</v>
      </c>
      <c r="AN145" s="214" t="s">
        <v>739</v>
      </c>
      <c r="AO145" s="214" t="s">
        <v>739</v>
      </c>
      <c r="AP145" s="214"/>
      <c r="AQ145" s="214" t="s">
        <v>3613</v>
      </c>
      <c r="AR145" s="214" t="s">
        <v>3522</v>
      </c>
      <c r="AS145" s="214" t="s">
        <v>3523</v>
      </c>
      <c r="AT145" s="214"/>
      <c r="AU145" s="214" t="s">
        <v>739</v>
      </c>
      <c r="AV145" s="214" t="s">
        <v>739</v>
      </c>
      <c r="AW145" s="214" t="s">
        <v>739</v>
      </c>
      <c r="AX145" s="214"/>
      <c r="AY145" s="214" t="s">
        <v>3614</v>
      </c>
      <c r="AZ145" s="214" t="s">
        <v>3615</v>
      </c>
      <c r="BA145" s="214" t="s">
        <v>3616</v>
      </c>
      <c r="BB145" s="214"/>
      <c r="BC145" s="143" t="s">
        <v>727</v>
      </c>
    </row>
    <row r="146" spans="1:55" ht="15" customHeight="1" x14ac:dyDescent="0.25">
      <c r="A146" s="210">
        <v>24</v>
      </c>
      <c r="B146" s="143" t="s">
        <v>3397</v>
      </c>
      <c r="C146" s="143" t="s">
        <v>3511</v>
      </c>
      <c r="D146" s="143" t="s">
        <v>204</v>
      </c>
      <c r="E146" s="143" t="s">
        <v>3606</v>
      </c>
      <c r="F146" s="143" t="s">
        <v>3607</v>
      </c>
      <c r="G146" s="143" t="s">
        <v>730</v>
      </c>
      <c r="H146" s="143" t="s">
        <v>2688</v>
      </c>
      <c r="I146" s="143" t="s">
        <v>3617</v>
      </c>
      <c r="J146" s="217">
        <v>44228</v>
      </c>
      <c r="K146" s="217">
        <v>44561</v>
      </c>
      <c r="L146" s="143" t="s">
        <v>3618</v>
      </c>
      <c r="M146" s="143" t="s">
        <v>3516</v>
      </c>
      <c r="N146" s="143" t="s">
        <v>30</v>
      </c>
      <c r="O146" s="143" t="s">
        <v>3619</v>
      </c>
      <c r="P146" s="143" t="s">
        <v>735</v>
      </c>
      <c r="Q146" s="242">
        <v>10000000</v>
      </c>
      <c r="R146" s="242">
        <v>2500000</v>
      </c>
      <c r="S146" s="242">
        <v>2500000</v>
      </c>
      <c r="T146" s="242">
        <v>2500000</v>
      </c>
      <c r="U146" s="242">
        <v>2500000</v>
      </c>
      <c r="V146" s="242">
        <v>304077</v>
      </c>
      <c r="W146" s="242" t="s">
        <v>3620</v>
      </c>
      <c r="X146" s="242">
        <v>20735682</v>
      </c>
      <c r="Y146" s="242" t="s">
        <v>3621</v>
      </c>
      <c r="Z146" s="242">
        <v>13071871</v>
      </c>
      <c r="AA146" s="242" t="s">
        <v>3622</v>
      </c>
      <c r="AB146" s="212"/>
      <c r="AC146" s="212"/>
      <c r="AD146" s="213">
        <v>44295</v>
      </c>
      <c r="AE146" s="213">
        <v>44379</v>
      </c>
      <c r="AF146" s="213">
        <v>44483</v>
      </c>
      <c r="AG146" s="213"/>
      <c r="AH146" s="75">
        <f t="shared" si="9"/>
        <v>1</v>
      </c>
      <c r="AI146" s="75">
        <f t="shared" si="10"/>
        <v>0.1216308</v>
      </c>
      <c r="AJ146" s="75">
        <f t="shared" si="11"/>
        <v>1</v>
      </c>
      <c r="AK146" s="75">
        <f t="shared" si="12"/>
        <v>1</v>
      </c>
      <c r="AL146" s="75" t="s">
        <v>2467</v>
      </c>
      <c r="AM146" s="214" t="s">
        <v>739</v>
      </c>
      <c r="AN146" s="214" t="s">
        <v>739</v>
      </c>
      <c r="AO146" s="214" t="s">
        <v>739</v>
      </c>
      <c r="AP146" s="214"/>
      <c r="AQ146" s="214" t="s">
        <v>3521</v>
      </c>
      <c r="AR146" s="214" t="s">
        <v>3522</v>
      </c>
      <c r="AS146" s="214" t="s">
        <v>3523</v>
      </c>
      <c r="AT146" s="214"/>
      <c r="AU146" s="214" t="s">
        <v>739</v>
      </c>
      <c r="AV146" s="214" t="s">
        <v>739</v>
      </c>
      <c r="AW146" s="214" t="s">
        <v>739</v>
      </c>
      <c r="AX146" s="214"/>
      <c r="AY146" s="214" t="s">
        <v>3623</v>
      </c>
      <c r="AZ146" s="214" t="s">
        <v>3624</v>
      </c>
      <c r="BA146" s="214" t="s">
        <v>3625</v>
      </c>
      <c r="BB146" s="214"/>
      <c r="BC146" s="143" t="s">
        <v>727</v>
      </c>
    </row>
    <row r="147" spans="1:55" ht="15" customHeight="1" x14ac:dyDescent="0.25">
      <c r="A147" s="210">
        <v>25</v>
      </c>
      <c r="B147" s="143" t="s">
        <v>3397</v>
      </c>
      <c r="C147" s="143" t="s">
        <v>3511</v>
      </c>
      <c r="D147" s="143" t="s">
        <v>204</v>
      </c>
      <c r="E147" s="143" t="s">
        <v>3606</v>
      </c>
      <c r="F147" s="143" t="s">
        <v>3607</v>
      </c>
      <c r="G147" s="143" t="s">
        <v>730</v>
      </c>
      <c r="H147" s="143" t="s">
        <v>2688</v>
      </c>
      <c r="I147" s="143" t="s">
        <v>3626</v>
      </c>
      <c r="J147" s="217">
        <v>44228</v>
      </c>
      <c r="K147" s="217">
        <v>44561</v>
      </c>
      <c r="L147" s="143" t="s">
        <v>3627</v>
      </c>
      <c r="M147" s="143" t="s">
        <v>3516</v>
      </c>
      <c r="N147" s="143" t="s">
        <v>30</v>
      </c>
      <c r="O147" s="143" t="s">
        <v>3619</v>
      </c>
      <c r="P147" s="143" t="s">
        <v>735</v>
      </c>
      <c r="Q147" s="242">
        <v>22000</v>
      </c>
      <c r="R147" s="242">
        <v>2200</v>
      </c>
      <c r="S147" s="242">
        <v>6600</v>
      </c>
      <c r="T147" s="242">
        <v>6600</v>
      </c>
      <c r="U147" s="242">
        <v>6600</v>
      </c>
      <c r="V147" s="242">
        <v>0</v>
      </c>
      <c r="W147" s="242" t="s">
        <v>3628</v>
      </c>
      <c r="X147" s="242">
        <v>3238</v>
      </c>
      <c r="Y147" s="242" t="s">
        <v>3629</v>
      </c>
      <c r="Z147" s="242">
        <v>10126</v>
      </c>
      <c r="AA147" s="242" t="s">
        <v>3630</v>
      </c>
      <c r="AB147" s="212"/>
      <c r="AC147" s="212"/>
      <c r="AD147" s="213">
        <v>44295</v>
      </c>
      <c r="AE147" s="213">
        <v>44379</v>
      </c>
      <c r="AF147" s="213">
        <v>44483</v>
      </c>
      <c r="AG147" s="213"/>
      <c r="AH147" s="75">
        <f t="shared" si="9"/>
        <v>0.60745454545454547</v>
      </c>
      <c r="AI147" s="75">
        <f t="shared" si="10"/>
        <v>0</v>
      </c>
      <c r="AJ147" s="75">
        <f t="shared" si="11"/>
        <v>0.4906060606060606</v>
      </c>
      <c r="AK147" s="75">
        <f t="shared" si="12"/>
        <v>1</v>
      </c>
      <c r="AL147" s="75" t="s">
        <v>2467</v>
      </c>
      <c r="AM147" s="214" t="s">
        <v>739</v>
      </c>
      <c r="AN147" s="214" t="s">
        <v>739</v>
      </c>
      <c r="AO147" s="214" t="s">
        <v>739</v>
      </c>
      <c r="AP147" s="214"/>
      <c r="AQ147" s="214" t="s">
        <v>3593</v>
      </c>
      <c r="AR147" s="214" t="s">
        <v>3522</v>
      </c>
      <c r="AS147" s="214" t="s">
        <v>3523</v>
      </c>
      <c r="AT147" s="214"/>
      <c r="AU147" s="214" t="s">
        <v>739</v>
      </c>
      <c r="AV147" s="214" t="s">
        <v>828</v>
      </c>
      <c r="AW147" s="214" t="s">
        <v>739</v>
      </c>
      <c r="AX147" s="214"/>
      <c r="AY147" s="214" t="s">
        <v>3631</v>
      </c>
      <c r="AZ147" s="214" t="s">
        <v>3632</v>
      </c>
      <c r="BA147" s="214" t="s">
        <v>3633</v>
      </c>
      <c r="BB147" s="214"/>
      <c r="BC147" s="143" t="s">
        <v>727</v>
      </c>
    </row>
    <row r="148" spans="1:55" ht="15" customHeight="1" x14ac:dyDescent="0.25">
      <c r="A148" s="210">
        <v>26</v>
      </c>
      <c r="B148" s="143" t="s">
        <v>3397</v>
      </c>
      <c r="C148" s="143" t="s">
        <v>3511</v>
      </c>
      <c r="D148" s="143" t="s">
        <v>204</v>
      </c>
      <c r="E148" s="143" t="s">
        <v>3606</v>
      </c>
      <c r="F148" s="143" t="s">
        <v>3607</v>
      </c>
      <c r="G148" s="143" t="s">
        <v>730</v>
      </c>
      <c r="H148" s="143" t="s">
        <v>2688</v>
      </c>
      <c r="I148" s="143" t="s">
        <v>3634</v>
      </c>
      <c r="J148" s="217">
        <v>44228</v>
      </c>
      <c r="K148" s="217">
        <v>44561</v>
      </c>
      <c r="L148" s="143" t="s">
        <v>3635</v>
      </c>
      <c r="M148" s="143" t="s">
        <v>3516</v>
      </c>
      <c r="N148" s="143" t="s">
        <v>30</v>
      </c>
      <c r="O148" s="143" t="s">
        <v>3619</v>
      </c>
      <c r="P148" s="143" t="s">
        <v>735</v>
      </c>
      <c r="Q148" s="242">
        <v>1</v>
      </c>
      <c r="R148" s="242">
        <v>0</v>
      </c>
      <c r="S148" s="242">
        <v>1</v>
      </c>
      <c r="T148" s="242">
        <v>0</v>
      </c>
      <c r="U148" s="242">
        <v>0</v>
      </c>
      <c r="V148" s="242">
        <v>0</v>
      </c>
      <c r="W148" s="242" t="s">
        <v>3636</v>
      </c>
      <c r="X148" s="242">
        <v>0</v>
      </c>
      <c r="Y148" s="242" t="s">
        <v>3637</v>
      </c>
      <c r="Z148" s="242">
        <v>1</v>
      </c>
      <c r="AA148" s="242" t="s">
        <v>3638</v>
      </c>
      <c r="AB148" s="215"/>
      <c r="AC148" s="215"/>
      <c r="AD148" s="213">
        <v>44295</v>
      </c>
      <c r="AE148" s="213">
        <v>44379</v>
      </c>
      <c r="AF148" s="213">
        <v>44483</v>
      </c>
      <c r="AG148" s="213"/>
      <c r="AH148" s="75">
        <f t="shared" si="9"/>
        <v>1</v>
      </c>
      <c r="AI148" s="75" t="str">
        <f t="shared" si="10"/>
        <v/>
      </c>
      <c r="AJ148" s="75">
        <f t="shared" si="11"/>
        <v>0</v>
      </c>
      <c r="AK148" s="75" t="str">
        <f t="shared" si="12"/>
        <v/>
      </c>
      <c r="AL148" s="75" t="s">
        <v>2467</v>
      </c>
      <c r="AM148" s="214" t="s">
        <v>739</v>
      </c>
      <c r="AN148" s="214" t="s">
        <v>739</v>
      </c>
      <c r="AO148" s="214" t="s">
        <v>739</v>
      </c>
      <c r="AP148" s="214"/>
      <c r="AQ148" s="214" t="s">
        <v>3639</v>
      </c>
      <c r="AR148" s="214" t="s">
        <v>3522</v>
      </c>
      <c r="AS148" s="214" t="s">
        <v>3523</v>
      </c>
      <c r="AT148" s="214"/>
      <c r="AU148" s="214" t="s">
        <v>739</v>
      </c>
      <c r="AV148" s="214" t="s">
        <v>739</v>
      </c>
      <c r="AW148" s="214" t="s">
        <v>739</v>
      </c>
      <c r="AX148" s="214"/>
      <c r="AY148" s="214" t="s">
        <v>3640</v>
      </c>
      <c r="AZ148" s="214" t="s">
        <v>3641</v>
      </c>
      <c r="BA148" s="214" t="s">
        <v>3642</v>
      </c>
      <c r="BB148" s="214"/>
      <c r="BC148" s="143" t="s">
        <v>727</v>
      </c>
    </row>
    <row r="149" spans="1:55" ht="15" customHeight="1" x14ac:dyDescent="0.25">
      <c r="A149" s="210">
        <v>27</v>
      </c>
      <c r="B149" s="143" t="s">
        <v>3397</v>
      </c>
      <c r="C149" s="143" t="s">
        <v>3511</v>
      </c>
      <c r="D149" s="143" t="s">
        <v>204</v>
      </c>
      <c r="E149" s="143" t="s">
        <v>3606</v>
      </c>
      <c r="F149" s="143" t="s">
        <v>3607</v>
      </c>
      <c r="G149" s="143" t="s">
        <v>730</v>
      </c>
      <c r="H149" s="143" t="s">
        <v>2688</v>
      </c>
      <c r="I149" s="143" t="s">
        <v>3643</v>
      </c>
      <c r="J149" s="217">
        <v>44200</v>
      </c>
      <c r="K149" s="217">
        <v>44561</v>
      </c>
      <c r="L149" s="143" t="s">
        <v>3644</v>
      </c>
      <c r="M149" s="143" t="s">
        <v>3516</v>
      </c>
      <c r="N149" s="143" t="s">
        <v>30</v>
      </c>
      <c r="O149" s="143" t="s">
        <v>3619</v>
      </c>
      <c r="P149" s="143" t="s">
        <v>735</v>
      </c>
      <c r="Q149" s="242">
        <v>60</v>
      </c>
      <c r="R149" s="242">
        <v>15</v>
      </c>
      <c r="S149" s="242">
        <v>15</v>
      </c>
      <c r="T149" s="242">
        <v>15</v>
      </c>
      <c r="U149" s="242">
        <v>15</v>
      </c>
      <c r="V149" s="242">
        <v>15</v>
      </c>
      <c r="W149" s="242" t="s">
        <v>3645</v>
      </c>
      <c r="X149" s="242">
        <v>28</v>
      </c>
      <c r="Y149" s="242" t="s">
        <v>3646</v>
      </c>
      <c r="Z149" s="242">
        <v>27</v>
      </c>
      <c r="AA149" s="242" t="s">
        <v>3647</v>
      </c>
      <c r="AB149" s="212"/>
      <c r="AC149" s="212"/>
      <c r="AD149" s="213">
        <v>44295</v>
      </c>
      <c r="AE149" s="213">
        <v>44379</v>
      </c>
      <c r="AF149" s="213">
        <v>44483</v>
      </c>
      <c r="AG149" s="213"/>
      <c r="AH149" s="75">
        <f t="shared" si="9"/>
        <v>1</v>
      </c>
      <c r="AI149" s="75">
        <f t="shared" si="10"/>
        <v>1</v>
      </c>
      <c r="AJ149" s="75">
        <f t="shared" si="11"/>
        <v>1</v>
      </c>
      <c r="AK149" s="75">
        <f t="shared" si="12"/>
        <v>1</v>
      </c>
      <c r="AL149" s="75" t="s">
        <v>2467</v>
      </c>
      <c r="AM149" s="214" t="s">
        <v>739</v>
      </c>
      <c r="AN149" s="214" t="s">
        <v>739</v>
      </c>
      <c r="AO149" s="214" t="s">
        <v>739</v>
      </c>
      <c r="AP149" s="214"/>
      <c r="AQ149" s="214" t="s">
        <v>3521</v>
      </c>
      <c r="AR149" s="214" t="s">
        <v>3522</v>
      </c>
      <c r="AS149" s="214" t="s">
        <v>3523</v>
      </c>
      <c r="AT149" s="214"/>
      <c r="AU149" s="214" t="s">
        <v>739</v>
      </c>
      <c r="AV149" s="214" t="s">
        <v>739</v>
      </c>
      <c r="AW149" s="214" t="s">
        <v>739</v>
      </c>
      <c r="AX149" s="214"/>
      <c r="AY149" s="214" t="s">
        <v>3648</v>
      </c>
      <c r="AZ149" s="214" t="s">
        <v>3649</v>
      </c>
      <c r="BA149" s="214" t="s">
        <v>3650</v>
      </c>
      <c r="BB149" s="214"/>
      <c r="BC149" s="143" t="s">
        <v>727</v>
      </c>
    </row>
    <row r="150" spans="1:55" ht="15" customHeight="1" x14ac:dyDescent="0.25">
      <c r="A150" s="210">
        <v>28</v>
      </c>
      <c r="B150" s="143" t="s">
        <v>3397</v>
      </c>
      <c r="C150" s="143" t="s">
        <v>3511</v>
      </c>
      <c r="D150" s="143" t="s">
        <v>204</v>
      </c>
      <c r="E150" s="143" t="s">
        <v>3606</v>
      </c>
      <c r="F150" s="143" t="s">
        <v>3607</v>
      </c>
      <c r="G150" s="143" t="s">
        <v>730</v>
      </c>
      <c r="H150" s="143" t="s">
        <v>2688</v>
      </c>
      <c r="I150" s="143" t="s">
        <v>3651</v>
      </c>
      <c r="J150" s="217">
        <v>44228</v>
      </c>
      <c r="K150" s="217">
        <v>44561</v>
      </c>
      <c r="L150" s="143" t="s">
        <v>3652</v>
      </c>
      <c r="M150" s="143" t="s">
        <v>3516</v>
      </c>
      <c r="N150" s="143" t="s">
        <v>30</v>
      </c>
      <c r="O150" s="143" t="s">
        <v>3653</v>
      </c>
      <c r="P150" s="143" t="s">
        <v>735</v>
      </c>
      <c r="Q150" s="242">
        <v>3</v>
      </c>
      <c r="R150" s="242">
        <v>0</v>
      </c>
      <c r="S150" s="242">
        <v>1</v>
      </c>
      <c r="T150" s="242">
        <v>1</v>
      </c>
      <c r="U150" s="242">
        <v>1</v>
      </c>
      <c r="V150" s="242">
        <v>0</v>
      </c>
      <c r="W150" s="242" t="s">
        <v>3654</v>
      </c>
      <c r="X150" s="242">
        <v>0</v>
      </c>
      <c r="Y150" s="242" t="s">
        <v>3655</v>
      </c>
      <c r="Z150" s="242">
        <v>2</v>
      </c>
      <c r="AA150" s="242" t="s">
        <v>3656</v>
      </c>
      <c r="AB150" s="212"/>
      <c r="AC150" s="212"/>
      <c r="AD150" s="213">
        <v>44295</v>
      </c>
      <c r="AE150" s="213">
        <v>44379</v>
      </c>
      <c r="AF150" s="213">
        <v>44483</v>
      </c>
      <c r="AG150" s="213"/>
      <c r="AH150" s="75">
        <f t="shared" si="9"/>
        <v>0.66666666666666663</v>
      </c>
      <c r="AI150" s="75" t="str">
        <f t="shared" si="10"/>
        <v/>
      </c>
      <c r="AJ150" s="75">
        <f t="shared" si="11"/>
        <v>0</v>
      </c>
      <c r="AK150" s="75">
        <f t="shared" si="12"/>
        <v>1</v>
      </c>
      <c r="AL150" s="75" t="s">
        <v>2467</v>
      </c>
      <c r="AM150" s="214" t="s">
        <v>739</v>
      </c>
      <c r="AN150" s="214" t="s">
        <v>739</v>
      </c>
      <c r="AO150" s="214" t="s">
        <v>739</v>
      </c>
      <c r="AP150" s="214"/>
      <c r="AQ150" s="214" t="s">
        <v>3521</v>
      </c>
      <c r="AR150" s="214" t="s">
        <v>3522</v>
      </c>
      <c r="AS150" s="214" t="s">
        <v>3523</v>
      </c>
      <c r="AT150" s="214"/>
      <c r="AU150" s="214" t="s">
        <v>739</v>
      </c>
      <c r="AV150" s="214" t="s">
        <v>739</v>
      </c>
      <c r="AW150" s="214" t="s">
        <v>739</v>
      </c>
      <c r="AX150" s="214"/>
      <c r="AY150" s="214" t="s">
        <v>3657</v>
      </c>
      <c r="AZ150" s="214" t="s">
        <v>3658</v>
      </c>
      <c r="BA150" s="214" t="s">
        <v>3659</v>
      </c>
      <c r="BB150" s="214"/>
      <c r="BC150" s="143" t="s">
        <v>727</v>
      </c>
    </row>
    <row r="151" spans="1:55" ht="15" customHeight="1" x14ac:dyDescent="0.25">
      <c r="A151" s="210">
        <v>29</v>
      </c>
      <c r="B151" s="143" t="s">
        <v>3397</v>
      </c>
      <c r="C151" s="143" t="s">
        <v>3511</v>
      </c>
      <c r="D151" s="143" t="s">
        <v>204</v>
      </c>
      <c r="E151" s="143" t="s">
        <v>3606</v>
      </c>
      <c r="F151" s="143" t="s">
        <v>3607</v>
      </c>
      <c r="G151" s="143" t="s">
        <v>730</v>
      </c>
      <c r="H151" s="143" t="s">
        <v>2688</v>
      </c>
      <c r="I151" s="143" t="s">
        <v>3660</v>
      </c>
      <c r="J151" s="217">
        <v>44228</v>
      </c>
      <c r="K151" s="217">
        <v>44561</v>
      </c>
      <c r="L151" s="143" t="s">
        <v>3661</v>
      </c>
      <c r="M151" s="143" t="s">
        <v>3516</v>
      </c>
      <c r="N151" s="143" t="s">
        <v>30</v>
      </c>
      <c r="O151" s="143" t="s">
        <v>3662</v>
      </c>
      <c r="P151" s="143" t="s">
        <v>735</v>
      </c>
      <c r="Q151" s="242">
        <v>1</v>
      </c>
      <c r="R151" s="242">
        <v>0</v>
      </c>
      <c r="S151" s="242">
        <v>0</v>
      </c>
      <c r="T151" s="242">
        <v>1</v>
      </c>
      <c r="U151" s="242">
        <v>0</v>
      </c>
      <c r="V151" s="242">
        <v>0</v>
      </c>
      <c r="W151" s="242" t="s">
        <v>3663</v>
      </c>
      <c r="X151" s="242">
        <v>0</v>
      </c>
      <c r="Y151" s="242" t="s">
        <v>3664</v>
      </c>
      <c r="Z151" s="242">
        <v>1</v>
      </c>
      <c r="AA151" s="242" t="s">
        <v>3665</v>
      </c>
      <c r="AB151" s="212"/>
      <c r="AC151" s="212"/>
      <c r="AD151" s="213">
        <v>44295</v>
      </c>
      <c r="AE151" s="213">
        <v>44379</v>
      </c>
      <c r="AF151" s="213">
        <v>44483</v>
      </c>
      <c r="AG151" s="213"/>
      <c r="AH151" s="75">
        <f t="shared" si="9"/>
        <v>1</v>
      </c>
      <c r="AI151" s="75" t="str">
        <f t="shared" si="10"/>
        <v/>
      </c>
      <c r="AJ151" s="75" t="str">
        <f t="shared" si="11"/>
        <v/>
      </c>
      <c r="AK151" s="75">
        <f t="shared" si="12"/>
        <v>1</v>
      </c>
      <c r="AL151" s="75" t="s">
        <v>2467</v>
      </c>
      <c r="AM151" s="214" t="s">
        <v>739</v>
      </c>
      <c r="AN151" s="214" t="s">
        <v>739</v>
      </c>
      <c r="AO151" s="214" t="s">
        <v>739</v>
      </c>
      <c r="AP151" s="214"/>
      <c r="AQ151" s="214" t="s">
        <v>3593</v>
      </c>
      <c r="AR151" s="214" t="s">
        <v>3522</v>
      </c>
      <c r="AS151" s="214" t="s">
        <v>3523</v>
      </c>
      <c r="AT151" s="214"/>
      <c r="AU151" s="214" t="s">
        <v>828</v>
      </c>
      <c r="AV151" s="214" t="s">
        <v>739</v>
      </c>
      <c r="AW151" s="214" t="s">
        <v>739</v>
      </c>
      <c r="AX151" s="214"/>
      <c r="AY151" s="214" t="s">
        <v>3666</v>
      </c>
      <c r="AZ151" s="214" t="s">
        <v>3667</v>
      </c>
      <c r="BA151" s="214" t="s">
        <v>3668</v>
      </c>
      <c r="BB151" s="214"/>
      <c r="BC151" s="143" t="s">
        <v>727</v>
      </c>
    </row>
    <row r="152" spans="1:55" ht="15" customHeight="1" x14ac:dyDescent="0.25">
      <c r="A152" s="210">
        <v>30</v>
      </c>
      <c r="B152" s="143" t="s">
        <v>3397</v>
      </c>
      <c r="C152" s="143" t="s">
        <v>2552</v>
      </c>
      <c r="D152" s="143" t="s">
        <v>2583</v>
      </c>
      <c r="E152" s="143" t="s">
        <v>2584</v>
      </c>
      <c r="F152" s="143" t="s">
        <v>793</v>
      </c>
      <c r="G152" s="143" t="s">
        <v>2458</v>
      </c>
      <c r="H152" s="143" t="s">
        <v>731</v>
      </c>
      <c r="I152" s="143" t="s">
        <v>2595</v>
      </c>
      <c r="J152" s="217">
        <v>44228</v>
      </c>
      <c r="K152" s="217">
        <v>44561</v>
      </c>
      <c r="L152" s="143" t="s">
        <v>3669</v>
      </c>
      <c r="M152" s="143" t="s">
        <v>3670</v>
      </c>
      <c r="N152" s="143" t="s">
        <v>60</v>
      </c>
      <c r="O152" s="143" t="s">
        <v>3671</v>
      </c>
      <c r="P152" s="143" t="s">
        <v>735</v>
      </c>
      <c r="Q152" s="215">
        <v>1</v>
      </c>
      <c r="R152" s="215">
        <v>0.1</v>
      </c>
      <c r="S152" s="215">
        <v>0.22</v>
      </c>
      <c r="T152" s="215">
        <v>0.18</v>
      </c>
      <c r="U152" s="215">
        <v>0.5</v>
      </c>
      <c r="V152" s="215">
        <v>0.1</v>
      </c>
      <c r="W152" s="215" t="s">
        <v>3672</v>
      </c>
      <c r="X152" s="215">
        <v>0.22</v>
      </c>
      <c r="Y152" s="215" t="s">
        <v>3673</v>
      </c>
      <c r="Z152" s="215">
        <v>0.23</v>
      </c>
      <c r="AA152" s="215" t="s">
        <v>3674</v>
      </c>
      <c r="AB152" s="212"/>
      <c r="AC152" s="212"/>
      <c r="AD152" s="213">
        <v>44295</v>
      </c>
      <c r="AE152" s="213">
        <v>44379</v>
      </c>
      <c r="AF152" s="213">
        <v>44483</v>
      </c>
      <c r="AG152" s="213"/>
      <c r="AH152" s="75">
        <f t="shared" si="9"/>
        <v>0.55000000000000004</v>
      </c>
      <c r="AI152" s="75">
        <f t="shared" si="10"/>
        <v>1</v>
      </c>
      <c r="AJ152" s="75">
        <f t="shared" si="11"/>
        <v>1</v>
      </c>
      <c r="AK152" s="75">
        <f t="shared" si="12"/>
        <v>1</v>
      </c>
      <c r="AL152" s="75" t="s">
        <v>2467</v>
      </c>
      <c r="AM152" s="214" t="s">
        <v>739</v>
      </c>
      <c r="AN152" s="214" t="s">
        <v>739</v>
      </c>
      <c r="AO152" s="214" t="s">
        <v>739</v>
      </c>
      <c r="AP152" s="214"/>
      <c r="AQ152" s="214" t="s">
        <v>3522</v>
      </c>
      <c r="AR152" s="214" t="s">
        <v>3522</v>
      </c>
      <c r="AS152" s="214" t="s">
        <v>3523</v>
      </c>
      <c r="AT152" s="214"/>
      <c r="AU152" s="214" t="s">
        <v>739</v>
      </c>
      <c r="AV152" s="214" t="s">
        <v>739</v>
      </c>
      <c r="AW152" s="214" t="s">
        <v>739</v>
      </c>
      <c r="AX152" s="214"/>
      <c r="AY152" s="214" t="s">
        <v>3675</v>
      </c>
      <c r="AZ152" s="214" t="s">
        <v>3676</v>
      </c>
      <c r="BA152" s="214" t="s">
        <v>3677</v>
      </c>
      <c r="BB152" s="214"/>
      <c r="BC152" s="143" t="s">
        <v>727</v>
      </c>
    </row>
    <row r="153" spans="1:55" ht="15" customHeight="1" x14ac:dyDescent="0.25">
      <c r="A153" s="210">
        <v>31</v>
      </c>
      <c r="B153" s="143" t="s">
        <v>3397</v>
      </c>
      <c r="C153" s="143" t="s">
        <v>2552</v>
      </c>
      <c r="D153" s="143" t="s">
        <v>2583</v>
      </c>
      <c r="E153" s="143" t="s">
        <v>2584</v>
      </c>
      <c r="F153" s="143" t="s">
        <v>793</v>
      </c>
      <c r="G153" s="143" t="s">
        <v>2458</v>
      </c>
      <c r="H153" s="143" t="s">
        <v>731</v>
      </c>
      <c r="I153" s="143" t="s">
        <v>3678</v>
      </c>
      <c r="J153" s="217">
        <v>44197</v>
      </c>
      <c r="K153" s="217">
        <v>44560</v>
      </c>
      <c r="L153" s="143" t="s">
        <v>3057</v>
      </c>
      <c r="M153" s="143" t="s">
        <v>3670</v>
      </c>
      <c r="N153" s="143" t="s">
        <v>30</v>
      </c>
      <c r="O153" s="143" t="s">
        <v>3058</v>
      </c>
      <c r="P153" s="143" t="s">
        <v>11</v>
      </c>
      <c r="Q153" s="212">
        <v>12</v>
      </c>
      <c r="R153" s="212">
        <v>3</v>
      </c>
      <c r="S153" s="212">
        <v>3</v>
      </c>
      <c r="T153" s="212">
        <v>3</v>
      </c>
      <c r="U153" s="212">
        <v>3</v>
      </c>
      <c r="V153" s="212">
        <v>0</v>
      </c>
      <c r="W153" s="212" t="s">
        <v>3679</v>
      </c>
      <c r="X153" s="212">
        <v>0</v>
      </c>
      <c r="Y153" s="212" t="s">
        <v>3680</v>
      </c>
      <c r="Z153" s="212">
        <v>0</v>
      </c>
      <c r="AA153" s="212" t="s">
        <v>3681</v>
      </c>
      <c r="AB153" s="212"/>
      <c r="AC153" s="212"/>
      <c r="AD153" s="213">
        <v>44295</v>
      </c>
      <c r="AE153" s="213">
        <v>44379</v>
      </c>
      <c r="AF153" s="213">
        <v>44483</v>
      </c>
      <c r="AG153" s="213"/>
      <c r="AH153" s="75">
        <f t="shared" si="9"/>
        <v>0</v>
      </c>
      <c r="AI153" s="75">
        <f t="shared" si="10"/>
        <v>0</v>
      </c>
      <c r="AJ153" s="75">
        <f t="shared" si="11"/>
        <v>0</v>
      </c>
      <c r="AK153" s="75">
        <f t="shared" si="12"/>
        <v>0</v>
      </c>
      <c r="AL153" s="75" t="s">
        <v>2467</v>
      </c>
      <c r="AM153" s="214" t="s">
        <v>739</v>
      </c>
      <c r="AN153" s="214" t="s">
        <v>739</v>
      </c>
      <c r="AO153" s="214" t="s">
        <v>739</v>
      </c>
      <c r="AP153" s="214"/>
      <c r="AQ153" s="214" t="s">
        <v>3682</v>
      </c>
      <c r="AR153" s="214" t="s">
        <v>3522</v>
      </c>
      <c r="AS153" s="214" t="s">
        <v>3523</v>
      </c>
      <c r="AT153" s="214"/>
      <c r="AU153" s="214" t="s">
        <v>739</v>
      </c>
      <c r="AV153" s="214" t="s">
        <v>739</v>
      </c>
      <c r="AW153" s="214" t="s">
        <v>739</v>
      </c>
      <c r="AX153" s="214"/>
      <c r="AY153" s="214" t="s">
        <v>3683</v>
      </c>
      <c r="AZ153" s="214" t="s">
        <v>3684</v>
      </c>
      <c r="BA153" s="214" t="s">
        <v>3685</v>
      </c>
      <c r="BB153" s="214"/>
      <c r="BC153" s="143" t="s">
        <v>727</v>
      </c>
    </row>
    <row r="154" spans="1:55" ht="15" customHeight="1" x14ac:dyDescent="0.25">
      <c r="A154" s="210">
        <v>32</v>
      </c>
      <c r="B154" s="143" t="s">
        <v>3397</v>
      </c>
      <c r="C154" s="143" t="s">
        <v>2459</v>
      </c>
      <c r="D154" s="143" t="s">
        <v>2583</v>
      </c>
      <c r="E154" s="143" t="s">
        <v>2584</v>
      </c>
      <c r="F154" s="143" t="s">
        <v>793</v>
      </c>
      <c r="G154" s="143" t="s">
        <v>2458</v>
      </c>
      <c r="H154" s="143" t="s">
        <v>731</v>
      </c>
      <c r="I154" s="143" t="s">
        <v>2834</v>
      </c>
      <c r="J154" s="217">
        <v>44470</v>
      </c>
      <c r="K154" s="217">
        <v>44561</v>
      </c>
      <c r="L154" s="143" t="s">
        <v>2616</v>
      </c>
      <c r="M154" s="143" t="s">
        <v>3670</v>
      </c>
      <c r="N154" s="143" t="s">
        <v>30</v>
      </c>
      <c r="O154" s="143" t="s">
        <v>2587</v>
      </c>
      <c r="P154" s="143" t="s">
        <v>11</v>
      </c>
      <c r="Q154" s="212">
        <v>2</v>
      </c>
      <c r="R154" s="212">
        <v>0</v>
      </c>
      <c r="S154" s="212">
        <v>0</v>
      </c>
      <c r="T154" s="212">
        <v>0</v>
      </c>
      <c r="U154" s="212">
        <v>2</v>
      </c>
      <c r="V154" s="212">
        <v>0</v>
      </c>
      <c r="W154" s="212" t="s">
        <v>3686</v>
      </c>
      <c r="X154" s="212">
        <v>0</v>
      </c>
      <c r="Y154" s="212" t="s">
        <v>3686</v>
      </c>
      <c r="Z154" s="212">
        <v>0</v>
      </c>
      <c r="AA154" s="212" t="s">
        <v>3686</v>
      </c>
      <c r="AB154" s="212"/>
      <c r="AC154" s="212"/>
      <c r="AD154" s="213">
        <v>44295</v>
      </c>
      <c r="AE154" s="213">
        <v>44379</v>
      </c>
      <c r="AF154" s="213">
        <v>44483</v>
      </c>
      <c r="AG154" s="213"/>
      <c r="AH154" s="75">
        <f t="shared" si="9"/>
        <v>0</v>
      </c>
      <c r="AI154" s="75" t="str">
        <f t="shared" si="10"/>
        <v/>
      </c>
      <c r="AJ154" s="75" t="str">
        <f t="shared" si="11"/>
        <v/>
      </c>
      <c r="AK154" s="75" t="str">
        <f t="shared" si="12"/>
        <v/>
      </c>
      <c r="AL154" s="75" t="s">
        <v>2467</v>
      </c>
      <c r="AM154" s="214" t="s">
        <v>838</v>
      </c>
      <c r="AN154" s="214" t="s">
        <v>838</v>
      </c>
      <c r="AO154" s="214" t="s">
        <v>739</v>
      </c>
      <c r="AP154" s="214"/>
      <c r="AQ154" s="214" t="s">
        <v>3687</v>
      </c>
      <c r="AR154" s="214" t="s">
        <v>3688</v>
      </c>
      <c r="AS154" s="214" t="s">
        <v>3689</v>
      </c>
      <c r="AT154" s="214"/>
      <c r="AU154" s="214" t="s">
        <v>838</v>
      </c>
      <c r="AV154" s="214" t="s">
        <v>838</v>
      </c>
      <c r="AW154" s="214" t="s">
        <v>838</v>
      </c>
      <c r="AX154" s="214"/>
      <c r="AY154" s="214" t="s">
        <v>3690</v>
      </c>
      <c r="AZ154" s="214" t="s">
        <v>3690</v>
      </c>
      <c r="BA154" s="214" t="s">
        <v>3691</v>
      </c>
      <c r="BB154" s="214"/>
      <c r="BC154" s="143" t="s">
        <v>727</v>
      </c>
    </row>
    <row r="155" spans="1:55" ht="15" customHeight="1" x14ac:dyDescent="0.25">
      <c r="A155" s="210">
        <v>33</v>
      </c>
      <c r="B155" s="143" t="s">
        <v>3397</v>
      </c>
      <c r="C155" s="143" t="s">
        <v>2459</v>
      </c>
      <c r="D155" s="143" t="s">
        <v>2583</v>
      </c>
      <c r="E155" s="143" t="s">
        <v>2584</v>
      </c>
      <c r="F155" s="143" t="s">
        <v>793</v>
      </c>
      <c r="G155" s="143" t="s">
        <v>2458</v>
      </c>
      <c r="H155" s="143" t="s">
        <v>731</v>
      </c>
      <c r="I155" s="143" t="s">
        <v>2837</v>
      </c>
      <c r="J155" s="217">
        <v>44317</v>
      </c>
      <c r="K155" s="217">
        <v>44561</v>
      </c>
      <c r="L155" s="143" t="s">
        <v>2649</v>
      </c>
      <c r="M155" s="143" t="s">
        <v>3670</v>
      </c>
      <c r="N155" s="143" t="s">
        <v>30</v>
      </c>
      <c r="O155" s="143" t="s">
        <v>2587</v>
      </c>
      <c r="P155" s="143" t="s">
        <v>11</v>
      </c>
      <c r="Q155" s="212">
        <v>4</v>
      </c>
      <c r="R155" s="212">
        <v>0</v>
      </c>
      <c r="S155" s="212">
        <v>2</v>
      </c>
      <c r="T155" s="212">
        <v>1</v>
      </c>
      <c r="U155" s="212">
        <v>1</v>
      </c>
      <c r="V155" s="212">
        <v>1</v>
      </c>
      <c r="W155" s="212" t="s">
        <v>3692</v>
      </c>
      <c r="X155" s="212">
        <v>2</v>
      </c>
      <c r="Y155" s="212" t="s">
        <v>3693</v>
      </c>
      <c r="Z155" s="212">
        <v>2</v>
      </c>
      <c r="AA155" s="212" t="s">
        <v>3694</v>
      </c>
      <c r="AB155" s="215"/>
      <c r="AC155" s="215"/>
      <c r="AD155" s="213">
        <v>44295</v>
      </c>
      <c r="AE155" s="213">
        <v>44379</v>
      </c>
      <c r="AF155" s="213">
        <v>44483</v>
      </c>
      <c r="AG155" s="213"/>
      <c r="AH155" s="75">
        <f t="shared" si="9"/>
        <v>1</v>
      </c>
      <c r="AI155" s="75" t="str">
        <f t="shared" si="10"/>
        <v/>
      </c>
      <c r="AJ155" s="75">
        <f t="shared" si="11"/>
        <v>1</v>
      </c>
      <c r="AK155" s="75">
        <f t="shared" si="12"/>
        <v>1</v>
      </c>
      <c r="AL155" s="75" t="s">
        <v>2467</v>
      </c>
      <c r="AM155" s="214" t="s">
        <v>739</v>
      </c>
      <c r="AN155" s="214" t="s">
        <v>739</v>
      </c>
      <c r="AO155" s="214" t="s">
        <v>739</v>
      </c>
      <c r="AP155" s="214"/>
      <c r="AQ155" s="214" t="s">
        <v>3695</v>
      </c>
      <c r="AR155" s="214" t="s">
        <v>3522</v>
      </c>
      <c r="AS155" s="214" t="s">
        <v>3523</v>
      </c>
      <c r="AT155" s="214"/>
      <c r="AU155" s="214" t="s">
        <v>739</v>
      </c>
      <c r="AV155" s="214" t="s">
        <v>739</v>
      </c>
      <c r="AW155" s="214" t="s">
        <v>739</v>
      </c>
      <c r="AX155" s="214"/>
      <c r="AY155" s="214" t="s">
        <v>3696</v>
      </c>
      <c r="AZ155" s="214" t="s">
        <v>3697</v>
      </c>
      <c r="BA155" s="214" t="s">
        <v>3698</v>
      </c>
      <c r="BB155" s="214"/>
      <c r="BC155" s="143" t="s">
        <v>727</v>
      </c>
    </row>
    <row r="156" spans="1:55" ht="15" customHeight="1" x14ac:dyDescent="0.25">
      <c r="A156" s="210">
        <v>34</v>
      </c>
      <c r="B156" s="143" t="s">
        <v>3397</v>
      </c>
      <c r="C156" s="143" t="s">
        <v>2459</v>
      </c>
      <c r="D156" s="143" t="s">
        <v>2583</v>
      </c>
      <c r="E156" s="143" t="s">
        <v>2584</v>
      </c>
      <c r="F156" s="143" t="s">
        <v>793</v>
      </c>
      <c r="G156" s="143" t="s">
        <v>2458</v>
      </c>
      <c r="H156" s="143" t="s">
        <v>731</v>
      </c>
      <c r="I156" s="143" t="s">
        <v>2829</v>
      </c>
      <c r="J156" s="217">
        <v>44197</v>
      </c>
      <c r="K156" s="217">
        <v>44560</v>
      </c>
      <c r="L156" s="143" t="s">
        <v>3057</v>
      </c>
      <c r="M156" s="143" t="s">
        <v>3670</v>
      </c>
      <c r="N156" s="143" t="s">
        <v>30</v>
      </c>
      <c r="O156" s="143" t="s">
        <v>3058</v>
      </c>
      <c r="P156" s="143" t="s">
        <v>11</v>
      </c>
      <c r="Q156" s="212">
        <v>12</v>
      </c>
      <c r="R156" s="212">
        <v>3</v>
      </c>
      <c r="S156" s="212">
        <v>3</v>
      </c>
      <c r="T156" s="212">
        <v>3</v>
      </c>
      <c r="U156" s="212">
        <v>3</v>
      </c>
      <c r="V156" s="212">
        <v>0</v>
      </c>
      <c r="W156" s="212" t="s">
        <v>3465</v>
      </c>
      <c r="X156" s="212">
        <v>0</v>
      </c>
      <c r="Y156" s="212" t="s">
        <v>3465</v>
      </c>
      <c r="Z156" s="212">
        <v>9</v>
      </c>
      <c r="AA156" s="212" t="s">
        <v>3699</v>
      </c>
      <c r="AB156" s="212"/>
      <c r="AC156" s="212"/>
      <c r="AD156" s="213">
        <v>44295</v>
      </c>
      <c r="AE156" s="213">
        <v>44379</v>
      </c>
      <c r="AF156" s="213">
        <v>44483</v>
      </c>
      <c r="AG156" s="213"/>
      <c r="AH156" s="75">
        <f t="shared" si="9"/>
        <v>0.75</v>
      </c>
      <c r="AI156" s="75">
        <f t="shared" si="10"/>
        <v>0</v>
      </c>
      <c r="AJ156" s="75">
        <f t="shared" si="11"/>
        <v>0</v>
      </c>
      <c r="AK156" s="75">
        <f t="shared" si="12"/>
        <v>1</v>
      </c>
      <c r="AL156" s="75" t="s">
        <v>2467</v>
      </c>
      <c r="AM156" s="214" t="s">
        <v>828</v>
      </c>
      <c r="AN156" s="214" t="s">
        <v>828</v>
      </c>
      <c r="AO156" s="214" t="s">
        <v>739</v>
      </c>
      <c r="AP156" s="214"/>
      <c r="AQ156" s="214" t="s">
        <v>3700</v>
      </c>
      <c r="AR156" s="214" t="s">
        <v>3700</v>
      </c>
      <c r="AS156" s="214" t="s">
        <v>3523</v>
      </c>
      <c r="AT156" s="214"/>
      <c r="AU156" s="214" t="s">
        <v>828</v>
      </c>
      <c r="AV156" s="214" t="s">
        <v>828</v>
      </c>
      <c r="AW156" s="214" t="s">
        <v>739</v>
      </c>
      <c r="AX156" s="214"/>
      <c r="AY156" s="214" t="s">
        <v>3701</v>
      </c>
      <c r="AZ156" s="214" t="s">
        <v>3702</v>
      </c>
      <c r="BA156" s="214" t="s">
        <v>3703</v>
      </c>
      <c r="BB156" s="214"/>
      <c r="BC156" s="143" t="s">
        <v>727</v>
      </c>
    </row>
    <row r="157" spans="1:55" ht="15" customHeight="1" x14ac:dyDescent="0.25">
      <c r="A157" s="210">
        <v>35</v>
      </c>
      <c r="B157" s="143" t="s">
        <v>3397</v>
      </c>
      <c r="C157" s="143" t="s">
        <v>3704</v>
      </c>
      <c r="D157" s="143" t="s">
        <v>3705</v>
      </c>
      <c r="E157" s="143" t="s">
        <v>3606</v>
      </c>
      <c r="F157" s="143" t="s">
        <v>3706</v>
      </c>
      <c r="G157" s="143" t="s">
        <v>730</v>
      </c>
      <c r="H157" s="143" t="s">
        <v>2688</v>
      </c>
      <c r="I157" s="143" t="s">
        <v>3707</v>
      </c>
      <c r="J157" s="217">
        <v>44228</v>
      </c>
      <c r="K157" s="217">
        <v>44561</v>
      </c>
      <c r="L157" s="143" t="s">
        <v>3708</v>
      </c>
      <c r="M157" s="143" t="s">
        <v>3709</v>
      </c>
      <c r="N157" s="143" t="s">
        <v>30</v>
      </c>
      <c r="O157" s="143" t="s">
        <v>3710</v>
      </c>
      <c r="P157" s="143" t="s">
        <v>735</v>
      </c>
      <c r="Q157" s="243">
        <v>50</v>
      </c>
      <c r="R157" s="243">
        <v>5</v>
      </c>
      <c r="S157" s="243">
        <v>15</v>
      </c>
      <c r="T157" s="243">
        <v>15</v>
      </c>
      <c r="U157" s="243">
        <v>15</v>
      </c>
      <c r="V157" s="243">
        <v>0</v>
      </c>
      <c r="W157" s="243" t="s">
        <v>3711</v>
      </c>
      <c r="X157" s="243">
        <v>0</v>
      </c>
      <c r="Y157" s="243" t="s">
        <v>3712</v>
      </c>
      <c r="Z157" s="243">
        <v>0</v>
      </c>
      <c r="AA157" s="243" t="s">
        <v>3713</v>
      </c>
      <c r="AB157" s="215"/>
      <c r="AC157" s="215"/>
      <c r="AD157" s="213">
        <v>44295</v>
      </c>
      <c r="AE157" s="213">
        <v>44379</v>
      </c>
      <c r="AF157" s="213">
        <v>44483</v>
      </c>
      <c r="AG157" s="213"/>
      <c r="AH157" s="75">
        <f t="shared" si="9"/>
        <v>0</v>
      </c>
      <c r="AI157" s="75">
        <f t="shared" si="10"/>
        <v>0</v>
      </c>
      <c r="AJ157" s="75">
        <f t="shared" si="11"/>
        <v>0</v>
      </c>
      <c r="AK157" s="75">
        <f t="shared" si="12"/>
        <v>0</v>
      </c>
      <c r="AL157" s="75" t="s">
        <v>2467</v>
      </c>
      <c r="AM157" s="214" t="s">
        <v>739</v>
      </c>
      <c r="AN157" s="214" t="s">
        <v>739</v>
      </c>
      <c r="AO157" s="214" t="s">
        <v>739</v>
      </c>
      <c r="AP157" s="214"/>
      <c r="AQ157" s="214" t="s">
        <v>3714</v>
      </c>
      <c r="AR157" s="214" t="s">
        <v>3715</v>
      </c>
      <c r="AS157" s="214" t="s">
        <v>3523</v>
      </c>
      <c r="AT157" s="214"/>
      <c r="AU157" s="214" t="s">
        <v>739</v>
      </c>
      <c r="AV157" s="214" t="s">
        <v>739</v>
      </c>
      <c r="AW157" s="214" t="s">
        <v>739</v>
      </c>
      <c r="AX157" s="214"/>
      <c r="AY157" s="214" t="s">
        <v>3716</v>
      </c>
      <c r="AZ157" s="214" t="s">
        <v>3717</v>
      </c>
      <c r="BA157" s="214" t="s">
        <v>3718</v>
      </c>
      <c r="BB157" s="214"/>
      <c r="BC157" s="143" t="s">
        <v>727</v>
      </c>
    </row>
    <row r="158" spans="1:55" ht="15" customHeight="1" x14ac:dyDescent="0.25">
      <c r="A158" s="210">
        <v>36</v>
      </c>
      <c r="B158" s="143" t="s">
        <v>3397</v>
      </c>
      <c r="C158" s="143" t="s">
        <v>3704</v>
      </c>
      <c r="D158" s="143" t="s">
        <v>3719</v>
      </c>
      <c r="E158" s="143" t="s">
        <v>728</v>
      </c>
      <c r="F158" s="143" t="s">
        <v>3513</v>
      </c>
      <c r="G158" s="143" t="s">
        <v>730</v>
      </c>
      <c r="H158" s="143" t="s">
        <v>2688</v>
      </c>
      <c r="I158" s="143" t="s">
        <v>3720</v>
      </c>
      <c r="J158" s="217">
        <v>44200</v>
      </c>
      <c r="K158" s="217">
        <v>44561</v>
      </c>
      <c r="L158" s="143" t="s">
        <v>3721</v>
      </c>
      <c r="M158" s="143" t="s">
        <v>3709</v>
      </c>
      <c r="N158" s="143" t="s">
        <v>30</v>
      </c>
      <c r="O158" s="143" t="s">
        <v>3722</v>
      </c>
      <c r="P158" s="143" t="s">
        <v>735</v>
      </c>
      <c r="Q158" s="243">
        <v>23</v>
      </c>
      <c r="R158" s="243">
        <v>2</v>
      </c>
      <c r="S158" s="243">
        <v>7</v>
      </c>
      <c r="T158" s="243">
        <v>7</v>
      </c>
      <c r="U158" s="243">
        <v>7</v>
      </c>
      <c r="V158" s="243">
        <v>3</v>
      </c>
      <c r="W158" s="243" t="s">
        <v>3723</v>
      </c>
      <c r="X158" s="243">
        <v>3</v>
      </c>
      <c r="Y158" s="243" t="s">
        <v>3724</v>
      </c>
      <c r="Z158" s="243">
        <v>1</v>
      </c>
      <c r="AA158" s="243" t="s">
        <v>3725</v>
      </c>
      <c r="AB158" s="215"/>
      <c r="AC158" s="215"/>
      <c r="AD158" s="213">
        <v>44295</v>
      </c>
      <c r="AE158" s="213">
        <v>44379</v>
      </c>
      <c r="AF158" s="213">
        <v>44483</v>
      </c>
      <c r="AG158" s="213"/>
      <c r="AH158" s="75">
        <f t="shared" si="9"/>
        <v>0.30434782608695654</v>
      </c>
      <c r="AI158" s="75">
        <f t="shared" si="10"/>
        <v>1</v>
      </c>
      <c r="AJ158" s="75">
        <f t="shared" si="11"/>
        <v>1</v>
      </c>
      <c r="AK158" s="75">
        <f t="shared" si="12"/>
        <v>1</v>
      </c>
      <c r="AL158" s="75" t="s">
        <v>2467</v>
      </c>
      <c r="AM158" s="214" t="s">
        <v>739</v>
      </c>
      <c r="AN158" s="214" t="s">
        <v>739</v>
      </c>
      <c r="AO158" s="214" t="s">
        <v>739</v>
      </c>
      <c r="AP158" s="214"/>
      <c r="AQ158" s="214" t="s">
        <v>3522</v>
      </c>
      <c r="AR158" s="214" t="s">
        <v>3522</v>
      </c>
      <c r="AS158" s="214" t="s">
        <v>3523</v>
      </c>
      <c r="AT158" s="214"/>
      <c r="AU158" s="214" t="s">
        <v>739</v>
      </c>
      <c r="AV158" s="214" t="s">
        <v>739</v>
      </c>
      <c r="AW158" s="214" t="s">
        <v>828</v>
      </c>
      <c r="AX158" s="214"/>
      <c r="AY158" s="214" t="s">
        <v>3726</v>
      </c>
      <c r="AZ158" s="214" t="s">
        <v>3727</v>
      </c>
      <c r="BA158" s="214" t="s">
        <v>3728</v>
      </c>
      <c r="BB158" s="214"/>
      <c r="BC158" s="143" t="s">
        <v>727</v>
      </c>
    </row>
    <row r="159" spans="1:55" ht="15" customHeight="1" x14ac:dyDescent="0.25">
      <c r="A159" s="210">
        <v>37</v>
      </c>
      <c r="B159" s="143" t="s">
        <v>3397</v>
      </c>
      <c r="C159" s="143" t="s">
        <v>3704</v>
      </c>
      <c r="D159" s="143" t="s">
        <v>3719</v>
      </c>
      <c r="E159" s="143" t="s">
        <v>728</v>
      </c>
      <c r="F159" s="143" t="s">
        <v>3513</v>
      </c>
      <c r="G159" s="143" t="s">
        <v>730</v>
      </c>
      <c r="H159" s="143" t="s">
        <v>2688</v>
      </c>
      <c r="I159" s="143" t="s">
        <v>3729</v>
      </c>
      <c r="J159" s="217">
        <v>44228</v>
      </c>
      <c r="K159" s="217">
        <v>44561</v>
      </c>
      <c r="L159" s="143" t="s">
        <v>3730</v>
      </c>
      <c r="M159" s="143" t="s">
        <v>3709</v>
      </c>
      <c r="N159" s="143" t="s">
        <v>30</v>
      </c>
      <c r="O159" s="143" t="s">
        <v>3731</v>
      </c>
      <c r="P159" s="143" t="s">
        <v>735</v>
      </c>
      <c r="Q159" s="243">
        <v>6</v>
      </c>
      <c r="R159" s="243">
        <v>1</v>
      </c>
      <c r="S159" s="243">
        <v>1</v>
      </c>
      <c r="T159" s="243">
        <v>2</v>
      </c>
      <c r="U159" s="243">
        <v>2</v>
      </c>
      <c r="V159" s="243">
        <v>0</v>
      </c>
      <c r="W159" s="243" t="s">
        <v>3732</v>
      </c>
      <c r="X159" s="243">
        <v>6</v>
      </c>
      <c r="Y159" s="243" t="s">
        <v>3733</v>
      </c>
      <c r="Z159" s="243">
        <v>0</v>
      </c>
      <c r="AA159" s="243" t="s">
        <v>3734</v>
      </c>
      <c r="AB159" s="215"/>
      <c r="AC159" s="215"/>
      <c r="AD159" s="213">
        <v>44295</v>
      </c>
      <c r="AE159" s="213">
        <v>44379</v>
      </c>
      <c r="AF159" s="213">
        <v>44483</v>
      </c>
      <c r="AG159" s="213"/>
      <c r="AH159" s="75">
        <f t="shared" si="9"/>
        <v>1</v>
      </c>
      <c r="AI159" s="75">
        <f t="shared" si="10"/>
        <v>0</v>
      </c>
      <c r="AJ159" s="75">
        <f t="shared" si="11"/>
        <v>1</v>
      </c>
      <c r="AK159" s="75">
        <f t="shared" si="12"/>
        <v>1</v>
      </c>
      <c r="AL159" s="75" t="s">
        <v>2467</v>
      </c>
      <c r="AM159" s="214" t="s">
        <v>739</v>
      </c>
      <c r="AN159" s="214" t="s">
        <v>739</v>
      </c>
      <c r="AO159" s="214" t="s">
        <v>739</v>
      </c>
      <c r="AP159" s="214"/>
      <c r="AQ159" s="214" t="s">
        <v>3715</v>
      </c>
      <c r="AR159" s="214" t="s">
        <v>3522</v>
      </c>
      <c r="AS159" s="214" t="s">
        <v>3523</v>
      </c>
      <c r="AT159" s="214"/>
      <c r="AU159" s="214" t="s">
        <v>739</v>
      </c>
      <c r="AV159" s="214" t="s">
        <v>739</v>
      </c>
      <c r="AW159" s="214" t="s">
        <v>739</v>
      </c>
      <c r="AX159" s="214"/>
      <c r="AY159" s="214" t="s">
        <v>3735</v>
      </c>
      <c r="AZ159" s="214" t="s">
        <v>3736</v>
      </c>
      <c r="BA159" s="214" t="s">
        <v>3737</v>
      </c>
      <c r="BB159" s="214"/>
      <c r="BC159" s="143" t="s">
        <v>727</v>
      </c>
    </row>
    <row r="160" spans="1:55" ht="15" customHeight="1" x14ac:dyDescent="0.25">
      <c r="A160" s="210">
        <v>38</v>
      </c>
      <c r="B160" s="143" t="s">
        <v>3397</v>
      </c>
      <c r="C160" s="143" t="s">
        <v>3704</v>
      </c>
      <c r="D160" s="143" t="s">
        <v>3719</v>
      </c>
      <c r="E160" s="143" t="s">
        <v>728</v>
      </c>
      <c r="F160" s="143" t="s">
        <v>3513</v>
      </c>
      <c r="G160" s="143" t="s">
        <v>730</v>
      </c>
      <c r="H160" s="143" t="s">
        <v>2688</v>
      </c>
      <c r="I160" s="143" t="s">
        <v>3738</v>
      </c>
      <c r="J160" s="217">
        <v>44200</v>
      </c>
      <c r="K160" s="217">
        <v>44561</v>
      </c>
      <c r="L160" s="143" t="s">
        <v>3739</v>
      </c>
      <c r="M160" s="143" t="s">
        <v>3709</v>
      </c>
      <c r="N160" s="143" t="s">
        <v>30</v>
      </c>
      <c r="O160" s="143" t="s">
        <v>3731</v>
      </c>
      <c r="P160" s="143" t="s">
        <v>735</v>
      </c>
      <c r="Q160" s="243">
        <v>18</v>
      </c>
      <c r="R160" s="243">
        <v>2</v>
      </c>
      <c r="S160" s="243">
        <v>5</v>
      </c>
      <c r="T160" s="243">
        <v>5</v>
      </c>
      <c r="U160" s="243">
        <v>6</v>
      </c>
      <c r="V160" s="243">
        <v>5</v>
      </c>
      <c r="W160" s="243" t="s">
        <v>3740</v>
      </c>
      <c r="X160" s="243">
        <v>11</v>
      </c>
      <c r="Y160" s="243" t="s">
        <v>3741</v>
      </c>
      <c r="Z160" s="243">
        <v>10</v>
      </c>
      <c r="AA160" s="243" t="s">
        <v>3742</v>
      </c>
      <c r="AB160" s="222"/>
      <c r="AC160" s="222"/>
      <c r="AD160" s="213">
        <v>44295</v>
      </c>
      <c r="AE160" s="213">
        <v>44379</v>
      </c>
      <c r="AF160" s="213">
        <v>44483</v>
      </c>
      <c r="AG160" s="213"/>
      <c r="AH160" s="75">
        <f t="shared" si="9"/>
        <v>1</v>
      </c>
      <c r="AI160" s="75">
        <f t="shared" si="10"/>
        <v>1</v>
      </c>
      <c r="AJ160" s="75">
        <f t="shared" si="11"/>
        <v>1</v>
      </c>
      <c r="AK160" s="75">
        <f t="shared" si="12"/>
        <v>1</v>
      </c>
      <c r="AL160" s="75" t="s">
        <v>2467</v>
      </c>
      <c r="AM160" s="214" t="s">
        <v>739</v>
      </c>
      <c r="AN160" s="214" t="s">
        <v>739</v>
      </c>
      <c r="AO160" s="214" t="s">
        <v>739</v>
      </c>
      <c r="AP160" s="214"/>
      <c r="AQ160" s="214" t="s">
        <v>3522</v>
      </c>
      <c r="AR160" s="214" t="s">
        <v>3522</v>
      </c>
      <c r="AS160" s="214" t="s">
        <v>3523</v>
      </c>
      <c r="AT160" s="214"/>
      <c r="AU160" s="214" t="s">
        <v>739</v>
      </c>
      <c r="AV160" s="214" t="s">
        <v>739</v>
      </c>
      <c r="AW160" s="214" t="s">
        <v>739</v>
      </c>
      <c r="AX160" s="214"/>
      <c r="AY160" s="214" t="s">
        <v>3743</v>
      </c>
      <c r="AZ160" s="214" t="s">
        <v>3744</v>
      </c>
      <c r="BA160" s="214" t="s">
        <v>3745</v>
      </c>
      <c r="BB160" s="214"/>
      <c r="BC160" s="143" t="s">
        <v>727</v>
      </c>
    </row>
    <row r="161" spans="1:55" ht="15" customHeight="1" x14ac:dyDescent="0.25">
      <c r="A161" s="210">
        <v>39</v>
      </c>
      <c r="B161" s="143" t="s">
        <v>3397</v>
      </c>
      <c r="C161" s="143" t="s">
        <v>3704</v>
      </c>
      <c r="D161" s="143" t="s">
        <v>3719</v>
      </c>
      <c r="E161" s="143" t="s">
        <v>728</v>
      </c>
      <c r="F161" s="143" t="s">
        <v>3513</v>
      </c>
      <c r="G161" s="143" t="s">
        <v>730</v>
      </c>
      <c r="H161" s="143" t="s">
        <v>2688</v>
      </c>
      <c r="I161" s="143" t="s">
        <v>3746</v>
      </c>
      <c r="J161" s="217">
        <v>44228</v>
      </c>
      <c r="K161" s="217">
        <v>44561</v>
      </c>
      <c r="L161" s="143" t="s">
        <v>3747</v>
      </c>
      <c r="M161" s="143" t="s">
        <v>3709</v>
      </c>
      <c r="N161" s="143" t="s">
        <v>30</v>
      </c>
      <c r="O161" s="143" t="s">
        <v>3748</v>
      </c>
      <c r="P161" s="143" t="s">
        <v>735</v>
      </c>
      <c r="Q161" s="243">
        <v>14400</v>
      </c>
      <c r="R161" s="243">
        <v>1440</v>
      </c>
      <c r="S161" s="243">
        <v>4320</v>
      </c>
      <c r="T161" s="243">
        <v>4320</v>
      </c>
      <c r="U161" s="243">
        <v>4320</v>
      </c>
      <c r="V161" s="243">
        <v>3301</v>
      </c>
      <c r="W161" s="243" t="s">
        <v>3749</v>
      </c>
      <c r="X161" s="243">
        <v>4331</v>
      </c>
      <c r="Y161" s="243" t="s">
        <v>3750</v>
      </c>
      <c r="Z161" s="243">
        <v>4809</v>
      </c>
      <c r="AA161" s="243" t="s">
        <v>3751</v>
      </c>
      <c r="AB161" s="222"/>
      <c r="AC161" s="222"/>
      <c r="AD161" s="213">
        <v>44295</v>
      </c>
      <c r="AE161" s="213">
        <v>44379</v>
      </c>
      <c r="AF161" s="213">
        <v>44483</v>
      </c>
      <c r="AG161" s="213"/>
      <c r="AH161" s="75">
        <f t="shared" si="9"/>
        <v>0.86395833333333338</v>
      </c>
      <c r="AI161" s="75">
        <f t="shared" si="10"/>
        <v>1</v>
      </c>
      <c r="AJ161" s="75">
        <f t="shared" si="11"/>
        <v>1</v>
      </c>
      <c r="AK161" s="75">
        <f t="shared" si="12"/>
        <v>1</v>
      </c>
      <c r="AL161" s="75" t="s">
        <v>2467</v>
      </c>
      <c r="AM161" s="214" t="s">
        <v>739</v>
      </c>
      <c r="AN161" s="214" t="s">
        <v>739</v>
      </c>
      <c r="AO161" s="214" t="s">
        <v>739</v>
      </c>
      <c r="AP161" s="214"/>
      <c r="AQ161" s="214" t="s">
        <v>3521</v>
      </c>
      <c r="AR161" s="214" t="s">
        <v>3522</v>
      </c>
      <c r="AS161" s="214" t="s">
        <v>3523</v>
      </c>
      <c r="AT161" s="214"/>
      <c r="AU161" s="214" t="s">
        <v>739</v>
      </c>
      <c r="AV161" s="214" t="s">
        <v>739</v>
      </c>
      <c r="AW161" s="214" t="s">
        <v>739</v>
      </c>
      <c r="AX161" s="214"/>
      <c r="AY161" s="214" t="s">
        <v>3752</v>
      </c>
      <c r="AZ161" s="214" t="s">
        <v>3753</v>
      </c>
      <c r="BA161" s="214" t="s">
        <v>3754</v>
      </c>
      <c r="BB161" s="214"/>
      <c r="BC161" s="143" t="s">
        <v>727</v>
      </c>
    </row>
    <row r="162" spans="1:55" ht="15" customHeight="1" x14ac:dyDescent="0.25">
      <c r="A162" s="210">
        <v>40</v>
      </c>
      <c r="B162" s="143" t="s">
        <v>3397</v>
      </c>
      <c r="C162" s="143" t="s">
        <v>3704</v>
      </c>
      <c r="D162" s="143" t="s">
        <v>3719</v>
      </c>
      <c r="E162" s="143" t="s">
        <v>728</v>
      </c>
      <c r="F162" s="143" t="s">
        <v>3513</v>
      </c>
      <c r="G162" s="143" t="s">
        <v>730</v>
      </c>
      <c r="H162" s="143" t="s">
        <v>2688</v>
      </c>
      <c r="I162" s="143" t="s">
        <v>3755</v>
      </c>
      <c r="J162" s="217">
        <v>44228</v>
      </c>
      <c r="K162" s="217">
        <v>44561</v>
      </c>
      <c r="L162" s="143" t="s">
        <v>3756</v>
      </c>
      <c r="M162" s="143" t="s">
        <v>3709</v>
      </c>
      <c r="N162" s="143" t="s">
        <v>30</v>
      </c>
      <c r="O162" s="143" t="s">
        <v>3757</v>
      </c>
      <c r="P162" s="143" t="s">
        <v>735</v>
      </c>
      <c r="Q162" s="243">
        <v>52</v>
      </c>
      <c r="R162" s="243">
        <v>13</v>
      </c>
      <c r="S162" s="243">
        <v>13</v>
      </c>
      <c r="T162" s="243">
        <v>13</v>
      </c>
      <c r="U162" s="243">
        <v>13</v>
      </c>
      <c r="V162" s="243">
        <v>13</v>
      </c>
      <c r="W162" s="243" t="s">
        <v>3758</v>
      </c>
      <c r="X162" s="243">
        <v>13</v>
      </c>
      <c r="Y162" s="243" t="s">
        <v>3759</v>
      </c>
      <c r="Z162" s="243">
        <v>12</v>
      </c>
      <c r="AA162" s="243" t="s">
        <v>3760</v>
      </c>
      <c r="AB162" s="222"/>
      <c r="AC162" s="222"/>
      <c r="AD162" s="213">
        <v>44295</v>
      </c>
      <c r="AE162" s="213">
        <v>44379</v>
      </c>
      <c r="AF162" s="213">
        <v>44483</v>
      </c>
      <c r="AG162" s="213"/>
      <c r="AH162" s="75">
        <f t="shared" si="9"/>
        <v>0.73076923076923073</v>
      </c>
      <c r="AI162" s="75">
        <f t="shared" si="10"/>
        <v>1</v>
      </c>
      <c r="AJ162" s="75">
        <f t="shared" si="11"/>
        <v>1</v>
      </c>
      <c r="AK162" s="75">
        <f t="shared" si="12"/>
        <v>1</v>
      </c>
      <c r="AL162" s="75" t="s">
        <v>2467</v>
      </c>
      <c r="AM162" s="214" t="s">
        <v>739</v>
      </c>
      <c r="AN162" s="214" t="s">
        <v>739</v>
      </c>
      <c r="AO162" s="214" t="s">
        <v>739</v>
      </c>
      <c r="AP162" s="214"/>
      <c r="AQ162" s="214" t="s">
        <v>3521</v>
      </c>
      <c r="AR162" s="214" t="s">
        <v>3522</v>
      </c>
      <c r="AS162" s="214" t="s">
        <v>3523</v>
      </c>
      <c r="AT162" s="214"/>
      <c r="AU162" s="214" t="s">
        <v>739</v>
      </c>
      <c r="AV162" s="214" t="s">
        <v>739</v>
      </c>
      <c r="AW162" s="214" t="s">
        <v>739</v>
      </c>
      <c r="AX162" s="214"/>
      <c r="AY162" s="214" t="s">
        <v>3761</v>
      </c>
      <c r="AZ162" s="214" t="s">
        <v>3762</v>
      </c>
      <c r="BA162" s="214" t="s">
        <v>3763</v>
      </c>
      <c r="BB162" s="214"/>
      <c r="BC162" s="143" t="s">
        <v>727</v>
      </c>
    </row>
    <row r="163" spans="1:55" ht="15" customHeight="1" x14ac:dyDescent="0.25">
      <c r="A163" s="210">
        <v>41</v>
      </c>
      <c r="B163" s="143" t="s">
        <v>3397</v>
      </c>
      <c r="C163" s="143" t="s">
        <v>3704</v>
      </c>
      <c r="D163" s="143" t="s">
        <v>3719</v>
      </c>
      <c r="E163" s="143" t="s">
        <v>728</v>
      </c>
      <c r="F163" s="143" t="s">
        <v>3513</v>
      </c>
      <c r="G163" s="143" t="s">
        <v>730</v>
      </c>
      <c r="H163" s="143" t="s">
        <v>2688</v>
      </c>
      <c r="I163" s="143" t="s">
        <v>3764</v>
      </c>
      <c r="J163" s="217">
        <v>44228</v>
      </c>
      <c r="K163" s="217">
        <v>44561</v>
      </c>
      <c r="L163" s="143" t="s">
        <v>3765</v>
      </c>
      <c r="M163" s="143" t="s">
        <v>3709</v>
      </c>
      <c r="N163" s="143" t="s">
        <v>30</v>
      </c>
      <c r="O163" s="143" t="s">
        <v>3766</v>
      </c>
      <c r="P163" s="143" t="s">
        <v>735</v>
      </c>
      <c r="Q163" s="243">
        <v>27</v>
      </c>
      <c r="R163" s="243">
        <v>3</v>
      </c>
      <c r="S163" s="243">
        <v>8</v>
      </c>
      <c r="T163" s="243">
        <v>8</v>
      </c>
      <c r="U163" s="243">
        <v>8</v>
      </c>
      <c r="V163" s="243">
        <v>10</v>
      </c>
      <c r="W163" s="243" t="s">
        <v>3767</v>
      </c>
      <c r="X163" s="243">
        <v>0</v>
      </c>
      <c r="Y163" s="243" t="s">
        <v>3768</v>
      </c>
      <c r="Z163" s="243">
        <v>13</v>
      </c>
      <c r="AA163" s="243" t="s">
        <v>3769</v>
      </c>
      <c r="AB163" s="222"/>
      <c r="AC163" s="222"/>
      <c r="AD163" s="213">
        <v>44295</v>
      </c>
      <c r="AE163" s="213">
        <v>44379</v>
      </c>
      <c r="AF163" s="213">
        <v>44483</v>
      </c>
      <c r="AG163" s="213"/>
      <c r="AH163" s="75">
        <f t="shared" si="9"/>
        <v>0.85185185185185186</v>
      </c>
      <c r="AI163" s="75">
        <f t="shared" si="10"/>
        <v>1</v>
      </c>
      <c r="AJ163" s="75">
        <f t="shared" si="11"/>
        <v>1</v>
      </c>
      <c r="AK163" s="75">
        <f t="shared" si="12"/>
        <v>1</v>
      </c>
      <c r="AL163" s="75" t="s">
        <v>2467</v>
      </c>
      <c r="AM163" s="214" t="s">
        <v>739</v>
      </c>
      <c r="AN163" s="214" t="s">
        <v>739</v>
      </c>
      <c r="AO163" s="214" t="s">
        <v>739</v>
      </c>
      <c r="AP163" s="214"/>
      <c r="AQ163" s="214" t="s">
        <v>3521</v>
      </c>
      <c r="AR163" s="214" t="s">
        <v>3522</v>
      </c>
      <c r="AS163" s="214" t="s">
        <v>3523</v>
      </c>
      <c r="AT163" s="214"/>
      <c r="AU163" s="214" t="s">
        <v>739</v>
      </c>
      <c r="AV163" s="214" t="s">
        <v>739</v>
      </c>
      <c r="AW163" s="214" t="s">
        <v>739</v>
      </c>
      <c r="AX163" s="214"/>
      <c r="AY163" s="214" t="s">
        <v>3770</v>
      </c>
      <c r="AZ163" s="214" t="s">
        <v>3771</v>
      </c>
      <c r="BA163" s="214" t="s">
        <v>3772</v>
      </c>
      <c r="BB163" s="214"/>
      <c r="BC163" s="143" t="s">
        <v>727</v>
      </c>
    </row>
    <row r="164" spans="1:55" ht="15" customHeight="1" x14ac:dyDescent="0.25">
      <c r="A164" s="210">
        <v>42</v>
      </c>
      <c r="B164" s="143" t="s">
        <v>3397</v>
      </c>
      <c r="C164" s="143" t="s">
        <v>3704</v>
      </c>
      <c r="D164" s="143" t="s">
        <v>3719</v>
      </c>
      <c r="E164" s="143" t="s">
        <v>728</v>
      </c>
      <c r="F164" s="143" t="s">
        <v>3513</v>
      </c>
      <c r="G164" s="143" t="s">
        <v>730</v>
      </c>
      <c r="H164" s="143" t="s">
        <v>2688</v>
      </c>
      <c r="I164" s="143" t="s">
        <v>3773</v>
      </c>
      <c r="J164" s="217">
        <v>44228</v>
      </c>
      <c r="K164" s="217">
        <v>44561</v>
      </c>
      <c r="L164" s="143" t="s">
        <v>3774</v>
      </c>
      <c r="M164" s="143" t="s">
        <v>3709</v>
      </c>
      <c r="N164" s="143" t="s">
        <v>60</v>
      </c>
      <c r="O164" s="143" t="s">
        <v>3775</v>
      </c>
      <c r="P164" s="143" t="s">
        <v>821</v>
      </c>
      <c r="Q164" s="220">
        <v>1</v>
      </c>
      <c r="R164" s="220">
        <v>0</v>
      </c>
      <c r="S164" s="220">
        <v>0.3</v>
      </c>
      <c r="T164" s="220">
        <v>0.3</v>
      </c>
      <c r="U164" s="220">
        <v>0.4</v>
      </c>
      <c r="V164" s="220">
        <v>0</v>
      </c>
      <c r="W164" s="220" t="s">
        <v>3776</v>
      </c>
      <c r="X164" s="220">
        <v>0.05</v>
      </c>
      <c r="Y164" s="220" t="s">
        <v>3777</v>
      </c>
      <c r="Z164" s="220">
        <v>0.25</v>
      </c>
      <c r="AA164" s="220" t="s">
        <v>3778</v>
      </c>
      <c r="AB164" s="222"/>
      <c r="AC164" s="222"/>
      <c r="AD164" s="213">
        <v>44295</v>
      </c>
      <c r="AE164" s="213">
        <v>44379</v>
      </c>
      <c r="AF164" s="213">
        <v>44483</v>
      </c>
      <c r="AG164" s="213"/>
      <c r="AH164" s="75">
        <f t="shared" si="9"/>
        <v>0.3</v>
      </c>
      <c r="AI164" s="75" t="str">
        <f t="shared" si="10"/>
        <v/>
      </c>
      <c r="AJ164" s="75">
        <f t="shared" si="11"/>
        <v>0.16666666666666669</v>
      </c>
      <c r="AK164" s="75">
        <f t="shared" si="12"/>
        <v>0.88333333333333341</v>
      </c>
      <c r="AL164" s="75" t="s">
        <v>2467</v>
      </c>
      <c r="AM164" s="214" t="s">
        <v>739</v>
      </c>
      <c r="AN164" s="214" t="s">
        <v>739</v>
      </c>
      <c r="AO164" s="214" t="s">
        <v>739</v>
      </c>
      <c r="AP164" s="214"/>
      <c r="AQ164" s="214" t="s">
        <v>3779</v>
      </c>
      <c r="AR164" s="214" t="s">
        <v>3522</v>
      </c>
      <c r="AS164" s="214" t="s">
        <v>3523</v>
      </c>
      <c r="AT164" s="214"/>
      <c r="AU164" s="214" t="s">
        <v>838</v>
      </c>
      <c r="AV164" s="214" t="s">
        <v>739</v>
      </c>
      <c r="AW164" s="214" t="s">
        <v>739</v>
      </c>
      <c r="AX164" s="214"/>
      <c r="AY164" s="214" t="s">
        <v>3780</v>
      </c>
      <c r="AZ164" s="214" t="s">
        <v>3781</v>
      </c>
      <c r="BA164" s="214" t="s">
        <v>3782</v>
      </c>
      <c r="BB164" s="214"/>
      <c r="BC164" s="143" t="s">
        <v>727</v>
      </c>
    </row>
    <row r="165" spans="1:55" ht="15" customHeight="1" x14ac:dyDescent="0.25">
      <c r="A165" s="210">
        <v>43</v>
      </c>
      <c r="B165" s="143" t="s">
        <v>3397</v>
      </c>
      <c r="C165" s="143" t="s">
        <v>3704</v>
      </c>
      <c r="D165" s="143" t="s">
        <v>3719</v>
      </c>
      <c r="E165" s="143" t="s">
        <v>728</v>
      </c>
      <c r="F165" s="143" t="s">
        <v>3513</v>
      </c>
      <c r="G165" s="143" t="s">
        <v>730</v>
      </c>
      <c r="H165" s="143" t="s">
        <v>2688</v>
      </c>
      <c r="I165" s="143" t="s">
        <v>3783</v>
      </c>
      <c r="J165" s="217">
        <v>44228</v>
      </c>
      <c r="K165" s="217">
        <v>44561</v>
      </c>
      <c r="L165" s="143" t="s">
        <v>3784</v>
      </c>
      <c r="M165" s="143" t="s">
        <v>3709</v>
      </c>
      <c r="N165" s="143" t="s">
        <v>30</v>
      </c>
      <c r="O165" s="143" t="s">
        <v>3785</v>
      </c>
      <c r="P165" s="143" t="s">
        <v>735</v>
      </c>
      <c r="Q165" s="242">
        <v>12000</v>
      </c>
      <c r="R165" s="242">
        <v>3000</v>
      </c>
      <c r="S165" s="242">
        <v>3000</v>
      </c>
      <c r="T165" s="242">
        <v>3000</v>
      </c>
      <c r="U165" s="242">
        <v>3000</v>
      </c>
      <c r="V165" s="242">
        <v>2998</v>
      </c>
      <c r="W165" s="242" t="s">
        <v>3786</v>
      </c>
      <c r="X165" s="242">
        <v>3549</v>
      </c>
      <c r="Y165" s="242" t="s">
        <v>3787</v>
      </c>
      <c r="Z165" s="242">
        <v>3693</v>
      </c>
      <c r="AA165" s="242" t="s">
        <v>3788</v>
      </c>
      <c r="AB165" s="222"/>
      <c r="AC165" s="222"/>
      <c r="AD165" s="213">
        <v>44295</v>
      </c>
      <c r="AE165" s="213">
        <v>44379</v>
      </c>
      <c r="AF165" s="213">
        <v>44483</v>
      </c>
      <c r="AG165" s="213"/>
      <c r="AH165" s="75">
        <f t="shared" si="9"/>
        <v>0.85333333333333339</v>
      </c>
      <c r="AI165" s="75">
        <f t="shared" si="10"/>
        <v>0.9993333333333333</v>
      </c>
      <c r="AJ165" s="75">
        <f t="shared" si="11"/>
        <v>1</v>
      </c>
      <c r="AK165" s="75">
        <f t="shared" si="12"/>
        <v>1</v>
      </c>
      <c r="AL165" s="75" t="s">
        <v>2467</v>
      </c>
      <c r="AM165" s="214" t="s">
        <v>739</v>
      </c>
      <c r="AN165" s="214" t="s">
        <v>739</v>
      </c>
      <c r="AO165" s="214" t="s">
        <v>739</v>
      </c>
      <c r="AP165" s="214"/>
      <c r="AQ165" s="214" t="s">
        <v>3521</v>
      </c>
      <c r="AR165" s="214" t="s">
        <v>3522</v>
      </c>
      <c r="AS165" s="214" t="s">
        <v>3523</v>
      </c>
      <c r="AT165" s="214"/>
      <c r="AU165" s="214" t="s">
        <v>739</v>
      </c>
      <c r="AV165" s="214" t="s">
        <v>739</v>
      </c>
      <c r="AW165" s="214" t="s">
        <v>739</v>
      </c>
      <c r="AX165" s="214"/>
      <c r="AY165" s="214" t="s">
        <v>3789</v>
      </c>
      <c r="AZ165" s="214" t="s">
        <v>3790</v>
      </c>
      <c r="BA165" s="214" t="s">
        <v>3791</v>
      </c>
      <c r="BB165" s="214"/>
      <c r="BC165" s="143" t="s">
        <v>727</v>
      </c>
    </row>
    <row r="166" spans="1:55" ht="15" customHeight="1" x14ac:dyDescent="0.25">
      <c r="A166" s="210">
        <v>44</v>
      </c>
      <c r="B166" s="143" t="s">
        <v>3397</v>
      </c>
      <c r="C166" s="143" t="s">
        <v>3704</v>
      </c>
      <c r="D166" s="143" t="s">
        <v>3792</v>
      </c>
      <c r="E166" s="143" t="s">
        <v>3606</v>
      </c>
      <c r="F166" s="143" t="s">
        <v>3607</v>
      </c>
      <c r="G166" s="143" t="s">
        <v>730</v>
      </c>
      <c r="H166" s="143" t="s">
        <v>2688</v>
      </c>
      <c r="I166" s="143" t="s">
        <v>3793</v>
      </c>
      <c r="J166" s="217">
        <v>44228</v>
      </c>
      <c r="K166" s="217">
        <v>44561</v>
      </c>
      <c r="L166" s="143" t="s">
        <v>3627</v>
      </c>
      <c r="M166" s="143" t="s">
        <v>3709</v>
      </c>
      <c r="N166" s="143" t="s">
        <v>30</v>
      </c>
      <c r="O166" s="143" t="s">
        <v>3794</v>
      </c>
      <c r="P166" s="143" t="s">
        <v>735</v>
      </c>
      <c r="Q166" s="242">
        <v>1</v>
      </c>
      <c r="R166" s="242">
        <v>0</v>
      </c>
      <c r="S166" s="242">
        <v>0</v>
      </c>
      <c r="T166" s="242">
        <v>0</v>
      </c>
      <c r="U166" s="242">
        <v>1</v>
      </c>
      <c r="V166" s="242">
        <v>0</v>
      </c>
      <c r="W166" s="242" t="s">
        <v>3795</v>
      </c>
      <c r="X166" s="242">
        <v>0</v>
      </c>
      <c r="Y166" s="242" t="s">
        <v>3796</v>
      </c>
      <c r="Z166" s="242">
        <v>1</v>
      </c>
      <c r="AA166" s="242" t="s">
        <v>3797</v>
      </c>
      <c r="AB166" s="222"/>
      <c r="AC166" s="222"/>
      <c r="AD166" s="213">
        <v>44295</v>
      </c>
      <c r="AE166" s="213">
        <v>44379</v>
      </c>
      <c r="AF166" s="213">
        <v>44483</v>
      </c>
      <c r="AG166" s="213"/>
      <c r="AH166" s="75">
        <f t="shared" si="9"/>
        <v>1</v>
      </c>
      <c r="AI166" s="75" t="str">
        <f t="shared" si="10"/>
        <v/>
      </c>
      <c r="AJ166" s="75" t="str">
        <f t="shared" si="11"/>
        <v/>
      </c>
      <c r="AK166" s="75" t="str">
        <f t="shared" si="12"/>
        <v/>
      </c>
      <c r="AL166" s="75" t="s">
        <v>2467</v>
      </c>
      <c r="AM166" s="214" t="s">
        <v>739</v>
      </c>
      <c r="AN166" s="214" t="s">
        <v>739</v>
      </c>
      <c r="AO166" s="214" t="s">
        <v>739</v>
      </c>
      <c r="AP166" s="214"/>
      <c r="AQ166" s="214" t="s">
        <v>3521</v>
      </c>
      <c r="AR166" s="214" t="s">
        <v>3522</v>
      </c>
      <c r="AS166" s="214" t="s">
        <v>3523</v>
      </c>
      <c r="AT166" s="214"/>
      <c r="AU166" s="214" t="s">
        <v>739</v>
      </c>
      <c r="AV166" s="214" t="s">
        <v>739</v>
      </c>
      <c r="AW166" s="214" t="s">
        <v>739</v>
      </c>
      <c r="AX166" s="214"/>
      <c r="AY166" s="214" t="s">
        <v>3798</v>
      </c>
      <c r="AZ166" s="214" t="s">
        <v>3799</v>
      </c>
      <c r="BA166" s="214" t="s">
        <v>3800</v>
      </c>
      <c r="BB166" s="214"/>
      <c r="BC166" s="143" t="s">
        <v>727</v>
      </c>
    </row>
    <row r="167" spans="1:55" ht="15" customHeight="1" x14ac:dyDescent="0.25">
      <c r="A167" s="210">
        <v>45</v>
      </c>
      <c r="B167" s="143" t="s">
        <v>3397</v>
      </c>
      <c r="C167" s="143" t="s">
        <v>3704</v>
      </c>
      <c r="D167" s="143" t="s">
        <v>3792</v>
      </c>
      <c r="E167" s="143" t="s">
        <v>3606</v>
      </c>
      <c r="F167" s="143" t="s">
        <v>3607</v>
      </c>
      <c r="G167" s="143" t="s">
        <v>730</v>
      </c>
      <c r="H167" s="143" t="s">
        <v>2688</v>
      </c>
      <c r="I167" s="143" t="s">
        <v>3801</v>
      </c>
      <c r="J167" s="217">
        <v>44228</v>
      </c>
      <c r="K167" s="217">
        <v>44561</v>
      </c>
      <c r="L167" s="143" t="s">
        <v>3627</v>
      </c>
      <c r="M167" s="143" t="s">
        <v>3709</v>
      </c>
      <c r="N167" s="143" t="s">
        <v>30</v>
      </c>
      <c r="O167" s="143" t="s">
        <v>3794</v>
      </c>
      <c r="P167" s="143" t="s">
        <v>735</v>
      </c>
      <c r="Q167" s="242">
        <v>4668</v>
      </c>
      <c r="R167" s="242">
        <v>934</v>
      </c>
      <c r="S167" s="242">
        <v>1167</v>
      </c>
      <c r="T167" s="242">
        <v>1167</v>
      </c>
      <c r="U167" s="242">
        <v>1400</v>
      </c>
      <c r="V167" s="242">
        <v>2743</v>
      </c>
      <c r="W167" s="242" t="s">
        <v>3802</v>
      </c>
      <c r="X167" s="242">
        <v>1925</v>
      </c>
      <c r="Y167" s="242" t="s">
        <v>3803</v>
      </c>
      <c r="Z167" s="242">
        <v>0</v>
      </c>
      <c r="AA167" s="242" t="s">
        <v>3804</v>
      </c>
      <c r="AB167" s="222"/>
      <c r="AC167" s="222"/>
      <c r="AD167" s="213">
        <v>44295</v>
      </c>
      <c r="AE167" s="213">
        <v>44379</v>
      </c>
      <c r="AF167" s="213">
        <v>44483</v>
      </c>
      <c r="AG167" s="213"/>
      <c r="AH167" s="75">
        <f t="shared" si="9"/>
        <v>1</v>
      </c>
      <c r="AI167" s="75">
        <f t="shared" si="10"/>
        <v>1</v>
      </c>
      <c r="AJ167" s="75">
        <f t="shared" si="11"/>
        <v>1</v>
      </c>
      <c r="AK167" s="75">
        <f t="shared" si="12"/>
        <v>1</v>
      </c>
      <c r="AL167" s="75" t="s">
        <v>2467</v>
      </c>
      <c r="AM167" s="214" t="s">
        <v>739</v>
      </c>
      <c r="AN167" s="214" t="s">
        <v>739</v>
      </c>
      <c r="AO167" s="214" t="s">
        <v>739</v>
      </c>
      <c r="AP167" s="214"/>
      <c r="AQ167" s="214" t="s">
        <v>3521</v>
      </c>
      <c r="AR167" s="214" t="s">
        <v>3522</v>
      </c>
      <c r="AS167" s="214" t="s">
        <v>3523</v>
      </c>
      <c r="AT167" s="214"/>
      <c r="AU167" s="214" t="s">
        <v>739</v>
      </c>
      <c r="AV167" s="214" t="s">
        <v>739</v>
      </c>
      <c r="AW167" s="214" t="s">
        <v>739</v>
      </c>
      <c r="AX167" s="214"/>
      <c r="AY167" s="214" t="s">
        <v>3805</v>
      </c>
      <c r="AZ167" s="214" t="s">
        <v>3806</v>
      </c>
      <c r="BA167" s="214" t="s">
        <v>3807</v>
      </c>
      <c r="BB167" s="214"/>
      <c r="BC167" s="143" t="s">
        <v>727</v>
      </c>
    </row>
    <row r="168" spans="1:55" ht="15" customHeight="1" x14ac:dyDescent="0.25">
      <c r="A168" s="210">
        <v>46</v>
      </c>
      <c r="B168" s="143" t="s">
        <v>3397</v>
      </c>
      <c r="C168" s="143" t="s">
        <v>3704</v>
      </c>
      <c r="D168" s="143" t="s">
        <v>3808</v>
      </c>
      <c r="E168" s="143" t="s">
        <v>3569</v>
      </c>
      <c r="F168" s="143" t="s">
        <v>2986</v>
      </c>
      <c r="G168" s="143" t="s">
        <v>730</v>
      </c>
      <c r="H168" s="143" t="s">
        <v>731</v>
      </c>
      <c r="I168" s="143" t="s">
        <v>3809</v>
      </c>
      <c r="J168" s="217">
        <v>44228</v>
      </c>
      <c r="K168" s="217">
        <v>44561</v>
      </c>
      <c r="L168" s="143" t="s">
        <v>3810</v>
      </c>
      <c r="M168" s="143" t="s">
        <v>3709</v>
      </c>
      <c r="N168" s="143" t="s">
        <v>30</v>
      </c>
      <c r="O168" s="143" t="s">
        <v>3811</v>
      </c>
      <c r="P168" s="143" t="s">
        <v>735</v>
      </c>
      <c r="Q168" s="242">
        <v>3</v>
      </c>
      <c r="R168" s="242">
        <v>0</v>
      </c>
      <c r="S168" s="242">
        <v>1</v>
      </c>
      <c r="T168" s="242">
        <v>1</v>
      </c>
      <c r="U168" s="242">
        <v>1</v>
      </c>
      <c r="V168" s="242">
        <v>0</v>
      </c>
      <c r="W168" s="242" t="s">
        <v>3812</v>
      </c>
      <c r="X168" s="242">
        <v>1</v>
      </c>
      <c r="Y168" s="242" t="s">
        <v>3813</v>
      </c>
      <c r="Z168" s="242">
        <v>0</v>
      </c>
      <c r="AA168" s="242" t="s">
        <v>3814</v>
      </c>
      <c r="AB168" s="222"/>
      <c r="AC168" s="222"/>
      <c r="AD168" s="213">
        <v>44295</v>
      </c>
      <c r="AE168" s="213">
        <v>44379</v>
      </c>
      <c r="AF168" s="213">
        <v>44483</v>
      </c>
      <c r="AG168" s="213"/>
      <c r="AH168" s="75">
        <f t="shared" si="9"/>
        <v>0.33333333333333331</v>
      </c>
      <c r="AI168" s="75" t="str">
        <f t="shared" si="10"/>
        <v/>
      </c>
      <c r="AJ168" s="75">
        <f t="shared" si="11"/>
        <v>1</v>
      </c>
      <c r="AK168" s="75">
        <f t="shared" si="12"/>
        <v>1</v>
      </c>
      <c r="AL168" s="75" t="s">
        <v>2467</v>
      </c>
      <c r="AM168" s="214" t="s">
        <v>739</v>
      </c>
      <c r="AN168" s="214" t="s">
        <v>739</v>
      </c>
      <c r="AO168" s="214" t="s">
        <v>739</v>
      </c>
      <c r="AP168" s="214"/>
      <c r="AQ168" s="214" t="s">
        <v>3521</v>
      </c>
      <c r="AR168" s="214" t="s">
        <v>3522</v>
      </c>
      <c r="AS168" s="214" t="s">
        <v>3523</v>
      </c>
      <c r="AT168" s="214"/>
      <c r="AU168" s="214" t="s">
        <v>739</v>
      </c>
      <c r="AV168" s="214" t="s">
        <v>739</v>
      </c>
      <c r="AW168" s="214" t="s">
        <v>739</v>
      </c>
      <c r="AX168" s="214"/>
      <c r="AY168" s="214" t="s">
        <v>3815</v>
      </c>
      <c r="AZ168" s="214" t="s">
        <v>3816</v>
      </c>
      <c r="BA168" s="214" t="s">
        <v>3817</v>
      </c>
      <c r="BB168" s="214"/>
      <c r="BC168" s="143" t="s">
        <v>727</v>
      </c>
    </row>
    <row r="169" spans="1:55" ht="15" customHeight="1" x14ac:dyDescent="0.25">
      <c r="A169" s="210">
        <v>47</v>
      </c>
      <c r="B169" s="143" t="s">
        <v>3397</v>
      </c>
      <c r="C169" s="143" t="s">
        <v>3818</v>
      </c>
      <c r="D169" s="143" t="s">
        <v>3819</v>
      </c>
      <c r="E169" s="143" t="s">
        <v>728</v>
      </c>
      <c r="F169" s="143" t="s">
        <v>3513</v>
      </c>
      <c r="G169" s="143" t="s">
        <v>730</v>
      </c>
      <c r="H169" s="143" t="s">
        <v>2688</v>
      </c>
      <c r="I169" s="143" t="s">
        <v>3820</v>
      </c>
      <c r="J169" s="217">
        <v>44200</v>
      </c>
      <c r="K169" s="217">
        <v>44561</v>
      </c>
      <c r="L169" s="143" t="s">
        <v>3821</v>
      </c>
      <c r="M169" s="143" t="s">
        <v>3822</v>
      </c>
      <c r="N169" s="143" t="s">
        <v>30</v>
      </c>
      <c r="O169" s="143" t="s">
        <v>3823</v>
      </c>
      <c r="P169" s="143" t="s">
        <v>735</v>
      </c>
      <c r="Q169" s="244">
        <v>13691592</v>
      </c>
      <c r="R169" s="244">
        <v>1369159</v>
      </c>
      <c r="S169" s="244">
        <v>4107478</v>
      </c>
      <c r="T169" s="244">
        <v>4107478</v>
      </c>
      <c r="U169" s="244">
        <v>4107477</v>
      </c>
      <c r="V169" s="244">
        <v>464099</v>
      </c>
      <c r="W169" s="245" t="s">
        <v>3824</v>
      </c>
      <c r="X169" s="244">
        <v>2809430</v>
      </c>
      <c r="Y169" s="245" t="s">
        <v>3825</v>
      </c>
      <c r="Z169" s="244">
        <v>12708236</v>
      </c>
      <c r="AA169" s="242" t="s">
        <v>3826</v>
      </c>
      <c r="AB169" s="222"/>
      <c r="AC169" s="222"/>
      <c r="AD169" s="213">
        <v>44295</v>
      </c>
      <c r="AE169" s="213">
        <v>44379</v>
      </c>
      <c r="AF169" s="213">
        <v>44483</v>
      </c>
      <c r="AG169" s="213"/>
      <c r="AH169" s="75">
        <f t="shared" si="9"/>
        <v>1</v>
      </c>
      <c r="AI169" s="75">
        <f t="shared" si="10"/>
        <v>0.33896647504051758</v>
      </c>
      <c r="AJ169" s="75">
        <f t="shared" si="11"/>
        <v>1</v>
      </c>
      <c r="AK169" s="75">
        <f t="shared" si="12"/>
        <v>1</v>
      </c>
      <c r="AL169" s="75" t="s">
        <v>2467</v>
      </c>
      <c r="AM169" s="214" t="s">
        <v>739</v>
      </c>
      <c r="AN169" s="214" t="s">
        <v>739</v>
      </c>
      <c r="AO169" s="214" t="s">
        <v>739</v>
      </c>
      <c r="AP169" s="214"/>
      <c r="AQ169" s="214" t="s">
        <v>3521</v>
      </c>
      <c r="AR169" s="214" t="s">
        <v>3521</v>
      </c>
      <c r="AS169" s="214" t="s">
        <v>3523</v>
      </c>
      <c r="AT169" s="214"/>
      <c r="AU169" s="214" t="s">
        <v>739</v>
      </c>
      <c r="AV169" s="214" t="s">
        <v>739</v>
      </c>
      <c r="AW169" s="214" t="s">
        <v>739</v>
      </c>
      <c r="AX169" s="214"/>
      <c r="AY169" s="214" t="s">
        <v>3827</v>
      </c>
      <c r="AZ169" s="214" t="s">
        <v>3828</v>
      </c>
      <c r="BA169" s="214" t="s">
        <v>3829</v>
      </c>
      <c r="BB169" s="214"/>
      <c r="BC169" s="143" t="s">
        <v>727</v>
      </c>
    </row>
    <row r="170" spans="1:55" ht="15" customHeight="1" x14ac:dyDescent="0.25">
      <c r="A170" s="210">
        <v>48</v>
      </c>
      <c r="B170" s="143" t="s">
        <v>3397</v>
      </c>
      <c r="C170" s="143" t="s">
        <v>3818</v>
      </c>
      <c r="D170" s="143" t="s">
        <v>3819</v>
      </c>
      <c r="E170" s="143" t="s">
        <v>728</v>
      </c>
      <c r="F170" s="143" t="s">
        <v>3513</v>
      </c>
      <c r="G170" s="143" t="s">
        <v>730</v>
      </c>
      <c r="H170" s="143" t="s">
        <v>2688</v>
      </c>
      <c r="I170" s="143" t="s">
        <v>3830</v>
      </c>
      <c r="J170" s="217">
        <v>44200</v>
      </c>
      <c r="K170" s="217">
        <v>44561</v>
      </c>
      <c r="L170" s="143" t="s">
        <v>3515</v>
      </c>
      <c r="M170" s="143" t="s">
        <v>3822</v>
      </c>
      <c r="N170" s="143" t="s">
        <v>30</v>
      </c>
      <c r="O170" s="143" t="s">
        <v>3823</v>
      </c>
      <c r="P170" s="143" t="s">
        <v>735</v>
      </c>
      <c r="Q170" s="244">
        <v>30</v>
      </c>
      <c r="R170" s="244">
        <v>3</v>
      </c>
      <c r="S170" s="244">
        <v>9</v>
      </c>
      <c r="T170" s="244">
        <v>9</v>
      </c>
      <c r="U170" s="244">
        <v>9</v>
      </c>
      <c r="V170" s="244">
        <v>3</v>
      </c>
      <c r="W170" s="245" t="s">
        <v>3831</v>
      </c>
      <c r="X170" s="244">
        <v>15</v>
      </c>
      <c r="Y170" s="245" t="s">
        <v>3832</v>
      </c>
      <c r="Z170" s="244">
        <v>9</v>
      </c>
      <c r="AA170" s="242" t="s">
        <v>3833</v>
      </c>
      <c r="AB170" s="222"/>
      <c r="AC170" s="222"/>
      <c r="AD170" s="213">
        <v>44295</v>
      </c>
      <c r="AE170" s="213">
        <v>44379</v>
      </c>
      <c r="AF170" s="213">
        <v>44483</v>
      </c>
      <c r="AG170" s="213"/>
      <c r="AH170" s="75">
        <f t="shared" si="9"/>
        <v>0.9</v>
      </c>
      <c r="AI170" s="75">
        <f t="shared" si="10"/>
        <v>1</v>
      </c>
      <c r="AJ170" s="75">
        <f t="shared" si="11"/>
        <v>1</v>
      </c>
      <c r="AK170" s="75">
        <f t="shared" si="12"/>
        <v>1</v>
      </c>
      <c r="AL170" s="75" t="s">
        <v>2467</v>
      </c>
      <c r="AM170" s="214" t="s">
        <v>739</v>
      </c>
      <c r="AN170" s="214" t="s">
        <v>739</v>
      </c>
      <c r="AO170" s="214" t="s">
        <v>739</v>
      </c>
      <c r="AP170" s="214"/>
      <c r="AQ170" s="214" t="s">
        <v>3521</v>
      </c>
      <c r="AR170" s="214" t="s">
        <v>3834</v>
      </c>
      <c r="AS170" s="214" t="s">
        <v>3523</v>
      </c>
      <c r="AT170" s="214"/>
      <c r="AU170" s="214" t="s">
        <v>739</v>
      </c>
      <c r="AV170" s="214" t="s">
        <v>739</v>
      </c>
      <c r="AW170" s="214" t="s">
        <v>739</v>
      </c>
      <c r="AX170" s="214"/>
      <c r="AY170" s="214" t="s">
        <v>3835</v>
      </c>
      <c r="AZ170" s="214" t="s">
        <v>3836</v>
      </c>
      <c r="BA170" s="214" t="s">
        <v>3837</v>
      </c>
      <c r="BB170" s="214"/>
      <c r="BC170" s="143" t="s">
        <v>727</v>
      </c>
    </row>
    <row r="171" spans="1:55" ht="15" customHeight="1" x14ac:dyDescent="0.25">
      <c r="A171" s="210">
        <v>49</v>
      </c>
      <c r="B171" s="143" t="s">
        <v>3397</v>
      </c>
      <c r="C171" s="143" t="s">
        <v>3818</v>
      </c>
      <c r="D171" s="143" t="s">
        <v>3838</v>
      </c>
      <c r="E171" s="143" t="s">
        <v>728</v>
      </c>
      <c r="F171" s="143" t="s">
        <v>3513</v>
      </c>
      <c r="G171" s="143" t="s">
        <v>730</v>
      </c>
      <c r="H171" s="143" t="s">
        <v>2688</v>
      </c>
      <c r="I171" s="143" t="s">
        <v>3839</v>
      </c>
      <c r="J171" s="217">
        <v>44228</v>
      </c>
      <c r="K171" s="217">
        <v>44561</v>
      </c>
      <c r="L171" s="143" t="s">
        <v>3840</v>
      </c>
      <c r="M171" s="143" t="s">
        <v>3822</v>
      </c>
      <c r="N171" s="143" t="s">
        <v>30</v>
      </c>
      <c r="O171" s="143" t="s">
        <v>3841</v>
      </c>
      <c r="P171" s="143" t="s">
        <v>735</v>
      </c>
      <c r="Q171" s="244">
        <v>1</v>
      </c>
      <c r="R171" s="244">
        <v>0</v>
      </c>
      <c r="S171" s="244">
        <v>0</v>
      </c>
      <c r="T171" s="244">
        <v>0</v>
      </c>
      <c r="U171" s="244">
        <v>1</v>
      </c>
      <c r="V171" s="244">
        <v>0</v>
      </c>
      <c r="W171" s="245" t="s">
        <v>3842</v>
      </c>
      <c r="X171" s="244">
        <v>0</v>
      </c>
      <c r="Y171" s="245" t="s">
        <v>3843</v>
      </c>
      <c r="Z171" s="244">
        <v>0</v>
      </c>
      <c r="AA171" s="242" t="s">
        <v>3844</v>
      </c>
      <c r="AB171" s="222"/>
      <c r="AC171" s="222"/>
      <c r="AD171" s="213">
        <v>44295</v>
      </c>
      <c r="AE171" s="213">
        <v>44379</v>
      </c>
      <c r="AF171" s="213">
        <v>44483</v>
      </c>
      <c r="AG171" s="213"/>
      <c r="AH171" s="75">
        <f t="shared" si="9"/>
        <v>0</v>
      </c>
      <c r="AI171" s="75" t="str">
        <f t="shared" si="10"/>
        <v/>
      </c>
      <c r="AJ171" s="75" t="str">
        <f t="shared" si="11"/>
        <v/>
      </c>
      <c r="AK171" s="75" t="str">
        <f t="shared" si="12"/>
        <v/>
      </c>
      <c r="AL171" s="75" t="s">
        <v>2467</v>
      </c>
      <c r="AM171" s="214" t="s">
        <v>739</v>
      </c>
      <c r="AN171" s="214" t="s">
        <v>739</v>
      </c>
      <c r="AO171" s="214" t="s">
        <v>739</v>
      </c>
      <c r="AP171" s="214"/>
      <c r="AQ171" s="214" t="s">
        <v>3593</v>
      </c>
      <c r="AR171" s="214" t="s">
        <v>3715</v>
      </c>
      <c r="AS171" s="214" t="s">
        <v>3523</v>
      </c>
      <c r="AT171" s="214"/>
      <c r="AU171" s="214" t="s">
        <v>838</v>
      </c>
      <c r="AV171" s="214" t="s">
        <v>838</v>
      </c>
      <c r="AW171" s="214" t="s">
        <v>838</v>
      </c>
      <c r="AX171" s="214"/>
      <c r="AY171" s="214" t="s">
        <v>1712</v>
      </c>
      <c r="AZ171" s="214" t="s">
        <v>1712</v>
      </c>
      <c r="BA171" s="214" t="s">
        <v>3845</v>
      </c>
      <c r="BB171" s="214"/>
      <c r="BC171" s="143" t="s">
        <v>727</v>
      </c>
    </row>
    <row r="172" spans="1:55" ht="15" customHeight="1" x14ac:dyDescent="0.25">
      <c r="A172" s="210">
        <v>50</v>
      </c>
      <c r="B172" s="143" t="s">
        <v>3397</v>
      </c>
      <c r="C172" s="143" t="s">
        <v>3818</v>
      </c>
      <c r="D172" s="143" t="s">
        <v>3846</v>
      </c>
      <c r="E172" s="143" t="s">
        <v>3569</v>
      </c>
      <c r="F172" s="143" t="s">
        <v>2986</v>
      </c>
      <c r="G172" s="143" t="s">
        <v>730</v>
      </c>
      <c r="H172" s="143" t="s">
        <v>2688</v>
      </c>
      <c r="I172" s="143" t="s">
        <v>3847</v>
      </c>
      <c r="J172" s="217">
        <v>44228</v>
      </c>
      <c r="K172" s="217">
        <v>44561</v>
      </c>
      <c r="L172" s="143" t="s">
        <v>3848</v>
      </c>
      <c r="M172" s="143" t="s">
        <v>3822</v>
      </c>
      <c r="N172" s="143" t="s">
        <v>30</v>
      </c>
      <c r="O172" s="143" t="s">
        <v>3849</v>
      </c>
      <c r="P172" s="143" t="s">
        <v>735</v>
      </c>
      <c r="Q172" s="244">
        <v>1</v>
      </c>
      <c r="R172" s="244">
        <v>0</v>
      </c>
      <c r="S172" s="244">
        <v>0</v>
      </c>
      <c r="T172" s="244">
        <v>0</v>
      </c>
      <c r="U172" s="244">
        <v>1</v>
      </c>
      <c r="V172" s="244">
        <v>0</v>
      </c>
      <c r="W172" s="245" t="s">
        <v>3850</v>
      </c>
      <c r="X172" s="244">
        <v>0</v>
      </c>
      <c r="Y172" s="245" t="s">
        <v>3851</v>
      </c>
      <c r="Z172" s="244">
        <v>0</v>
      </c>
      <c r="AA172" s="242" t="s">
        <v>3852</v>
      </c>
      <c r="AB172" s="242"/>
      <c r="AC172" s="242"/>
      <c r="AD172" s="213">
        <v>44295</v>
      </c>
      <c r="AE172" s="213">
        <v>44379</v>
      </c>
      <c r="AF172" s="213">
        <v>44483</v>
      </c>
      <c r="AG172" s="213"/>
      <c r="AH172" s="75">
        <f t="shared" si="9"/>
        <v>0</v>
      </c>
      <c r="AI172" s="75" t="str">
        <f t="shared" si="10"/>
        <v/>
      </c>
      <c r="AJ172" s="75" t="str">
        <f t="shared" si="11"/>
        <v/>
      </c>
      <c r="AK172" s="75" t="str">
        <f t="shared" si="12"/>
        <v/>
      </c>
      <c r="AL172" s="75" t="s">
        <v>2467</v>
      </c>
      <c r="AM172" s="214" t="s">
        <v>739</v>
      </c>
      <c r="AN172" s="214" t="s">
        <v>739</v>
      </c>
      <c r="AO172" s="214" t="s">
        <v>739</v>
      </c>
      <c r="AP172" s="214"/>
      <c r="AQ172" s="214" t="s">
        <v>3521</v>
      </c>
      <c r="AR172" s="214" t="s">
        <v>3521</v>
      </c>
      <c r="AS172" s="214" t="s">
        <v>3523</v>
      </c>
      <c r="AT172" s="214"/>
      <c r="AU172" s="214" t="s">
        <v>838</v>
      </c>
      <c r="AV172" s="214" t="s">
        <v>838</v>
      </c>
      <c r="AW172" s="214" t="s">
        <v>838</v>
      </c>
      <c r="AX172" s="214"/>
      <c r="AY172" s="214" t="s">
        <v>3853</v>
      </c>
      <c r="AZ172" s="214" t="s">
        <v>3854</v>
      </c>
      <c r="BA172" s="214" t="s">
        <v>3855</v>
      </c>
      <c r="BB172" s="214"/>
      <c r="BC172" s="143" t="s">
        <v>727</v>
      </c>
    </row>
    <row r="173" spans="1:55" ht="15" customHeight="1" x14ac:dyDescent="0.25">
      <c r="A173" s="210">
        <v>51</v>
      </c>
      <c r="B173" s="143" t="s">
        <v>3397</v>
      </c>
      <c r="C173" s="143" t="s">
        <v>3818</v>
      </c>
      <c r="D173" s="143" t="s">
        <v>3846</v>
      </c>
      <c r="E173" s="143" t="s">
        <v>728</v>
      </c>
      <c r="F173" s="143" t="s">
        <v>3513</v>
      </c>
      <c r="G173" s="143" t="s">
        <v>730</v>
      </c>
      <c r="H173" s="143" t="s">
        <v>2688</v>
      </c>
      <c r="I173" s="143" t="s">
        <v>3856</v>
      </c>
      <c r="J173" s="217">
        <v>44228</v>
      </c>
      <c r="K173" s="217">
        <v>44561</v>
      </c>
      <c r="L173" s="143" t="s">
        <v>3857</v>
      </c>
      <c r="M173" s="143" t="s">
        <v>3822</v>
      </c>
      <c r="N173" s="143" t="s">
        <v>60</v>
      </c>
      <c r="O173" s="143" t="s">
        <v>3849</v>
      </c>
      <c r="P173" s="143" t="s">
        <v>735</v>
      </c>
      <c r="Q173" s="241">
        <v>1</v>
      </c>
      <c r="R173" s="241">
        <v>0</v>
      </c>
      <c r="S173" s="241">
        <v>0.5</v>
      </c>
      <c r="T173" s="241">
        <v>0</v>
      </c>
      <c r="U173" s="241">
        <v>0.5</v>
      </c>
      <c r="V173" s="241">
        <v>0</v>
      </c>
      <c r="W173" s="246" t="s">
        <v>3858</v>
      </c>
      <c r="X173" s="241">
        <v>0.6</v>
      </c>
      <c r="Y173" s="246" t="s">
        <v>3859</v>
      </c>
      <c r="Z173" s="241">
        <v>0.4</v>
      </c>
      <c r="AA173" s="242" t="s">
        <v>3860</v>
      </c>
      <c r="AB173" s="242"/>
      <c r="AC173" s="242"/>
      <c r="AD173" s="213">
        <v>44295</v>
      </c>
      <c r="AE173" s="213">
        <v>44379</v>
      </c>
      <c r="AF173" s="213">
        <v>44483</v>
      </c>
      <c r="AG173" s="213"/>
      <c r="AH173" s="75">
        <f t="shared" si="9"/>
        <v>1</v>
      </c>
      <c r="AI173" s="75" t="str">
        <f t="shared" si="10"/>
        <v/>
      </c>
      <c r="AJ173" s="75">
        <f t="shared" si="11"/>
        <v>1</v>
      </c>
      <c r="AK173" s="75" t="str">
        <f t="shared" si="12"/>
        <v/>
      </c>
      <c r="AL173" s="75" t="s">
        <v>2467</v>
      </c>
      <c r="AM173" s="214" t="s">
        <v>739</v>
      </c>
      <c r="AN173" s="214" t="s">
        <v>739</v>
      </c>
      <c r="AO173" s="214" t="s">
        <v>739</v>
      </c>
      <c r="AP173" s="214"/>
      <c r="AQ173" s="214" t="s">
        <v>3695</v>
      </c>
      <c r="AR173" s="214" t="s">
        <v>3861</v>
      </c>
      <c r="AS173" s="214" t="s">
        <v>3523</v>
      </c>
      <c r="AT173" s="214"/>
      <c r="AU173" s="214" t="s">
        <v>838</v>
      </c>
      <c r="AV173" s="214" t="s">
        <v>739</v>
      </c>
      <c r="AW173" s="214" t="s">
        <v>838</v>
      </c>
      <c r="AX173" s="214"/>
      <c r="AY173" s="214" t="s">
        <v>1712</v>
      </c>
      <c r="AZ173" s="214" t="s">
        <v>3862</v>
      </c>
      <c r="BA173" s="214" t="s">
        <v>3863</v>
      </c>
      <c r="BB173" s="214"/>
      <c r="BC173" s="143" t="s">
        <v>727</v>
      </c>
    </row>
    <row r="174" spans="1:55" ht="15" customHeight="1" x14ac:dyDescent="0.25">
      <c r="A174" s="210">
        <v>52</v>
      </c>
      <c r="B174" s="143" t="s">
        <v>3397</v>
      </c>
      <c r="C174" s="143" t="s">
        <v>3818</v>
      </c>
      <c r="D174" s="143" t="s">
        <v>3864</v>
      </c>
      <c r="E174" s="143" t="s">
        <v>728</v>
      </c>
      <c r="F174" s="143" t="s">
        <v>3513</v>
      </c>
      <c r="G174" s="143" t="s">
        <v>730</v>
      </c>
      <c r="H174" s="143" t="s">
        <v>2688</v>
      </c>
      <c r="I174" s="143" t="s">
        <v>3865</v>
      </c>
      <c r="J174" s="217">
        <v>44228</v>
      </c>
      <c r="K174" s="217">
        <v>44561</v>
      </c>
      <c r="L174" s="143" t="s">
        <v>3515</v>
      </c>
      <c r="M174" s="143" t="s">
        <v>3822</v>
      </c>
      <c r="N174" s="143" t="s">
        <v>30</v>
      </c>
      <c r="O174" s="143" t="s">
        <v>3866</v>
      </c>
      <c r="P174" s="143" t="s">
        <v>735</v>
      </c>
      <c r="Q174" s="244">
        <v>50000</v>
      </c>
      <c r="R174" s="244">
        <v>5000</v>
      </c>
      <c r="S174" s="244">
        <v>15000</v>
      </c>
      <c r="T174" s="244">
        <v>15000</v>
      </c>
      <c r="U174" s="244">
        <v>15000</v>
      </c>
      <c r="V174" s="244">
        <v>0</v>
      </c>
      <c r="W174" s="245" t="s">
        <v>3867</v>
      </c>
      <c r="X174" s="244">
        <v>0</v>
      </c>
      <c r="Y174" s="245" t="s">
        <v>3868</v>
      </c>
      <c r="Z174" s="244">
        <v>11980</v>
      </c>
      <c r="AA174" s="242" t="s">
        <v>3869</v>
      </c>
      <c r="AB174" s="242"/>
      <c r="AC174" s="242"/>
      <c r="AD174" s="213">
        <v>44295</v>
      </c>
      <c r="AE174" s="213">
        <v>44379</v>
      </c>
      <c r="AF174" s="213">
        <v>44483</v>
      </c>
      <c r="AG174" s="213"/>
      <c r="AH174" s="75">
        <f t="shared" si="9"/>
        <v>0.23960000000000001</v>
      </c>
      <c r="AI174" s="75">
        <f t="shared" si="10"/>
        <v>0</v>
      </c>
      <c r="AJ174" s="75">
        <f t="shared" si="11"/>
        <v>0</v>
      </c>
      <c r="AK174" s="75">
        <f t="shared" si="12"/>
        <v>0.79866666666666664</v>
      </c>
      <c r="AL174" s="75" t="s">
        <v>2467</v>
      </c>
      <c r="AM174" s="214" t="s">
        <v>739</v>
      </c>
      <c r="AN174" s="214" t="s">
        <v>739</v>
      </c>
      <c r="AO174" s="214" t="s">
        <v>739</v>
      </c>
      <c r="AP174" s="214"/>
      <c r="AQ174" s="214" t="s">
        <v>3521</v>
      </c>
      <c r="AR174" s="214" t="s">
        <v>3715</v>
      </c>
      <c r="AS174" s="214" t="s">
        <v>3523</v>
      </c>
      <c r="AT174" s="214"/>
      <c r="AU174" s="214" t="s">
        <v>828</v>
      </c>
      <c r="AV174" s="214" t="s">
        <v>828</v>
      </c>
      <c r="AW174" s="214" t="s">
        <v>828</v>
      </c>
      <c r="AX174" s="214"/>
      <c r="AY174" s="214" t="s">
        <v>3870</v>
      </c>
      <c r="AZ174" s="214" t="s">
        <v>3871</v>
      </c>
      <c r="BA174" s="214" t="s">
        <v>3872</v>
      </c>
      <c r="BB174" s="214"/>
      <c r="BC174" s="143" t="s">
        <v>727</v>
      </c>
    </row>
    <row r="175" spans="1:55" ht="15" customHeight="1" x14ac:dyDescent="0.25">
      <c r="A175" s="210">
        <v>53</v>
      </c>
      <c r="B175" s="143" t="s">
        <v>3397</v>
      </c>
      <c r="C175" s="143" t="s">
        <v>3818</v>
      </c>
      <c r="D175" s="143" t="s">
        <v>3864</v>
      </c>
      <c r="E175" s="143" t="s">
        <v>728</v>
      </c>
      <c r="F175" s="143" t="s">
        <v>3513</v>
      </c>
      <c r="G175" s="143" t="s">
        <v>730</v>
      </c>
      <c r="H175" s="143" t="s">
        <v>2688</v>
      </c>
      <c r="I175" s="143" t="s">
        <v>3873</v>
      </c>
      <c r="J175" s="217">
        <v>44228</v>
      </c>
      <c r="K175" s="217">
        <v>44561</v>
      </c>
      <c r="L175" s="143" t="s">
        <v>3874</v>
      </c>
      <c r="M175" s="143" t="s">
        <v>3822</v>
      </c>
      <c r="N175" s="143" t="s">
        <v>30</v>
      </c>
      <c r="O175" s="143" t="s">
        <v>3866</v>
      </c>
      <c r="P175" s="143" t="s">
        <v>735</v>
      </c>
      <c r="Q175" s="244">
        <v>1</v>
      </c>
      <c r="R175" s="244">
        <v>0</v>
      </c>
      <c r="S175" s="244">
        <v>0</v>
      </c>
      <c r="T175" s="244">
        <v>1</v>
      </c>
      <c r="U175" s="244">
        <v>0</v>
      </c>
      <c r="V175" s="244">
        <v>0</v>
      </c>
      <c r="W175" s="245" t="s">
        <v>3875</v>
      </c>
      <c r="X175" s="244">
        <v>1</v>
      </c>
      <c r="Y175" s="245" t="s">
        <v>3876</v>
      </c>
      <c r="Z175" s="244">
        <v>0</v>
      </c>
      <c r="AA175" s="242" t="s">
        <v>3877</v>
      </c>
      <c r="AB175" s="242"/>
      <c r="AC175" s="242"/>
      <c r="AD175" s="213">
        <v>44295</v>
      </c>
      <c r="AE175" s="213">
        <v>44379</v>
      </c>
      <c r="AF175" s="213">
        <v>44483</v>
      </c>
      <c r="AG175" s="213"/>
      <c r="AH175" s="75">
        <f t="shared" si="9"/>
        <v>1</v>
      </c>
      <c r="AI175" s="75" t="str">
        <f t="shared" si="10"/>
        <v/>
      </c>
      <c r="AJ175" s="75" t="str">
        <f t="shared" si="11"/>
        <v/>
      </c>
      <c r="AK175" s="75">
        <f t="shared" si="12"/>
        <v>1</v>
      </c>
      <c r="AL175" s="75" t="s">
        <v>2467</v>
      </c>
      <c r="AM175" s="214" t="s">
        <v>739</v>
      </c>
      <c r="AN175" s="214" t="s">
        <v>739</v>
      </c>
      <c r="AO175" s="214" t="s">
        <v>739</v>
      </c>
      <c r="AP175" s="214"/>
      <c r="AQ175" s="214" t="s">
        <v>3695</v>
      </c>
      <c r="AR175" s="214" t="s">
        <v>3834</v>
      </c>
      <c r="AS175" s="214" t="s">
        <v>3523</v>
      </c>
      <c r="AT175" s="214"/>
      <c r="AU175" s="214" t="s">
        <v>838</v>
      </c>
      <c r="AV175" s="214" t="s">
        <v>739</v>
      </c>
      <c r="AW175" s="214" t="s">
        <v>739</v>
      </c>
      <c r="AX175" s="214"/>
      <c r="AY175" s="214" t="s">
        <v>3878</v>
      </c>
      <c r="AZ175" s="214" t="s">
        <v>3879</v>
      </c>
      <c r="BA175" s="214" t="s">
        <v>3880</v>
      </c>
      <c r="BB175" s="214"/>
      <c r="BC175" s="143" t="s">
        <v>727</v>
      </c>
    </row>
    <row r="176" spans="1:55" ht="15" customHeight="1" x14ac:dyDescent="0.25">
      <c r="A176" s="210">
        <v>54</v>
      </c>
      <c r="B176" s="143" t="s">
        <v>3397</v>
      </c>
      <c r="C176" s="143" t="s">
        <v>3818</v>
      </c>
      <c r="D176" s="143" t="s">
        <v>3881</v>
      </c>
      <c r="E176" s="143" t="s">
        <v>3606</v>
      </c>
      <c r="F176" s="143" t="s">
        <v>3607</v>
      </c>
      <c r="G176" s="143" t="s">
        <v>730</v>
      </c>
      <c r="H176" s="143" t="s">
        <v>2688</v>
      </c>
      <c r="I176" s="143" t="s">
        <v>3882</v>
      </c>
      <c r="J176" s="217">
        <v>44228</v>
      </c>
      <c r="K176" s="217">
        <v>44561</v>
      </c>
      <c r="L176" s="143" t="s">
        <v>3883</v>
      </c>
      <c r="M176" s="143" t="s">
        <v>3822</v>
      </c>
      <c r="N176" s="143" t="s">
        <v>30</v>
      </c>
      <c r="O176" s="143" t="s">
        <v>3884</v>
      </c>
      <c r="P176" s="143" t="s">
        <v>735</v>
      </c>
      <c r="Q176" s="244">
        <v>30</v>
      </c>
      <c r="R176" s="244">
        <v>6</v>
      </c>
      <c r="S176" s="244">
        <v>9</v>
      </c>
      <c r="T176" s="244">
        <v>9</v>
      </c>
      <c r="U176" s="244">
        <v>6</v>
      </c>
      <c r="V176" s="244">
        <v>0</v>
      </c>
      <c r="W176" s="245" t="s">
        <v>3867</v>
      </c>
      <c r="X176" s="244">
        <v>7</v>
      </c>
      <c r="Y176" s="245" t="s">
        <v>3885</v>
      </c>
      <c r="Z176" s="244">
        <v>9</v>
      </c>
      <c r="AA176" s="242" t="s">
        <v>3886</v>
      </c>
      <c r="AB176" s="242"/>
      <c r="AC176" s="242"/>
      <c r="AD176" s="213">
        <v>44295</v>
      </c>
      <c r="AE176" s="213">
        <v>44379</v>
      </c>
      <c r="AF176" s="213">
        <v>44483</v>
      </c>
      <c r="AG176" s="213"/>
      <c r="AH176" s="75">
        <f t="shared" si="9"/>
        <v>0.53333333333333333</v>
      </c>
      <c r="AI176" s="75">
        <f t="shared" si="10"/>
        <v>0</v>
      </c>
      <c r="AJ176" s="75">
        <f t="shared" si="11"/>
        <v>0.77777777777777779</v>
      </c>
      <c r="AK176" s="75">
        <f t="shared" si="12"/>
        <v>1</v>
      </c>
      <c r="AL176" s="75" t="s">
        <v>2467</v>
      </c>
      <c r="AM176" s="214" t="s">
        <v>739</v>
      </c>
      <c r="AN176" s="214" t="s">
        <v>739</v>
      </c>
      <c r="AO176" s="214" t="s">
        <v>739</v>
      </c>
      <c r="AP176" s="214"/>
      <c r="AQ176" s="214" t="s">
        <v>3593</v>
      </c>
      <c r="AR176" s="214" t="s">
        <v>3715</v>
      </c>
      <c r="AS176" s="214" t="s">
        <v>3523</v>
      </c>
      <c r="AT176" s="214"/>
      <c r="AU176" s="214" t="s">
        <v>828</v>
      </c>
      <c r="AV176" s="214" t="s">
        <v>739</v>
      </c>
      <c r="AW176" s="214" t="s">
        <v>739</v>
      </c>
      <c r="AX176" s="214"/>
      <c r="AY176" s="214" t="s">
        <v>3870</v>
      </c>
      <c r="AZ176" s="214" t="s">
        <v>3887</v>
      </c>
      <c r="BA176" s="214" t="s">
        <v>3888</v>
      </c>
      <c r="BB176" s="214"/>
      <c r="BC176" s="143" t="s">
        <v>727</v>
      </c>
    </row>
    <row r="177" spans="1:55" ht="15" customHeight="1" x14ac:dyDescent="0.25">
      <c r="A177" s="210">
        <v>55</v>
      </c>
      <c r="B177" s="143" t="s">
        <v>3397</v>
      </c>
      <c r="C177" s="143" t="s">
        <v>3818</v>
      </c>
      <c r="D177" s="143" t="s">
        <v>3881</v>
      </c>
      <c r="E177" s="143" t="s">
        <v>3606</v>
      </c>
      <c r="F177" s="143" t="s">
        <v>3607</v>
      </c>
      <c r="G177" s="143" t="s">
        <v>730</v>
      </c>
      <c r="H177" s="143" t="s">
        <v>2688</v>
      </c>
      <c r="I177" s="143" t="s">
        <v>3889</v>
      </c>
      <c r="J177" s="217">
        <v>44228</v>
      </c>
      <c r="K177" s="217">
        <v>44561</v>
      </c>
      <c r="L177" s="143" t="s">
        <v>3890</v>
      </c>
      <c r="M177" s="143" t="s">
        <v>3822</v>
      </c>
      <c r="N177" s="143" t="s">
        <v>30</v>
      </c>
      <c r="O177" s="143" t="s">
        <v>3884</v>
      </c>
      <c r="P177" s="143" t="s">
        <v>735</v>
      </c>
      <c r="Q177" s="244">
        <v>4</v>
      </c>
      <c r="R177" s="244">
        <v>0</v>
      </c>
      <c r="S177" s="244">
        <v>2</v>
      </c>
      <c r="T177" s="244">
        <v>0</v>
      </c>
      <c r="U177" s="244">
        <v>2</v>
      </c>
      <c r="V177" s="244">
        <v>0</v>
      </c>
      <c r="W177" s="245" t="s">
        <v>3891</v>
      </c>
      <c r="X177" s="244">
        <v>3</v>
      </c>
      <c r="Y177" s="245" t="s">
        <v>3892</v>
      </c>
      <c r="Z177" s="244">
        <v>1</v>
      </c>
      <c r="AA177" s="242" t="s">
        <v>3893</v>
      </c>
      <c r="AB177" s="242"/>
      <c r="AC177" s="242"/>
      <c r="AD177" s="213">
        <v>44295</v>
      </c>
      <c r="AE177" s="213">
        <v>44379</v>
      </c>
      <c r="AF177" s="213">
        <v>44483</v>
      </c>
      <c r="AG177" s="213"/>
      <c r="AH177" s="75">
        <f t="shared" si="9"/>
        <v>1</v>
      </c>
      <c r="AI177" s="75" t="str">
        <f t="shared" si="10"/>
        <v/>
      </c>
      <c r="AJ177" s="75">
        <f t="shared" si="11"/>
        <v>1</v>
      </c>
      <c r="AK177" s="75" t="str">
        <f t="shared" si="12"/>
        <v/>
      </c>
      <c r="AL177" s="75" t="s">
        <v>2467</v>
      </c>
      <c r="AM177" s="214" t="s">
        <v>739</v>
      </c>
      <c r="AN177" s="214" t="s">
        <v>739</v>
      </c>
      <c r="AO177" s="214" t="s">
        <v>739</v>
      </c>
      <c r="AP177" s="214"/>
      <c r="AQ177" s="214" t="s">
        <v>3521</v>
      </c>
      <c r="AR177" s="214" t="s">
        <v>3715</v>
      </c>
      <c r="AS177" s="214" t="s">
        <v>3523</v>
      </c>
      <c r="AT177" s="214"/>
      <c r="AU177" s="214" t="s">
        <v>739</v>
      </c>
      <c r="AV177" s="214" t="s">
        <v>739</v>
      </c>
      <c r="AW177" s="214" t="s">
        <v>739</v>
      </c>
      <c r="AX177" s="214"/>
      <c r="AY177" s="214" t="s">
        <v>3894</v>
      </c>
      <c r="AZ177" s="214" t="s">
        <v>3895</v>
      </c>
      <c r="BA177" s="214" t="s">
        <v>3896</v>
      </c>
      <c r="BB177" s="214"/>
      <c r="BC177" s="143" t="s">
        <v>727</v>
      </c>
    </row>
    <row r="178" spans="1:55" ht="15" customHeight="1" x14ac:dyDescent="0.25">
      <c r="A178" s="210">
        <v>56</v>
      </c>
      <c r="B178" s="143" t="s">
        <v>3397</v>
      </c>
      <c r="C178" s="143" t="s">
        <v>3818</v>
      </c>
      <c r="D178" s="143" t="s">
        <v>3881</v>
      </c>
      <c r="E178" s="143" t="s">
        <v>3606</v>
      </c>
      <c r="F178" s="143" t="s">
        <v>3607</v>
      </c>
      <c r="G178" s="143" t="s">
        <v>730</v>
      </c>
      <c r="H178" s="143" t="s">
        <v>2688</v>
      </c>
      <c r="I178" s="143" t="s">
        <v>3897</v>
      </c>
      <c r="J178" s="217">
        <v>44228</v>
      </c>
      <c r="K178" s="217">
        <v>44561</v>
      </c>
      <c r="L178" s="143" t="s">
        <v>3898</v>
      </c>
      <c r="M178" s="143" t="s">
        <v>3822</v>
      </c>
      <c r="N178" s="143" t="s">
        <v>30</v>
      </c>
      <c r="O178" s="143" t="s">
        <v>3884</v>
      </c>
      <c r="P178" s="143" t="s">
        <v>735</v>
      </c>
      <c r="Q178" s="244">
        <v>1000000</v>
      </c>
      <c r="R178" s="244">
        <v>100000</v>
      </c>
      <c r="S178" s="244">
        <v>300000</v>
      </c>
      <c r="T178" s="244">
        <v>300000</v>
      </c>
      <c r="U178" s="244">
        <v>300000</v>
      </c>
      <c r="V178" s="244">
        <v>28947</v>
      </c>
      <c r="W178" s="245" t="s">
        <v>3899</v>
      </c>
      <c r="X178" s="244">
        <v>17207</v>
      </c>
      <c r="Y178" s="245" t="s">
        <v>3900</v>
      </c>
      <c r="Z178" s="244">
        <v>155210</v>
      </c>
      <c r="AA178" s="242" t="s">
        <v>3901</v>
      </c>
      <c r="AB178" s="242"/>
      <c r="AC178" s="242"/>
      <c r="AD178" s="213">
        <v>44295</v>
      </c>
      <c r="AE178" s="213">
        <v>44379</v>
      </c>
      <c r="AF178" s="213">
        <v>44483</v>
      </c>
      <c r="AG178" s="213"/>
      <c r="AH178" s="75">
        <f t="shared" si="9"/>
        <v>0.20136399999999999</v>
      </c>
      <c r="AI178" s="75">
        <f t="shared" si="10"/>
        <v>0.28947000000000001</v>
      </c>
      <c r="AJ178" s="75">
        <f t="shared" si="11"/>
        <v>1</v>
      </c>
      <c r="AK178" s="75">
        <f t="shared" si="12"/>
        <v>1</v>
      </c>
      <c r="AL178" s="75" t="s">
        <v>2467</v>
      </c>
      <c r="AM178" s="214" t="s">
        <v>739</v>
      </c>
      <c r="AN178" s="214" t="s">
        <v>739</v>
      </c>
      <c r="AO178" s="214" t="s">
        <v>739</v>
      </c>
      <c r="AP178" s="214"/>
      <c r="AQ178" s="214" t="s">
        <v>3521</v>
      </c>
      <c r="AR178" s="214" t="s">
        <v>3715</v>
      </c>
      <c r="AS178" s="214" t="s">
        <v>3523</v>
      </c>
      <c r="AT178" s="214"/>
      <c r="AU178" s="214" t="s">
        <v>739</v>
      </c>
      <c r="AV178" s="214" t="s">
        <v>739</v>
      </c>
      <c r="AW178" s="214" t="s">
        <v>739</v>
      </c>
      <c r="AX178" s="214"/>
      <c r="AY178" s="214" t="s">
        <v>3902</v>
      </c>
      <c r="AZ178" s="214" t="s">
        <v>3903</v>
      </c>
      <c r="BA178" s="214" t="s">
        <v>3904</v>
      </c>
      <c r="BB178" s="214"/>
      <c r="BC178" s="143" t="s">
        <v>727</v>
      </c>
    </row>
    <row r="179" spans="1:55" ht="15" customHeight="1" x14ac:dyDescent="0.25">
      <c r="A179" s="210">
        <v>57</v>
      </c>
      <c r="B179" s="143" t="s">
        <v>3397</v>
      </c>
      <c r="C179" s="143" t="s">
        <v>3818</v>
      </c>
      <c r="D179" s="143" t="s">
        <v>3905</v>
      </c>
      <c r="E179" s="143" t="s">
        <v>728</v>
      </c>
      <c r="F179" s="143" t="s">
        <v>3513</v>
      </c>
      <c r="G179" s="143" t="s">
        <v>730</v>
      </c>
      <c r="H179" s="143" t="s">
        <v>2688</v>
      </c>
      <c r="I179" s="143" t="s">
        <v>3906</v>
      </c>
      <c r="J179" s="217">
        <v>44228</v>
      </c>
      <c r="K179" s="217">
        <v>44561</v>
      </c>
      <c r="L179" s="143" t="s">
        <v>3907</v>
      </c>
      <c r="M179" s="143" t="s">
        <v>3822</v>
      </c>
      <c r="N179" s="143" t="s">
        <v>30</v>
      </c>
      <c r="O179" s="143" t="s">
        <v>3908</v>
      </c>
      <c r="P179" s="143" t="s">
        <v>735</v>
      </c>
      <c r="Q179" s="244">
        <v>100</v>
      </c>
      <c r="R179" s="244">
        <v>10</v>
      </c>
      <c r="S179" s="244">
        <v>30</v>
      </c>
      <c r="T179" s="244">
        <v>30</v>
      </c>
      <c r="U179" s="244">
        <v>30</v>
      </c>
      <c r="V179" s="244">
        <v>15</v>
      </c>
      <c r="W179" s="245" t="s">
        <v>3909</v>
      </c>
      <c r="X179" s="244">
        <v>16</v>
      </c>
      <c r="Y179" s="245" t="s">
        <v>3910</v>
      </c>
      <c r="Z179" s="244">
        <v>33</v>
      </c>
      <c r="AA179" s="242" t="s">
        <v>3911</v>
      </c>
      <c r="AB179" s="242"/>
      <c r="AC179" s="242"/>
      <c r="AD179" s="213">
        <v>44295</v>
      </c>
      <c r="AE179" s="213">
        <v>44379</v>
      </c>
      <c r="AF179" s="213">
        <v>44483</v>
      </c>
      <c r="AG179" s="213"/>
      <c r="AH179" s="75">
        <f t="shared" si="9"/>
        <v>0.64</v>
      </c>
      <c r="AI179" s="75">
        <f t="shared" si="10"/>
        <v>1</v>
      </c>
      <c r="AJ179" s="75">
        <f t="shared" si="11"/>
        <v>1</v>
      </c>
      <c r="AK179" s="75">
        <f t="shared" si="12"/>
        <v>1</v>
      </c>
      <c r="AL179" s="75" t="s">
        <v>2467</v>
      </c>
      <c r="AM179" s="214" t="s">
        <v>739</v>
      </c>
      <c r="AN179" s="214" t="s">
        <v>739</v>
      </c>
      <c r="AO179" s="214" t="s">
        <v>739</v>
      </c>
      <c r="AP179" s="214"/>
      <c r="AQ179" s="214" t="s">
        <v>3521</v>
      </c>
      <c r="AR179" s="214" t="s">
        <v>3715</v>
      </c>
      <c r="AS179" s="214" t="s">
        <v>3523</v>
      </c>
      <c r="AT179" s="214"/>
      <c r="AU179" s="214" t="s">
        <v>739</v>
      </c>
      <c r="AV179" s="214" t="s">
        <v>828</v>
      </c>
      <c r="AW179" s="214" t="s">
        <v>739</v>
      </c>
      <c r="AX179" s="214"/>
      <c r="AY179" s="214" t="s">
        <v>3912</v>
      </c>
      <c r="AZ179" s="214" t="s">
        <v>3913</v>
      </c>
      <c r="BA179" s="214" t="s">
        <v>3914</v>
      </c>
      <c r="BB179" s="214"/>
      <c r="BC179" s="143" t="s">
        <v>727</v>
      </c>
    </row>
    <row r="180" spans="1:55" ht="15" customHeight="1" x14ac:dyDescent="0.25">
      <c r="A180" s="210">
        <v>58</v>
      </c>
      <c r="B180" s="143" t="s">
        <v>3397</v>
      </c>
      <c r="C180" s="143" t="s">
        <v>3818</v>
      </c>
      <c r="D180" s="143" t="s">
        <v>3905</v>
      </c>
      <c r="E180" s="143" t="s">
        <v>728</v>
      </c>
      <c r="F180" s="143" t="s">
        <v>3513</v>
      </c>
      <c r="G180" s="143" t="s">
        <v>730</v>
      </c>
      <c r="H180" s="143" t="s">
        <v>2688</v>
      </c>
      <c r="I180" s="143" t="s">
        <v>3915</v>
      </c>
      <c r="J180" s="217">
        <v>44228</v>
      </c>
      <c r="K180" s="217">
        <v>44561</v>
      </c>
      <c r="L180" s="143" t="s">
        <v>3916</v>
      </c>
      <c r="M180" s="143" t="s">
        <v>3822</v>
      </c>
      <c r="N180" s="143" t="s">
        <v>30</v>
      </c>
      <c r="O180" s="143" t="s">
        <v>3908</v>
      </c>
      <c r="P180" s="143" t="s">
        <v>735</v>
      </c>
      <c r="Q180" s="244">
        <v>20</v>
      </c>
      <c r="R180" s="244">
        <f>+Q180*25%</f>
        <v>5</v>
      </c>
      <c r="S180" s="244">
        <v>5</v>
      </c>
      <c r="T180" s="244">
        <v>5</v>
      </c>
      <c r="U180" s="244">
        <v>5</v>
      </c>
      <c r="V180" s="244">
        <v>10</v>
      </c>
      <c r="W180" s="245" t="s">
        <v>3917</v>
      </c>
      <c r="X180" s="244">
        <v>5</v>
      </c>
      <c r="Y180" s="245" t="s">
        <v>3918</v>
      </c>
      <c r="Z180" s="244">
        <v>4</v>
      </c>
      <c r="AA180" s="242" t="s">
        <v>3919</v>
      </c>
      <c r="AB180" s="242"/>
      <c r="AC180" s="242"/>
      <c r="AD180" s="213">
        <v>44295</v>
      </c>
      <c r="AE180" s="213">
        <v>44379</v>
      </c>
      <c r="AF180" s="213">
        <v>44483</v>
      </c>
      <c r="AG180" s="213"/>
      <c r="AH180" s="75">
        <f t="shared" si="9"/>
        <v>0.95</v>
      </c>
      <c r="AI180" s="75">
        <f t="shared" si="10"/>
        <v>1</v>
      </c>
      <c r="AJ180" s="75">
        <f t="shared" si="11"/>
        <v>1</v>
      </c>
      <c r="AK180" s="75">
        <f t="shared" si="12"/>
        <v>1</v>
      </c>
      <c r="AL180" s="75" t="s">
        <v>2467</v>
      </c>
      <c r="AM180" s="214" t="s">
        <v>739</v>
      </c>
      <c r="AN180" s="214" t="s">
        <v>739</v>
      </c>
      <c r="AO180" s="214" t="s">
        <v>739</v>
      </c>
      <c r="AP180" s="214"/>
      <c r="AQ180" s="214" t="s">
        <v>3521</v>
      </c>
      <c r="AR180" s="214" t="s">
        <v>3715</v>
      </c>
      <c r="AS180" s="214" t="s">
        <v>3523</v>
      </c>
      <c r="AT180" s="214"/>
      <c r="AU180" s="214" t="s">
        <v>739</v>
      </c>
      <c r="AV180" s="214" t="s">
        <v>739</v>
      </c>
      <c r="AW180" s="214" t="s">
        <v>739</v>
      </c>
      <c r="AX180" s="214"/>
      <c r="AY180" s="214" t="s">
        <v>3920</v>
      </c>
      <c r="AZ180" s="214" t="s">
        <v>3920</v>
      </c>
      <c r="BA180" s="214" t="s">
        <v>3921</v>
      </c>
      <c r="BB180" s="214"/>
      <c r="BC180" s="143" t="s">
        <v>727</v>
      </c>
    </row>
    <row r="181" spans="1:55" ht="15" customHeight="1" x14ac:dyDescent="0.25">
      <c r="A181" s="210">
        <v>59</v>
      </c>
      <c r="B181" s="143" t="s">
        <v>3397</v>
      </c>
      <c r="C181" s="143" t="s">
        <v>3818</v>
      </c>
      <c r="D181" s="143" t="s">
        <v>3905</v>
      </c>
      <c r="E181" s="143" t="s">
        <v>728</v>
      </c>
      <c r="F181" s="143" t="s">
        <v>3513</v>
      </c>
      <c r="G181" s="143" t="s">
        <v>730</v>
      </c>
      <c r="H181" s="143" t="s">
        <v>2688</v>
      </c>
      <c r="I181" s="143" t="s">
        <v>3922</v>
      </c>
      <c r="J181" s="217">
        <v>44228</v>
      </c>
      <c r="K181" s="217">
        <v>44561</v>
      </c>
      <c r="L181" s="143" t="s">
        <v>3923</v>
      </c>
      <c r="M181" s="143" t="s">
        <v>3822</v>
      </c>
      <c r="N181" s="143" t="s">
        <v>30</v>
      </c>
      <c r="O181" s="143" t="s">
        <v>3908</v>
      </c>
      <c r="P181" s="143" t="s">
        <v>735</v>
      </c>
      <c r="Q181" s="244">
        <v>3</v>
      </c>
      <c r="R181" s="244">
        <v>0</v>
      </c>
      <c r="S181" s="244">
        <v>0</v>
      </c>
      <c r="T181" s="244">
        <v>0</v>
      </c>
      <c r="U181" s="244">
        <v>3</v>
      </c>
      <c r="V181" s="244">
        <v>1</v>
      </c>
      <c r="W181" s="245" t="s">
        <v>3924</v>
      </c>
      <c r="X181" s="244">
        <v>2</v>
      </c>
      <c r="Y181" s="245" t="s">
        <v>3925</v>
      </c>
      <c r="Z181" s="244">
        <v>0</v>
      </c>
      <c r="AA181" s="242" t="s">
        <v>3926</v>
      </c>
      <c r="AB181" s="215"/>
      <c r="AC181" s="215"/>
      <c r="AD181" s="213">
        <v>44295</v>
      </c>
      <c r="AE181" s="213">
        <v>44379</v>
      </c>
      <c r="AF181" s="213">
        <v>44483</v>
      </c>
      <c r="AG181" s="213"/>
      <c r="AH181" s="75">
        <f t="shared" si="9"/>
        <v>1</v>
      </c>
      <c r="AI181" s="75" t="str">
        <f t="shared" si="10"/>
        <v/>
      </c>
      <c r="AJ181" s="75" t="str">
        <f t="shared" si="11"/>
        <v/>
      </c>
      <c r="AK181" s="75" t="str">
        <f t="shared" si="12"/>
        <v/>
      </c>
      <c r="AL181" s="75" t="s">
        <v>2467</v>
      </c>
      <c r="AM181" s="214" t="s">
        <v>739</v>
      </c>
      <c r="AN181" s="214" t="s">
        <v>739</v>
      </c>
      <c r="AO181" s="214" t="s">
        <v>739</v>
      </c>
      <c r="AP181" s="214"/>
      <c r="AQ181" s="214" t="s">
        <v>3521</v>
      </c>
      <c r="AR181" s="214" t="s">
        <v>3715</v>
      </c>
      <c r="AS181" s="214" t="s">
        <v>3523</v>
      </c>
      <c r="AT181" s="214"/>
      <c r="AU181" s="214" t="s">
        <v>739</v>
      </c>
      <c r="AV181" s="214" t="s">
        <v>739</v>
      </c>
      <c r="AW181" s="214" t="s">
        <v>838</v>
      </c>
      <c r="AX181" s="214"/>
      <c r="AY181" s="214" t="s">
        <v>3927</v>
      </c>
      <c r="AZ181" s="214" t="s">
        <v>3928</v>
      </c>
      <c r="BA181" s="214" t="s">
        <v>3929</v>
      </c>
      <c r="BB181" s="214"/>
      <c r="BC181" s="143" t="s">
        <v>727</v>
      </c>
    </row>
    <row r="182" spans="1:55" ht="15" customHeight="1" x14ac:dyDescent="0.25">
      <c r="A182" s="210">
        <v>60</v>
      </c>
      <c r="B182" s="143" t="s">
        <v>3397</v>
      </c>
      <c r="C182" s="143" t="s">
        <v>3818</v>
      </c>
      <c r="D182" s="143" t="s">
        <v>3905</v>
      </c>
      <c r="E182" s="143" t="s">
        <v>728</v>
      </c>
      <c r="F182" s="143" t="s">
        <v>3513</v>
      </c>
      <c r="G182" s="143" t="s">
        <v>730</v>
      </c>
      <c r="H182" s="143" t="s">
        <v>2688</v>
      </c>
      <c r="I182" s="143" t="s">
        <v>3930</v>
      </c>
      <c r="J182" s="217">
        <v>44228</v>
      </c>
      <c r="K182" s="217">
        <v>44561</v>
      </c>
      <c r="L182" s="143" t="s">
        <v>3931</v>
      </c>
      <c r="M182" s="143" t="s">
        <v>3822</v>
      </c>
      <c r="N182" s="143" t="s">
        <v>30</v>
      </c>
      <c r="O182" s="143" t="s">
        <v>3908</v>
      </c>
      <c r="P182" s="143" t="s">
        <v>735</v>
      </c>
      <c r="Q182" s="244">
        <v>1</v>
      </c>
      <c r="R182" s="244">
        <v>0</v>
      </c>
      <c r="S182" s="244">
        <v>1</v>
      </c>
      <c r="T182" s="244">
        <v>0</v>
      </c>
      <c r="U182" s="244">
        <v>0</v>
      </c>
      <c r="V182" s="244">
        <v>0</v>
      </c>
      <c r="W182" s="245" t="s">
        <v>3932</v>
      </c>
      <c r="X182" s="244">
        <v>1</v>
      </c>
      <c r="Y182" s="245" t="s">
        <v>3933</v>
      </c>
      <c r="Z182" s="244">
        <v>0</v>
      </c>
      <c r="AA182" s="242" t="s">
        <v>3934</v>
      </c>
      <c r="AB182" s="215"/>
      <c r="AC182" s="215"/>
      <c r="AD182" s="213">
        <v>44295</v>
      </c>
      <c r="AE182" s="213">
        <v>44379</v>
      </c>
      <c r="AF182" s="213">
        <v>44483</v>
      </c>
      <c r="AG182" s="213"/>
      <c r="AH182" s="75">
        <f t="shared" si="9"/>
        <v>1</v>
      </c>
      <c r="AI182" s="75" t="str">
        <f t="shared" si="10"/>
        <v/>
      </c>
      <c r="AJ182" s="75">
        <f t="shared" si="11"/>
        <v>1</v>
      </c>
      <c r="AK182" s="75" t="str">
        <f t="shared" si="12"/>
        <v/>
      </c>
      <c r="AL182" s="75" t="s">
        <v>2467</v>
      </c>
      <c r="AM182" s="214" t="s">
        <v>739</v>
      </c>
      <c r="AN182" s="214" t="s">
        <v>739</v>
      </c>
      <c r="AO182" s="214" t="s">
        <v>739</v>
      </c>
      <c r="AP182" s="214"/>
      <c r="AQ182" s="214" t="s">
        <v>3521</v>
      </c>
      <c r="AR182" s="214" t="s">
        <v>3715</v>
      </c>
      <c r="AS182" s="214" t="s">
        <v>3523</v>
      </c>
      <c r="AT182" s="214"/>
      <c r="AU182" s="214" t="s">
        <v>739</v>
      </c>
      <c r="AV182" s="214" t="s">
        <v>739</v>
      </c>
      <c r="AW182" s="214" t="s">
        <v>838</v>
      </c>
      <c r="AX182" s="214"/>
      <c r="AY182" s="214" t="s">
        <v>3935</v>
      </c>
      <c r="AZ182" s="214" t="s">
        <v>3936</v>
      </c>
      <c r="BA182" s="214" t="s">
        <v>3937</v>
      </c>
      <c r="BB182" s="214"/>
      <c r="BC182" s="143" t="s">
        <v>727</v>
      </c>
    </row>
    <row r="183" spans="1:55" ht="15" customHeight="1" x14ac:dyDescent="0.25">
      <c r="A183" s="210">
        <v>61</v>
      </c>
      <c r="B183" s="143" t="s">
        <v>3397</v>
      </c>
      <c r="C183" s="143" t="s">
        <v>3818</v>
      </c>
      <c r="D183" s="143" t="s">
        <v>3905</v>
      </c>
      <c r="E183" s="143" t="s">
        <v>728</v>
      </c>
      <c r="F183" s="143" t="s">
        <v>3513</v>
      </c>
      <c r="G183" s="143" t="s">
        <v>730</v>
      </c>
      <c r="H183" s="143" t="s">
        <v>2688</v>
      </c>
      <c r="I183" s="143" t="s">
        <v>3938</v>
      </c>
      <c r="J183" s="217">
        <v>44228</v>
      </c>
      <c r="K183" s="217">
        <v>44561</v>
      </c>
      <c r="L183" s="143" t="s">
        <v>3939</v>
      </c>
      <c r="M183" s="143" t="s">
        <v>3822</v>
      </c>
      <c r="N183" s="143" t="s">
        <v>30</v>
      </c>
      <c r="O183" s="143" t="s">
        <v>3908</v>
      </c>
      <c r="P183" s="143" t="s">
        <v>735</v>
      </c>
      <c r="Q183" s="244">
        <v>1</v>
      </c>
      <c r="R183" s="244">
        <v>0</v>
      </c>
      <c r="S183" s="244">
        <v>0</v>
      </c>
      <c r="T183" s="244">
        <v>0</v>
      </c>
      <c r="U183" s="244">
        <v>1</v>
      </c>
      <c r="V183" s="244">
        <v>0</v>
      </c>
      <c r="W183" s="245" t="s">
        <v>3940</v>
      </c>
      <c r="X183" s="244">
        <v>0</v>
      </c>
      <c r="Y183" s="245" t="s">
        <v>3941</v>
      </c>
      <c r="Z183" s="244">
        <v>65</v>
      </c>
      <c r="AA183" s="242" t="s">
        <v>3942</v>
      </c>
      <c r="AB183" s="242"/>
      <c r="AC183" s="242"/>
      <c r="AD183" s="213">
        <v>44295</v>
      </c>
      <c r="AE183" s="213">
        <v>44379</v>
      </c>
      <c r="AF183" s="213">
        <v>44483</v>
      </c>
      <c r="AG183" s="213"/>
      <c r="AH183" s="75">
        <f t="shared" si="9"/>
        <v>1</v>
      </c>
      <c r="AI183" s="75" t="str">
        <f t="shared" si="10"/>
        <v/>
      </c>
      <c r="AJ183" s="75" t="str">
        <f t="shared" si="11"/>
        <v/>
      </c>
      <c r="AK183" s="75" t="str">
        <f t="shared" si="12"/>
        <v/>
      </c>
      <c r="AL183" s="75" t="s">
        <v>2467</v>
      </c>
      <c r="AM183" s="214" t="s">
        <v>739</v>
      </c>
      <c r="AN183" s="214" t="s">
        <v>739</v>
      </c>
      <c r="AO183" s="214" t="s">
        <v>739</v>
      </c>
      <c r="AP183" s="214"/>
      <c r="AQ183" s="214" t="s">
        <v>3521</v>
      </c>
      <c r="AR183" s="214" t="s">
        <v>3943</v>
      </c>
      <c r="AS183" s="214" t="s">
        <v>3523</v>
      </c>
      <c r="AT183" s="214"/>
      <c r="AU183" s="214" t="s">
        <v>739</v>
      </c>
      <c r="AV183" s="214" t="s">
        <v>838</v>
      </c>
      <c r="AW183" s="214" t="s">
        <v>838</v>
      </c>
      <c r="AX183" s="214"/>
      <c r="AY183" s="214" t="s">
        <v>3944</v>
      </c>
      <c r="AZ183" s="214" t="s">
        <v>3945</v>
      </c>
      <c r="BA183" s="214" t="s">
        <v>3946</v>
      </c>
      <c r="BB183" s="214"/>
      <c r="BC183" s="143" t="s">
        <v>727</v>
      </c>
    </row>
    <row r="184" spans="1:55" ht="15" customHeight="1" x14ac:dyDescent="0.25">
      <c r="A184" s="210">
        <v>62</v>
      </c>
      <c r="B184" s="143" t="s">
        <v>3397</v>
      </c>
      <c r="C184" s="143" t="s">
        <v>3818</v>
      </c>
      <c r="D184" s="143" t="s">
        <v>3947</v>
      </c>
      <c r="E184" s="143" t="s">
        <v>728</v>
      </c>
      <c r="F184" s="143" t="s">
        <v>3513</v>
      </c>
      <c r="G184" s="143" t="s">
        <v>730</v>
      </c>
      <c r="H184" s="143" t="s">
        <v>2688</v>
      </c>
      <c r="I184" s="143" t="s">
        <v>3948</v>
      </c>
      <c r="J184" s="217">
        <v>44228</v>
      </c>
      <c r="K184" s="217">
        <v>44561</v>
      </c>
      <c r="L184" s="143" t="s">
        <v>3949</v>
      </c>
      <c r="M184" s="143" t="s">
        <v>3822</v>
      </c>
      <c r="N184" s="143" t="s">
        <v>60</v>
      </c>
      <c r="O184" s="143" t="s">
        <v>3950</v>
      </c>
      <c r="P184" s="143" t="s">
        <v>3951</v>
      </c>
      <c r="Q184" s="215">
        <v>1</v>
      </c>
      <c r="R184" s="215">
        <v>0.25</v>
      </c>
      <c r="S184" s="215">
        <v>0.25</v>
      </c>
      <c r="T184" s="215">
        <v>0.25</v>
      </c>
      <c r="U184" s="215">
        <v>0.25</v>
      </c>
      <c r="V184" s="215">
        <v>0.25</v>
      </c>
      <c r="W184" s="210" t="s">
        <v>3952</v>
      </c>
      <c r="X184" s="215">
        <v>0.25</v>
      </c>
      <c r="Y184" s="210" t="s">
        <v>3953</v>
      </c>
      <c r="Z184" s="215">
        <v>0.25</v>
      </c>
      <c r="AA184" s="242" t="s">
        <v>3954</v>
      </c>
      <c r="AB184" s="242"/>
      <c r="AC184" s="242"/>
      <c r="AD184" s="213">
        <v>44295</v>
      </c>
      <c r="AE184" s="213">
        <v>44379</v>
      </c>
      <c r="AF184" s="213">
        <v>44483</v>
      </c>
      <c r="AG184" s="213"/>
      <c r="AH184" s="75">
        <f t="shared" si="9"/>
        <v>0.75</v>
      </c>
      <c r="AI184" s="75">
        <f t="shared" si="10"/>
        <v>1</v>
      </c>
      <c r="AJ184" s="75">
        <f t="shared" si="11"/>
        <v>1</v>
      </c>
      <c r="AK184" s="75">
        <f t="shared" si="12"/>
        <v>1</v>
      </c>
      <c r="AL184" s="75" t="s">
        <v>2467</v>
      </c>
      <c r="AM184" s="214" t="s">
        <v>739</v>
      </c>
      <c r="AN184" s="214" t="s">
        <v>739</v>
      </c>
      <c r="AO184" s="214" t="s">
        <v>739</v>
      </c>
      <c r="AP184" s="214"/>
      <c r="AQ184" s="214" t="s">
        <v>3521</v>
      </c>
      <c r="AR184" s="214" t="s">
        <v>3715</v>
      </c>
      <c r="AS184" s="214" t="s">
        <v>3523</v>
      </c>
      <c r="AT184" s="214"/>
      <c r="AU184" s="214" t="s">
        <v>739</v>
      </c>
      <c r="AV184" s="214" t="s">
        <v>739</v>
      </c>
      <c r="AW184" s="214" t="s">
        <v>739</v>
      </c>
      <c r="AX184" s="214"/>
      <c r="AY184" s="214" t="s">
        <v>3955</v>
      </c>
      <c r="AZ184" s="214" t="s">
        <v>3956</v>
      </c>
      <c r="BA184" s="214" t="s">
        <v>3957</v>
      </c>
      <c r="BB184" s="214"/>
      <c r="BC184" s="143" t="s">
        <v>727</v>
      </c>
    </row>
    <row r="185" spans="1:55" ht="15" customHeight="1" x14ac:dyDescent="0.25">
      <c r="A185" s="210">
        <v>63</v>
      </c>
      <c r="B185" s="143" t="s">
        <v>3397</v>
      </c>
      <c r="C185" s="143" t="s">
        <v>3818</v>
      </c>
      <c r="D185" s="143" t="s">
        <v>3958</v>
      </c>
      <c r="E185" s="143" t="s">
        <v>728</v>
      </c>
      <c r="F185" s="143" t="s">
        <v>3513</v>
      </c>
      <c r="G185" s="143" t="s">
        <v>730</v>
      </c>
      <c r="H185" s="143" t="s">
        <v>2688</v>
      </c>
      <c r="I185" s="143" t="s">
        <v>3959</v>
      </c>
      <c r="J185" s="217">
        <v>44200</v>
      </c>
      <c r="K185" s="217">
        <v>44561</v>
      </c>
      <c r="L185" s="143" t="s">
        <v>3960</v>
      </c>
      <c r="M185" s="143" t="s">
        <v>3822</v>
      </c>
      <c r="N185" s="143" t="s">
        <v>60</v>
      </c>
      <c r="O185" s="143" t="s">
        <v>3961</v>
      </c>
      <c r="P185" s="143" t="s">
        <v>3951</v>
      </c>
      <c r="Q185" s="215">
        <v>1</v>
      </c>
      <c r="R185" s="215">
        <v>0.2</v>
      </c>
      <c r="S185" s="215">
        <v>0.3</v>
      </c>
      <c r="T185" s="215">
        <v>0.3</v>
      </c>
      <c r="U185" s="215">
        <v>0.2</v>
      </c>
      <c r="V185" s="215">
        <v>0.2</v>
      </c>
      <c r="W185" s="210" t="s">
        <v>3962</v>
      </c>
      <c r="X185" s="215">
        <v>0.3</v>
      </c>
      <c r="Y185" s="210" t="s">
        <v>3963</v>
      </c>
      <c r="Z185" s="215">
        <v>0.3</v>
      </c>
      <c r="AA185" s="242" t="s">
        <v>3964</v>
      </c>
      <c r="AB185" s="242"/>
      <c r="AC185" s="242"/>
      <c r="AD185" s="213">
        <v>44295</v>
      </c>
      <c r="AE185" s="213">
        <v>44379</v>
      </c>
      <c r="AF185" s="213">
        <v>44483</v>
      </c>
      <c r="AG185" s="213"/>
      <c r="AH185" s="75">
        <f t="shared" si="9"/>
        <v>0.8</v>
      </c>
      <c r="AI185" s="75">
        <f t="shared" si="10"/>
        <v>1</v>
      </c>
      <c r="AJ185" s="75">
        <f t="shared" si="11"/>
        <v>1</v>
      </c>
      <c r="AK185" s="75">
        <f t="shared" si="12"/>
        <v>1</v>
      </c>
      <c r="AL185" s="75" t="s">
        <v>2467</v>
      </c>
      <c r="AM185" s="214" t="s">
        <v>739</v>
      </c>
      <c r="AN185" s="214" t="s">
        <v>739</v>
      </c>
      <c r="AO185" s="214" t="s">
        <v>739</v>
      </c>
      <c r="AP185" s="214"/>
      <c r="AQ185" s="214" t="s">
        <v>3593</v>
      </c>
      <c r="AR185" s="214" t="s">
        <v>3593</v>
      </c>
      <c r="AS185" s="214" t="s">
        <v>3523</v>
      </c>
      <c r="AT185" s="214"/>
      <c r="AU185" s="214" t="s">
        <v>739</v>
      </c>
      <c r="AV185" s="214" t="s">
        <v>739</v>
      </c>
      <c r="AW185" s="214" t="s">
        <v>739</v>
      </c>
      <c r="AX185" s="214"/>
      <c r="AY185" s="214" t="s">
        <v>3965</v>
      </c>
      <c r="AZ185" s="214" t="s">
        <v>3966</v>
      </c>
      <c r="BA185" s="214" t="s">
        <v>3967</v>
      </c>
      <c r="BB185" s="214"/>
      <c r="BC185" s="143" t="s">
        <v>727</v>
      </c>
    </row>
    <row r="186" spans="1:55" ht="15" customHeight="1" x14ac:dyDescent="0.25">
      <c r="A186" s="210">
        <v>64</v>
      </c>
      <c r="B186" s="143" t="s">
        <v>3397</v>
      </c>
      <c r="C186" s="143" t="s">
        <v>3818</v>
      </c>
      <c r="D186" s="143" t="s">
        <v>3958</v>
      </c>
      <c r="E186" s="143" t="s">
        <v>728</v>
      </c>
      <c r="F186" s="143" t="s">
        <v>3513</v>
      </c>
      <c r="G186" s="143" t="s">
        <v>730</v>
      </c>
      <c r="H186" s="143" t="s">
        <v>2688</v>
      </c>
      <c r="I186" s="143" t="s">
        <v>3968</v>
      </c>
      <c r="J186" s="217">
        <v>44200</v>
      </c>
      <c r="K186" s="217">
        <v>44561</v>
      </c>
      <c r="L186" s="143" t="s">
        <v>3969</v>
      </c>
      <c r="M186" s="143" t="s">
        <v>3822</v>
      </c>
      <c r="N186" s="143" t="s">
        <v>60</v>
      </c>
      <c r="O186" s="143" t="s">
        <v>3961</v>
      </c>
      <c r="P186" s="143" t="s">
        <v>3951</v>
      </c>
      <c r="Q186" s="215">
        <v>1</v>
      </c>
      <c r="R186" s="215">
        <v>0.2</v>
      </c>
      <c r="S186" s="215">
        <v>0.3</v>
      </c>
      <c r="T186" s="215">
        <v>0.3</v>
      </c>
      <c r="U186" s="215">
        <v>0.2</v>
      </c>
      <c r="V186" s="215">
        <v>0.2</v>
      </c>
      <c r="W186" s="210" t="s">
        <v>3970</v>
      </c>
      <c r="X186" s="215">
        <v>0.3</v>
      </c>
      <c r="Y186" s="210" t="s">
        <v>3971</v>
      </c>
      <c r="Z186" s="215">
        <v>0.3</v>
      </c>
      <c r="AA186" s="242" t="s">
        <v>3972</v>
      </c>
      <c r="AB186" s="242"/>
      <c r="AC186" s="242"/>
      <c r="AD186" s="213">
        <v>44295</v>
      </c>
      <c r="AE186" s="213">
        <v>44379</v>
      </c>
      <c r="AF186" s="213">
        <v>44483</v>
      </c>
      <c r="AG186" s="213"/>
      <c r="AH186" s="75">
        <f t="shared" si="9"/>
        <v>0.8</v>
      </c>
      <c r="AI186" s="75">
        <f t="shared" si="10"/>
        <v>1</v>
      </c>
      <c r="AJ186" s="75">
        <f t="shared" si="11"/>
        <v>1</v>
      </c>
      <c r="AK186" s="75">
        <f t="shared" si="12"/>
        <v>1</v>
      </c>
      <c r="AL186" s="75" t="s">
        <v>2467</v>
      </c>
      <c r="AM186" s="214" t="s">
        <v>739</v>
      </c>
      <c r="AN186" s="214" t="s">
        <v>739</v>
      </c>
      <c r="AO186" s="214" t="s">
        <v>739</v>
      </c>
      <c r="AP186" s="214"/>
      <c r="AQ186" s="214" t="s">
        <v>3593</v>
      </c>
      <c r="AR186" s="214" t="s">
        <v>3593</v>
      </c>
      <c r="AS186" s="214" t="s">
        <v>3523</v>
      </c>
      <c r="AT186" s="214"/>
      <c r="AU186" s="214" t="s">
        <v>739</v>
      </c>
      <c r="AV186" s="214" t="s">
        <v>739</v>
      </c>
      <c r="AW186" s="214" t="s">
        <v>739</v>
      </c>
      <c r="AX186" s="214"/>
      <c r="AY186" s="214" t="s">
        <v>3973</v>
      </c>
      <c r="AZ186" s="214" t="s">
        <v>3974</v>
      </c>
      <c r="BA186" s="214" t="s">
        <v>3975</v>
      </c>
      <c r="BB186" s="214"/>
      <c r="BC186" s="143" t="s">
        <v>727</v>
      </c>
    </row>
    <row r="187" spans="1:55" ht="15" customHeight="1" x14ac:dyDescent="0.25">
      <c r="A187" s="210">
        <v>65</v>
      </c>
      <c r="B187" s="143" t="s">
        <v>3397</v>
      </c>
      <c r="C187" s="143" t="s">
        <v>3818</v>
      </c>
      <c r="D187" s="143" t="s">
        <v>3958</v>
      </c>
      <c r="E187" s="143" t="s">
        <v>728</v>
      </c>
      <c r="F187" s="143" t="s">
        <v>3513</v>
      </c>
      <c r="G187" s="143" t="s">
        <v>730</v>
      </c>
      <c r="H187" s="143" t="s">
        <v>2688</v>
      </c>
      <c r="I187" s="143" t="s">
        <v>3976</v>
      </c>
      <c r="J187" s="217">
        <v>44200</v>
      </c>
      <c r="K187" s="217">
        <v>44561</v>
      </c>
      <c r="L187" s="143" t="s">
        <v>3977</v>
      </c>
      <c r="M187" s="143" t="s">
        <v>3822</v>
      </c>
      <c r="N187" s="143" t="s">
        <v>60</v>
      </c>
      <c r="O187" s="143" t="s">
        <v>3961</v>
      </c>
      <c r="P187" s="143" t="s">
        <v>3951</v>
      </c>
      <c r="Q187" s="215">
        <v>1</v>
      </c>
      <c r="R187" s="215">
        <v>0.2</v>
      </c>
      <c r="S187" s="215">
        <v>0.3</v>
      </c>
      <c r="T187" s="215">
        <v>0.3</v>
      </c>
      <c r="U187" s="215">
        <v>0.2</v>
      </c>
      <c r="V187" s="215">
        <v>0.2</v>
      </c>
      <c r="W187" s="210" t="s">
        <v>3978</v>
      </c>
      <c r="X187" s="215">
        <v>0.3</v>
      </c>
      <c r="Y187" s="210" t="s">
        <v>3979</v>
      </c>
      <c r="Z187" s="215">
        <v>0.3</v>
      </c>
      <c r="AA187" s="242" t="s">
        <v>3980</v>
      </c>
      <c r="AB187" s="242"/>
      <c r="AC187" s="242"/>
      <c r="AD187" s="213">
        <v>44295</v>
      </c>
      <c r="AE187" s="213">
        <v>44379</v>
      </c>
      <c r="AF187" s="213">
        <v>44483</v>
      </c>
      <c r="AG187" s="213"/>
      <c r="AH187" s="75">
        <f t="shared" si="9"/>
        <v>0.8</v>
      </c>
      <c r="AI187" s="75">
        <f t="shared" si="10"/>
        <v>1</v>
      </c>
      <c r="AJ187" s="75">
        <f t="shared" si="11"/>
        <v>1</v>
      </c>
      <c r="AK187" s="75">
        <f t="shared" si="12"/>
        <v>1</v>
      </c>
      <c r="AL187" s="75" t="s">
        <v>2467</v>
      </c>
      <c r="AM187" s="214" t="s">
        <v>739</v>
      </c>
      <c r="AN187" s="214" t="s">
        <v>739</v>
      </c>
      <c r="AO187" s="214" t="s">
        <v>739</v>
      </c>
      <c r="AP187" s="214"/>
      <c r="AQ187" s="214" t="s">
        <v>3521</v>
      </c>
      <c r="AR187" s="214" t="s">
        <v>3593</v>
      </c>
      <c r="AS187" s="214" t="s">
        <v>3523</v>
      </c>
      <c r="AT187" s="214"/>
      <c r="AU187" s="214" t="s">
        <v>739</v>
      </c>
      <c r="AV187" s="214" t="s">
        <v>739</v>
      </c>
      <c r="AW187" s="214" t="s">
        <v>739</v>
      </c>
      <c r="AX187" s="214"/>
      <c r="AY187" s="214" t="s">
        <v>3981</v>
      </c>
      <c r="AZ187" s="214" t="s">
        <v>3982</v>
      </c>
      <c r="BA187" s="214" t="s">
        <v>3983</v>
      </c>
      <c r="BB187" s="214"/>
      <c r="BC187" s="143" t="s">
        <v>727</v>
      </c>
    </row>
    <row r="188" spans="1:55" ht="15" customHeight="1" x14ac:dyDescent="0.25">
      <c r="A188" s="210">
        <v>66</v>
      </c>
      <c r="B188" s="143" t="s">
        <v>3397</v>
      </c>
      <c r="C188" s="143" t="s">
        <v>3818</v>
      </c>
      <c r="D188" s="143" t="s">
        <v>3958</v>
      </c>
      <c r="E188" s="143" t="s">
        <v>728</v>
      </c>
      <c r="F188" s="143" t="s">
        <v>3513</v>
      </c>
      <c r="G188" s="143" t="s">
        <v>730</v>
      </c>
      <c r="H188" s="143" t="s">
        <v>2688</v>
      </c>
      <c r="I188" s="143" t="s">
        <v>3984</v>
      </c>
      <c r="J188" s="217">
        <v>44200</v>
      </c>
      <c r="K188" s="217">
        <v>44561</v>
      </c>
      <c r="L188" s="143" t="s">
        <v>3985</v>
      </c>
      <c r="M188" s="143" t="s">
        <v>3822</v>
      </c>
      <c r="N188" s="143" t="s">
        <v>60</v>
      </c>
      <c r="O188" s="143" t="s">
        <v>3961</v>
      </c>
      <c r="P188" s="143" t="s">
        <v>3951</v>
      </c>
      <c r="Q188" s="215">
        <v>1</v>
      </c>
      <c r="R188" s="215">
        <v>0.2</v>
      </c>
      <c r="S188" s="215">
        <v>0.3</v>
      </c>
      <c r="T188" s="215">
        <v>0.3</v>
      </c>
      <c r="U188" s="215">
        <v>0.2</v>
      </c>
      <c r="V188" s="215">
        <v>0</v>
      </c>
      <c r="W188" s="210" t="s">
        <v>3986</v>
      </c>
      <c r="X188" s="215">
        <v>0.5</v>
      </c>
      <c r="Y188" s="210" t="s">
        <v>3987</v>
      </c>
      <c r="Z188" s="215">
        <v>0</v>
      </c>
      <c r="AA188" s="242" t="s">
        <v>3988</v>
      </c>
      <c r="AB188" s="242"/>
      <c r="AC188" s="242"/>
      <c r="AD188" s="213">
        <v>44295</v>
      </c>
      <c r="AE188" s="213">
        <v>44379</v>
      </c>
      <c r="AF188" s="213">
        <v>44483</v>
      </c>
      <c r="AG188" s="213"/>
      <c r="AH188" s="75">
        <f t="shared" si="9"/>
        <v>0.5</v>
      </c>
      <c r="AI188" s="75">
        <f t="shared" si="10"/>
        <v>0</v>
      </c>
      <c r="AJ188" s="75">
        <f t="shared" si="11"/>
        <v>1</v>
      </c>
      <c r="AK188" s="75">
        <f t="shared" si="12"/>
        <v>0.5</v>
      </c>
      <c r="AL188" s="75" t="s">
        <v>2467</v>
      </c>
      <c r="AM188" s="214" t="s">
        <v>739</v>
      </c>
      <c r="AN188" s="214" t="s">
        <v>739</v>
      </c>
      <c r="AO188" s="214" t="s">
        <v>739</v>
      </c>
      <c r="AP188" s="214"/>
      <c r="AQ188" s="214" t="s">
        <v>3989</v>
      </c>
      <c r="AR188" s="214" t="s">
        <v>3593</v>
      </c>
      <c r="AS188" s="214" t="s">
        <v>3523</v>
      </c>
      <c r="AT188" s="214"/>
      <c r="AU188" s="214" t="s">
        <v>739</v>
      </c>
      <c r="AV188" s="214" t="s">
        <v>739</v>
      </c>
      <c r="AW188" s="214" t="s">
        <v>739</v>
      </c>
      <c r="AX188" s="214"/>
      <c r="AY188" s="214" t="s">
        <v>3990</v>
      </c>
      <c r="AZ188" s="214" t="s">
        <v>3991</v>
      </c>
      <c r="BA188" s="214" t="s">
        <v>3992</v>
      </c>
      <c r="BB188" s="214"/>
      <c r="BC188" s="143" t="s">
        <v>727</v>
      </c>
    </row>
    <row r="189" spans="1:55" ht="15" customHeight="1" x14ac:dyDescent="0.25">
      <c r="A189" s="210">
        <v>1</v>
      </c>
      <c r="B189" s="143" t="s">
        <v>3993</v>
      </c>
      <c r="C189" s="143" t="s">
        <v>3994</v>
      </c>
      <c r="D189" s="143" t="s">
        <v>3995</v>
      </c>
      <c r="E189" s="143" t="s">
        <v>728</v>
      </c>
      <c r="F189" s="143" t="s">
        <v>729</v>
      </c>
      <c r="G189" s="143" t="s">
        <v>730</v>
      </c>
      <c r="H189" s="143" t="s">
        <v>731</v>
      </c>
      <c r="I189" s="143" t="s">
        <v>3996</v>
      </c>
      <c r="J189" s="217">
        <v>44228</v>
      </c>
      <c r="K189" s="217">
        <v>44561</v>
      </c>
      <c r="L189" s="143" t="s">
        <v>3997</v>
      </c>
      <c r="M189" s="143" t="s">
        <v>3998</v>
      </c>
      <c r="N189" s="143" t="s">
        <v>30</v>
      </c>
      <c r="O189" s="143" t="s">
        <v>3999</v>
      </c>
      <c r="P189" s="143" t="s">
        <v>735</v>
      </c>
      <c r="Q189" s="212">
        <f>SUM(R189:U189)</f>
        <v>7</v>
      </c>
      <c r="R189" s="212">
        <v>2</v>
      </c>
      <c r="S189" s="212">
        <v>2</v>
      </c>
      <c r="T189" s="212">
        <v>2</v>
      </c>
      <c r="U189" s="212">
        <v>1</v>
      </c>
      <c r="V189" s="212">
        <v>4</v>
      </c>
      <c r="W189" s="212" t="s">
        <v>4000</v>
      </c>
      <c r="X189" s="212">
        <v>2</v>
      </c>
      <c r="Y189" s="212" t="s">
        <v>4001</v>
      </c>
      <c r="Z189" s="212">
        <v>6</v>
      </c>
      <c r="AA189" s="212" t="s">
        <v>4002</v>
      </c>
      <c r="AB189" s="215"/>
      <c r="AC189" s="215"/>
      <c r="AD189" s="213">
        <v>44295</v>
      </c>
      <c r="AE189" s="213">
        <v>44379</v>
      </c>
      <c r="AF189" s="213">
        <v>44480</v>
      </c>
      <c r="AG189" s="213"/>
      <c r="AH189" s="75">
        <f t="shared" si="9"/>
        <v>1</v>
      </c>
      <c r="AI189" s="75">
        <f t="shared" si="10"/>
        <v>1</v>
      </c>
      <c r="AJ189" s="75">
        <f t="shared" si="11"/>
        <v>1</v>
      </c>
      <c r="AK189" s="75">
        <f t="shared" si="12"/>
        <v>1</v>
      </c>
      <c r="AL189" s="75" t="s">
        <v>2467</v>
      </c>
      <c r="AM189" s="214" t="s">
        <v>739</v>
      </c>
      <c r="AN189" s="214" t="s">
        <v>739</v>
      </c>
      <c r="AO189" s="214" t="s">
        <v>739</v>
      </c>
      <c r="AP189" s="214"/>
      <c r="AQ189" s="214" t="s">
        <v>4003</v>
      </c>
      <c r="AR189" s="214" t="s">
        <v>4004</v>
      </c>
      <c r="AS189" s="214" t="s">
        <v>4005</v>
      </c>
      <c r="AT189" s="214"/>
      <c r="AU189" s="214" t="s">
        <v>739</v>
      </c>
      <c r="AV189" s="214" t="s">
        <v>739</v>
      </c>
      <c r="AW189" s="214" t="s">
        <v>739</v>
      </c>
      <c r="AX189" s="214"/>
      <c r="AY189" s="214" t="s">
        <v>4006</v>
      </c>
      <c r="AZ189" s="214" t="s">
        <v>4007</v>
      </c>
      <c r="BA189" s="214" t="s">
        <v>4008</v>
      </c>
      <c r="BB189" s="214"/>
      <c r="BC189" s="143" t="s">
        <v>727</v>
      </c>
    </row>
    <row r="190" spans="1:55" ht="15" customHeight="1" x14ac:dyDescent="0.25">
      <c r="A190" s="210">
        <v>2</v>
      </c>
      <c r="B190" s="143" t="s">
        <v>3993</v>
      </c>
      <c r="C190" s="143" t="s">
        <v>4009</v>
      </c>
      <c r="D190" s="143" t="s">
        <v>4010</v>
      </c>
      <c r="E190" s="143" t="s">
        <v>3569</v>
      </c>
      <c r="F190" s="143" t="s">
        <v>2986</v>
      </c>
      <c r="G190" s="143" t="s">
        <v>730</v>
      </c>
      <c r="H190" s="143" t="s">
        <v>2768</v>
      </c>
      <c r="I190" s="143" t="s">
        <v>4011</v>
      </c>
      <c r="J190" s="217">
        <v>44228</v>
      </c>
      <c r="K190" s="217">
        <v>44561</v>
      </c>
      <c r="L190" s="143" t="s">
        <v>733</v>
      </c>
      <c r="M190" s="143" t="s">
        <v>3998</v>
      </c>
      <c r="N190" s="143" t="s">
        <v>60</v>
      </c>
      <c r="O190" s="143" t="s">
        <v>4012</v>
      </c>
      <c r="P190" s="143" t="s">
        <v>735</v>
      </c>
      <c r="Q190" s="215">
        <v>1</v>
      </c>
      <c r="R190" s="215">
        <v>0.2</v>
      </c>
      <c r="S190" s="215">
        <v>0.3</v>
      </c>
      <c r="T190" s="215">
        <v>0.3</v>
      </c>
      <c r="U190" s="215">
        <v>0.2</v>
      </c>
      <c r="V190" s="215">
        <v>0.2</v>
      </c>
      <c r="W190" s="215" t="s">
        <v>4013</v>
      </c>
      <c r="X190" s="215">
        <v>0.3</v>
      </c>
      <c r="Y190" s="215" t="s">
        <v>4014</v>
      </c>
      <c r="Z190" s="215">
        <v>0.3</v>
      </c>
      <c r="AA190" s="215" t="s">
        <v>4015</v>
      </c>
      <c r="AB190" s="212"/>
      <c r="AC190" s="212"/>
      <c r="AD190" s="213">
        <v>44295</v>
      </c>
      <c r="AE190" s="213">
        <v>44379</v>
      </c>
      <c r="AF190" s="213">
        <v>44482</v>
      </c>
      <c r="AG190" s="213"/>
      <c r="AH190" s="75">
        <f t="shared" si="9"/>
        <v>0.8</v>
      </c>
      <c r="AI190" s="75">
        <f t="shared" si="10"/>
        <v>1</v>
      </c>
      <c r="AJ190" s="75">
        <f t="shared" si="11"/>
        <v>1</v>
      </c>
      <c r="AK190" s="75">
        <f t="shared" si="12"/>
        <v>1</v>
      </c>
      <c r="AL190" s="75" t="s">
        <v>2467</v>
      </c>
      <c r="AM190" s="214" t="s">
        <v>739</v>
      </c>
      <c r="AN190" s="214" t="s">
        <v>739</v>
      </c>
      <c r="AO190" s="214" t="s">
        <v>739</v>
      </c>
      <c r="AP190" s="214"/>
      <c r="AQ190" s="214" t="s">
        <v>4016</v>
      </c>
      <c r="AR190" s="214" t="s">
        <v>4017</v>
      </c>
      <c r="AS190" s="214" t="s">
        <v>4018</v>
      </c>
      <c r="AT190" s="214"/>
      <c r="AU190" s="214" t="s">
        <v>739</v>
      </c>
      <c r="AV190" s="214" t="s">
        <v>739</v>
      </c>
      <c r="AW190" s="214" t="s">
        <v>739</v>
      </c>
      <c r="AX190" s="214"/>
      <c r="AY190" s="214" t="s">
        <v>4019</v>
      </c>
      <c r="AZ190" s="214" t="s">
        <v>4019</v>
      </c>
      <c r="BA190" s="214" t="s">
        <v>4020</v>
      </c>
      <c r="BB190" s="214"/>
      <c r="BC190" s="143" t="s">
        <v>1710</v>
      </c>
    </row>
    <row r="191" spans="1:55" ht="15" customHeight="1" x14ac:dyDescent="0.25">
      <c r="A191" s="210">
        <v>3</v>
      </c>
      <c r="B191" s="143" t="s">
        <v>3993</v>
      </c>
      <c r="C191" s="143" t="s">
        <v>4009</v>
      </c>
      <c r="D191" s="143" t="s">
        <v>4010</v>
      </c>
      <c r="E191" s="143" t="s">
        <v>3569</v>
      </c>
      <c r="F191" s="143" t="s">
        <v>2986</v>
      </c>
      <c r="G191" s="143" t="s">
        <v>730</v>
      </c>
      <c r="H191" s="143" t="s">
        <v>2768</v>
      </c>
      <c r="I191" s="143" t="s">
        <v>4021</v>
      </c>
      <c r="J191" s="217">
        <v>44228</v>
      </c>
      <c r="K191" s="217">
        <v>44561</v>
      </c>
      <c r="L191" s="143" t="s">
        <v>733</v>
      </c>
      <c r="M191" s="143" t="s">
        <v>3998</v>
      </c>
      <c r="N191" s="143" t="s">
        <v>60</v>
      </c>
      <c r="O191" s="143" t="s">
        <v>4012</v>
      </c>
      <c r="P191" s="143" t="s">
        <v>735</v>
      </c>
      <c r="Q191" s="215">
        <v>1</v>
      </c>
      <c r="R191" s="215">
        <v>0.2</v>
      </c>
      <c r="S191" s="215">
        <v>0.3</v>
      </c>
      <c r="T191" s="215">
        <v>0.3</v>
      </c>
      <c r="U191" s="215">
        <v>0.2</v>
      </c>
      <c r="V191" s="215">
        <v>0.2</v>
      </c>
      <c r="W191" s="215" t="s">
        <v>4022</v>
      </c>
      <c r="X191" s="215">
        <v>0.3</v>
      </c>
      <c r="Y191" s="215" t="s">
        <v>4023</v>
      </c>
      <c r="Z191" s="215">
        <v>0.3</v>
      </c>
      <c r="AA191" s="215" t="s">
        <v>4024</v>
      </c>
      <c r="AB191" s="212"/>
      <c r="AC191" s="212"/>
      <c r="AD191" s="213">
        <v>44295</v>
      </c>
      <c r="AE191" s="213">
        <v>44379</v>
      </c>
      <c r="AF191" s="213">
        <v>44480</v>
      </c>
      <c r="AG191" s="213"/>
      <c r="AH191" s="75">
        <f t="shared" si="9"/>
        <v>0.8</v>
      </c>
      <c r="AI191" s="75">
        <f t="shared" si="10"/>
        <v>1</v>
      </c>
      <c r="AJ191" s="75">
        <f t="shared" si="11"/>
        <v>1</v>
      </c>
      <c r="AK191" s="75">
        <f t="shared" si="12"/>
        <v>1</v>
      </c>
      <c r="AL191" s="75" t="s">
        <v>2467</v>
      </c>
      <c r="AM191" s="214" t="s">
        <v>739</v>
      </c>
      <c r="AN191" s="214" t="s">
        <v>739</v>
      </c>
      <c r="AO191" s="214" t="s">
        <v>739</v>
      </c>
      <c r="AP191" s="214"/>
      <c r="AQ191" s="214" t="s">
        <v>4025</v>
      </c>
      <c r="AR191" s="214" t="s">
        <v>4026</v>
      </c>
      <c r="AS191" s="214" t="s">
        <v>4027</v>
      </c>
      <c r="AT191" s="214"/>
      <c r="AU191" s="214" t="s">
        <v>739</v>
      </c>
      <c r="AV191" s="214" t="s">
        <v>739</v>
      </c>
      <c r="AW191" s="214" t="s">
        <v>739</v>
      </c>
      <c r="AX191" s="214"/>
      <c r="AY191" s="214" t="s">
        <v>4028</v>
      </c>
      <c r="AZ191" s="214" t="s">
        <v>4029</v>
      </c>
      <c r="BA191" s="214" t="s">
        <v>4030</v>
      </c>
      <c r="BB191" s="214"/>
      <c r="BC191" s="143" t="s">
        <v>1710</v>
      </c>
    </row>
    <row r="192" spans="1:55" ht="15" customHeight="1" x14ac:dyDescent="0.25">
      <c r="A192" s="210">
        <v>4</v>
      </c>
      <c r="B192" s="143" t="s">
        <v>3993</v>
      </c>
      <c r="C192" s="143" t="s">
        <v>4009</v>
      </c>
      <c r="D192" s="143" t="s">
        <v>4031</v>
      </c>
      <c r="E192" s="143" t="s">
        <v>3569</v>
      </c>
      <c r="F192" s="143" t="s">
        <v>2986</v>
      </c>
      <c r="G192" s="143" t="s">
        <v>730</v>
      </c>
      <c r="H192" s="143" t="s">
        <v>2768</v>
      </c>
      <c r="I192" s="143" t="s">
        <v>4032</v>
      </c>
      <c r="J192" s="217">
        <v>44228</v>
      </c>
      <c r="K192" s="217">
        <v>44561</v>
      </c>
      <c r="L192" s="143" t="s">
        <v>733</v>
      </c>
      <c r="M192" s="143" t="s">
        <v>3998</v>
      </c>
      <c r="N192" s="143" t="s">
        <v>60</v>
      </c>
      <c r="O192" s="143" t="s">
        <v>4033</v>
      </c>
      <c r="P192" s="143" t="s">
        <v>735</v>
      </c>
      <c r="Q192" s="215">
        <v>1</v>
      </c>
      <c r="R192" s="215">
        <v>0.2</v>
      </c>
      <c r="S192" s="215">
        <v>0.3</v>
      </c>
      <c r="T192" s="215">
        <v>0.3</v>
      </c>
      <c r="U192" s="215">
        <v>0.2</v>
      </c>
      <c r="V192" s="215">
        <v>0.2</v>
      </c>
      <c r="W192" s="215" t="s">
        <v>4034</v>
      </c>
      <c r="X192" s="215">
        <v>0.3</v>
      </c>
      <c r="Y192" s="215" t="s">
        <v>4035</v>
      </c>
      <c r="Z192" s="215">
        <v>0.3</v>
      </c>
      <c r="AA192" s="215" t="s">
        <v>4036</v>
      </c>
      <c r="AB192" s="212"/>
      <c r="AC192" s="212"/>
      <c r="AD192" s="213">
        <v>44295</v>
      </c>
      <c r="AE192" s="213">
        <v>44379</v>
      </c>
      <c r="AF192" s="213">
        <v>44480</v>
      </c>
      <c r="AG192" s="213"/>
      <c r="AH192" s="75">
        <f t="shared" si="9"/>
        <v>0.8</v>
      </c>
      <c r="AI192" s="75">
        <f t="shared" si="10"/>
        <v>1</v>
      </c>
      <c r="AJ192" s="75">
        <f t="shared" si="11"/>
        <v>1</v>
      </c>
      <c r="AK192" s="75">
        <f t="shared" si="12"/>
        <v>1</v>
      </c>
      <c r="AL192" s="75" t="s">
        <v>2467</v>
      </c>
      <c r="AM192" s="214" t="s">
        <v>739</v>
      </c>
      <c r="AN192" s="214" t="s">
        <v>739</v>
      </c>
      <c r="AO192" s="214" t="s">
        <v>739</v>
      </c>
      <c r="AP192" s="214"/>
      <c r="AQ192" s="214" t="s">
        <v>4037</v>
      </c>
      <c r="AR192" s="214" t="s">
        <v>4038</v>
      </c>
      <c r="AS192" s="214" t="s">
        <v>4039</v>
      </c>
      <c r="AT192" s="214"/>
      <c r="AU192" s="214" t="s">
        <v>739</v>
      </c>
      <c r="AV192" s="214" t="s">
        <v>739</v>
      </c>
      <c r="AW192" s="214" t="s">
        <v>739</v>
      </c>
      <c r="AX192" s="214"/>
      <c r="AY192" s="214" t="s">
        <v>4040</v>
      </c>
      <c r="AZ192" s="214" t="s">
        <v>4041</v>
      </c>
      <c r="BA192" s="214" t="s">
        <v>4020</v>
      </c>
      <c r="BB192" s="214"/>
      <c r="BC192" s="143" t="s">
        <v>1710</v>
      </c>
    </row>
    <row r="193" spans="1:55" ht="15" customHeight="1" x14ac:dyDescent="0.25">
      <c r="A193" s="210">
        <v>5</v>
      </c>
      <c r="B193" s="143" t="s">
        <v>3993</v>
      </c>
      <c r="C193" s="143" t="s">
        <v>4009</v>
      </c>
      <c r="D193" s="143" t="s">
        <v>4031</v>
      </c>
      <c r="E193" s="143" t="s">
        <v>3569</v>
      </c>
      <c r="F193" s="143" t="s">
        <v>2986</v>
      </c>
      <c r="G193" s="143" t="s">
        <v>730</v>
      </c>
      <c r="H193" s="143" t="s">
        <v>2768</v>
      </c>
      <c r="I193" s="143" t="s">
        <v>4042</v>
      </c>
      <c r="J193" s="217">
        <v>44228</v>
      </c>
      <c r="K193" s="217">
        <v>44561</v>
      </c>
      <c r="L193" s="143" t="s">
        <v>733</v>
      </c>
      <c r="M193" s="143" t="s">
        <v>3998</v>
      </c>
      <c r="N193" s="143" t="s">
        <v>60</v>
      </c>
      <c r="O193" s="143" t="s">
        <v>4033</v>
      </c>
      <c r="P193" s="143" t="s">
        <v>735</v>
      </c>
      <c r="Q193" s="215">
        <v>1</v>
      </c>
      <c r="R193" s="215">
        <v>0.2</v>
      </c>
      <c r="S193" s="215">
        <v>0.3</v>
      </c>
      <c r="T193" s="215">
        <v>0.3</v>
      </c>
      <c r="U193" s="215">
        <v>0.2</v>
      </c>
      <c r="V193" s="215">
        <v>0.2</v>
      </c>
      <c r="W193" s="215" t="s">
        <v>4043</v>
      </c>
      <c r="X193" s="215">
        <v>0.3</v>
      </c>
      <c r="Y193" s="215" t="s">
        <v>4044</v>
      </c>
      <c r="Z193" s="215">
        <v>0.3</v>
      </c>
      <c r="AA193" s="215" t="s">
        <v>4045</v>
      </c>
      <c r="AB193" s="212"/>
      <c r="AC193" s="212"/>
      <c r="AD193" s="213">
        <v>44295</v>
      </c>
      <c r="AE193" s="213">
        <v>44379</v>
      </c>
      <c r="AF193" s="213">
        <v>44480</v>
      </c>
      <c r="AG193" s="213"/>
      <c r="AH193" s="75">
        <f t="shared" si="9"/>
        <v>0.8</v>
      </c>
      <c r="AI193" s="75">
        <f t="shared" si="10"/>
        <v>1</v>
      </c>
      <c r="AJ193" s="75">
        <f t="shared" si="11"/>
        <v>1</v>
      </c>
      <c r="AK193" s="75">
        <f t="shared" si="12"/>
        <v>1</v>
      </c>
      <c r="AL193" s="75" t="s">
        <v>2467</v>
      </c>
      <c r="AM193" s="214" t="s">
        <v>739</v>
      </c>
      <c r="AN193" s="214" t="s">
        <v>739</v>
      </c>
      <c r="AO193" s="214" t="s">
        <v>739</v>
      </c>
      <c r="AP193" s="214"/>
      <c r="AQ193" s="214" t="s">
        <v>4046</v>
      </c>
      <c r="AR193" s="214" t="s">
        <v>4047</v>
      </c>
      <c r="AS193" s="214" t="s">
        <v>4048</v>
      </c>
      <c r="AT193" s="214"/>
      <c r="AU193" s="214" t="s">
        <v>739</v>
      </c>
      <c r="AV193" s="214" t="s">
        <v>739</v>
      </c>
      <c r="AW193" s="214" t="s">
        <v>739</v>
      </c>
      <c r="AX193" s="214"/>
      <c r="AY193" s="214" t="s">
        <v>4049</v>
      </c>
      <c r="AZ193" s="214" t="s">
        <v>4050</v>
      </c>
      <c r="BA193" s="214" t="s">
        <v>4051</v>
      </c>
      <c r="BB193" s="214"/>
      <c r="BC193" s="143" t="s">
        <v>1710</v>
      </c>
    </row>
    <row r="194" spans="1:55" ht="15" customHeight="1" x14ac:dyDescent="0.25">
      <c r="A194" s="210">
        <v>6</v>
      </c>
      <c r="B194" s="143" t="s">
        <v>3993</v>
      </c>
      <c r="C194" s="143" t="s">
        <v>4009</v>
      </c>
      <c r="D194" s="143" t="s">
        <v>4031</v>
      </c>
      <c r="E194" s="143" t="s">
        <v>3569</v>
      </c>
      <c r="F194" s="143" t="s">
        <v>2986</v>
      </c>
      <c r="G194" s="143" t="s">
        <v>730</v>
      </c>
      <c r="H194" s="143" t="s">
        <v>2768</v>
      </c>
      <c r="I194" s="143" t="s">
        <v>4052</v>
      </c>
      <c r="J194" s="217">
        <v>44228</v>
      </c>
      <c r="K194" s="217">
        <v>44561</v>
      </c>
      <c r="L194" s="143" t="s">
        <v>733</v>
      </c>
      <c r="M194" s="143" t="s">
        <v>3998</v>
      </c>
      <c r="N194" s="143" t="s">
        <v>60</v>
      </c>
      <c r="O194" s="143" t="s">
        <v>4033</v>
      </c>
      <c r="P194" s="143" t="s">
        <v>735</v>
      </c>
      <c r="Q194" s="215">
        <v>1</v>
      </c>
      <c r="R194" s="215">
        <v>0.2</v>
      </c>
      <c r="S194" s="215">
        <v>0.3</v>
      </c>
      <c r="T194" s="215">
        <v>0.3</v>
      </c>
      <c r="U194" s="215">
        <v>0.2</v>
      </c>
      <c r="V194" s="215">
        <v>0.2</v>
      </c>
      <c r="W194" s="215" t="s">
        <v>4053</v>
      </c>
      <c r="X194" s="215">
        <v>0.3</v>
      </c>
      <c r="Y194" s="215" t="s">
        <v>4054</v>
      </c>
      <c r="Z194" s="215">
        <v>0.3</v>
      </c>
      <c r="AA194" s="215" t="s">
        <v>4055</v>
      </c>
      <c r="AB194" s="243"/>
      <c r="AC194" s="243"/>
      <c r="AD194" s="213">
        <v>44295</v>
      </c>
      <c r="AE194" s="213">
        <v>44379</v>
      </c>
      <c r="AF194" s="213">
        <v>44482</v>
      </c>
      <c r="AG194" s="213"/>
      <c r="AH194" s="75">
        <f t="shared" si="9"/>
        <v>0.8</v>
      </c>
      <c r="AI194" s="75">
        <f t="shared" si="10"/>
        <v>1</v>
      </c>
      <c r="AJ194" s="75">
        <f t="shared" si="11"/>
        <v>1</v>
      </c>
      <c r="AK194" s="75">
        <f t="shared" si="12"/>
        <v>1</v>
      </c>
      <c r="AL194" s="75" t="s">
        <v>2467</v>
      </c>
      <c r="AM194" s="214" t="s">
        <v>838</v>
      </c>
      <c r="AN194" s="214" t="s">
        <v>739</v>
      </c>
      <c r="AO194" s="214" t="s">
        <v>739</v>
      </c>
      <c r="AP194" s="214"/>
      <c r="AQ194" s="214" t="s">
        <v>4056</v>
      </c>
      <c r="AR194" s="214" t="s">
        <v>4057</v>
      </c>
      <c r="AS194" s="214" t="s">
        <v>4058</v>
      </c>
      <c r="AT194" s="214"/>
      <c r="AU194" s="214" t="s">
        <v>739</v>
      </c>
      <c r="AV194" s="214" t="s">
        <v>739</v>
      </c>
      <c r="AW194" s="214" t="s">
        <v>739</v>
      </c>
      <c r="AX194" s="214"/>
      <c r="AY194" s="214" t="s">
        <v>4059</v>
      </c>
      <c r="AZ194" s="214" t="s">
        <v>4060</v>
      </c>
      <c r="BA194" s="214" t="s">
        <v>4061</v>
      </c>
      <c r="BB194" s="214"/>
      <c r="BC194" s="143" t="s">
        <v>1710</v>
      </c>
    </row>
    <row r="195" spans="1:55" ht="15" customHeight="1" x14ac:dyDescent="0.25">
      <c r="A195" s="210">
        <v>7</v>
      </c>
      <c r="B195" s="143" t="s">
        <v>3993</v>
      </c>
      <c r="C195" s="143" t="s">
        <v>4009</v>
      </c>
      <c r="D195" s="143" t="s">
        <v>4031</v>
      </c>
      <c r="E195" s="143" t="s">
        <v>3569</v>
      </c>
      <c r="F195" s="143" t="s">
        <v>2986</v>
      </c>
      <c r="G195" s="143" t="s">
        <v>730</v>
      </c>
      <c r="H195" s="143" t="s">
        <v>2768</v>
      </c>
      <c r="I195" s="143" t="s">
        <v>4062</v>
      </c>
      <c r="J195" s="217">
        <v>44228</v>
      </c>
      <c r="K195" s="217">
        <v>44561</v>
      </c>
      <c r="L195" s="143" t="s">
        <v>733</v>
      </c>
      <c r="M195" s="143" t="s">
        <v>3998</v>
      </c>
      <c r="N195" s="143" t="s">
        <v>30</v>
      </c>
      <c r="O195" s="143" t="s">
        <v>4063</v>
      </c>
      <c r="P195" s="143" t="s">
        <v>735</v>
      </c>
      <c r="Q195" s="212">
        <v>1</v>
      </c>
      <c r="R195" s="212">
        <v>0</v>
      </c>
      <c r="S195" s="212">
        <v>0</v>
      </c>
      <c r="T195" s="212">
        <v>0</v>
      </c>
      <c r="U195" s="212">
        <v>1</v>
      </c>
      <c r="V195" s="212">
        <v>0</v>
      </c>
      <c r="W195" s="212" t="s">
        <v>4064</v>
      </c>
      <c r="X195" s="212">
        <v>0</v>
      </c>
      <c r="Y195" s="212" t="s">
        <v>4064</v>
      </c>
      <c r="Z195" s="212">
        <v>0</v>
      </c>
      <c r="AA195" s="212" t="s">
        <v>4064</v>
      </c>
      <c r="AB195" s="243"/>
      <c r="AC195" s="243"/>
      <c r="AD195" s="213">
        <v>44295</v>
      </c>
      <c r="AE195" s="213">
        <v>44379</v>
      </c>
      <c r="AF195" s="213">
        <v>44480</v>
      </c>
      <c r="AG195" s="213"/>
      <c r="AH195" s="75">
        <f t="shared" ref="AH195:AH258" si="13">IFERROR(IF((V195+X195+Z195+AB195)/Q195&gt;1,1,(V195+X195+Z195+AB195)/Q195),0)</f>
        <v>0</v>
      </c>
      <c r="AI195" s="75" t="str">
        <f t="shared" ref="AI195:AI258" si="14">IFERROR(IF(R195=0,"",IF((V195/R195)&gt;1,1,(V195/R195))),"")</f>
        <v/>
      </c>
      <c r="AJ195" s="75" t="str">
        <f t="shared" ref="AJ195:AJ258" si="15">IFERROR(IF(S195=0,"",IF((V195+X195/S195)&gt;1,1,(V195+X195/S195))),"")</f>
        <v/>
      </c>
      <c r="AK195" s="75" t="str">
        <f t="shared" ref="AK195:AK258" si="16">IFERROR(IF(T195=0,"",IF((V195+X195+Z195/T195)&gt;1,1,(V195+X195+Z195/T195))),"")</f>
        <v/>
      </c>
      <c r="AL195" s="75" t="s">
        <v>2467</v>
      </c>
      <c r="AM195" s="214" t="s">
        <v>838</v>
      </c>
      <c r="AN195" s="214" t="s">
        <v>838</v>
      </c>
      <c r="AO195" s="214" t="s">
        <v>838</v>
      </c>
      <c r="AP195" s="214"/>
      <c r="AQ195" s="214" t="s">
        <v>4065</v>
      </c>
      <c r="AR195" s="214" t="s">
        <v>4066</v>
      </c>
      <c r="AS195" s="214" t="s">
        <v>4064</v>
      </c>
      <c r="AT195" s="214"/>
      <c r="AU195" s="214" t="s">
        <v>838</v>
      </c>
      <c r="AV195" s="214" t="s">
        <v>838</v>
      </c>
      <c r="AW195" s="214" t="s">
        <v>838</v>
      </c>
      <c r="AX195" s="214"/>
      <c r="AY195" s="214" t="s">
        <v>1712</v>
      </c>
      <c r="AZ195" s="214" t="s">
        <v>1712</v>
      </c>
      <c r="BA195" s="214" t="s">
        <v>1712</v>
      </c>
      <c r="BB195" s="214"/>
      <c r="BC195" s="143" t="s">
        <v>1710</v>
      </c>
    </row>
    <row r="196" spans="1:55" ht="15" customHeight="1" x14ac:dyDescent="0.25">
      <c r="A196" s="210">
        <v>8</v>
      </c>
      <c r="B196" s="143" t="s">
        <v>3993</v>
      </c>
      <c r="C196" s="143" t="s">
        <v>4009</v>
      </c>
      <c r="D196" s="143" t="s">
        <v>4031</v>
      </c>
      <c r="E196" s="143" t="s">
        <v>3569</v>
      </c>
      <c r="F196" s="143" t="s">
        <v>2986</v>
      </c>
      <c r="G196" s="143" t="s">
        <v>730</v>
      </c>
      <c r="H196" s="143" t="s">
        <v>2768</v>
      </c>
      <c r="I196" s="143" t="s">
        <v>4067</v>
      </c>
      <c r="J196" s="217">
        <v>44228</v>
      </c>
      <c r="K196" s="217">
        <v>44561</v>
      </c>
      <c r="L196" s="143" t="s">
        <v>733</v>
      </c>
      <c r="M196" s="143" t="s">
        <v>3998</v>
      </c>
      <c r="N196" s="143" t="s">
        <v>60</v>
      </c>
      <c r="O196" s="143" t="s">
        <v>4068</v>
      </c>
      <c r="P196" s="143" t="s">
        <v>735</v>
      </c>
      <c r="Q196" s="215">
        <v>1</v>
      </c>
      <c r="R196" s="215">
        <v>0</v>
      </c>
      <c r="S196" s="215">
        <v>0</v>
      </c>
      <c r="T196" s="215">
        <v>0</v>
      </c>
      <c r="U196" s="215">
        <v>1</v>
      </c>
      <c r="V196" s="215">
        <v>0</v>
      </c>
      <c r="W196" s="215" t="s">
        <v>4064</v>
      </c>
      <c r="X196" s="215">
        <v>0</v>
      </c>
      <c r="Y196" s="215" t="s">
        <v>4064</v>
      </c>
      <c r="Z196" s="215">
        <v>0</v>
      </c>
      <c r="AA196" s="215" t="s">
        <v>4064</v>
      </c>
      <c r="AB196" s="243"/>
      <c r="AC196" s="243"/>
      <c r="AD196" s="213">
        <v>44295</v>
      </c>
      <c r="AE196" s="213">
        <v>44379</v>
      </c>
      <c r="AF196" s="213">
        <v>44480</v>
      </c>
      <c r="AG196" s="213"/>
      <c r="AH196" s="75">
        <f t="shared" si="13"/>
        <v>0</v>
      </c>
      <c r="AI196" s="75" t="str">
        <f t="shared" si="14"/>
        <v/>
      </c>
      <c r="AJ196" s="75" t="str">
        <f t="shared" si="15"/>
        <v/>
      </c>
      <c r="AK196" s="75" t="str">
        <f t="shared" si="16"/>
        <v/>
      </c>
      <c r="AL196" s="75" t="s">
        <v>2467</v>
      </c>
      <c r="AM196" s="214" t="s">
        <v>838</v>
      </c>
      <c r="AN196" s="214" t="s">
        <v>838</v>
      </c>
      <c r="AO196" s="214" t="s">
        <v>838</v>
      </c>
      <c r="AP196" s="214"/>
      <c r="AQ196" s="214" t="s">
        <v>4069</v>
      </c>
      <c r="AR196" s="214" t="s">
        <v>4065</v>
      </c>
      <c r="AS196" s="214" t="s">
        <v>4064</v>
      </c>
      <c r="AT196" s="214"/>
      <c r="AU196" s="214" t="s">
        <v>838</v>
      </c>
      <c r="AV196" s="214" t="s">
        <v>838</v>
      </c>
      <c r="AW196" s="214" t="s">
        <v>838</v>
      </c>
      <c r="AX196" s="214"/>
      <c r="AY196" s="214" t="s">
        <v>1712</v>
      </c>
      <c r="AZ196" s="214" t="s">
        <v>1712</v>
      </c>
      <c r="BA196" s="214" t="s">
        <v>1712</v>
      </c>
      <c r="BB196" s="214"/>
      <c r="BC196" s="143" t="s">
        <v>1710</v>
      </c>
    </row>
    <row r="197" spans="1:55" ht="15" customHeight="1" x14ac:dyDescent="0.25">
      <c r="A197" s="210">
        <v>9</v>
      </c>
      <c r="B197" s="143" t="s">
        <v>3993</v>
      </c>
      <c r="C197" s="143" t="s">
        <v>2552</v>
      </c>
      <c r="D197" s="143" t="s">
        <v>2583</v>
      </c>
      <c r="E197" s="143" t="s">
        <v>2584</v>
      </c>
      <c r="F197" s="143" t="s">
        <v>793</v>
      </c>
      <c r="G197" s="143" t="s">
        <v>2458</v>
      </c>
      <c r="H197" s="143" t="s">
        <v>731</v>
      </c>
      <c r="I197" s="143" t="s">
        <v>2595</v>
      </c>
      <c r="J197" s="217">
        <v>44197</v>
      </c>
      <c r="K197" s="217">
        <v>44561</v>
      </c>
      <c r="L197" s="143" t="s">
        <v>2596</v>
      </c>
      <c r="M197" s="143" t="s">
        <v>3998</v>
      </c>
      <c r="N197" s="143" t="s">
        <v>60</v>
      </c>
      <c r="O197" s="143" t="s">
        <v>2587</v>
      </c>
      <c r="P197" s="143" t="s">
        <v>11</v>
      </c>
      <c r="Q197" s="215">
        <v>1</v>
      </c>
      <c r="R197" s="215">
        <v>0</v>
      </c>
      <c r="S197" s="215">
        <v>0</v>
      </c>
      <c r="T197" s="215">
        <v>0.5</v>
      </c>
      <c r="U197" s="215">
        <v>0.5</v>
      </c>
      <c r="V197" s="215">
        <v>0</v>
      </c>
      <c r="W197" s="215" t="s">
        <v>4070</v>
      </c>
      <c r="X197" s="215">
        <v>0.5</v>
      </c>
      <c r="Y197" s="215" t="s">
        <v>4071</v>
      </c>
      <c r="Z197" s="215">
        <v>0.5</v>
      </c>
      <c r="AA197" s="215" t="s">
        <v>4072</v>
      </c>
      <c r="AB197" s="243"/>
      <c r="AC197" s="243"/>
      <c r="AD197" s="213">
        <v>44295</v>
      </c>
      <c r="AE197" s="213">
        <v>44379</v>
      </c>
      <c r="AF197" s="213">
        <v>44480</v>
      </c>
      <c r="AG197" s="213"/>
      <c r="AH197" s="75">
        <f t="shared" si="13"/>
        <v>1</v>
      </c>
      <c r="AI197" s="75" t="str">
        <f t="shared" si="14"/>
        <v/>
      </c>
      <c r="AJ197" s="75" t="str">
        <f t="shared" si="15"/>
        <v/>
      </c>
      <c r="AK197" s="75">
        <f t="shared" si="16"/>
        <v>1</v>
      </c>
      <c r="AL197" s="75" t="s">
        <v>2467</v>
      </c>
      <c r="AM197" s="214" t="s">
        <v>838</v>
      </c>
      <c r="AN197" s="214" t="s">
        <v>739</v>
      </c>
      <c r="AO197" s="214" t="s">
        <v>739</v>
      </c>
      <c r="AP197" s="214"/>
      <c r="AQ197" s="214" t="s">
        <v>4073</v>
      </c>
      <c r="AR197" s="214" t="s">
        <v>4074</v>
      </c>
      <c r="AS197" s="214" t="s">
        <v>4075</v>
      </c>
      <c r="AT197" s="214"/>
      <c r="AU197" s="214" t="s">
        <v>838</v>
      </c>
      <c r="AV197" s="214" t="s">
        <v>739</v>
      </c>
      <c r="AW197" s="214" t="s">
        <v>739</v>
      </c>
      <c r="AX197" s="214"/>
      <c r="AY197" s="214" t="s">
        <v>1712</v>
      </c>
      <c r="AZ197" s="214" t="s">
        <v>4076</v>
      </c>
      <c r="BA197" s="214" t="s">
        <v>4077</v>
      </c>
      <c r="BB197" s="214"/>
      <c r="BC197" s="143" t="s">
        <v>727</v>
      </c>
    </row>
    <row r="198" spans="1:55" ht="15" customHeight="1" x14ac:dyDescent="0.25">
      <c r="A198" s="210">
        <v>10</v>
      </c>
      <c r="B198" s="143" t="s">
        <v>3993</v>
      </c>
      <c r="C198" s="143" t="s">
        <v>2601</v>
      </c>
      <c r="D198" s="143" t="s">
        <v>2583</v>
      </c>
      <c r="E198" s="143" t="s">
        <v>2584</v>
      </c>
      <c r="F198" s="143" t="s">
        <v>793</v>
      </c>
      <c r="G198" s="143" t="s">
        <v>2458</v>
      </c>
      <c r="H198" s="143" t="s">
        <v>731</v>
      </c>
      <c r="I198" s="143" t="s">
        <v>2602</v>
      </c>
      <c r="J198" s="217">
        <v>44197</v>
      </c>
      <c r="K198" s="217">
        <v>44561</v>
      </c>
      <c r="L198" s="143" t="s">
        <v>2603</v>
      </c>
      <c r="M198" s="143" t="s">
        <v>3998</v>
      </c>
      <c r="N198" s="143" t="s">
        <v>30</v>
      </c>
      <c r="O198" s="143" t="s">
        <v>2587</v>
      </c>
      <c r="P198" s="143" t="s">
        <v>11</v>
      </c>
      <c r="Q198" s="212">
        <v>4</v>
      </c>
      <c r="R198" s="212">
        <v>1</v>
      </c>
      <c r="S198" s="212">
        <v>1</v>
      </c>
      <c r="T198" s="212">
        <v>1</v>
      </c>
      <c r="U198" s="212">
        <v>1</v>
      </c>
      <c r="V198" s="212">
        <v>1</v>
      </c>
      <c r="W198" s="212" t="s">
        <v>4078</v>
      </c>
      <c r="X198" s="212">
        <v>1</v>
      </c>
      <c r="Y198" s="212" t="s">
        <v>4079</v>
      </c>
      <c r="Z198" s="212">
        <v>1</v>
      </c>
      <c r="AA198" s="212" t="s">
        <v>4080</v>
      </c>
      <c r="AB198" s="243"/>
      <c r="AC198" s="243"/>
      <c r="AD198" s="213">
        <v>44295</v>
      </c>
      <c r="AE198" s="213">
        <v>44379</v>
      </c>
      <c r="AF198" s="213">
        <v>44480</v>
      </c>
      <c r="AG198" s="213"/>
      <c r="AH198" s="75">
        <f t="shared" si="13"/>
        <v>0.75</v>
      </c>
      <c r="AI198" s="75">
        <f t="shared" si="14"/>
        <v>1</v>
      </c>
      <c r="AJ198" s="75">
        <f t="shared" si="15"/>
        <v>1</v>
      </c>
      <c r="AK198" s="75">
        <f t="shared" si="16"/>
        <v>1</v>
      </c>
      <c r="AL198" s="75" t="s">
        <v>2467</v>
      </c>
      <c r="AM198" s="214" t="s">
        <v>739</v>
      </c>
      <c r="AN198" s="214" t="s">
        <v>739</v>
      </c>
      <c r="AO198" s="214" t="s">
        <v>739</v>
      </c>
      <c r="AP198" s="214"/>
      <c r="AQ198" s="214" t="s">
        <v>4081</v>
      </c>
      <c r="AR198" s="214" t="s">
        <v>4082</v>
      </c>
      <c r="AS198" s="214" t="s">
        <v>4083</v>
      </c>
      <c r="AT198" s="214"/>
      <c r="AU198" s="214" t="s">
        <v>739</v>
      </c>
      <c r="AV198" s="214" t="s">
        <v>739</v>
      </c>
      <c r="AW198" s="214" t="s">
        <v>739</v>
      </c>
      <c r="AX198" s="214"/>
      <c r="AY198" s="214" t="s">
        <v>4084</v>
      </c>
      <c r="AZ198" s="214" t="s">
        <v>4084</v>
      </c>
      <c r="BA198" s="214" t="s">
        <v>4084</v>
      </c>
      <c r="BB198" s="214"/>
      <c r="BC198" s="143" t="s">
        <v>727</v>
      </c>
    </row>
    <row r="199" spans="1:55" ht="15" customHeight="1" x14ac:dyDescent="0.25">
      <c r="A199" s="210">
        <v>11</v>
      </c>
      <c r="B199" s="143" t="s">
        <v>3993</v>
      </c>
      <c r="C199" s="143" t="s">
        <v>2601</v>
      </c>
      <c r="D199" s="143" t="s">
        <v>2583</v>
      </c>
      <c r="E199" s="143" t="s">
        <v>2584</v>
      </c>
      <c r="F199" s="143" t="s">
        <v>793</v>
      </c>
      <c r="G199" s="143" t="s">
        <v>2458</v>
      </c>
      <c r="H199" s="143" t="s">
        <v>731</v>
      </c>
      <c r="I199" s="143" t="s">
        <v>2825</v>
      </c>
      <c r="J199" s="217">
        <v>44470</v>
      </c>
      <c r="K199" s="217">
        <v>44561</v>
      </c>
      <c r="L199" s="143" t="s">
        <v>2603</v>
      </c>
      <c r="M199" s="143" t="s">
        <v>3998</v>
      </c>
      <c r="N199" s="143" t="s">
        <v>30</v>
      </c>
      <c r="O199" s="143" t="s">
        <v>2587</v>
      </c>
      <c r="P199" s="143" t="s">
        <v>11</v>
      </c>
      <c r="Q199" s="212">
        <v>1</v>
      </c>
      <c r="R199" s="212">
        <v>0</v>
      </c>
      <c r="S199" s="212">
        <v>0</v>
      </c>
      <c r="T199" s="212">
        <v>0</v>
      </c>
      <c r="U199" s="212">
        <v>1</v>
      </c>
      <c r="V199" s="212">
        <v>0</v>
      </c>
      <c r="W199" s="212" t="s">
        <v>4085</v>
      </c>
      <c r="X199" s="212">
        <v>0</v>
      </c>
      <c r="Y199" s="212" t="s">
        <v>4085</v>
      </c>
      <c r="Z199" s="212">
        <v>0</v>
      </c>
      <c r="AA199" s="212" t="s">
        <v>4085</v>
      </c>
      <c r="AB199" s="243"/>
      <c r="AC199" s="243"/>
      <c r="AD199" s="213">
        <v>44295</v>
      </c>
      <c r="AE199" s="213">
        <v>44379</v>
      </c>
      <c r="AF199" s="213">
        <v>44480</v>
      </c>
      <c r="AG199" s="213"/>
      <c r="AH199" s="75">
        <f t="shared" si="13"/>
        <v>0</v>
      </c>
      <c r="AI199" s="75" t="str">
        <f t="shared" si="14"/>
        <v/>
      </c>
      <c r="AJ199" s="75" t="str">
        <f t="shared" si="15"/>
        <v/>
      </c>
      <c r="AK199" s="75" t="str">
        <f t="shared" si="16"/>
        <v/>
      </c>
      <c r="AL199" s="75" t="s">
        <v>2467</v>
      </c>
      <c r="AM199" s="214" t="s">
        <v>838</v>
      </c>
      <c r="AN199" s="214" t="s">
        <v>838</v>
      </c>
      <c r="AO199" s="214" t="s">
        <v>838</v>
      </c>
      <c r="AP199" s="214"/>
      <c r="AQ199" s="214" t="s">
        <v>4086</v>
      </c>
      <c r="AR199" s="214" t="s">
        <v>4087</v>
      </c>
      <c r="AS199" s="214" t="s">
        <v>4085</v>
      </c>
      <c r="AT199" s="214"/>
      <c r="AU199" s="214" t="s">
        <v>838</v>
      </c>
      <c r="AV199" s="214" t="s">
        <v>838</v>
      </c>
      <c r="AW199" s="214" t="s">
        <v>838</v>
      </c>
      <c r="AX199" s="214"/>
      <c r="AY199" s="214" t="s">
        <v>1712</v>
      </c>
      <c r="AZ199" s="214" t="s">
        <v>1712</v>
      </c>
      <c r="BA199" s="214" t="s">
        <v>1712</v>
      </c>
      <c r="BB199" s="214"/>
      <c r="BC199" s="143" t="s">
        <v>727</v>
      </c>
    </row>
    <row r="200" spans="1:55" ht="15" customHeight="1" x14ac:dyDescent="0.25">
      <c r="A200" s="210">
        <v>12</v>
      </c>
      <c r="B200" s="143" t="s">
        <v>3993</v>
      </c>
      <c r="C200" s="143" t="s">
        <v>2459</v>
      </c>
      <c r="D200" s="143" t="s">
        <v>2583</v>
      </c>
      <c r="E200" s="143" t="s">
        <v>2584</v>
      </c>
      <c r="F200" s="143" t="s">
        <v>793</v>
      </c>
      <c r="G200" s="143" t="s">
        <v>2458</v>
      </c>
      <c r="H200" s="143" t="s">
        <v>731</v>
      </c>
      <c r="I200" s="143" t="s">
        <v>2829</v>
      </c>
      <c r="J200" s="217">
        <v>44197</v>
      </c>
      <c r="K200" s="217">
        <v>44561</v>
      </c>
      <c r="L200" s="143" t="s">
        <v>2616</v>
      </c>
      <c r="M200" s="143" t="s">
        <v>3998</v>
      </c>
      <c r="N200" s="143" t="s">
        <v>30</v>
      </c>
      <c r="O200" s="143" t="s">
        <v>2587</v>
      </c>
      <c r="P200" s="143" t="s">
        <v>11</v>
      </c>
      <c r="Q200" s="212">
        <v>4</v>
      </c>
      <c r="R200" s="212">
        <v>1</v>
      </c>
      <c r="S200" s="212">
        <v>1</v>
      </c>
      <c r="T200" s="212">
        <v>1</v>
      </c>
      <c r="U200" s="212">
        <v>1</v>
      </c>
      <c r="V200" s="212">
        <v>1</v>
      </c>
      <c r="W200" s="212" t="s">
        <v>4088</v>
      </c>
      <c r="X200" s="212">
        <v>1</v>
      </c>
      <c r="Y200" s="212" t="s">
        <v>4089</v>
      </c>
      <c r="Z200" s="212">
        <v>1</v>
      </c>
      <c r="AA200" s="212" t="s">
        <v>4090</v>
      </c>
      <c r="AB200" s="243"/>
      <c r="AC200" s="243"/>
      <c r="AD200" s="213">
        <v>44295</v>
      </c>
      <c r="AE200" s="213">
        <v>44379</v>
      </c>
      <c r="AF200" s="213">
        <v>44480</v>
      </c>
      <c r="AG200" s="213"/>
      <c r="AH200" s="75">
        <f t="shared" si="13"/>
        <v>0.75</v>
      </c>
      <c r="AI200" s="75">
        <f t="shared" si="14"/>
        <v>1</v>
      </c>
      <c r="AJ200" s="75">
        <f t="shared" si="15"/>
        <v>1</v>
      </c>
      <c r="AK200" s="75">
        <f t="shared" si="16"/>
        <v>1</v>
      </c>
      <c r="AL200" s="75" t="s">
        <v>2467</v>
      </c>
      <c r="AM200" s="214" t="s">
        <v>739</v>
      </c>
      <c r="AN200" s="214" t="s">
        <v>739</v>
      </c>
      <c r="AO200" s="214" t="s">
        <v>739</v>
      </c>
      <c r="AP200" s="214"/>
      <c r="AQ200" s="214" t="s">
        <v>4091</v>
      </c>
      <c r="AR200" s="214" t="s">
        <v>4092</v>
      </c>
      <c r="AS200" s="214" t="s">
        <v>4093</v>
      </c>
      <c r="AT200" s="214"/>
      <c r="AU200" s="214" t="s">
        <v>739</v>
      </c>
      <c r="AV200" s="214" t="s">
        <v>739</v>
      </c>
      <c r="AW200" s="214" t="s">
        <v>739</v>
      </c>
      <c r="AX200" s="214"/>
      <c r="AY200" s="214" t="s">
        <v>4094</v>
      </c>
      <c r="AZ200" s="214" t="s">
        <v>4095</v>
      </c>
      <c r="BA200" s="214" t="s">
        <v>4096</v>
      </c>
      <c r="BB200" s="214"/>
      <c r="BC200" s="143" t="s">
        <v>727</v>
      </c>
    </row>
    <row r="201" spans="1:55" ht="15" customHeight="1" x14ac:dyDescent="0.25">
      <c r="A201" s="210">
        <v>13</v>
      </c>
      <c r="B201" s="143" t="s">
        <v>3993</v>
      </c>
      <c r="C201" s="143" t="s">
        <v>2459</v>
      </c>
      <c r="D201" s="143" t="s">
        <v>2583</v>
      </c>
      <c r="E201" s="143" t="s">
        <v>2584</v>
      </c>
      <c r="F201" s="143" t="s">
        <v>793</v>
      </c>
      <c r="G201" s="143" t="s">
        <v>2458</v>
      </c>
      <c r="H201" s="143" t="s">
        <v>731</v>
      </c>
      <c r="I201" s="143" t="s">
        <v>2834</v>
      </c>
      <c r="J201" s="217">
        <v>44470</v>
      </c>
      <c r="K201" s="217">
        <v>44561</v>
      </c>
      <c r="L201" s="143" t="s">
        <v>2616</v>
      </c>
      <c r="M201" s="143" t="s">
        <v>3998</v>
      </c>
      <c r="N201" s="143" t="s">
        <v>30</v>
      </c>
      <c r="O201" s="143" t="s">
        <v>2587</v>
      </c>
      <c r="P201" s="143" t="s">
        <v>11</v>
      </c>
      <c r="Q201" s="212">
        <v>2</v>
      </c>
      <c r="R201" s="212">
        <v>0</v>
      </c>
      <c r="S201" s="212">
        <v>0</v>
      </c>
      <c r="T201" s="212">
        <v>0</v>
      </c>
      <c r="U201" s="212">
        <v>2</v>
      </c>
      <c r="V201" s="212">
        <v>0</v>
      </c>
      <c r="W201" s="212" t="s">
        <v>4097</v>
      </c>
      <c r="X201" s="212">
        <v>0</v>
      </c>
      <c r="Y201" s="212" t="s">
        <v>4097</v>
      </c>
      <c r="Z201" s="212">
        <v>0</v>
      </c>
      <c r="AA201" s="212" t="s">
        <v>4097</v>
      </c>
      <c r="AB201" s="220"/>
      <c r="AC201" s="220"/>
      <c r="AD201" s="213">
        <v>44295</v>
      </c>
      <c r="AE201" s="213">
        <v>44379</v>
      </c>
      <c r="AF201" s="213">
        <v>44480</v>
      </c>
      <c r="AG201" s="213"/>
      <c r="AH201" s="75">
        <f t="shared" si="13"/>
        <v>0</v>
      </c>
      <c r="AI201" s="75" t="str">
        <f t="shared" si="14"/>
        <v/>
      </c>
      <c r="AJ201" s="75" t="str">
        <f t="shared" si="15"/>
        <v/>
      </c>
      <c r="AK201" s="75" t="str">
        <f t="shared" si="16"/>
        <v/>
      </c>
      <c r="AL201" s="75" t="s">
        <v>2467</v>
      </c>
      <c r="AM201" s="214" t="s">
        <v>838</v>
      </c>
      <c r="AN201" s="214" t="s">
        <v>838</v>
      </c>
      <c r="AO201" s="214" t="s">
        <v>838</v>
      </c>
      <c r="AP201" s="214"/>
      <c r="AQ201" s="214" t="s">
        <v>4098</v>
      </c>
      <c r="AR201" s="214" t="s">
        <v>4099</v>
      </c>
      <c r="AS201" s="214" t="s">
        <v>4097</v>
      </c>
      <c r="AT201" s="214"/>
      <c r="AU201" s="214" t="s">
        <v>838</v>
      </c>
      <c r="AV201" s="214" t="s">
        <v>838</v>
      </c>
      <c r="AW201" s="214" t="s">
        <v>838</v>
      </c>
      <c r="AX201" s="214"/>
      <c r="AY201" s="214" t="s">
        <v>1712</v>
      </c>
      <c r="AZ201" s="214" t="s">
        <v>1712</v>
      </c>
      <c r="BA201" s="214" t="s">
        <v>1712</v>
      </c>
      <c r="BB201" s="214"/>
      <c r="BC201" s="143" t="s">
        <v>727</v>
      </c>
    </row>
    <row r="202" spans="1:55" ht="15" customHeight="1" x14ac:dyDescent="0.25">
      <c r="A202" s="210">
        <v>14</v>
      </c>
      <c r="B202" s="143" t="s">
        <v>3993</v>
      </c>
      <c r="C202" s="143" t="s">
        <v>2552</v>
      </c>
      <c r="D202" s="143" t="s">
        <v>2583</v>
      </c>
      <c r="E202" s="143" t="s">
        <v>2584</v>
      </c>
      <c r="F202" s="143" t="s">
        <v>793</v>
      </c>
      <c r="G202" s="143" t="s">
        <v>2458</v>
      </c>
      <c r="H202" s="143" t="s">
        <v>731</v>
      </c>
      <c r="I202" s="143" t="s">
        <v>2837</v>
      </c>
      <c r="J202" s="217">
        <v>44317</v>
      </c>
      <c r="K202" s="217">
        <v>44561</v>
      </c>
      <c r="L202" s="143" t="s">
        <v>2649</v>
      </c>
      <c r="M202" s="143" t="s">
        <v>3998</v>
      </c>
      <c r="N202" s="143" t="s">
        <v>30</v>
      </c>
      <c r="O202" s="143" t="s">
        <v>2587</v>
      </c>
      <c r="P202" s="143" t="s">
        <v>11</v>
      </c>
      <c r="Q202" s="212">
        <v>4</v>
      </c>
      <c r="R202" s="212">
        <v>0</v>
      </c>
      <c r="S202" s="212">
        <v>2</v>
      </c>
      <c r="T202" s="212">
        <v>1</v>
      </c>
      <c r="U202" s="212">
        <v>1</v>
      </c>
      <c r="V202" s="212">
        <v>0</v>
      </c>
      <c r="W202" s="212" t="s">
        <v>4100</v>
      </c>
      <c r="X202" s="212">
        <v>2</v>
      </c>
      <c r="Y202" s="212" t="s">
        <v>4101</v>
      </c>
      <c r="Z202" s="212">
        <v>1</v>
      </c>
      <c r="AA202" s="212" t="s">
        <v>4102</v>
      </c>
      <c r="AB202" s="242"/>
      <c r="AC202" s="242"/>
      <c r="AD202" s="213">
        <v>44295</v>
      </c>
      <c r="AE202" s="213">
        <v>44379</v>
      </c>
      <c r="AF202" s="213">
        <v>44480</v>
      </c>
      <c r="AG202" s="213"/>
      <c r="AH202" s="75">
        <f t="shared" si="13"/>
        <v>0.75</v>
      </c>
      <c r="AI202" s="75" t="str">
        <f t="shared" si="14"/>
        <v/>
      </c>
      <c r="AJ202" s="75">
        <f t="shared" si="15"/>
        <v>1</v>
      </c>
      <c r="AK202" s="75">
        <f t="shared" si="16"/>
        <v>1</v>
      </c>
      <c r="AL202" s="75" t="s">
        <v>2467</v>
      </c>
      <c r="AM202" s="214" t="s">
        <v>838</v>
      </c>
      <c r="AN202" s="214" t="s">
        <v>739</v>
      </c>
      <c r="AO202" s="214" t="s">
        <v>739</v>
      </c>
      <c r="AP202" s="214"/>
      <c r="AQ202" s="214" t="s">
        <v>4103</v>
      </c>
      <c r="AR202" s="214" t="s">
        <v>4104</v>
      </c>
      <c r="AS202" s="214" t="s">
        <v>4105</v>
      </c>
      <c r="AT202" s="214"/>
      <c r="AU202" s="214" t="s">
        <v>838</v>
      </c>
      <c r="AV202" s="214" t="s">
        <v>739</v>
      </c>
      <c r="AW202" s="214" t="s">
        <v>739</v>
      </c>
      <c r="AX202" s="214"/>
      <c r="AY202" s="214" t="s">
        <v>1712</v>
      </c>
      <c r="AZ202" s="214" t="s">
        <v>4106</v>
      </c>
      <c r="BA202" s="214" t="s">
        <v>4105</v>
      </c>
      <c r="BB202" s="214"/>
      <c r="BC202" s="143" t="s">
        <v>727</v>
      </c>
    </row>
    <row r="203" spans="1:55" ht="15" customHeight="1" x14ac:dyDescent="0.25">
      <c r="A203" s="210">
        <v>1</v>
      </c>
      <c r="B203" s="143" t="s">
        <v>4107</v>
      </c>
      <c r="C203" s="143" t="s">
        <v>4108</v>
      </c>
      <c r="D203" s="143" t="s">
        <v>4109</v>
      </c>
      <c r="E203" s="143" t="s">
        <v>779</v>
      </c>
      <c r="F203" s="143" t="s">
        <v>780</v>
      </c>
      <c r="G203" s="143" t="s">
        <v>730</v>
      </c>
      <c r="H203" s="143" t="s">
        <v>781</v>
      </c>
      <c r="I203" s="143" t="s">
        <v>4110</v>
      </c>
      <c r="J203" s="217">
        <v>44197</v>
      </c>
      <c r="K203" s="217">
        <v>44500</v>
      </c>
      <c r="L203" s="143" t="s">
        <v>4111</v>
      </c>
      <c r="M203" s="143" t="s">
        <v>4112</v>
      </c>
      <c r="N203" s="143" t="s">
        <v>60</v>
      </c>
      <c r="O203" s="143" t="s">
        <v>4113</v>
      </c>
      <c r="P203" s="143" t="s">
        <v>821</v>
      </c>
      <c r="Q203" s="215">
        <v>1</v>
      </c>
      <c r="R203" s="215">
        <v>0</v>
      </c>
      <c r="S203" s="215">
        <v>0.6</v>
      </c>
      <c r="T203" s="215">
        <v>0.2</v>
      </c>
      <c r="U203" s="215">
        <v>0.2</v>
      </c>
      <c r="V203" s="215">
        <v>0</v>
      </c>
      <c r="W203" s="215" t="s">
        <v>4114</v>
      </c>
      <c r="X203" s="215">
        <v>0.4</v>
      </c>
      <c r="Y203" s="215" t="s">
        <v>4115</v>
      </c>
      <c r="Z203" s="215">
        <v>0.2</v>
      </c>
      <c r="AA203" s="215" t="s">
        <v>4116</v>
      </c>
      <c r="AB203" s="242"/>
      <c r="AC203" s="242"/>
      <c r="AD203" s="213">
        <v>44295</v>
      </c>
      <c r="AE203" s="213">
        <v>44379</v>
      </c>
      <c r="AF203" s="213">
        <v>44483</v>
      </c>
      <c r="AG203" s="213"/>
      <c r="AH203" s="75">
        <f t="shared" si="13"/>
        <v>0.60000000000000009</v>
      </c>
      <c r="AI203" s="75" t="str">
        <f t="shared" si="14"/>
        <v/>
      </c>
      <c r="AJ203" s="75">
        <f t="shared" si="15"/>
        <v>0.66666666666666674</v>
      </c>
      <c r="AK203" s="75">
        <f t="shared" si="16"/>
        <v>1</v>
      </c>
      <c r="AL203" s="75" t="s">
        <v>2467</v>
      </c>
      <c r="AM203" s="214" t="s">
        <v>838</v>
      </c>
      <c r="AN203" s="214" t="s">
        <v>739</v>
      </c>
      <c r="AO203" s="214" t="s">
        <v>739</v>
      </c>
      <c r="AP203" s="214"/>
      <c r="AQ203" s="214" t="s">
        <v>838</v>
      </c>
      <c r="AR203" s="214" t="s">
        <v>4117</v>
      </c>
      <c r="AS203" s="214" t="s">
        <v>4118</v>
      </c>
      <c r="AT203" s="214"/>
      <c r="AU203" s="214" t="s">
        <v>838</v>
      </c>
      <c r="AV203" s="214" t="s">
        <v>739</v>
      </c>
      <c r="AW203" s="214" t="s">
        <v>739</v>
      </c>
      <c r="AX203" s="214"/>
      <c r="AY203" s="214" t="s">
        <v>838</v>
      </c>
      <c r="AZ203" s="214" t="s">
        <v>4119</v>
      </c>
      <c r="BA203" s="214" t="s">
        <v>4120</v>
      </c>
      <c r="BB203" s="214"/>
      <c r="BC203" s="143" t="s">
        <v>778</v>
      </c>
    </row>
    <row r="204" spans="1:55" ht="15" customHeight="1" x14ac:dyDescent="0.25">
      <c r="A204" s="210">
        <v>2</v>
      </c>
      <c r="B204" s="143" t="s">
        <v>4107</v>
      </c>
      <c r="C204" s="143" t="s">
        <v>4108</v>
      </c>
      <c r="D204" s="143" t="s">
        <v>4109</v>
      </c>
      <c r="E204" s="143" t="s">
        <v>779</v>
      </c>
      <c r="F204" s="143" t="s">
        <v>780</v>
      </c>
      <c r="G204" s="143" t="s">
        <v>730</v>
      </c>
      <c r="H204" s="143" t="s">
        <v>781</v>
      </c>
      <c r="I204" s="143" t="s">
        <v>4121</v>
      </c>
      <c r="J204" s="217">
        <v>44287</v>
      </c>
      <c r="K204" s="217">
        <v>44530</v>
      </c>
      <c r="L204" s="143" t="s">
        <v>4122</v>
      </c>
      <c r="M204" s="143" t="s">
        <v>4112</v>
      </c>
      <c r="N204" s="143" t="s">
        <v>30</v>
      </c>
      <c r="O204" s="143" t="s">
        <v>4113</v>
      </c>
      <c r="P204" s="143" t="s">
        <v>821</v>
      </c>
      <c r="Q204" s="212">
        <v>2</v>
      </c>
      <c r="R204" s="212">
        <v>0</v>
      </c>
      <c r="S204" s="212">
        <v>1</v>
      </c>
      <c r="T204" s="212">
        <v>0</v>
      </c>
      <c r="U204" s="212">
        <v>1</v>
      </c>
      <c r="V204" s="212">
        <v>0</v>
      </c>
      <c r="W204" s="212" t="s">
        <v>4123</v>
      </c>
      <c r="X204" s="212">
        <v>1</v>
      </c>
      <c r="Y204" s="212" t="s">
        <v>4124</v>
      </c>
      <c r="Z204" s="212">
        <v>0</v>
      </c>
      <c r="AA204" s="212" t="s">
        <v>4125</v>
      </c>
      <c r="AB204" s="242"/>
      <c r="AC204" s="242"/>
      <c r="AD204" s="213">
        <v>44295</v>
      </c>
      <c r="AE204" s="213">
        <v>44379</v>
      </c>
      <c r="AF204" s="213">
        <v>44482</v>
      </c>
      <c r="AG204" s="213"/>
      <c r="AH204" s="75">
        <f t="shared" si="13"/>
        <v>0.5</v>
      </c>
      <c r="AI204" s="75" t="str">
        <f t="shared" si="14"/>
        <v/>
      </c>
      <c r="AJ204" s="75">
        <f t="shared" si="15"/>
        <v>1</v>
      </c>
      <c r="AK204" s="75" t="str">
        <f t="shared" si="16"/>
        <v/>
      </c>
      <c r="AL204" s="75" t="s">
        <v>2467</v>
      </c>
      <c r="AM204" s="214" t="s">
        <v>838</v>
      </c>
      <c r="AN204" s="214" t="s">
        <v>739</v>
      </c>
      <c r="AO204" s="214" t="s">
        <v>838</v>
      </c>
      <c r="AP204" s="214"/>
      <c r="AQ204" s="214" t="s">
        <v>838</v>
      </c>
      <c r="AR204" s="214" t="s">
        <v>4126</v>
      </c>
      <c r="AS204" s="214" t="s">
        <v>4127</v>
      </c>
      <c r="AT204" s="214"/>
      <c r="AU204" s="214" t="s">
        <v>838</v>
      </c>
      <c r="AV204" s="214" t="s">
        <v>739</v>
      </c>
      <c r="AW204" s="214" t="s">
        <v>838</v>
      </c>
      <c r="AX204" s="214"/>
      <c r="AY204" s="214" t="s">
        <v>838</v>
      </c>
      <c r="AZ204" s="214" t="s">
        <v>4128</v>
      </c>
      <c r="BA204" s="214" t="s">
        <v>4129</v>
      </c>
      <c r="BB204" s="214"/>
      <c r="BC204" s="143" t="s">
        <v>778</v>
      </c>
    </row>
    <row r="205" spans="1:55" ht="15" customHeight="1" x14ac:dyDescent="0.25">
      <c r="A205" s="210">
        <v>3</v>
      </c>
      <c r="B205" s="143" t="s">
        <v>4107</v>
      </c>
      <c r="C205" s="143" t="s">
        <v>4108</v>
      </c>
      <c r="D205" s="143" t="s">
        <v>4109</v>
      </c>
      <c r="E205" s="143" t="s">
        <v>779</v>
      </c>
      <c r="F205" s="143" t="s">
        <v>780</v>
      </c>
      <c r="G205" s="143" t="s">
        <v>730</v>
      </c>
      <c r="H205" s="143" t="s">
        <v>781</v>
      </c>
      <c r="I205" s="143" t="s">
        <v>4130</v>
      </c>
      <c r="J205" s="217">
        <v>44197</v>
      </c>
      <c r="K205" s="217">
        <v>44561</v>
      </c>
      <c r="L205" s="143" t="s">
        <v>4131</v>
      </c>
      <c r="M205" s="143" t="s">
        <v>4112</v>
      </c>
      <c r="N205" s="143" t="s">
        <v>30</v>
      </c>
      <c r="O205" s="143" t="s">
        <v>4113</v>
      </c>
      <c r="P205" s="143" t="s">
        <v>821</v>
      </c>
      <c r="Q205" s="212">
        <v>4</v>
      </c>
      <c r="R205" s="212">
        <v>1</v>
      </c>
      <c r="S205" s="212">
        <v>1</v>
      </c>
      <c r="T205" s="212">
        <v>1</v>
      </c>
      <c r="U205" s="212">
        <v>1</v>
      </c>
      <c r="V205" s="212">
        <v>1</v>
      </c>
      <c r="W205" s="212" t="s">
        <v>4132</v>
      </c>
      <c r="X205" s="212">
        <v>1</v>
      </c>
      <c r="Y205" s="212" t="s">
        <v>4133</v>
      </c>
      <c r="Z205" s="212">
        <v>1</v>
      </c>
      <c r="AA205" s="212" t="s">
        <v>4134</v>
      </c>
      <c r="AB205" s="242"/>
      <c r="AC205" s="242"/>
      <c r="AD205" s="213">
        <v>44295</v>
      </c>
      <c r="AE205" s="213">
        <v>44379</v>
      </c>
      <c r="AF205" s="213">
        <v>44482</v>
      </c>
      <c r="AG205" s="213"/>
      <c r="AH205" s="75">
        <f t="shared" si="13"/>
        <v>0.75</v>
      </c>
      <c r="AI205" s="75">
        <f t="shared" si="14"/>
        <v>1</v>
      </c>
      <c r="AJ205" s="75">
        <f t="shared" si="15"/>
        <v>1</v>
      </c>
      <c r="AK205" s="75">
        <f t="shared" si="16"/>
        <v>1</v>
      </c>
      <c r="AL205" s="75" t="s">
        <v>2467</v>
      </c>
      <c r="AM205" s="214" t="s">
        <v>739</v>
      </c>
      <c r="AN205" s="214" t="s">
        <v>739</v>
      </c>
      <c r="AO205" s="214" t="s">
        <v>739</v>
      </c>
      <c r="AP205" s="214"/>
      <c r="AQ205" s="214" t="s">
        <v>4135</v>
      </c>
      <c r="AR205" s="214" t="s">
        <v>4136</v>
      </c>
      <c r="AS205" s="214" t="s">
        <v>4137</v>
      </c>
      <c r="AT205" s="214"/>
      <c r="AU205" s="214" t="s">
        <v>739</v>
      </c>
      <c r="AV205" s="214" t="s">
        <v>739</v>
      </c>
      <c r="AW205" s="214" t="s">
        <v>739</v>
      </c>
      <c r="AX205" s="214"/>
      <c r="AY205" s="214" t="s">
        <v>4138</v>
      </c>
      <c r="AZ205" s="214" t="s">
        <v>4139</v>
      </c>
      <c r="BA205" s="214" t="s">
        <v>4140</v>
      </c>
      <c r="BB205" s="214"/>
      <c r="BC205" s="143" t="s">
        <v>778</v>
      </c>
    </row>
    <row r="206" spans="1:55" ht="15" customHeight="1" x14ac:dyDescent="0.25">
      <c r="A206" s="210">
        <v>4</v>
      </c>
      <c r="B206" s="143" t="s">
        <v>4107</v>
      </c>
      <c r="C206" s="143" t="s">
        <v>4108</v>
      </c>
      <c r="D206" s="143" t="s">
        <v>4109</v>
      </c>
      <c r="E206" s="143" t="s">
        <v>779</v>
      </c>
      <c r="F206" s="143" t="s">
        <v>780</v>
      </c>
      <c r="G206" s="143" t="s">
        <v>730</v>
      </c>
      <c r="H206" s="143" t="s">
        <v>781</v>
      </c>
      <c r="I206" s="143" t="s">
        <v>4141</v>
      </c>
      <c r="J206" s="217">
        <v>44197</v>
      </c>
      <c r="K206" s="217">
        <v>44347</v>
      </c>
      <c r="L206" s="143" t="s">
        <v>4142</v>
      </c>
      <c r="M206" s="143" t="s">
        <v>4112</v>
      </c>
      <c r="N206" s="143" t="s">
        <v>30</v>
      </c>
      <c r="O206" s="143" t="s">
        <v>4113</v>
      </c>
      <c r="P206" s="143" t="s">
        <v>821</v>
      </c>
      <c r="Q206" s="212">
        <v>1</v>
      </c>
      <c r="R206" s="212">
        <v>0</v>
      </c>
      <c r="S206" s="212">
        <v>1</v>
      </c>
      <c r="T206" s="212">
        <v>0</v>
      </c>
      <c r="U206" s="212">
        <v>0</v>
      </c>
      <c r="V206" s="212">
        <v>0</v>
      </c>
      <c r="W206" s="212" t="s">
        <v>4114</v>
      </c>
      <c r="X206" s="212">
        <v>1</v>
      </c>
      <c r="Y206" s="212" t="s">
        <v>4143</v>
      </c>
      <c r="Z206" s="212">
        <v>0</v>
      </c>
      <c r="AA206" s="212" t="s">
        <v>4144</v>
      </c>
      <c r="AB206" s="244"/>
      <c r="AC206" s="244"/>
      <c r="AD206" s="213">
        <v>44295</v>
      </c>
      <c r="AE206" s="213">
        <v>44379</v>
      </c>
      <c r="AF206" s="213">
        <v>44482</v>
      </c>
      <c r="AG206" s="213"/>
      <c r="AH206" s="75">
        <f t="shared" si="13"/>
        <v>1</v>
      </c>
      <c r="AI206" s="75" t="str">
        <f t="shared" si="14"/>
        <v/>
      </c>
      <c r="AJ206" s="75">
        <f t="shared" si="15"/>
        <v>1</v>
      </c>
      <c r="AK206" s="75" t="str">
        <f t="shared" si="16"/>
        <v/>
      </c>
      <c r="AL206" s="75" t="s">
        <v>2467</v>
      </c>
      <c r="AM206" s="214" t="s">
        <v>838</v>
      </c>
      <c r="AN206" s="214" t="s">
        <v>739</v>
      </c>
      <c r="AO206" s="214" t="s">
        <v>838</v>
      </c>
      <c r="AP206" s="214"/>
      <c r="AQ206" s="214" t="s">
        <v>838</v>
      </c>
      <c r="AR206" s="214" t="s">
        <v>4145</v>
      </c>
      <c r="AS206" s="214" t="s">
        <v>2493</v>
      </c>
      <c r="AT206" s="214"/>
      <c r="AU206" s="214" t="s">
        <v>838</v>
      </c>
      <c r="AV206" s="214" t="s">
        <v>739</v>
      </c>
      <c r="AW206" s="214" t="s">
        <v>838</v>
      </c>
      <c r="AX206" s="214"/>
      <c r="AY206" s="214" t="s">
        <v>838</v>
      </c>
      <c r="AZ206" s="214" t="s">
        <v>4146</v>
      </c>
      <c r="BA206" s="214" t="s">
        <v>1417</v>
      </c>
      <c r="BB206" s="214"/>
      <c r="BC206" s="143" t="s">
        <v>778</v>
      </c>
    </row>
    <row r="207" spans="1:55" ht="15" customHeight="1" x14ac:dyDescent="0.25">
      <c r="A207" s="210">
        <v>5</v>
      </c>
      <c r="B207" s="143" t="s">
        <v>4107</v>
      </c>
      <c r="C207" s="143" t="s">
        <v>4108</v>
      </c>
      <c r="D207" s="143" t="s">
        <v>4109</v>
      </c>
      <c r="E207" s="143" t="s">
        <v>779</v>
      </c>
      <c r="F207" s="143" t="s">
        <v>780</v>
      </c>
      <c r="G207" s="143" t="s">
        <v>730</v>
      </c>
      <c r="H207" s="143" t="s">
        <v>781</v>
      </c>
      <c r="I207" s="143" t="s">
        <v>4147</v>
      </c>
      <c r="J207" s="217">
        <v>44197</v>
      </c>
      <c r="K207" s="217">
        <v>44561</v>
      </c>
      <c r="L207" s="143" t="s">
        <v>4148</v>
      </c>
      <c r="M207" s="143" t="s">
        <v>4112</v>
      </c>
      <c r="N207" s="143" t="s">
        <v>60</v>
      </c>
      <c r="O207" s="143" t="s">
        <v>4113</v>
      </c>
      <c r="P207" s="143" t="s">
        <v>821</v>
      </c>
      <c r="Q207" s="215">
        <v>1</v>
      </c>
      <c r="R207" s="215">
        <v>0.4</v>
      </c>
      <c r="S207" s="215">
        <v>0.2</v>
      </c>
      <c r="T207" s="215">
        <v>0.2</v>
      </c>
      <c r="U207" s="215">
        <v>0.2</v>
      </c>
      <c r="V207" s="215">
        <v>0.4</v>
      </c>
      <c r="W207" s="215" t="s">
        <v>4149</v>
      </c>
      <c r="X207" s="215">
        <v>0.2</v>
      </c>
      <c r="Y207" s="215" t="s">
        <v>4150</v>
      </c>
      <c r="Z207" s="215">
        <v>0.2</v>
      </c>
      <c r="AA207" s="215" t="s">
        <v>4151</v>
      </c>
      <c r="AB207" s="244"/>
      <c r="AC207" s="244"/>
      <c r="AD207" s="213">
        <v>44295</v>
      </c>
      <c r="AE207" s="213">
        <v>44379</v>
      </c>
      <c r="AF207" s="213">
        <v>44482</v>
      </c>
      <c r="AG207" s="213"/>
      <c r="AH207" s="75">
        <f t="shared" si="13"/>
        <v>0.8</v>
      </c>
      <c r="AI207" s="75">
        <f t="shared" si="14"/>
        <v>1</v>
      </c>
      <c r="AJ207" s="75">
        <f t="shared" si="15"/>
        <v>1</v>
      </c>
      <c r="AK207" s="75">
        <f t="shared" si="16"/>
        <v>1</v>
      </c>
      <c r="AL207" s="75" t="s">
        <v>2467</v>
      </c>
      <c r="AM207" s="214" t="s">
        <v>739</v>
      </c>
      <c r="AN207" s="214" t="s">
        <v>739</v>
      </c>
      <c r="AO207" s="214" t="s">
        <v>739</v>
      </c>
      <c r="AP207" s="214"/>
      <c r="AQ207" s="214" t="s">
        <v>4152</v>
      </c>
      <c r="AR207" s="214" t="s">
        <v>4153</v>
      </c>
      <c r="AS207" s="214" t="s">
        <v>4154</v>
      </c>
      <c r="AT207" s="214"/>
      <c r="AU207" s="214" t="s">
        <v>739</v>
      </c>
      <c r="AV207" s="214" t="s">
        <v>739</v>
      </c>
      <c r="AW207" s="214" t="s">
        <v>739</v>
      </c>
      <c r="AX207" s="214"/>
      <c r="AY207" s="214" t="s">
        <v>4155</v>
      </c>
      <c r="AZ207" s="214" t="s">
        <v>4156</v>
      </c>
      <c r="BA207" s="214" t="s">
        <v>4157</v>
      </c>
      <c r="BB207" s="214"/>
      <c r="BC207" s="143" t="s">
        <v>778</v>
      </c>
    </row>
    <row r="208" spans="1:55" ht="15" customHeight="1" x14ac:dyDescent="0.25">
      <c r="A208" s="210">
        <v>6</v>
      </c>
      <c r="B208" s="143" t="s">
        <v>4107</v>
      </c>
      <c r="C208" s="143" t="s">
        <v>4108</v>
      </c>
      <c r="D208" s="143" t="s">
        <v>4109</v>
      </c>
      <c r="E208" s="143" t="s">
        <v>779</v>
      </c>
      <c r="F208" s="143" t="s">
        <v>780</v>
      </c>
      <c r="G208" s="143" t="s">
        <v>730</v>
      </c>
      <c r="H208" s="143" t="s">
        <v>781</v>
      </c>
      <c r="I208" s="143" t="s">
        <v>4158</v>
      </c>
      <c r="J208" s="217">
        <v>44197</v>
      </c>
      <c r="K208" s="217">
        <v>44500</v>
      </c>
      <c r="L208" s="143" t="s">
        <v>4159</v>
      </c>
      <c r="M208" s="143" t="s">
        <v>4112</v>
      </c>
      <c r="N208" s="143" t="s">
        <v>30</v>
      </c>
      <c r="O208" s="143" t="s">
        <v>4113</v>
      </c>
      <c r="P208" s="143" t="s">
        <v>821</v>
      </c>
      <c r="Q208" s="212">
        <v>1</v>
      </c>
      <c r="R208" s="212">
        <v>0</v>
      </c>
      <c r="S208" s="212">
        <v>0</v>
      </c>
      <c r="T208" s="212">
        <v>0</v>
      </c>
      <c r="U208" s="212">
        <v>1</v>
      </c>
      <c r="V208" s="212">
        <v>0</v>
      </c>
      <c r="W208" s="212" t="s">
        <v>4160</v>
      </c>
      <c r="X208" s="212">
        <v>0</v>
      </c>
      <c r="Y208" s="212" t="s">
        <v>4160</v>
      </c>
      <c r="Z208" s="212">
        <v>0</v>
      </c>
      <c r="AA208" s="212" t="s">
        <v>4161</v>
      </c>
      <c r="AB208" s="244"/>
      <c r="AC208" s="244"/>
      <c r="AD208" s="213">
        <v>44295</v>
      </c>
      <c r="AE208" s="213">
        <v>44379</v>
      </c>
      <c r="AF208" s="213">
        <v>44482</v>
      </c>
      <c r="AG208" s="213"/>
      <c r="AH208" s="75">
        <f t="shared" si="13"/>
        <v>0</v>
      </c>
      <c r="AI208" s="75" t="str">
        <f t="shared" si="14"/>
        <v/>
      </c>
      <c r="AJ208" s="75" t="str">
        <f t="shared" si="15"/>
        <v/>
      </c>
      <c r="AK208" s="75" t="str">
        <f t="shared" si="16"/>
        <v/>
      </c>
      <c r="AL208" s="75" t="s">
        <v>2467</v>
      </c>
      <c r="AM208" s="214" t="s">
        <v>838</v>
      </c>
      <c r="AN208" s="214" t="s">
        <v>838</v>
      </c>
      <c r="AO208" s="214" t="s">
        <v>838</v>
      </c>
      <c r="AP208" s="214"/>
      <c r="AQ208" s="214" t="s">
        <v>838</v>
      </c>
      <c r="AR208" s="214" t="s">
        <v>838</v>
      </c>
      <c r="AS208" s="214" t="s">
        <v>2493</v>
      </c>
      <c r="AT208" s="214"/>
      <c r="AU208" s="214" t="s">
        <v>838</v>
      </c>
      <c r="AV208" s="214" t="s">
        <v>838</v>
      </c>
      <c r="AW208" s="214" t="s">
        <v>838</v>
      </c>
      <c r="AX208" s="214"/>
      <c r="AY208" s="214" t="s">
        <v>838</v>
      </c>
      <c r="AZ208" s="214" t="s">
        <v>838</v>
      </c>
      <c r="BA208" s="214" t="s">
        <v>4162</v>
      </c>
      <c r="BB208" s="214"/>
      <c r="BC208" s="143" t="s">
        <v>778</v>
      </c>
    </row>
    <row r="209" spans="1:55" ht="15" customHeight="1" x14ac:dyDescent="0.25">
      <c r="A209" s="210">
        <v>7</v>
      </c>
      <c r="B209" s="143" t="s">
        <v>4107</v>
      </c>
      <c r="C209" s="143" t="s">
        <v>4108</v>
      </c>
      <c r="D209" s="143" t="s">
        <v>4163</v>
      </c>
      <c r="E209" s="143" t="s">
        <v>779</v>
      </c>
      <c r="F209" s="143" t="s">
        <v>780</v>
      </c>
      <c r="G209" s="143" t="s">
        <v>730</v>
      </c>
      <c r="H209" s="143" t="s">
        <v>781</v>
      </c>
      <c r="I209" s="143" t="s">
        <v>4164</v>
      </c>
      <c r="J209" s="217">
        <v>44409</v>
      </c>
      <c r="K209" s="217">
        <v>44439</v>
      </c>
      <c r="L209" s="143" t="s">
        <v>4165</v>
      </c>
      <c r="M209" s="143" t="s">
        <v>4112</v>
      </c>
      <c r="N209" s="143" t="s">
        <v>30</v>
      </c>
      <c r="O209" s="143" t="s">
        <v>4166</v>
      </c>
      <c r="P209" s="143" t="s">
        <v>735</v>
      </c>
      <c r="Q209" s="212">
        <v>1</v>
      </c>
      <c r="R209" s="212">
        <v>0</v>
      </c>
      <c r="S209" s="212">
        <v>0</v>
      </c>
      <c r="T209" s="212">
        <v>1</v>
      </c>
      <c r="U209" s="212">
        <v>0</v>
      </c>
      <c r="V209" s="212">
        <v>0</v>
      </c>
      <c r="W209" s="212" t="s">
        <v>4167</v>
      </c>
      <c r="X209" s="212">
        <v>0</v>
      </c>
      <c r="Y209" s="212" t="s">
        <v>4167</v>
      </c>
      <c r="Z209" s="212">
        <v>1</v>
      </c>
      <c r="AA209" s="212" t="s">
        <v>4168</v>
      </c>
      <c r="AB209" s="244"/>
      <c r="AC209" s="244"/>
      <c r="AD209" s="213">
        <v>44295</v>
      </c>
      <c r="AE209" s="213">
        <v>44379</v>
      </c>
      <c r="AF209" s="213">
        <v>44482</v>
      </c>
      <c r="AG209" s="213"/>
      <c r="AH209" s="75">
        <f t="shared" si="13"/>
        <v>1</v>
      </c>
      <c r="AI209" s="75" t="str">
        <f t="shared" si="14"/>
        <v/>
      </c>
      <c r="AJ209" s="75" t="str">
        <f t="shared" si="15"/>
        <v/>
      </c>
      <c r="AK209" s="75">
        <f t="shared" si="16"/>
        <v>1</v>
      </c>
      <c r="AL209" s="75" t="s">
        <v>2467</v>
      </c>
      <c r="AM209" s="214" t="s">
        <v>838</v>
      </c>
      <c r="AN209" s="214" t="s">
        <v>838</v>
      </c>
      <c r="AO209" s="214" t="s">
        <v>739</v>
      </c>
      <c r="AP209" s="214"/>
      <c r="AQ209" s="214" t="s">
        <v>838</v>
      </c>
      <c r="AR209" s="214" t="s">
        <v>838</v>
      </c>
      <c r="AS209" s="214" t="s">
        <v>4169</v>
      </c>
      <c r="AT209" s="214"/>
      <c r="AU209" s="214" t="s">
        <v>838</v>
      </c>
      <c r="AV209" s="214" t="s">
        <v>838</v>
      </c>
      <c r="AW209" s="214" t="s">
        <v>739</v>
      </c>
      <c r="AX209" s="214"/>
      <c r="AY209" s="214" t="s">
        <v>838</v>
      </c>
      <c r="AZ209" s="214" t="s">
        <v>838</v>
      </c>
      <c r="BA209" s="214" t="s">
        <v>4170</v>
      </c>
      <c r="BB209" s="214"/>
      <c r="BC209" s="143" t="s">
        <v>778</v>
      </c>
    </row>
    <row r="210" spans="1:55" ht="15" customHeight="1" x14ac:dyDescent="0.25">
      <c r="A210" s="210">
        <v>8</v>
      </c>
      <c r="B210" s="143" t="s">
        <v>4107</v>
      </c>
      <c r="C210" s="143" t="s">
        <v>4108</v>
      </c>
      <c r="D210" s="143" t="s">
        <v>4163</v>
      </c>
      <c r="E210" s="143" t="s">
        <v>779</v>
      </c>
      <c r="F210" s="143" t="s">
        <v>780</v>
      </c>
      <c r="G210" s="143" t="s">
        <v>730</v>
      </c>
      <c r="H210" s="143" t="s">
        <v>781</v>
      </c>
      <c r="I210" s="143" t="s">
        <v>4171</v>
      </c>
      <c r="J210" s="217">
        <v>44197</v>
      </c>
      <c r="K210" s="217">
        <v>44561</v>
      </c>
      <c r="L210" s="143" t="s">
        <v>4172</v>
      </c>
      <c r="M210" s="143" t="s">
        <v>4112</v>
      </c>
      <c r="N210" s="143" t="s">
        <v>60</v>
      </c>
      <c r="O210" s="143" t="s">
        <v>4166</v>
      </c>
      <c r="P210" s="143" t="s">
        <v>735</v>
      </c>
      <c r="Q210" s="215">
        <v>1</v>
      </c>
      <c r="R210" s="215">
        <v>0.25</v>
      </c>
      <c r="S210" s="215">
        <v>0.25</v>
      </c>
      <c r="T210" s="215">
        <v>0.25</v>
      </c>
      <c r="U210" s="215">
        <v>0.25</v>
      </c>
      <c r="V210" s="215">
        <v>0.25</v>
      </c>
      <c r="W210" s="215" t="s">
        <v>4173</v>
      </c>
      <c r="X210" s="215">
        <v>0.25</v>
      </c>
      <c r="Y210" s="215" t="s">
        <v>4174</v>
      </c>
      <c r="Z210" s="215">
        <v>0.25</v>
      </c>
      <c r="AA210" s="215" t="s">
        <v>4175</v>
      </c>
      <c r="AB210" s="241"/>
      <c r="AC210" s="241"/>
      <c r="AD210" s="213">
        <v>44295</v>
      </c>
      <c r="AE210" s="213">
        <v>44379</v>
      </c>
      <c r="AF210" s="213">
        <v>44482</v>
      </c>
      <c r="AG210" s="213"/>
      <c r="AH210" s="75">
        <f t="shared" si="13"/>
        <v>0.75</v>
      </c>
      <c r="AI210" s="75">
        <f t="shared" si="14"/>
        <v>1</v>
      </c>
      <c r="AJ210" s="75">
        <f t="shared" si="15"/>
        <v>1</v>
      </c>
      <c r="AK210" s="75">
        <f t="shared" si="16"/>
        <v>1</v>
      </c>
      <c r="AL210" s="75" t="s">
        <v>2467</v>
      </c>
      <c r="AM210" s="214" t="s">
        <v>739</v>
      </c>
      <c r="AN210" s="214" t="s">
        <v>739</v>
      </c>
      <c r="AO210" s="214" t="s">
        <v>739</v>
      </c>
      <c r="AP210" s="214"/>
      <c r="AQ210" s="214" t="s">
        <v>4176</v>
      </c>
      <c r="AR210" s="214" t="s">
        <v>4177</v>
      </c>
      <c r="AS210" s="214" t="s">
        <v>4178</v>
      </c>
      <c r="AT210" s="214"/>
      <c r="AU210" s="214" t="s">
        <v>739</v>
      </c>
      <c r="AV210" s="214" t="s">
        <v>739</v>
      </c>
      <c r="AW210" s="214" t="s">
        <v>739</v>
      </c>
      <c r="AX210" s="214"/>
      <c r="AY210" s="214" t="s">
        <v>4179</v>
      </c>
      <c r="AZ210" s="214" t="s">
        <v>4180</v>
      </c>
      <c r="BA210" s="214" t="s">
        <v>4181</v>
      </c>
      <c r="BB210" s="214"/>
      <c r="BC210" s="143" t="s">
        <v>778</v>
      </c>
    </row>
    <row r="211" spans="1:55" ht="15" customHeight="1" x14ac:dyDescent="0.25">
      <c r="A211" s="210">
        <v>9</v>
      </c>
      <c r="B211" s="143" t="s">
        <v>4107</v>
      </c>
      <c r="C211" s="143" t="s">
        <v>4108</v>
      </c>
      <c r="D211" s="143" t="s">
        <v>4163</v>
      </c>
      <c r="E211" s="143" t="s">
        <v>779</v>
      </c>
      <c r="F211" s="143" t="s">
        <v>780</v>
      </c>
      <c r="G211" s="143" t="s">
        <v>730</v>
      </c>
      <c r="H211" s="143" t="s">
        <v>781</v>
      </c>
      <c r="I211" s="143" t="s">
        <v>4182</v>
      </c>
      <c r="J211" s="217">
        <v>44287</v>
      </c>
      <c r="K211" s="217">
        <v>44561</v>
      </c>
      <c r="L211" s="143" t="s">
        <v>4183</v>
      </c>
      <c r="M211" s="143" t="s">
        <v>4112</v>
      </c>
      <c r="N211" s="143" t="s">
        <v>30</v>
      </c>
      <c r="O211" s="143" t="s">
        <v>4166</v>
      </c>
      <c r="P211" s="143" t="s">
        <v>821</v>
      </c>
      <c r="Q211" s="212">
        <v>3</v>
      </c>
      <c r="R211" s="212">
        <v>0</v>
      </c>
      <c r="S211" s="212">
        <v>1</v>
      </c>
      <c r="T211" s="212">
        <v>1</v>
      </c>
      <c r="U211" s="212">
        <v>1</v>
      </c>
      <c r="V211" s="212">
        <v>0</v>
      </c>
      <c r="W211" s="212" t="s">
        <v>4114</v>
      </c>
      <c r="X211" s="212">
        <v>1</v>
      </c>
      <c r="Y211" s="212" t="s">
        <v>4184</v>
      </c>
      <c r="Z211" s="212">
        <v>2</v>
      </c>
      <c r="AA211" s="212" t="s">
        <v>4185</v>
      </c>
      <c r="AB211" s="244"/>
      <c r="AC211" s="244"/>
      <c r="AD211" s="213">
        <v>44295</v>
      </c>
      <c r="AE211" s="213">
        <v>44379</v>
      </c>
      <c r="AF211" s="213">
        <v>44482</v>
      </c>
      <c r="AG211" s="213"/>
      <c r="AH211" s="75">
        <f t="shared" si="13"/>
        <v>1</v>
      </c>
      <c r="AI211" s="75" t="str">
        <f t="shared" si="14"/>
        <v/>
      </c>
      <c r="AJ211" s="75">
        <f t="shared" si="15"/>
        <v>1</v>
      </c>
      <c r="AK211" s="75">
        <f t="shared" si="16"/>
        <v>1</v>
      </c>
      <c r="AL211" s="75" t="s">
        <v>2467</v>
      </c>
      <c r="AM211" s="214" t="s">
        <v>838</v>
      </c>
      <c r="AN211" s="214" t="s">
        <v>739</v>
      </c>
      <c r="AO211" s="214" t="s">
        <v>739</v>
      </c>
      <c r="AP211" s="214"/>
      <c r="AQ211" s="214" t="s">
        <v>838</v>
      </c>
      <c r="AR211" s="214" t="s">
        <v>4186</v>
      </c>
      <c r="AS211" s="214" t="s">
        <v>4187</v>
      </c>
      <c r="AT211" s="214"/>
      <c r="AU211" s="214" t="s">
        <v>739</v>
      </c>
      <c r="AV211" s="214" t="s">
        <v>739</v>
      </c>
      <c r="AW211" s="214" t="s">
        <v>739</v>
      </c>
      <c r="AX211" s="214"/>
      <c r="AY211" s="214" t="s">
        <v>838</v>
      </c>
      <c r="AZ211" s="214" t="s">
        <v>4188</v>
      </c>
      <c r="BA211" s="214" t="s">
        <v>4189</v>
      </c>
      <c r="BB211" s="214"/>
      <c r="BC211" s="143" t="s">
        <v>778</v>
      </c>
    </row>
    <row r="212" spans="1:55" ht="15" customHeight="1" x14ac:dyDescent="0.25">
      <c r="A212" s="210">
        <v>10</v>
      </c>
      <c r="B212" s="143" t="s">
        <v>4107</v>
      </c>
      <c r="C212" s="143" t="s">
        <v>4108</v>
      </c>
      <c r="D212" s="143" t="s">
        <v>4163</v>
      </c>
      <c r="E212" s="143" t="s">
        <v>779</v>
      </c>
      <c r="F212" s="143" t="s">
        <v>780</v>
      </c>
      <c r="G212" s="143" t="s">
        <v>730</v>
      </c>
      <c r="H212" s="143" t="s">
        <v>781</v>
      </c>
      <c r="I212" s="143" t="s">
        <v>4190</v>
      </c>
      <c r="J212" s="217">
        <v>44197</v>
      </c>
      <c r="K212" s="217">
        <v>44377</v>
      </c>
      <c r="L212" s="143" t="s">
        <v>4191</v>
      </c>
      <c r="M212" s="143" t="s">
        <v>4112</v>
      </c>
      <c r="N212" s="143" t="s">
        <v>30</v>
      </c>
      <c r="O212" s="143" t="s">
        <v>4166</v>
      </c>
      <c r="P212" s="143" t="s">
        <v>821</v>
      </c>
      <c r="Q212" s="212">
        <v>1</v>
      </c>
      <c r="R212" s="212">
        <v>0</v>
      </c>
      <c r="S212" s="212">
        <v>1</v>
      </c>
      <c r="T212" s="212">
        <v>0</v>
      </c>
      <c r="U212" s="212">
        <v>0</v>
      </c>
      <c r="V212" s="212">
        <v>0</v>
      </c>
      <c r="W212" s="212" t="s">
        <v>4114</v>
      </c>
      <c r="X212" s="212">
        <v>1</v>
      </c>
      <c r="Y212" s="212" t="s">
        <v>4192</v>
      </c>
      <c r="Z212" s="212">
        <v>0</v>
      </c>
      <c r="AA212" s="212" t="s">
        <v>4193</v>
      </c>
      <c r="AB212" s="244"/>
      <c r="AC212" s="244"/>
      <c r="AD212" s="213">
        <v>44295</v>
      </c>
      <c r="AE212" s="213">
        <v>44379</v>
      </c>
      <c r="AF212" s="213">
        <v>44482</v>
      </c>
      <c r="AG212" s="213"/>
      <c r="AH212" s="75">
        <f t="shared" si="13"/>
        <v>1</v>
      </c>
      <c r="AI212" s="75" t="str">
        <f t="shared" si="14"/>
        <v/>
      </c>
      <c r="AJ212" s="75">
        <f t="shared" si="15"/>
        <v>1</v>
      </c>
      <c r="AK212" s="75" t="str">
        <f t="shared" si="16"/>
        <v/>
      </c>
      <c r="AL212" s="75" t="s">
        <v>2467</v>
      </c>
      <c r="AM212" s="214" t="s">
        <v>838</v>
      </c>
      <c r="AN212" s="214" t="s">
        <v>739</v>
      </c>
      <c r="AO212" s="214" t="s">
        <v>838</v>
      </c>
      <c r="AP212" s="214"/>
      <c r="AQ212" s="214" t="s">
        <v>838</v>
      </c>
      <c r="AR212" s="214" t="s">
        <v>4194</v>
      </c>
      <c r="AS212" s="214" t="s">
        <v>2493</v>
      </c>
      <c r="AT212" s="214"/>
      <c r="AU212" s="214" t="s">
        <v>838</v>
      </c>
      <c r="AV212" s="214" t="s">
        <v>739</v>
      </c>
      <c r="AW212" s="214" t="s">
        <v>838</v>
      </c>
      <c r="AX212" s="214"/>
      <c r="AY212" s="214" t="s">
        <v>838</v>
      </c>
      <c r="AZ212" s="214" t="s">
        <v>4195</v>
      </c>
      <c r="BA212" s="214" t="s">
        <v>4196</v>
      </c>
      <c r="BB212" s="214"/>
      <c r="BC212" s="143" t="s">
        <v>778</v>
      </c>
    </row>
    <row r="213" spans="1:55" ht="15" customHeight="1" x14ac:dyDescent="0.25">
      <c r="A213" s="210">
        <v>11</v>
      </c>
      <c r="B213" s="143" t="s">
        <v>4107</v>
      </c>
      <c r="C213" s="143" t="s">
        <v>4108</v>
      </c>
      <c r="D213" s="143" t="s">
        <v>4163</v>
      </c>
      <c r="E213" s="143" t="s">
        <v>779</v>
      </c>
      <c r="F213" s="143" t="s">
        <v>780</v>
      </c>
      <c r="G213" s="143" t="s">
        <v>730</v>
      </c>
      <c r="H213" s="143" t="s">
        <v>781</v>
      </c>
      <c r="I213" s="143" t="s">
        <v>4197</v>
      </c>
      <c r="J213" s="217">
        <v>44501</v>
      </c>
      <c r="K213" s="217">
        <v>44561</v>
      </c>
      <c r="L213" s="143" t="s">
        <v>4198</v>
      </c>
      <c r="M213" s="143" t="s">
        <v>4112</v>
      </c>
      <c r="N213" s="143" t="s">
        <v>30</v>
      </c>
      <c r="O213" s="143" t="s">
        <v>4166</v>
      </c>
      <c r="P213" s="143" t="s">
        <v>821</v>
      </c>
      <c r="Q213" s="212">
        <v>1</v>
      </c>
      <c r="R213" s="212">
        <v>0</v>
      </c>
      <c r="S213" s="212">
        <v>0</v>
      </c>
      <c r="T213" s="212">
        <v>0</v>
      </c>
      <c r="U213" s="212">
        <v>1</v>
      </c>
      <c r="V213" s="212">
        <v>0</v>
      </c>
      <c r="W213" s="212" t="s">
        <v>4199</v>
      </c>
      <c r="X213" s="212">
        <v>0</v>
      </c>
      <c r="Y213" s="212" t="s">
        <v>4199</v>
      </c>
      <c r="Z213" s="212">
        <v>0</v>
      </c>
      <c r="AA213" s="212" t="s">
        <v>4199</v>
      </c>
      <c r="AB213" s="244"/>
      <c r="AC213" s="244"/>
      <c r="AD213" s="213">
        <v>44295</v>
      </c>
      <c r="AE213" s="213">
        <v>44379</v>
      </c>
      <c r="AF213" s="213">
        <v>44482</v>
      </c>
      <c r="AG213" s="213"/>
      <c r="AH213" s="75">
        <f t="shared" si="13"/>
        <v>0</v>
      </c>
      <c r="AI213" s="75" t="str">
        <f t="shared" si="14"/>
        <v/>
      </c>
      <c r="AJ213" s="75" t="str">
        <f t="shared" si="15"/>
        <v/>
      </c>
      <c r="AK213" s="75" t="str">
        <f t="shared" si="16"/>
        <v/>
      </c>
      <c r="AL213" s="75" t="s">
        <v>2467</v>
      </c>
      <c r="AM213" s="214" t="s">
        <v>838</v>
      </c>
      <c r="AN213" s="214" t="s">
        <v>838</v>
      </c>
      <c r="AO213" s="214" t="s">
        <v>838</v>
      </c>
      <c r="AP213" s="214"/>
      <c r="AQ213" s="214" t="s">
        <v>838</v>
      </c>
      <c r="AR213" s="214" t="s">
        <v>838</v>
      </c>
      <c r="AS213" s="214" t="s">
        <v>2493</v>
      </c>
      <c r="AT213" s="214"/>
      <c r="AU213" s="214" t="s">
        <v>838</v>
      </c>
      <c r="AV213" s="214" t="s">
        <v>838</v>
      </c>
      <c r="AW213" s="214" t="s">
        <v>838</v>
      </c>
      <c r="AX213" s="214"/>
      <c r="AY213" s="214" t="s">
        <v>838</v>
      </c>
      <c r="AZ213" s="214" t="s">
        <v>838</v>
      </c>
      <c r="BA213" s="214" t="s">
        <v>4196</v>
      </c>
      <c r="BB213" s="214"/>
      <c r="BC213" s="143" t="s">
        <v>778</v>
      </c>
    </row>
    <row r="214" spans="1:55" ht="15" customHeight="1" x14ac:dyDescent="0.25">
      <c r="A214" s="210">
        <v>12</v>
      </c>
      <c r="B214" s="143" t="s">
        <v>4107</v>
      </c>
      <c r="C214" s="143" t="s">
        <v>4108</v>
      </c>
      <c r="D214" s="143" t="s">
        <v>4200</v>
      </c>
      <c r="E214" s="143" t="s">
        <v>779</v>
      </c>
      <c r="F214" s="143" t="s">
        <v>780</v>
      </c>
      <c r="G214" s="143" t="s">
        <v>730</v>
      </c>
      <c r="H214" s="143" t="s">
        <v>781</v>
      </c>
      <c r="I214" s="143" t="s">
        <v>4201</v>
      </c>
      <c r="J214" s="217">
        <v>44197</v>
      </c>
      <c r="K214" s="217">
        <v>44561</v>
      </c>
      <c r="L214" s="143" t="s">
        <v>4202</v>
      </c>
      <c r="M214" s="143" t="s">
        <v>4112</v>
      </c>
      <c r="N214" s="143" t="s">
        <v>60</v>
      </c>
      <c r="O214" s="143" t="s">
        <v>4203</v>
      </c>
      <c r="P214" s="143" t="s">
        <v>821</v>
      </c>
      <c r="Q214" s="215">
        <v>1</v>
      </c>
      <c r="R214" s="215">
        <v>0.25</v>
      </c>
      <c r="S214" s="215">
        <v>0.25</v>
      </c>
      <c r="T214" s="215">
        <v>0.25</v>
      </c>
      <c r="U214" s="215">
        <v>0.25</v>
      </c>
      <c r="V214" s="215">
        <v>0.25</v>
      </c>
      <c r="W214" s="215" t="s">
        <v>4204</v>
      </c>
      <c r="X214" s="215">
        <v>0.25</v>
      </c>
      <c r="Y214" s="215" t="s">
        <v>4204</v>
      </c>
      <c r="Z214" s="215">
        <v>0.25</v>
      </c>
      <c r="AA214" s="215" t="s">
        <v>4205</v>
      </c>
      <c r="AB214" s="244"/>
      <c r="AC214" s="244"/>
      <c r="AD214" s="213">
        <v>44295</v>
      </c>
      <c r="AE214" s="213">
        <v>44379</v>
      </c>
      <c r="AF214" s="213">
        <v>44483</v>
      </c>
      <c r="AG214" s="213"/>
      <c r="AH214" s="75">
        <f t="shared" si="13"/>
        <v>0.75</v>
      </c>
      <c r="AI214" s="75">
        <f t="shared" si="14"/>
        <v>1</v>
      </c>
      <c r="AJ214" s="75">
        <f t="shared" si="15"/>
        <v>1</v>
      </c>
      <c r="AK214" s="75">
        <f t="shared" si="16"/>
        <v>1</v>
      </c>
      <c r="AL214" s="75" t="s">
        <v>2467</v>
      </c>
      <c r="AM214" s="214" t="s">
        <v>739</v>
      </c>
      <c r="AN214" s="214" t="s">
        <v>739</v>
      </c>
      <c r="AO214" s="214" t="s">
        <v>739</v>
      </c>
      <c r="AP214" s="214"/>
      <c r="AQ214" s="214" t="s">
        <v>4206</v>
      </c>
      <c r="AR214" s="214" t="s">
        <v>4206</v>
      </c>
      <c r="AS214" s="214" t="s">
        <v>4207</v>
      </c>
      <c r="AT214" s="214"/>
      <c r="AU214" s="214" t="s">
        <v>739</v>
      </c>
      <c r="AV214" s="214" t="s">
        <v>739</v>
      </c>
      <c r="AW214" s="214" t="s">
        <v>739</v>
      </c>
      <c r="AX214" s="214"/>
      <c r="AY214" s="214" t="s">
        <v>4208</v>
      </c>
      <c r="AZ214" s="214" t="s">
        <v>4209</v>
      </c>
      <c r="BA214" s="214" t="s">
        <v>4210</v>
      </c>
      <c r="BB214" s="214"/>
      <c r="BC214" s="143" t="s">
        <v>778</v>
      </c>
    </row>
    <row r="215" spans="1:55" ht="15" customHeight="1" x14ac:dyDescent="0.25">
      <c r="A215" s="210">
        <v>13</v>
      </c>
      <c r="B215" s="143" t="s">
        <v>4107</v>
      </c>
      <c r="C215" s="143" t="s">
        <v>4108</v>
      </c>
      <c r="D215" s="143" t="s">
        <v>4211</v>
      </c>
      <c r="E215" s="143" t="s">
        <v>779</v>
      </c>
      <c r="F215" s="143" t="s">
        <v>780</v>
      </c>
      <c r="G215" s="143" t="s">
        <v>730</v>
      </c>
      <c r="H215" s="143" t="s">
        <v>781</v>
      </c>
      <c r="I215" s="143" t="s">
        <v>4212</v>
      </c>
      <c r="J215" s="217">
        <v>44197</v>
      </c>
      <c r="K215" s="217">
        <v>44561</v>
      </c>
      <c r="L215" s="143" t="s">
        <v>4213</v>
      </c>
      <c r="M215" s="143" t="s">
        <v>4112</v>
      </c>
      <c r="N215" s="143" t="s">
        <v>30</v>
      </c>
      <c r="O215" s="143" t="s">
        <v>4214</v>
      </c>
      <c r="P215" s="143" t="s">
        <v>821</v>
      </c>
      <c r="Q215" s="212">
        <v>12</v>
      </c>
      <c r="R215" s="212">
        <v>3</v>
      </c>
      <c r="S215" s="212">
        <v>3</v>
      </c>
      <c r="T215" s="212">
        <v>3</v>
      </c>
      <c r="U215" s="212">
        <v>3</v>
      </c>
      <c r="V215" s="212">
        <v>3</v>
      </c>
      <c r="W215" s="212" t="s">
        <v>4215</v>
      </c>
      <c r="X215" s="212">
        <v>3</v>
      </c>
      <c r="Y215" s="212" t="s">
        <v>4216</v>
      </c>
      <c r="Z215" s="212">
        <v>3</v>
      </c>
      <c r="AA215" s="212" t="s">
        <v>4217</v>
      </c>
      <c r="AB215" s="244"/>
      <c r="AC215" s="244"/>
      <c r="AD215" s="213">
        <v>44295</v>
      </c>
      <c r="AE215" s="213">
        <v>44379</v>
      </c>
      <c r="AF215" s="213">
        <v>44482</v>
      </c>
      <c r="AG215" s="213"/>
      <c r="AH215" s="75">
        <f t="shared" si="13"/>
        <v>0.75</v>
      </c>
      <c r="AI215" s="75">
        <f t="shared" si="14"/>
        <v>1</v>
      </c>
      <c r="AJ215" s="75">
        <f t="shared" si="15"/>
        <v>1</v>
      </c>
      <c r="AK215" s="75">
        <f t="shared" si="16"/>
        <v>1</v>
      </c>
      <c r="AL215" s="75" t="s">
        <v>2467</v>
      </c>
      <c r="AM215" s="214" t="s">
        <v>739</v>
      </c>
      <c r="AN215" s="214" t="s">
        <v>739</v>
      </c>
      <c r="AO215" s="214" t="s">
        <v>739</v>
      </c>
      <c r="AP215" s="214"/>
      <c r="AQ215" s="214" t="s">
        <v>4218</v>
      </c>
      <c r="AR215" s="214" t="s">
        <v>4219</v>
      </c>
      <c r="AS215" s="214" t="s">
        <v>4220</v>
      </c>
      <c r="AT215" s="214"/>
      <c r="AU215" s="214" t="s">
        <v>739</v>
      </c>
      <c r="AV215" s="214" t="s">
        <v>739</v>
      </c>
      <c r="AW215" s="214" t="s">
        <v>739</v>
      </c>
      <c r="AX215" s="214"/>
      <c r="AY215" s="214" t="s">
        <v>4221</v>
      </c>
      <c r="AZ215" s="214" t="s">
        <v>4222</v>
      </c>
      <c r="BA215" s="214" t="s">
        <v>4223</v>
      </c>
      <c r="BB215" s="214"/>
      <c r="BC215" s="143" t="s">
        <v>778</v>
      </c>
    </row>
    <row r="216" spans="1:55" ht="15" customHeight="1" x14ac:dyDescent="0.25">
      <c r="A216" s="210">
        <v>14</v>
      </c>
      <c r="B216" s="143" t="s">
        <v>4107</v>
      </c>
      <c r="C216" s="143" t="s">
        <v>4108</v>
      </c>
      <c r="D216" s="143" t="s">
        <v>4211</v>
      </c>
      <c r="E216" s="143" t="s">
        <v>779</v>
      </c>
      <c r="F216" s="143" t="s">
        <v>780</v>
      </c>
      <c r="G216" s="143" t="s">
        <v>730</v>
      </c>
      <c r="H216" s="143" t="s">
        <v>781</v>
      </c>
      <c r="I216" s="143" t="s">
        <v>4224</v>
      </c>
      <c r="J216" s="217">
        <v>44197</v>
      </c>
      <c r="K216" s="217">
        <v>44561</v>
      </c>
      <c r="L216" s="143" t="s">
        <v>4225</v>
      </c>
      <c r="M216" s="143" t="s">
        <v>4112</v>
      </c>
      <c r="N216" s="143" t="s">
        <v>30</v>
      </c>
      <c r="O216" s="143" t="s">
        <v>4214</v>
      </c>
      <c r="P216" s="143" t="s">
        <v>821</v>
      </c>
      <c r="Q216" s="212">
        <v>12</v>
      </c>
      <c r="R216" s="212">
        <v>3</v>
      </c>
      <c r="S216" s="212">
        <v>3</v>
      </c>
      <c r="T216" s="212">
        <v>3</v>
      </c>
      <c r="U216" s="212">
        <v>3</v>
      </c>
      <c r="V216" s="212">
        <v>3</v>
      </c>
      <c r="W216" s="212" t="s">
        <v>4226</v>
      </c>
      <c r="X216" s="212">
        <v>3</v>
      </c>
      <c r="Y216" s="212" t="s">
        <v>4227</v>
      </c>
      <c r="Z216" s="212">
        <v>3</v>
      </c>
      <c r="AA216" s="212" t="s">
        <v>4228</v>
      </c>
      <c r="AB216" s="244"/>
      <c r="AC216" s="244"/>
      <c r="AD216" s="213">
        <v>44295</v>
      </c>
      <c r="AE216" s="213">
        <v>44379</v>
      </c>
      <c r="AF216" s="213">
        <v>44482</v>
      </c>
      <c r="AG216" s="213"/>
      <c r="AH216" s="75">
        <f t="shared" si="13"/>
        <v>0.75</v>
      </c>
      <c r="AI216" s="75">
        <f t="shared" si="14"/>
        <v>1</v>
      </c>
      <c r="AJ216" s="75">
        <f t="shared" si="15"/>
        <v>1</v>
      </c>
      <c r="AK216" s="75">
        <f t="shared" si="16"/>
        <v>1</v>
      </c>
      <c r="AL216" s="75" t="s">
        <v>2467</v>
      </c>
      <c r="AM216" s="214" t="s">
        <v>739</v>
      </c>
      <c r="AN216" s="214" t="s">
        <v>739</v>
      </c>
      <c r="AO216" s="214" t="s">
        <v>739</v>
      </c>
      <c r="AP216" s="214"/>
      <c r="AQ216" s="214" t="s">
        <v>4229</v>
      </c>
      <c r="AR216" s="214" t="s">
        <v>4230</v>
      </c>
      <c r="AS216" s="214" t="s">
        <v>4231</v>
      </c>
      <c r="AT216" s="214"/>
      <c r="AU216" s="214" t="s">
        <v>739</v>
      </c>
      <c r="AV216" s="214" t="s">
        <v>739</v>
      </c>
      <c r="AW216" s="214" t="s">
        <v>739</v>
      </c>
      <c r="AX216" s="214"/>
      <c r="AY216" s="214" t="s">
        <v>4232</v>
      </c>
      <c r="AZ216" s="214" t="s">
        <v>4233</v>
      </c>
      <c r="BA216" s="214" t="s">
        <v>4234</v>
      </c>
      <c r="BB216" s="214"/>
      <c r="BC216" s="143" t="s">
        <v>778</v>
      </c>
    </row>
    <row r="217" spans="1:55" ht="15" customHeight="1" x14ac:dyDescent="0.25">
      <c r="A217" s="210">
        <v>15</v>
      </c>
      <c r="B217" s="143" t="s">
        <v>4107</v>
      </c>
      <c r="C217" s="143" t="s">
        <v>4235</v>
      </c>
      <c r="D217" s="143" t="s">
        <v>4236</v>
      </c>
      <c r="E217" s="143" t="s">
        <v>779</v>
      </c>
      <c r="F217" s="143" t="s">
        <v>4237</v>
      </c>
      <c r="G217" s="143" t="s">
        <v>730</v>
      </c>
      <c r="H217" s="143" t="s">
        <v>781</v>
      </c>
      <c r="I217" s="143" t="s">
        <v>4238</v>
      </c>
      <c r="J217" s="217">
        <v>44228</v>
      </c>
      <c r="K217" s="217">
        <v>44286</v>
      </c>
      <c r="L217" s="143" t="s">
        <v>4239</v>
      </c>
      <c r="M217" s="143" t="s">
        <v>4112</v>
      </c>
      <c r="N217" s="143" t="s">
        <v>30</v>
      </c>
      <c r="O217" s="143" t="s">
        <v>4203</v>
      </c>
      <c r="P217" s="143" t="s">
        <v>821</v>
      </c>
      <c r="Q217" s="212">
        <v>1</v>
      </c>
      <c r="R217" s="212">
        <v>1</v>
      </c>
      <c r="S217" s="212">
        <v>0</v>
      </c>
      <c r="T217" s="212">
        <v>0</v>
      </c>
      <c r="U217" s="212">
        <v>0</v>
      </c>
      <c r="V217" s="212">
        <v>1</v>
      </c>
      <c r="W217" s="212" t="s">
        <v>4240</v>
      </c>
      <c r="X217" s="212">
        <v>0</v>
      </c>
      <c r="Y217" s="212" t="s">
        <v>4241</v>
      </c>
      <c r="Z217" s="212">
        <v>0</v>
      </c>
      <c r="AA217" s="212" t="s">
        <v>4241</v>
      </c>
      <c r="AB217" s="244"/>
      <c r="AC217" s="244"/>
      <c r="AD217" s="213">
        <v>44295</v>
      </c>
      <c r="AE217" s="213">
        <v>44379</v>
      </c>
      <c r="AF217" s="213">
        <v>44482</v>
      </c>
      <c r="AG217" s="213"/>
      <c r="AH217" s="75">
        <f t="shared" si="13"/>
        <v>1</v>
      </c>
      <c r="AI217" s="75">
        <f t="shared" si="14"/>
        <v>1</v>
      </c>
      <c r="AJ217" s="75" t="str">
        <f t="shared" si="15"/>
        <v/>
      </c>
      <c r="AK217" s="75" t="str">
        <f t="shared" si="16"/>
        <v/>
      </c>
      <c r="AL217" s="75" t="s">
        <v>2467</v>
      </c>
      <c r="AM217" s="214" t="s">
        <v>739</v>
      </c>
      <c r="AN217" s="214" t="s">
        <v>838</v>
      </c>
      <c r="AO217" s="214" t="s">
        <v>838</v>
      </c>
      <c r="AP217" s="214"/>
      <c r="AQ217" s="214" t="s">
        <v>4242</v>
      </c>
      <c r="AR217" s="214" t="s">
        <v>838</v>
      </c>
      <c r="AS217" s="214" t="s">
        <v>2493</v>
      </c>
      <c r="AT217" s="214"/>
      <c r="AU217" s="214" t="s">
        <v>739</v>
      </c>
      <c r="AV217" s="214" t="s">
        <v>838</v>
      </c>
      <c r="AW217" s="214" t="s">
        <v>838</v>
      </c>
      <c r="AX217" s="214"/>
      <c r="AY217" s="214" t="s">
        <v>4243</v>
      </c>
      <c r="AZ217" s="214" t="s">
        <v>838</v>
      </c>
      <c r="BA217" s="214" t="s">
        <v>2501</v>
      </c>
      <c r="BB217" s="214"/>
      <c r="BC217" s="143" t="s">
        <v>778</v>
      </c>
    </row>
    <row r="218" spans="1:55" ht="15" customHeight="1" x14ac:dyDescent="0.25">
      <c r="A218" s="210">
        <v>16</v>
      </c>
      <c r="B218" s="143" t="s">
        <v>4107</v>
      </c>
      <c r="C218" s="143" t="s">
        <v>4235</v>
      </c>
      <c r="D218" s="143" t="s">
        <v>4236</v>
      </c>
      <c r="E218" s="143" t="s">
        <v>779</v>
      </c>
      <c r="F218" s="143" t="s">
        <v>4237</v>
      </c>
      <c r="G218" s="143" t="s">
        <v>730</v>
      </c>
      <c r="H218" s="143" t="s">
        <v>781</v>
      </c>
      <c r="I218" s="143" t="s">
        <v>4244</v>
      </c>
      <c r="J218" s="217">
        <v>44256</v>
      </c>
      <c r="K218" s="217">
        <v>44316</v>
      </c>
      <c r="L218" s="143" t="s">
        <v>4245</v>
      </c>
      <c r="M218" s="143" t="s">
        <v>4112</v>
      </c>
      <c r="N218" s="143" t="s">
        <v>30</v>
      </c>
      <c r="O218" s="143" t="s">
        <v>4203</v>
      </c>
      <c r="P218" s="143" t="s">
        <v>821</v>
      </c>
      <c r="Q218" s="212">
        <v>1</v>
      </c>
      <c r="R218" s="212">
        <v>0</v>
      </c>
      <c r="S218" s="212">
        <v>1</v>
      </c>
      <c r="T218" s="212">
        <v>0</v>
      </c>
      <c r="U218" s="212">
        <v>0</v>
      </c>
      <c r="V218" s="212">
        <v>0</v>
      </c>
      <c r="W218" s="212" t="s">
        <v>4114</v>
      </c>
      <c r="X218" s="212">
        <v>0</v>
      </c>
      <c r="Y218" s="212" t="s">
        <v>4246</v>
      </c>
      <c r="Z218" s="212">
        <v>1</v>
      </c>
      <c r="AA218" s="212" t="s">
        <v>4247</v>
      </c>
      <c r="AB218" s="244"/>
      <c r="AC218" s="244"/>
      <c r="AD218" s="213">
        <v>44295</v>
      </c>
      <c r="AE218" s="213">
        <v>44379</v>
      </c>
      <c r="AF218" s="213">
        <v>44482</v>
      </c>
      <c r="AG218" s="213"/>
      <c r="AH218" s="75">
        <f t="shared" si="13"/>
        <v>1</v>
      </c>
      <c r="AI218" s="75" t="str">
        <f t="shared" si="14"/>
        <v/>
      </c>
      <c r="AJ218" s="75">
        <f t="shared" si="15"/>
        <v>0</v>
      </c>
      <c r="AK218" s="75" t="str">
        <f t="shared" si="16"/>
        <v/>
      </c>
      <c r="AL218" s="75" t="s">
        <v>2467</v>
      </c>
      <c r="AM218" s="214" t="s">
        <v>838</v>
      </c>
      <c r="AN218" s="214" t="s">
        <v>828</v>
      </c>
      <c r="AO218" s="214" t="s">
        <v>739</v>
      </c>
      <c r="AP218" s="214"/>
      <c r="AQ218" s="214" t="s">
        <v>838</v>
      </c>
      <c r="AR218" s="214" t="s">
        <v>4248</v>
      </c>
      <c r="AS218" s="214" t="s">
        <v>4249</v>
      </c>
      <c r="AT218" s="214"/>
      <c r="AU218" s="214" t="s">
        <v>838</v>
      </c>
      <c r="AV218" s="214" t="s">
        <v>828</v>
      </c>
      <c r="AW218" s="214" t="s">
        <v>739</v>
      </c>
      <c r="AX218" s="214"/>
      <c r="AY218" s="214" t="s">
        <v>838</v>
      </c>
      <c r="AZ218" s="214" t="s">
        <v>4248</v>
      </c>
      <c r="BA218" s="214" t="s">
        <v>4250</v>
      </c>
      <c r="BB218" s="214"/>
      <c r="BC218" s="143" t="s">
        <v>778</v>
      </c>
    </row>
    <row r="219" spans="1:55" ht="15" customHeight="1" x14ac:dyDescent="0.25">
      <c r="A219" s="210">
        <v>17</v>
      </c>
      <c r="B219" s="143" t="s">
        <v>4107</v>
      </c>
      <c r="C219" s="143" t="s">
        <v>4235</v>
      </c>
      <c r="D219" s="143" t="s">
        <v>4236</v>
      </c>
      <c r="E219" s="143" t="s">
        <v>779</v>
      </c>
      <c r="F219" s="143" t="s">
        <v>4237</v>
      </c>
      <c r="G219" s="143" t="s">
        <v>730</v>
      </c>
      <c r="H219" s="143" t="s">
        <v>781</v>
      </c>
      <c r="I219" s="143" t="s">
        <v>4251</v>
      </c>
      <c r="J219" s="217">
        <v>44197</v>
      </c>
      <c r="K219" s="217">
        <v>44561</v>
      </c>
      <c r="L219" s="143" t="s">
        <v>4252</v>
      </c>
      <c r="M219" s="143" t="s">
        <v>4112</v>
      </c>
      <c r="N219" s="143" t="s">
        <v>30</v>
      </c>
      <c r="O219" s="143" t="s">
        <v>4203</v>
      </c>
      <c r="P219" s="143" t="s">
        <v>821</v>
      </c>
      <c r="Q219" s="212">
        <v>3</v>
      </c>
      <c r="R219" s="212">
        <v>0</v>
      </c>
      <c r="S219" s="212">
        <v>1</v>
      </c>
      <c r="T219" s="212">
        <v>1</v>
      </c>
      <c r="U219" s="212">
        <v>1</v>
      </c>
      <c r="V219" s="212">
        <v>0</v>
      </c>
      <c r="W219" s="212" t="s">
        <v>4114</v>
      </c>
      <c r="X219" s="212">
        <v>1</v>
      </c>
      <c r="Y219" s="212" t="s">
        <v>4253</v>
      </c>
      <c r="Z219" s="212">
        <v>1</v>
      </c>
      <c r="AA219" s="212" t="s">
        <v>4254</v>
      </c>
      <c r="AB219" s="244"/>
      <c r="AC219" s="244"/>
      <c r="AD219" s="213">
        <v>44295</v>
      </c>
      <c r="AE219" s="213">
        <v>44379</v>
      </c>
      <c r="AF219" s="213">
        <v>44482</v>
      </c>
      <c r="AG219" s="213"/>
      <c r="AH219" s="75">
        <f t="shared" si="13"/>
        <v>0.66666666666666663</v>
      </c>
      <c r="AI219" s="75" t="str">
        <f t="shared" si="14"/>
        <v/>
      </c>
      <c r="AJ219" s="75">
        <f t="shared" si="15"/>
        <v>1</v>
      </c>
      <c r="AK219" s="75">
        <f t="shared" si="16"/>
        <v>1</v>
      </c>
      <c r="AL219" s="75" t="s">
        <v>2467</v>
      </c>
      <c r="AM219" s="214" t="s">
        <v>838</v>
      </c>
      <c r="AN219" s="214" t="s">
        <v>739</v>
      </c>
      <c r="AO219" s="214" t="s">
        <v>739</v>
      </c>
      <c r="AP219" s="214"/>
      <c r="AQ219" s="214" t="s">
        <v>838</v>
      </c>
      <c r="AR219" s="214" t="s">
        <v>4255</v>
      </c>
      <c r="AS219" s="214" t="s">
        <v>4256</v>
      </c>
      <c r="AT219" s="214"/>
      <c r="AU219" s="214" t="s">
        <v>838</v>
      </c>
      <c r="AV219" s="214" t="s">
        <v>739</v>
      </c>
      <c r="AW219" s="214" t="s">
        <v>739</v>
      </c>
      <c r="AX219" s="214"/>
      <c r="AY219" s="214" t="s">
        <v>838</v>
      </c>
      <c r="AZ219" s="214" t="s">
        <v>4257</v>
      </c>
      <c r="BA219" s="214" t="s">
        <v>4258</v>
      </c>
      <c r="BB219" s="214"/>
      <c r="BC219" s="143" t="s">
        <v>778</v>
      </c>
    </row>
    <row r="220" spans="1:55" ht="15" customHeight="1" x14ac:dyDescent="0.25">
      <c r="A220" s="210">
        <v>18</v>
      </c>
      <c r="B220" s="143" t="s">
        <v>4107</v>
      </c>
      <c r="C220" s="143" t="s">
        <v>4235</v>
      </c>
      <c r="D220" s="143" t="s">
        <v>4236</v>
      </c>
      <c r="E220" s="143" t="s">
        <v>779</v>
      </c>
      <c r="F220" s="143" t="s">
        <v>4237</v>
      </c>
      <c r="G220" s="143" t="s">
        <v>730</v>
      </c>
      <c r="H220" s="143" t="s">
        <v>781</v>
      </c>
      <c r="I220" s="143" t="s">
        <v>4259</v>
      </c>
      <c r="J220" s="217">
        <v>44197</v>
      </c>
      <c r="K220" s="217">
        <v>44561</v>
      </c>
      <c r="L220" s="143" t="s">
        <v>4260</v>
      </c>
      <c r="M220" s="143" t="s">
        <v>4112</v>
      </c>
      <c r="N220" s="143" t="s">
        <v>30</v>
      </c>
      <c r="O220" s="143" t="s">
        <v>4203</v>
      </c>
      <c r="P220" s="143" t="s">
        <v>821</v>
      </c>
      <c r="Q220" s="212">
        <v>3</v>
      </c>
      <c r="R220" s="212">
        <v>0</v>
      </c>
      <c r="S220" s="212">
        <v>1</v>
      </c>
      <c r="T220" s="212">
        <v>1</v>
      </c>
      <c r="U220" s="212">
        <v>1</v>
      </c>
      <c r="V220" s="212">
        <v>0</v>
      </c>
      <c r="W220" s="212" t="s">
        <v>4114</v>
      </c>
      <c r="X220" s="212">
        <v>1</v>
      </c>
      <c r="Y220" s="212" t="s">
        <v>4261</v>
      </c>
      <c r="Z220" s="212">
        <v>1</v>
      </c>
      <c r="AA220" s="212" t="s">
        <v>4262</v>
      </c>
      <c r="AB220" s="244"/>
      <c r="AC220" s="244"/>
      <c r="AD220" s="213">
        <v>44295</v>
      </c>
      <c r="AE220" s="213">
        <v>44379</v>
      </c>
      <c r="AF220" s="213">
        <v>44482</v>
      </c>
      <c r="AG220" s="213"/>
      <c r="AH220" s="75">
        <f t="shared" si="13"/>
        <v>0.66666666666666663</v>
      </c>
      <c r="AI220" s="75" t="str">
        <f t="shared" si="14"/>
        <v/>
      </c>
      <c r="AJ220" s="75">
        <f t="shared" si="15"/>
        <v>1</v>
      </c>
      <c r="AK220" s="75">
        <f t="shared" si="16"/>
        <v>1</v>
      </c>
      <c r="AL220" s="75" t="s">
        <v>2467</v>
      </c>
      <c r="AM220" s="214" t="s">
        <v>838</v>
      </c>
      <c r="AN220" s="214" t="s">
        <v>739</v>
      </c>
      <c r="AO220" s="214" t="s">
        <v>739</v>
      </c>
      <c r="AP220" s="214"/>
      <c r="AQ220" s="214" t="s">
        <v>838</v>
      </c>
      <c r="AR220" s="214" t="s">
        <v>4263</v>
      </c>
      <c r="AS220" s="214" t="s">
        <v>4264</v>
      </c>
      <c r="AT220" s="214"/>
      <c r="AU220" s="214" t="s">
        <v>838</v>
      </c>
      <c r="AV220" s="214" t="s">
        <v>739</v>
      </c>
      <c r="AW220" s="214" t="s">
        <v>739</v>
      </c>
      <c r="AX220" s="214"/>
      <c r="AY220" s="214" t="s">
        <v>838</v>
      </c>
      <c r="AZ220" s="214" t="s">
        <v>4265</v>
      </c>
      <c r="BA220" s="214" t="s">
        <v>4266</v>
      </c>
      <c r="BB220" s="214"/>
      <c r="BC220" s="143" t="s">
        <v>778</v>
      </c>
    </row>
    <row r="221" spans="1:55" ht="15" customHeight="1" x14ac:dyDescent="0.25">
      <c r="A221" s="210">
        <v>19</v>
      </c>
      <c r="B221" s="143" t="s">
        <v>4107</v>
      </c>
      <c r="C221" s="143" t="s">
        <v>2552</v>
      </c>
      <c r="D221" s="143" t="s">
        <v>2583</v>
      </c>
      <c r="E221" s="143" t="s">
        <v>2584</v>
      </c>
      <c r="F221" s="143" t="s">
        <v>793</v>
      </c>
      <c r="G221" s="143" t="s">
        <v>2458</v>
      </c>
      <c r="H221" s="143" t="s">
        <v>731</v>
      </c>
      <c r="I221" s="143" t="s">
        <v>2595</v>
      </c>
      <c r="J221" s="217">
        <v>44378</v>
      </c>
      <c r="K221" s="217">
        <v>44469</v>
      </c>
      <c r="L221" s="143" t="s">
        <v>733</v>
      </c>
      <c r="M221" s="143" t="s">
        <v>4112</v>
      </c>
      <c r="N221" s="143" t="s">
        <v>60</v>
      </c>
      <c r="O221" s="143" t="s">
        <v>3202</v>
      </c>
      <c r="P221" s="143" t="s">
        <v>11</v>
      </c>
      <c r="Q221" s="215">
        <v>1</v>
      </c>
      <c r="R221" s="215">
        <v>0</v>
      </c>
      <c r="S221" s="215">
        <v>0</v>
      </c>
      <c r="T221" s="215">
        <v>0.5</v>
      </c>
      <c r="U221" s="215">
        <v>0.5</v>
      </c>
      <c r="V221" s="215">
        <v>0</v>
      </c>
      <c r="W221" s="215" t="s">
        <v>4267</v>
      </c>
      <c r="X221" s="215">
        <v>0</v>
      </c>
      <c r="Y221" s="215" t="s">
        <v>4267</v>
      </c>
      <c r="Z221" s="215">
        <v>0.5</v>
      </c>
      <c r="AA221" s="215" t="s">
        <v>4268</v>
      </c>
      <c r="AB221" s="215"/>
      <c r="AC221" s="215"/>
      <c r="AD221" s="213">
        <v>44295</v>
      </c>
      <c r="AE221" s="213">
        <v>44379</v>
      </c>
      <c r="AF221" s="213">
        <v>44482</v>
      </c>
      <c r="AG221" s="213"/>
      <c r="AH221" s="75">
        <f t="shared" si="13"/>
        <v>0.5</v>
      </c>
      <c r="AI221" s="75" t="str">
        <f t="shared" si="14"/>
        <v/>
      </c>
      <c r="AJ221" s="75" t="str">
        <f t="shared" si="15"/>
        <v/>
      </c>
      <c r="AK221" s="75">
        <f t="shared" si="16"/>
        <v>1</v>
      </c>
      <c r="AL221" s="75" t="s">
        <v>2467</v>
      </c>
      <c r="AM221" s="214" t="s">
        <v>838</v>
      </c>
      <c r="AN221" s="214" t="s">
        <v>838</v>
      </c>
      <c r="AO221" s="214" t="s">
        <v>739</v>
      </c>
      <c r="AP221" s="214"/>
      <c r="AQ221" s="214" t="s">
        <v>838</v>
      </c>
      <c r="AR221" s="214" t="s">
        <v>838</v>
      </c>
      <c r="AS221" s="214" t="s">
        <v>4269</v>
      </c>
      <c r="AT221" s="214"/>
      <c r="AU221" s="214" t="s">
        <v>838</v>
      </c>
      <c r="AV221" s="214" t="s">
        <v>838</v>
      </c>
      <c r="AW221" s="214" t="s">
        <v>739</v>
      </c>
      <c r="AX221" s="214"/>
      <c r="AY221" s="214" t="s">
        <v>838</v>
      </c>
      <c r="AZ221" s="214" t="s">
        <v>838</v>
      </c>
      <c r="BA221" s="214" t="s">
        <v>4270</v>
      </c>
      <c r="BB221" s="214"/>
      <c r="BC221" s="143" t="s">
        <v>727</v>
      </c>
    </row>
    <row r="222" spans="1:55" ht="15" customHeight="1" x14ac:dyDescent="0.25">
      <c r="A222" s="210">
        <v>20</v>
      </c>
      <c r="B222" s="143" t="s">
        <v>4107</v>
      </c>
      <c r="C222" s="143" t="s">
        <v>2459</v>
      </c>
      <c r="D222" s="143" t="s">
        <v>2583</v>
      </c>
      <c r="E222" s="143" t="s">
        <v>2584</v>
      </c>
      <c r="F222" s="143" t="s">
        <v>793</v>
      </c>
      <c r="G222" s="143" t="s">
        <v>2458</v>
      </c>
      <c r="H222" s="143" t="s">
        <v>731</v>
      </c>
      <c r="I222" s="143" t="s">
        <v>2829</v>
      </c>
      <c r="J222" s="217">
        <v>44287</v>
      </c>
      <c r="K222" s="217">
        <v>44561</v>
      </c>
      <c r="L222" s="143" t="s">
        <v>733</v>
      </c>
      <c r="M222" s="143" t="s">
        <v>4112</v>
      </c>
      <c r="N222" s="143" t="s">
        <v>30</v>
      </c>
      <c r="O222" s="143" t="s">
        <v>3202</v>
      </c>
      <c r="P222" s="143" t="s">
        <v>11</v>
      </c>
      <c r="Q222" s="212">
        <v>4</v>
      </c>
      <c r="R222" s="212">
        <v>1</v>
      </c>
      <c r="S222" s="212">
        <v>1</v>
      </c>
      <c r="T222" s="212">
        <v>1</v>
      </c>
      <c r="U222" s="212">
        <v>1</v>
      </c>
      <c r="V222" s="212">
        <v>1</v>
      </c>
      <c r="W222" s="212" t="s">
        <v>4271</v>
      </c>
      <c r="X222" s="212">
        <v>1</v>
      </c>
      <c r="Y222" s="212" t="s">
        <v>4271</v>
      </c>
      <c r="Z222" s="212">
        <v>1</v>
      </c>
      <c r="AA222" s="212" t="s">
        <v>4272</v>
      </c>
      <c r="AB222" s="215"/>
      <c r="AC222" s="215"/>
      <c r="AD222" s="213">
        <v>44295</v>
      </c>
      <c r="AE222" s="213">
        <v>44379</v>
      </c>
      <c r="AF222" s="213">
        <v>44483</v>
      </c>
      <c r="AG222" s="213"/>
      <c r="AH222" s="75">
        <f t="shared" si="13"/>
        <v>0.75</v>
      </c>
      <c r="AI222" s="75">
        <f t="shared" si="14"/>
        <v>1</v>
      </c>
      <c r="AJ222" s="75">
        <f t="shared" si="15"/>
        <v>1</v>
      </c>
      <c r="AK222" s="75">
        <f t="shared" si="16"/>
        <v>1</v>
      </c>
      <c r="AL222" s="75" t="s">
        <v>2467</v>
      </c>
      <c r="AM222" s="214" t="s">
        <v>739</v>
      </c>
      <c r="AN222" s="214" t="s">
        <v>739</v>
      </c>
      <c r="AO222" s="214" t="s">
        <v>739</v>
      </c>
      <c r="AP222" s="214"/>
      <c r="AQ222" s="214" t="s">
        <v>4273</v>
      </c>
      <c r="AR222" s="214" t="s">
        <v>4274</v>
      </c>
      <c r="AS222" s="214" t="s">
        <v>4275</v>
      </c>
      <c r="AT222" s="214"/>
      <c r="AU222" s="214" t="s">
        <v>739</v>
      </c>
      <c r="AV222" s="214" t="s">
        <v>739</v>
      </c>
      <c r="AW222" s="214" t="s">
        <v>739</v>
      </c>
      <c r="AX222" s="214"/>
      <c r="AY222" s="214" t="s">
        <v>4276</v>
      </c>
      <c r="AZ222" s="214" t="s">
        <v>4277</v>
      </c>
      <c r="BA222" s="214" t="s">
        <v>4278</v>
      </c>
      <c r="BB222" s="214"/>
      <c r="BC222" s="143" t="s">
        <v>727</v>
      </c>
    </row>
    <row r="223" spans="1:55" ht="15" customHeight="1" x14ac:dyDescent="0.25">
      <c r="A223" s="210">
        <v>21</v>
      </c>
      <c r="B223" s="143" t="s">
        <v>4107</v>
      </c>
      <c r="C223" s="143" t="s">
        <v>2552</v>
      </c>
      <c r="D223" s="143" t="s">
        <v>2583</v>
      </c>
      <c r="E223" s="143" t="s">
        <v>2584</v>
      </c>
      <c r="F223" s="143" t="s">
        <v>793</v>
      </c>
      <c r="G223" s="143" t="s">
        <v>2458</v>
      </c>
      <c r="H223" s="143" t="s">
        <v>731</v>
      </c>
      <c r="I223" s="143" t="s">
        <v>3130</v>
      </c>
      <c r="J223" s="217">
        <v>44378</v>
      </c>
      <c r="K223" s="217">
        <v>44408</v>
      </c>
      <c r="L223" s="143" t="s">
        <v>733</v>
      </c>
      <c r="M223" s="143" t="s">
        <v>4112</v>
      </c>
      <c r="N223" s="143" t="s">
        <v>60</v>
      </c>
      <c r="O223" s="143" t="s">
        <v>3202</v>
      </c>
      <c r="P223" s="143" t="s">
        <v>11</v>
      </c>
      <c r="Q223" s="215">
        <v>1</v>
      </c>
      <c r="R223" s="215">
        <v>0</v>
      </c>
      <c r="S223" s="215">
        <v>0</v>
      </c>
      <c r="T223" s="215">
        <v>1</v>
      </c>
      <c r="U223" s="215">
        <v>0</v>
      </c>
      <c r="V223" s="215">
        <v>0</v>
      </c>
      <c r="W223" s="215" t="s">
        <v>4267</v>
      </c>
      <c r="X223" s="215">
        <v>1</v>
      </c>
      <c r="Y223" s="215" t="s">
        <v>4279</v>
      </c>
      <c r="Z223" s="215">
        <v>0</v>
      </c>
      <c r="AA223" s="215" t="s">
        <v>4280</v>
      </c>
      <c r="AB223" s="215"/>
      <c r="AC223" s="215"/>
      <c r="AD223" s="213">
        <v>44295</v>
      </c>
      <c r="AE223" s="213">
        <v>44379</v>
      </c>
      <c r="AF223" s="213">
        <v>44482</v>
      </c>
      <c r="AG223" s="213"/>
      <c r="AH223" s="75">
        <f t="shared" si="13"/>
        <v>1</v>
      </c>
      <c r="AI223" s="75" t="str">
        <f t="shared" si="14"/>
        <v/>
      </c>
      <c r="AJ223" s="75" t="str">
        <f t="shared" si="15"/>
        <v/>
      </c>
      <c r="AK223" s="75">
        <f t="shared" si="16"/>
        <v>1</v>
      </c>
      <c r="AL223" s="75" t="s">
        <v>2467</v>
      </c>
      <c r="AM223" s="214" t="s">
        <v>838</v>
      </c>
      <c r="AN223" s="214" t="s">
        <v>739</v>
      </c>
      <c r="AO223" s="214" t="s">
        <v>838</v>
      </c>
      <c r="AP223" s="214"/>
      <c r="AQ223" s="214" t="s">
        <v>838</v>
      </c>
      <c r="AR223" s="214" t="s">
        <v>4281</v>
      </c>
      <c r="AS223" s="214" t="s">
        <v>2493</v>
      </c>
      <c r="AT223" s="214"/>
      <c r="AU223" s="214" t="s">
        <v>838</v>
      </c>
      <c r="AV223" s="214" t="s">
        <v>739</v>
      </c>
      <c r="AW223" s="214" t="s">
        <v>838</v>
      </c>
      <c r="AX223" s="214"/>
      <c r="AY223" s="214" t="s">
        <v>838</v>
      </c>
      <c r="AZ223" s="214" t="s">
        <v>4282</v>
      </c>
      <c r="BA223" s="214" t="s">
        <v>2582</v>
      </c>
      <c r="BB223" s="214"/>
      <c r="BC223" s="143" t="s">
        <v>727</v>
      </c>
    </row>
    <row r="224" spans="1:55" ht="15" customHeight="1" x14ac:dyDescent="0.25">
      <c r="A224" s="210">
        <v>22</v>
      </c>
      <c r="B224" s="143" t="s">
        <v>4107</v>
      </c>
      <c r="C224" s="143" t="s">
        <v>2552</v>
      </c>
      <c r="D224" s="143" t="s">
        <v>2583</v>
      </c>
      <c r="E224" s="143" t="s">
        <v>2584</v>
      </c>
      <c r="F224" s="143" t="s">
        <v>793</v>
      </c>
      <c r="G224" s="143" t="s">
        <v>2458</v>
      </c>
      <c r="H224" s="143" t="s">
        <v>731</v>
      </c>
      <c r="I224" s="143" t="s">
        <v>2837</v>
      </c>
      <c r="J224" s="217">
        <v>44409</v>
      </c>
      <c r="K224" s="217">
        <v>44561</v>
      </c>
      <c r="L224" s="143" t="s">
        <v>733</v>
      </c>
      <c r="M224" s="143" t="s">
        <v>4112</v>
      </c>
      <c r="N224" s="143" t="s">
        <v>60</v>
      </c>
      <c r="O224" s="143" t="s">
        <v>3202</v>
      </c>
      <c r="P224" s="143" t="s">
        <v>11</v>
      </c>
      <c r="Q224" s="215">
        <v>1</v>
      </c>
      <c r="R224" s="215">
        <v>0</v>
      </c>
      <c r="S224" s="215">
        <v>0</v>
      </c>
      <c r="T224" s="215">
        <v>0.4</v>
      </c>
      <c r="U224" s="215">
        <v>0.6</v>
      </c>
      <c r="V224" s="215">
        <v>0</v>
      </c>
      <c r="W224" s="215" t="s">
        <v>4267</v>
      </c>
      <c r="X224" s="215">
        <v>0</v>
      </c>
      <c r="Y224" s="215" t="s">
        <v>4283</v>
      </c>
      <c r="Z224" s="215">
        <v>0.4</v>
      </c>
      <c r="AA224" s="215" t="s">
        <v>4284</v>
      </c>
      <c r="AB224" s="215"/>
      <c r="AC224" s="215"/>
      <c r="AD224" s="213">
        <v>44295</v>
      </c>
      <c r="AE224" s="213">
        <v>44379</v>
      </c>
      <c r="AF224" s="213">
        <v>44482</v>
      </c>
      <c r="AG224" s="213"/>
      <c r="AH224" s="75">
        <f t="shared" si="13"/>
        <v>0.4</v>
      </c>
      <c r="AI224" s="75" t="str">
        <f t="shared" si="14"/>
        <v/>
      </c>
      <c r="AJ224" s="75" t="str">
        <f t="shared" si="15"/>
        <v/>
      </c>
      <c r="AK224" s="75">
        <f t="shared" si="16"/>
        <v>1</v>
      </c>
      <c r="AL224" s="75" t="s">
        <v>2467</v>
      </c>
      <c r="AM224" s="214" t="s">
        <v>838</v>
      </c>
      <c r="AN224" s="214" t="s">
        <v>838</v>
      </c>
      <c r="AO224" s="214" t="s">
        <v>739</v>
      </c>
      <c r="AP224" s="214"/>
      <c r="AQ224" s="214" t="s">
        <v>838</v>
      </c>
      <c r="AR224" s="214" t="s">
        <v>838</v>
      </c>
      <c r="AS224" s="214" t="s">
        <v>4285</v>
      </c>
      <c r="AT224" s="214"/>
      <c r="AU224" s="214" t="s">
        <v>838</v>
      </c>
      <c r="AV224" s="214" t="s">
        <v>838</v>
      </c>
      <c r="AW224" s="214" t="s">
        <v>739</v>
      </c>
      <c r="AX224" s="214"/>
      <c r="AY224" s="214" t="s">
        <v>838</v>
      </c>
      <c r="AZ224" s="214" t="s">
        <v>838</v>
      </c>
      <c r="BA224" s="214" t="s">
        <v>4286</v>
      </c>
      <c r="BB224" s="214"/>
      <c r="BC224" s="143" t="s">
        <v>727</v>
      </c>
    </row>
    <row r="225" spans="1:55" ht="15" customHeight="1" x14ac:dyDescent="0.25">
      <c r="A225" s="210">
        <v>23</v>
      </c>
      <c r="B225" s="143" t="s">
        <v>4107</v>
      </c>
      <c r="C225" s="143" t="s">
        <v>2601</v>
      </c>
      <c r="D225" s="143" t="s">
        <v>2583</v>
      </c>
      <c r="E225" s="143" t="s">
        <v>2584</v>
      </c>
      <c r="F225" s="143" t="s">
        <v>793</v>
      </c>
      <c r="G225" s="143" t="s">
        <v>2458</v>
      </c>
      <c r="H225" s="143" t="s">
        <v>731</v>
      </c>
      <c r="I225" s="143" t="s">
        <v>2825</v>
      </c>
      <c r="J225" s="217">
        <v>44378</v>
      </c>
      <c r="K225" s="217">
        <v>44408</v>
      </c>
      <c r="L225" s="143" t="s">
        <v>733</v>
      </c>
      <c r="M225" s="143" t="s">
        <v>4112</v>
      </c>
      <c r="N225" s="143" t="s">
        <v>60</v>
      </c>
      <c r="O225" s="143" t="s">
        <v>3202</v>
      </c>
      <c r="P225" s="143" t="s">
        <v>11</v>
      </c>
      <c r="Q225" s="215">
        <v>1</v>
      </c>
      <c r="R225" s="215">
        <v>0</v>
      </c>
      <c r="S225" s="215">
        <v>0</v>
      </c>
      <c r="T225" s="215">
        <v>0</v>
      </c>
      <c r="U225" s="215">
        <v>1</v>
      </c>
      <c r="V225" s="215">
        <v>0</v>
      </c>
      <c r="W225" s="215" t="s">
        <v>4267</v>
      </c>
      <c r="X225" s="215">
        <v>0</v>
      </c>
      <c r="Y225" s="215" t="s">
        <v>4267</v>
      </c>
      <c r="Z225" s="215">
        <v>0</v>
      </c>
      <c r="AA225" s="215" t="s">
        <v>4287</v>
      </c>
      <c r="AB225" s="215"/>
      <c r="AC225" s="215"/>
      <c r="AD225" s="213">
        <v>44295</v>
      </c>
      <c r="AE225" s="213">
        <v>44379</v>
      </c>
      <c r="AF225" s="213">
        <v>44482</v>
      </c>
      <c r="AG225" s="213"/>
      <c r="AH225" s="75">
        <f t="shared" si="13"/>
        <v>0</v>
      </c>
      <c r="AI225" s="75" t="str">
        <f t="shared" si="14"/>
        <v/>
      </c>
      <c r="AJ225" s="75" t="str">
        <f t="shared" si="15"/>
        <v/>
      </c>
      <c r="AK225" s="75" t="str">
        <f t="shared" si="16"/>
        <v/>
      </c>
      <c r="AL225" s="75" t="s">
        <v>2467</v>
      </c>
      <c r="AM225" s="214" t="s">
        <v>838</v>
      </c>
      <c r="AN225" s="214" t="s">
        <v>838</v>
      </c>
      <c r="AO225" s="214" t="s">
        <v>838</v>
      </c>
      <c r="AP225" s="214"/>
      <c r="AQ225" s="214" t="s">
        <v>838</v>
      </c>
      <c r="AR225" s="214" t="s">
        <v>838</v>
      </c>
      <c r="AS225" s="214" t="s">
        <v>2493</v>
      </c>
      <c r="AT225" s="214"/>
      <c r="AU225" s="214" t="s">
        <v>838</v>
      </c>
      <c r="AV225" s="214" t="s">
        <v>838</v>
      </c>
      <c r="AW225" s="214" t="s">
        <v>838</v>
      </c>
      <c r="AX225" s="214"/>
      <c r="AY225" s="214" t="s">
        <v>838</v>
      </c>
      <c r="AZ225" s="214" t="s">
        <v>838</v>
      </c>
      <c r="BA225" s="214" t="s">
        <v>2501</v>
      </c>
      <c r="BB225" s="214"/>
      <c r="BC225" s="143" t="s">
        <v>727</v>
      </c>
    </row>
    <row r="226" spans="1:55" ht="15" customHeight="1" x14ac:dyDescent="0.25">
      <c r="A226" s="210">
        <v>1</v>
      </c>
      <c r="B226" s="143" t="s">
        <v>4288</v>
      </c>
      <c r="C226" s="143" t="s">
        <v>4289</v>
      </c>
      <c r="D226" s="143" t="s">
        <v>4290</v>
      </c>
      <c r="E226" s="143" t="s">
        <v>3008</v>
      </c>
      <c r="F226" s="143" t="s">
        <v>4291</v>
      </c>
      <c r="G226" s="143" t="s">
        <v>730</v>
      </c>
      <c r="H226" s="143" t="s">
        <v>4292</v>
      </c>
      <c r="I226" s="143" t="s">
        <v>4293</v>
      </c>
      <c r="J226" s="217">
        <v>44228</v>
      </c>
      <c r="K226" s="217">
        <v>44530</v>
      </c>
      <c r="L226" s="143" t="s">
        <v>4294</v>
      </c>
      <c r="M226" s="143" t="s">
        <v>4295</v>
      </c>
      <c r="N226" s="143" t="s">
        <v>30</v>
      </c>
      <c r="O226" s="143" t="s">
        <v>4296</v>
      </c>
      <c r="P226" s="143" t="s">
        <v>735</v>
      </c>
      <c r="Q226" s="212">
        <f>SUM(R226:U226)</f>
        <v>10</v>
      </c>
      <c r="R226" s="212">
        <v>2</v>
      </c>
      <c r="S226" s="212">
        <v>3</v>
      </c>
      <c r="T226" s="212">
        <v>3</v>
      </c>
      <c r="U226" s="212">
        <v>2</v>
      </c>
      <c r="V226" s="212">
        <v>2</v>
      </c>
      <c r="W226" s="212" t="s">
        <v>4297</v>
      </c>
      <c r="X226" s="212">
        <v>3</v>
      </c>
      <c r="Y226" s="212" t="s">
        <v>4298</v>
      </c>
      <c r="Z226" s="212">
        <v>3</v>
      </c>
      <c r="AA226" s="212" t="s">
        <v>4299</v>
      </c>
      <c r="AB226" s="212"/>
      <c r="AC226" s="212"/>
      <c r="AD226" s="213">
        <v>44295</v>
      </c>
      <c r="AE226" s="213">
        <v>44379</v>
      </c>
      <c r="AF226" s="213">
        <v>44483</v>
      </c>
      <c r="AG226" s="213"/>
      <c r="AH226" s="75">
        <f t="shared" si="13"/>
        <v>0.8</v>
      </c>
      <c r="AI226" s="75">
        <f t="shared" si="14"/>
        <v>1</v>
      </c>
      <c r="AJ226" s="75">
        <f t="shared" si="15"/>
        <v>1</v>
      </c>
      <c r="AK226" s="75">
        <f t="shared" si="16"/>
        <v>1</v>
      </c>
      <c r="AL226" s="75" t="s">
        <v>2467</v>
      </c>
      <c r="AM226" s="212" t="s">
        <v>739</v>
      </c>
      <c r="AN226" s="212" t="s">
        <v>739</v>
      </c>
      <c r="AO226" s="212" t="s">
        <v>739</v>
      </c>
      <c r="AP226" s="212"/>
      <c r="AQ226" s="212" t="s">
        <v>4300</v>
      </c>
      <c r="AR226" s="212" t="s">
        <v>4301</v>
      </c>
      <c r="AS226" s="212" t="s">
        <v>4302</v>
      </c>
      <c r="AT226" s="212"/>
      <c r="AU226" s="212" t="s">
        <v>739</v>
      </c>
      <c r="AV226" s="212" t="s">
        <v>739</v>
      </c>
      <c r="AW226" s="212" t="s">
        <v>739</v>
      </c>
      <c r="AX226" s="212"/>
      <c r="AY226" s="212" t="s">
        <v>4303</v>
      </c>
      <c r="AZ226" s="212" t="s">
        <v>4304</v>
      </c>
      <c r="BA226" s="214" t="s">
        <v>4305</v>
      </c>
      <c r="BB226" s="214"/>
      <c r="BC226" s="143" t="s">
        <v>4306</v>
      </c>
    </row>
    <row r="227" spans="1:55" ht="15" customHeight="1" x14ac:dyDescent="0.25">
      <c r="A227" s="210">
        <v>2</v>
      </c>
      <c r="B227" s="143" t="s">
        <v>4288</v>
      </c>
      <c r="C227" s="143" t="s">
        <v>4289</v>
      </c>
      <c r="D227" s="143" t="s">
        <v>4290</v>
      </c>
      <c r="E227" s="143" t="s">
        <v>3008</v>
      </c>
      <c r="F227" s="143" t="s">
        <v>4291</v>
      </c>
      <c r="G227" s="143" t="s">
        <v>730</v>
      </c>
      <c r="H227" s="143" t="s">
        <v>4292</v>
      </c>
      <c r="I227" s="143" t="s">
        <v>4307</v>
      </c>
      <c r="J227" s="217">
        <v>44228</v>
      </c>
      <c r="K227" s="217">
        <v>44530</v>
      </c>
      <c r="L227" s="143" t="s">
        <v>4308</v>
      </c>
      <c r="M227" s="143" t="s">
        <v>4295</v>
      </c>
      <c r="N227" s="143" t="s">
        <v>30</v>
      </c>
      <c r="O227" s="143" t="s">
        <v>4296</v>
      </c>
      <c r="P227" s="143" t="s">
        <v>735</v>
      </c>
      <c r="Q227" s="212">
        <v>1</v>
      </c>
      <c r="R227" s="212">
        <v>0</v>
      </c>
      <c r="S227" s="212">
        <v>0</v>
      </c>
      <c r="T227" s="212">
        <v>1</v>
      </c>
      <c r="U227" s="212">
        <v>0</v>
      </c>
      <c r="V227" s="212">
        <v>1</v>
      </c>
      <c r="W227" s="212" t="s">
        <v>4309</v>
      </c>
      <c r="X227" s="212">
        <v>0</v>
      </c>
      <c r="Y227" s="212" t="s">
        <v>4310</v>
      </c>
      <c r="Z227" s="212">
        <v>1</v>
      </c>
      <c r="AA227" s="212" t="s">
        <v>4311</v>
      </c>
      <c r="AB227" s="212"/>
      <c r="AC227" s="212"/>
      <c r="AD227" s="213">
        <v>44295</v>
      </c>
      <c r="AE227" s="213">
        <v>44379</v>
      </c>
      <c r="AF227" s="213">
        <v>44483</v>
      </c>
      <c r="AG227" s="213"/>
      <c r="AH227" s="75">
        <f t="shared" si="13"/>
        <v>1</v>
      </c>
      <c r="AI227" s="75" t="str">
        <f t="shared" si="14"/>
        <v/>
      </c>
      <c r="AJ227" s="75" t="str">
        <f t="shared" si="15"/>
        <v/>
      </c>
      <c r="AK227" s="75">
        <f t="shared" si="16"/>
        <v>1</v>
      </c>
      <c r="AL227" s="75" t="s">
        <v>2467</v>
      </c>
      <c r="AM227" s="212" t="s">
        <v>739</v>
      </c>
      <c r="AN227" s="212" t="s">
        <v>838</v>
      </c>
      <c r="AO227" s="212" t="s">
        <v>838</v>
      </c>
      <c r="AP227" s="212"/>
      <c r="AQ227" s="212" t="s">
        <v>4300</v>
      </c>
      <c r="AR227" s="212" t="s">
        <v>4312</v>
      </c>
      <c r="AS227" s="212" t="s">
        <v>4313</v>
      </c>
      <c r="AT227" s="212"/>
      <c r="AU227" s="212" t="s">
        <v>739</v>
      </c>
      <c r="AV227" s="212" t="s">
        <v>838</v>
      </c>
      <c r="AW227" s="212" t="s">
        <v>838</v>
      </c>
      <c r="AX227" s="212"/>
      <c r="AY227" s="212" t="s">
        <v>4314</v>
      </c>
      <c r="AZ227" s="212" t="s">
        <v>4315</v>
      </c>
      <c r="BA227" s="214" t="s">
        <v>1486</v>
      </c>
      <c r="BB227" s="214"/>
      <c r="BC227" s="143" t="s">
        <v>4306</v>
      </c>
    </row>
    <row r="228" spans="1:55" ht="15" customHeight="1" x14ac:dyDescent="0.25">
      <c r="A228" s="210">
        <v>3</v>
      </c>
      <c r="B228" s="143" t="s">
        <v>4288</v>
      </c>
      <c r="C228" s="143" t="s">
        <v>4289</v>
      </c>
      <c r="D228" s="143" t="s">
        <v>4290</v>
      </c>
      <c r="E228" s="143" t="s">
        <v>3008</v>
      </c>
      <c r="F228" s="143" t="s">
        <v>4291</v>
      </c>
      <c r="G228" s="143" t="s">
        <v>730</v>
      </c>
      <c r="H228" s="143" t="s">
        <v>4292</v>
      </c>
      <c r="I228" s="143" t="s">
        <v>4316</v>
      </c>
      <c r="J228" s="217">
        <v>44228</v>
      </c>
      <c r="K228" s="217">
        <v>44530</v>
      </c>
      <c r="L228" s="143" t="s">
        <v>4294</v>
      </c>
      <c r="M228" s="143" t="s">
        <v>4295</v>
      </c>
      <c r="N228" s="143" t="s">
        <v>30</v>
      </c>
      <c r="O228" s="143" t="s">
        <v>4296</v>
      </c>
      <c r="P228" s="143" t="s">
        <v>735</v>
      </c>
      <c r="Q228" s="212">
        <f>SUM(R228:U228)</f>
        <v>11</v>
      </c>
      <c r="R228" s="212">
        <v>2</v>
      </c>
      <c r="S228" s="212">
        <v>3</v>
      </c>
      <c r="T228" s="212">
        <v>3</v>
      </c>
      <c r="U228" s="212">
        <v>3</v>
      </c>
      <c r="V228" s="212">
        <v>2</v>
      </c>
      <c r="W228" s="212" t="s">
        <v>4317</v>
      </c>
      <c r="X228" s="212">
        <v>3</v>
      </c>
      <c r="Y228" s="212" t="s">
        <v>4318</v>
      </c>
      <c r="Z228" s="212">
        <v>3</v>
      </c>
      <c r="AA228" s="212" t="s">
        <v>4319</v>
      </c>
      <c r="AB228" s="212"/>
      <c r="AC228" s="212"/>
      <c r="AD228" s="213">
        <v>44295</v>
      </c>
      <c r="AE228" s="213">
        <v>44379</v>
      </c>
      <c r="AF228" s="213">
        <v>44483</v>
      </c>
      <c r="AG228" s="213"/>
      <c r="AH228" s="75">
        <f t="shared" si="13"/>
        <v>0.72727272727272729</v>
      </c>
      <c r="AI228" s="75">
        <f t="shared" si="14"/>
        <v>1</v>
      </c>
      <c r="AJ228" s="75">
        <f t="shared" si="15"/>
        <v>1</v>
      </c>
      <c r="AK228" s="75">
        <f t="shared" si="16"/>
        <v>1</v>
      </c>
      <c r="AL228" s="75" t="s">
        <v>2467</v>
      </c>
      <c r="AM228" s="212" t="s">
        <v>739</v>
      </c>
      <c r="AN228" s="212" t="s">
        <v>739</v>
      </c>
      <c r="AO228" s="212" t="s">
        <v>739</v>
      </c>
      <c r="AP228" s="212"/>
      <c r="AQ228" s="212" t="s">
        <v>4300</v>
      </c>
      <c r="AR228" s="212" t="s">
        <v>4320</v>
      </c>
      <c r="AS228" s="212" t="s">
        <v>4321</v>
      </c>
      <c r="AT228" s="212"/>
      <c r="AU228" s="212" t="s">
        <v>739</v>
      </c>
      <c r="AV228" s="212" t="s">
        <v>739</v>
      </c>
      <c r="AW228" s="212" t="s">
        <v>739</v>
      </c>
      <c r="AX228" s="212"/>
      <c r="AY228" s="212" t="s">
        <v>4322</v>
      </c>
      <c r="AZ228" s="212" t="s">
        <v>4323</v>
      </c>
      <c r="BA228" s="214" t="s">
        <v>4324</v>
      </c>
      <c r="BB228" s="214"/>
      <c r="BC228" s="143" t="s">
        <v>4306</v>
      </c>
    </row>
    <row r="229" spans="1:55" ht="15" customHeight="1" x14ac:dyDescent="0.25">
      <c r="A229" s="210">
        <v>4</v>
      </c>
      <c r="B229" s="143" t="s">
        <v>4288</v>
      </c>
      <c r="C229" s="143" t="s">
        <v>4289</v>
      </c>
      <c r="D229" s="143" t="s">
        <v>4290</v>
      </c>
      <c r="E229" s="143" t="s">
        <v>3008</v>
      </c>
      <c r="F229" s="143" t="s">
        <v>4291</v>
      </c>
      <c r="G229" s="143" t="s">
        <v>730</v>
      </c>
      <c r="H229" s="143" t="s">
        <v>4292</v>
      </c>
      <c r="I229" s="143" t="s">
        <v>4325</v>
      </c>
      <c r="J229" s="217">
        <v>44228</v>
      </c>
      <c r="K229" s="217">
        <v>44530</v>
      </c>
      <c r="L229" s="143" t="s">
        <v>4326</v>
      </c>
      <c r="M229" s="143" t="s">
        <v>4295</v>
      </c>
      <c r="N229" s="143" t="s">
        <v>30</v>
      </c>
      <c r="O229" s="143" t="s">
        <v>4296</v>
      </c>
      <c r="P229" s="143" t="s">
        <v>735</v>
      </c>
      <c r="Q229" s="212">
        <f>SUM(R229:U229)</f>
        <v>12</v>
      </c>
      <c r="R229" s="212">
        <v>0</v>
      </c>
      <c r="S229" s="212">
        <v>0</v>
      </c>
      <c r="T229" s="212">
        <v>6</v>
      </c>
      <c r="U229" s="212">
        <v>6</v>
      </c>
      <c r="V229" s="212">
        <v>0</v>
      </c>
      <c r="W229" s="212" t="s">
        <v>4312</v>
      </c>
      <c r="X229" s="212">
        <v>0</v>
      </c>
      <c r="Y229" s="212" t="s">
        <v>4327</v>
      </c>
      <c r="Z229" s="212">
        <v>6</v>
      </c>
      <c r="AA229" s="212" t="s">
        <v>4328</v>
      </c>
      <c r="AB229" s="212"/>
      <c r="AC229" s="212"/>
      <c r="AD229" s="213">
        <v>44295</v>
      </c>
      <c r="AE229" s="213">
        <v>44379</v>
      </c>
      <c r="AF229" s="213">
        <v>44483</v>
      </c>
      <c r="AG229" s="213"/>
      <c r="AH229" s="75">
        <f t="shared" si="13"/>
        <v>0.5</v>
      </c>
      <c r="AI229" s="75" t="str">
        <f t="shared" si="14"/>
        <v/>
      </c>
      <c r="AJ229" s="75" t="str">
        <f t="shared" si="15"/>
        <v/>
      </c>
      <c r="AK229" s="75">
        <f t="shared" si="16"/>
        <v>1</v>
      </c>
      <c r="AL229" s="75" t="s">
        <v>2467</v>
      </c>
      <c r="AM229" s="212" t="s">
        <v>739</v>
      </c>
      <c r="AN229" s="212" t="s">
        <v>838</v>
      </c>
      <c r="AO229" s="212" t="s">
        <v>739</v>
      </c>
      <c r="AP229" s="212"/>
      <c r="AQ229" s="212" t="s">
        <v>4327</v>
      </c>
      <c r="AR229" s="212" t="s">
        <v>3234</v>
      </c>
      <c r="AS229" s="212" t="s">
        <v>4329</v>
      </c>
      <c r="AT229" s="212"/>
      <c r="AU229" s="212" t="s">
        <v>838</v>
      </c>
      <c r="AV229" s="212" t="s">
        <v>838</v>
      </c>
      <c r="AW229" s="212" t="s">
        <v>739</v>
      </c>
      <c r="AX229" s="212"/>
      <c r="AY229" s="212" t="s">
        <v>4330</v>
      </c>
      <c r="AZ229" s="212" t="s">
        <v>4331</v>
      </c>
      <c r="BA229" s="214" t="s">
        <v>4332</v>
      </c>
      <c r="BB229" s="214"/>
      <c r="BC229" s="143" t="s">
        <v>4306</v>
      </c>
    </row>
    <row r="230" spans="1:55" ht="15" customHeight="1" x14ac:dyDescent="0.25">
      <c r="A230" s="210">
        <v>5</v>
      </c>
      <c r="B230" s="143" t="s">
        <v>4288</v>
      </c>
      <c r="C230" s="143" t="s">
        <v>4289</v>
      </c>
      <c r="D230" s="143" t="s">
        <v>4290</v>
      </c>
      <c r="E230" s="143" t="s">
        <v>3008</v>
      </c>
      <c r="F230" s="143" t="s">
        <v>4291</v>
      </c>
      <c r="G230" s="143" t="s">
        <v>730</v>
      </c>
      <c r="H230" s="143" t="s">
        <v>4292</v>
      </c>
      <c r="I230" s="143" t="s">
        <v>4333</v>
      </c>
      <c r="J230" s="217">
        <v>44228</v>
      </c>
      <c r="K230" s="217">
        <v>44530</v>
      </c>
      <c r="L230" s="143" t="s">
        <v>4334</v>
      </c>
      <c r="M230" s="143" t="s">
        <v>4295</v>
      </c>
      <c r="N230" s="143" t="s">
        <v>30</v>
      </c>
      <c r="O230" s="143" t="s">
        <v>4296</v>
      </c>
      <c r="P230" s="143" t="s">
        <v>735</v>
      </c>
      <c r="Q230" s="212">
        <f>SUM(R230:U230)</f>
        <v>12</v>
      </c>
      <c r="R230" s="212">
        <v>0</v>
      </c>
      <c r="S230" s="212">
        <v>0</v>
      </c>
      <c r="T230" s="212">
        <v>6</v>
      </c>
      <c r="U230" s="212">
        <v>6</v>
      </c>
      <c r="V230" s="212">
        <v>0</v>
      </c>
      <c r="W230" s="212" t="s">
        <v>4312</v>
      </c>
      <c r="X230" s="212">
        <v>0</v>
      </c>
      <c r="Y230" s="212" t="s">
        <v>4327</v>
      </c>
      <c r="Z230" s="212">
        <v>6</v>
      </c>
      <c r="AA230" s="212" t="s">
        <v>4335</v>
      </c>
      <c r="AB230" s="212"/>
      <c r="AC230" s="212"/>
      <c r="AD230" s="213">
        <v>44295</v>
      </c>
      <c r="AE230" s="213">
        <v>44379</v>
      </c>
      <c r="AF230" s="213">
        <v>44483</v>
      </c>
      <c r="AG230" s="213"/>
      <c r="AH230" s="75">
        <f t="shared" si="13"/>
        <v>0.5</v>
      </c>
      <c r="AI230" s="75" t="str">
        <f t="shared" si="14"/>
        <v/>
      </c>
      <c r="AJ230" s="75" t="str">
        <f t="shared" si="15"/>
        <v/>
      </c>
      <c r="AK230" s="75">
        <f t="shared" si="16"/>
        <v>1</v>
      </c>
      <c r="AL230" s="75" t="s">
        <v>2467</v>
      </c>
      <c r="AM230" s="212" t="s">
        <v>838</v>
      </c>
      <c r="AN230" s="212" t="s">
        <v>838</v>
      </c>
      <c r="AO230" s="212" t="s">
        <v>739</v>
      </c>
      <c r="AP230" s="212"/>
      <c r="AQ230" s="212" t="s">
        <v>4336</v>
      </c>
      <c r="AR230" s="212" t="s">
        <v>3234</v>
      </c>
      <c r="AS230" s="212" t="s">
        <v>4337</v>
      </c>
      <c r="AT230" s="212"/>
      <c r="AU230" s="212" t="s">
        <v>838</v>
      </c>
      <c r="AV230" s="212" t="s">
        <v>838</v>
      </c>
      <c r="AW230" s="212" t="s">
        <v>739</v>
      </c>
      <c r="AX230" s="212"/>
      <c r="AY230" s="212" t="s">
        <v>4336</v>
      </c>
      <c r="AZ230" s="212" t="s">
        <v>4331</v>
      </c>
      <c r="BA230" s="214" t="s">
        <v>4338</v>
      </c>
      <c r="BB230" s="214"/>
      <c r="BC230" s="143" t="s">
        <v>4306</v>
      </c>
    </row>
    <row r="231" spans="1:55" ht="15" customHeight="1" x14ac:dyDescent="0.25">
      <c r="A231" s="210">
        <v>6</v>
      </c>
      <c r="B231" s="143" t="s">
        <v>4288</v>
      </c>
      <c r="C231" s="143" t="s">
        <v>4289</v>
      </c>
      <c r="D231" s="143" t="s">
        <v>4290</v>
      </c>
      <c r="E231" s="143" t="s">
        <v>3008</v>
      </c>
      <c r="F231" s="143" t="s">
        <v>4291</v>
      </c>
      <c r="G231" s="143" t="s">
        <v>730</v>
      </c>
      <c r="H231" s="143" t="s">
        <v>4292</v>
      </c>
      <c r="I231" s="143" t="s">
        <v>4339</v>
      </c>
      <c r="J231" s="217">
        <v>44228</v>
      </c>
      <c r="K231" s="217">
        <v>44530</v>
      </c>
      <c r="L231" s="143" t="s">
        <v>4340</v>
      </c>
      <c r="M231" s="143" t="s">
        <v>4295</v>
      </c>
      <c r="N231" s="143" t="s">
        <v>30</v>
      </c>
      <c r="O231" s="143" t="s">
        <v>4296</v>
      </c>
      <c r="P231" s="143" t="s">
        <v>735</v>
      </c>
      <c r="Q231" s="212">
        <f>SUM(R231:U231)</f>
        <v>5</v>
      </c>
      <c r="R231" s="212">
        <v>0</v>
      </c>
      <c r="S231" s="212">
        <v>1</v>
      </c>
      <c r="T231" s="212">
        <v>2</v>
      </c>
      <c r="U231" s="212">
        <v>2</v>
      </c>
      <c r="V231" s="212">
        <v>0</v>
      </c>
      <c r="W231" s="212" t="s">
        <v>4312</v>
      </c>
      <c r="X231" s="212">
        <v>1</v>
      </c>
      <c r="Y231" s="212" t="s">
        <v>4341</v>
      </c>
      <c r="Z231" s="212">
        <v>2</v>
      </c>
      <c r="AA231" s="212" t="s">
        <v>4342</v>
      </c>
      <c r="AB231" s="212"/>
      <c r="AC231" s="212"/>
      <c r="AD231" s="213">
        <v>44295</v>
      </c>
      <c r="AE231" s="213">
        <v>44379</v>
      </c>
      <c r="AF231" s="213">
        <v>44483</v>
      </c>
      <c r="AG231" s="213"/>
      <c r="AH231" s="75">
        <f t="shared" si="13"/>
        <v>0.6</v>
      </c>
      <c r="AI231" s="75" t="str">
        <f t="shared" si="14"/>
        <v/>
      </c>
      <c r="AJ231" s="75">
        <f t="shared" si="15"/>
        <v>1</v>
      </c>
      <c r="AK231" s="75">
        <f t="shared" si="16"/>
        <v>1</v>
      </c>
      <c r="AL231" s="75" t="s">
        <v>2467</v>
      </c>
      <c r="AM231" s="212" t="s">
        <v>838</v>
      </c>
      <c r="AN231" s="212" t="s">
        <v>739</v>
      </c>
      <c r="AO231" s="212" t="s">
        <v>828</v>
      </c>
      <c r="AP231" s="212"/>
      <c r="AQ231" s="212" t="s">
        <v>4336</v>
      </c>
      <c r="AR231" s="212" t="s">
        <v>4343</v>
      </c>
      <c r="AS231" s="212" t="s">
        <v>4344</v>
      </c>
      <c r="AT231" s="212"/>
      <c r="AU231" s="212" t="s">
        <v>838</v>
      </c>
      <c r="AV231" s="212" t="s">
        <v>739</v>
      </c>
      <c r="AW231" s="212" t="s">
        <v>828</v>
      </c>
      <c r="AX231" s="212"/>
      <c r="AY231" s="212" t="s">
        <v>4336</v>
      </c>
      <c r="AZ231" s="212" t="s">
        <v>4345</v>
      </c>
      <c r="BA231" s="214" t="s">
        <v>4346</v>
      </c>
      <c r="BB231" s="214"/>
      <c r="BC231" s="143" t="s">
        <v>4306</v>
      </c>
    </row>
    <row r="232" spans="1:55" ht="15" customHeight="1" x14ac:dyDescent="0.25">
      <c r="A232" s="210">
        <v>7</v>
      </c>
      <c r="B232" s="143" t="s">
        <v>4288</v>
      </c>
      <c r="C232" s="143" t="s">
        <v>4347</v>
      </c>
      <c r="D232" s="143" t="s">
        <v>4290</v>
      </c>
      <c r="E232" s="143" t="s">
        <v>3008</v>
      </c>
      <c r="F232" s="143" t="s">
        <v>4291</v>
      </c>
      <c r="G232" s="143" t="s">
        <v>730</v>
      </c>
      <c r="H232" s="143" t="s">
        <v>4292</v>
      </c>
      <c r="I232" s="143" t="s">
        <v>4348</v>
      </c>
      <c r="J232" s="217">
        <v>44348</v>
      </c>
      <c r="K232" s="217">
        <v>44561</v>
      </c>
      <c r="L232" s="143" t="s">
        <v>4349</v>
      </c>
      <c r="M232" s="143" t="s">
        <v>4350</v>
      </c>
      <c r="N232" s="143" t="s">
        <v>30</v>
      </c>
      <c r="O232" s="143" t="s">
        <v>4296</v>
      </c>
      <c r="P232" s="143" t="s">
        <v>735</v>
      </c>
      <c r="Q232" s="212">
        <f>SUM(R232:U232)</f>
        <v>1</v>
      </c>
      <c r="R232" s="212">
        <v>0</v>
      </c>
      <c r="S232" s="212">
        <v>0</v>
      </c>
      <c r="T232" s="212">
        <v>0</v>
      </c>
      <c r="U232" s="212">
        <v>1</v>
      </c>
      <c r="V232" s="212">
        <v>0</v>
      </c>
      <c r="W232" s="212" t="s">
        <v>4312</v>
      </c>
      <c r="X232" s="212">
        <v>0</v>
      </c>
      <c r="Y232" s="212" t="s">
        <v>4336</v>
      </c>
      <c r="Z232" s="212">
        <v>0</v>
      </c>
      <c r="AA232" s="212" t="s">
        <v>4351</v>
      </c>
      <c r="AB232" s="212"/>
      <c r="AC232" s="212"/>
      <c r="AD232" s="213">
        <v>44295</v>
      </c>
      <c r="AE232" s="213">
        <v>44379</v>
      </c>
      <c r="AF232" s="213">
        <v>44483</v>
      </c>
      <c r="AG232" s="213"/>
      <c r="AH232" s="75">
        <f t="shared" si="13"/>
        <v>0</v>
      </c>
      <c r="AI232" s="75" t="str">
        <f t="shared" si="14"/>
        <v/>
      </c>
      <c r="AJ232" s="75" t="str">
        <f t="shared" si="15"/>
        <v/>
      </c>
      <c r="AK232" s="75" t="str">
        <f t="shared" si="16"/>
        <v/>
      </c>
      <c r="AL232" s="75" t="s">
        <v>2467</v>
      </c>
      <c r="AM232" s="212" t="s">
        <v>838</v>
      </c>
      <c r="AN232" s="212" t="s">
        <v>838</v>
      </c>
      <c r="AO232" s="212" t="s">
        <v>838</v>
      </c>
      <c r="AP232" s="212"/>
      <c r="AQ232" s="212" t="s">
        <v>4336</v>
      </c>
      <c r="AR232" s="212" t="s">
        <v>4336</v>
      </c>
      <c r="AS232" s="212" t="s">
        <v>3234</v>
      </c>
      <c r="AT232" s="212"/>
      <c r="AU232" s="212" t="s">
        <v>838</v>
      </c>
      <c r="AV232" s="212" t="s">
        <v>838</v>
      </c>
      <c r="AW232" s="212" t="s">
        <v>838</v>
      </c>
      <c r="AX232" s="212"/>
      <c r="AY232" s="212" t="s">
        <v>4336</v>
      </c>
      <c r="AZ232" s="212" t="s">
        <v>1486</v>
      </c>
      <c r="BA232" s="214" t="s">
        <v>4352</v>
      </c>
      <c r="BB232" s="214"/>
      <c r="BC232" s="143" t="s">
        <v>4306</v>
      </c>
    </row>
    <row r="233" spans="1:55" ht="15" customHeight="1" x14ac:dyDescent="0.25">
      <c r="A233" s="210">
        <v>8</v>
      </c>
      <c r="B233" s="143" t="s">
        <v>4288</v>
      </c>
      <c r="C233" s="143" t="s">
        <v>4347</v>
      </c>
      <c r="D233" s="143" t="s">
        <v>4290</v>
      </c>
      <c r="E233" s="143" t="s">
        <v>3008</v>
      </c>
      <c r="F233" s="143" t="s">
        <v>4291</v>
      </c>
      <c r="G233" s="143" t="s">
        <v>730</v>
      </c>
      <c r="H233" s="143" t="s">
        <v>4292</v>
      </c>
      <c r="I233" s="143" t="s">
        <v>4353</v>
      </c>
      <c r="J233" s="217">
        <v>44256</v>
      </c>
      <c r="K233" s="217">
        <v>44469</v>
      </c>
      <c r="L233" s="143" t="s">
        <v>4354</v>
      </c>
      <c r="M233" s="143" t="s">
        <v>4350</v>
      </c>
      <c r="N233" s="143" t="s">
        <v>30</v>
      </c>
      <c r="O233" s="143" t="s">
        <v>4296</v>
      </c>
      <c r="P233" s="143" t="s">
        <v>735</v>
      </c>
      <c r="Q233" s="223">
        <v>1</v>
      </c>
      <c r="R233" s="223">
        <v>0</v>
      </c>
      <c r="S233" s="223">
        <v>0</v>
      </c>
      <c r="T233" s="223">
        <v>1</v>
      </c>
      <c r="U233" s="223">
        <v>0</v>
      </c>
      <c r="V233" s="223">
        <v>0</v>
      </c>
      <c r="W233" s="223" t="s">
        <v>4312</v>
      </c>
      <c r="X233" s="223">
        <v>0</v>
      </c>
      <c r="Y233" s="223" t="s">
        <v>4355</v>
      </c>
      <c r="Z233" s="223">
        <v>0</v>
      </c>
      <c r="AA233" s="223" t="s">
        <v>4356</v>
      </c>
      <c r="AB233" s="223"/>
      <c r="AC233" s="223"/>
      <c r="AD233" s="213">
        <v>44295</v>
      </c>
      <c r="AE233" s="213">
        <v>44379</v>
      </c>
      <c r="AF233" s="213">
        <v>44483</v>
      </c>
      <c r="AG233" s="213"/>
      <c r="AH233" s="75">
        <f t="shared" si="13"/>
        <v>0</v>
      </c>
      <c r="AI233" s="75" t="str">
        <f t="shared" si="14"/>
        <v/>
      </c>
      <c r="AJ233" s="75" t="str">
        <f t="shared" si="15"/>
        <v/>
      </c>
      <c r="AK233" s="75">
        <f t="shared" si="16"/>
        <v>0</v>
      </c>
      <c r="AL233" s="75" t="s">
        <v>2467</v>
      </c>
      <c r="AM233" s="212" t="s">
        <v>838</v>
      </c>
      <c r="AN233" s="212" t="s">
        <v>838</v>
      </c>
      <c r="AO233" s="212" t="s">
        <v>828</v>
      </c>
      <c r="AP233" s="212"/>
      <c r="AQ233" s="212" t="s">
        <v>4336</v>
      </c>
      <c r="AR233" s="212" t="s">
        <v>3234</v>
      </c>
      <c r="AS233" s="212" t="s">
        <v>4357</v>
      </c>
      <c r="AT233" s="212"/>
      <c r="AU233" s="212" t="s">
        <v>838</v>
      </c>
      <c r="AV233" s="212" t="s">
        <v>838</v>
      </c>
      <c r="AW233" s="212" t="s">
        <v>828</v>
      </c>
      <c r="AX233" s="212"/>
      <c r="AY233" s="212" t="s">
        <v>4336</v>
      </c>
      <c r="AZ233" s="212" t="s">
        <v>1486</v>
      </c>
      <c r="BA233" s="214" t="s">
        <v>4358</v>
      </c>
      <c r="BB233" s="214"/>
      <c r="BC233" s="143" t="s">
        <v>4306</v>
      </c>
    </row>
    <row r="234" spans="1:55" ht="15" customHeight="1" x14ac:dyDescent="0.25">
      <c r="A234" s="210">
        <v>9</v>
      </c>
      <c r="B234" s="143" t="s">
        <v>4288</v>
      </c>
      <c r="C234" s="143" t="s">
        <v>4289</v>
      </c>
      <c r="D234" s="143" t="s">
        <v>4290</v>
      </c>
      <c r="E234" s="143" t="s">
        <v>3008</v>
      </c>
      <c r="F234" s="143" t="s">
        <v>4291</v>
      </c>
      <c r="G234" s="143" t="s">
        <v>730</v>
      </c>
      <c r="H234" s="143" t="s">
        <v>4292</v>
      </c>
      <c r="I234" s="143" t="s">
        <v>4359</v>
      </c>
      <c r="J234" s="217">
        <v>44256</v>
      </c>
      <c r="K234" s="217">
        <v>44561</v>
      </c>
      <c r="L234" s="143" t="s">
        <v>4360</v>
      </c>
      <c r="M234" s="143" t="s">
        <v>4295</v>
      </c>
      <c r="N234" s="143" t="s">
        <v>30</v>
      </c>
      <c r="O234" s="143" t="s">
        <v>4296</v>
      </c>
      <c r="P234" s="143" t="s">
        <v>735</v>
      </c>
      <c r="Q234" s="212">
        <f>SUM(R234:U234)</f>
        <v>2</v>
      </c>
      <c r="R234" s="212">
        <v>0</v>
      </c>
      <c r="S234" s="212">
        <v>1</v>
      </c>
      <c r="T234" s="212">
        <v>0</v>
      </c>
      <c r="U234" s="212">
        <v>1</v>
      </c>
      <c r="V234" s="212">
        <v>0</v>
      </c>
      <c r="W234" s="212" t="s">
        <v>4312</v>
      </c>
      <c r="X234" s="212">
        <v>1</v>
      </c>
      <c r="Y234" s="212" t="s">
        <v>4361</v>
      </c>
      <c r="Z234" s="212">
        <v>0</v>
      </c>
      <c r="AA234" s="212" t="s">
        <v>4351</v>
      </c>
      <c r="AB234" s="212"/>
      <c r="AC234" s="212"/>
      <c r="AD234" s="213">
        <v>44295</v>
      </c>
      <c r="AE234" s="213">
        <v>44379</v>
      </c>
      <c r="AF234" s="213">
        <v>44483</v>
      </c>
      <c r="AG234" s="213"/>
      <c r="AH234" s="75">
        <f t="shared" si="13"/>
        <v>0.5</v>
      </c>
      <c r="AI234" s="75" t="str">
        <f t="shared" si="14"/>
        <v/>
      </c>
      <c r="AJ234" s="75">
        <f t="shared" si="15"/>
        <v>1</v>
      </c>
      <c r="AK234" s="75" t="str">
        <f t="shared" si="16"/>
        <v/>
      </c>
      <c r="AL234" s="75" t="s">
        <v>2467</v>
      </c>
      <c r="AM234" s="212" t="s">
        <v>838</v>
      </c>
      <c r="AN234" s="212" t="s">
        <v>739</v>
      </c>
      <c r="AO234" s="212" t="s">
        <v>838</v>
      </c>
      <c r="AP234" s="212"/>
      <c r="AQ234" s="212" t="s">
        <v>4336</v>
      </c>
      <c r="AR234" s="212" t="s">
        <v>4362</v>
      </c>
      <c r="AS234" s="212" t="s">
        <v>4327</v>
      </c>
      <c r="AT234" s="212"/>
      <c r="AU234" s="212" t="s">
        <v>838</v>
      </c>
      <c r="AV234" s="212" t="s">
        <v>739</v>
      </c>
      <c r="AW234" s="212" t="s">
        <v>838</v>
      </c>
      <c r="AX234" s="212"/>
      <c r="AY234" s="212" t="s">
        <v>4336</v>
      </c>
      <c r="AZ234" s="212" t="s">
        <v>4363</v>
      </c>
      <c r="BA234" s="214" t="s">
        <v>4312</v>
      </c>
      <c r="BB234" s="214"/>
      <c r="BC234" s="143" t="s">
        <v>4306</v>
      </c>
    </row>
    <row r="235" spans="1:55" ht="15" customHeight="1" x14ac:dyDescent="0.25">
      <c r="A235" s="210">
        <v>10</v>
      </c>
      <c r="B235" s="143" t="s">
        <v>4288</v>
      </c>
      <c r="C235" s="143" t="s">
        <v>4347</v>
      </c>
      <c r="D235" s="143" t="s">
        <v>4290</v>
      </c>
      <c r="E235" s="143" t="s">
        <v>3008</v>
      </c>
      <c r="F235" s="143" t="s">
        <v>4364</v>
      </c>
      <c r="G235" s="143" t="s">
        <v>730</v>
      </c>
      <c r="H235" s="143" t="s">
        <v>4292</v>
      </c>
      <c r="I235" s="143" t="s">
        <v>4365</v>
      </c>
      <c r="J235" s="217">
        <v>44228</v>
      </c>
      <c r="K235" s="217">
        <v>44561</v>
      </c>
      <c r="L235" s="143" t="s">
        <v>4366</v>
      </c>
      <c r="M235" s="143" t="s">
        <v>4367</v>
      </c>
      <c r="N235" s="143" t="s">
        <v>60</v>
      </c>
      <c r="O235" s="143" t="s">
        <v>4296</v>
      </c>
      <c r="P235" s="143" t="s">
        <v>735</v>
      </c>
      <c r="Q235" s="215">
        <f>SUM(R235:U235)</f>
        <v>1</v>
      </c>
      <c r="R235" s="215">
        <v>0</v>
      </c>
      <c r="S235" s="215">
        <v>0</v>
      </c>
      <c r="T235" s="215">
        <v>0</v>
      </c>
      <c r="U235" s="215">
        <v>1</v>
      </c>
      <c r="V235" s="215">
        <v>0</v>
      </c>
      <c r="W235" s="215" t="s">
        <v>4312</v>
      </c>
      <c r="X235" s="215">
        <v>0</v>
      </c>
      <c r="Y235" s="215" t="s">
        <v>4368</v>
      </c>
      <c r="Z235" s="215">
        <v>0</v>
      </c>
      <c r="AA235" s="215" t="s">
        <v>4369</v>
      </c>
      <c r="AB235" s="215"/>
      <c r="AC235" s="215"/>
      <c r="AD235" s="213">
        <v>44295</v>
      </c>
      <c r="AE235" s="213">
        <v>44379</v>
      </c>
      <c r="AF235" s="213">
        <v>44483</v>
      </c>
      <c r="AG235" s="213"/>
      <c r="AH235" s="75">
        <f t="shared" si="13"/>
        <v>0</v>
      </c>
      <c r="AI235" s="75" t="str">
        <f t="shared" si="14"/>
        <v/>
      </c>
      <c r="AJ235" s="75" t="str">
        <f t="shared" si="15"/>
        <v/>
      </c>
      <c r="AK235" s="75" t="str">
        <f t="shared" si="16"/>
        <v/>
      </c>
      <c r="AL235" s="75" t="s">
        <v>2467</v>
      </c>
      <c r="AM235" s="212" t="s">
        <v>838</v>
      </c>
      <c r="AN235" s="212" t="s">
        <v>838</v>
      </c>
      <c r="AO235" s="212" t="s">
        <v>739</v>
      </c>
      <c r="AP235" s="212"/>
      <c r="AQ235" s="212" t="s">
        <v>4336</v>
      </c>
      <c r="AR235" s="212" t="s">
        <v>4336</v>
      </c>
      <c r="AS235" s="212" t="s">
        <v>4370</v>
      </c>
      <c r="AT235" s="212"/>
      <c r="AU235" s="212" t="s">
        <v>838</v>
      </c>
      <c r="AV235" s="212" t="s">
        <v>838</v>
      </c>
      <c r="AW235" s="212" t="s">
        <v>739</v>
      </c>
      <c r="AX235" s="212"/>
      <c r="AY235" s="212" t="s">
        <v>4336</v>
      </c>
      <c r="AZ235" s="212" t="s">
        <v>4336</v>
      </c>
      <c r="BA235" s="214" t="s">
        <v>4371</v>
      </c>
      <c r="BB235" s="214"/>
      <c r="BC235" s="143" t="s">
        <v>4306</v>
      </c>
    </row>
    <row r="236" spans="1:55" ht="15" customHeight="1" x14ac:dyDescent="0.25">
      <c r="A236" s="210">
        <v>11</v>
      </c>
      <c r="B236" s="143" t="s">
        <v>4288</v>
      </c>
      <c r="C236" s="143" t="s">
        <v>4347</v>
      </c>
      <c r="D236" s="143" t="s">
        <v>4290</v>
      </c>
      <c r="E236" s="143" t="s">
        <v>3008</v>
      </c>
      <c r="F236" s="143" t="s">
        <v>4291</v>
      </c>
      <c r="G236" s="143" t="s">
        <v>730</v>
      </c>
      <c r="H236" s="143" t="s">
        <v>4292</v>
      </c>
      <c r="I236" s="143" t="s">
        <v>4372</v>
      </c>
      <c r="J236" s="217">
        <v>44256</v>
      </c>
      <c r="K236" s="217">
        <v>44561</v>
      </c>
      <c r="L236" s="143" t="s">
        <v>4373</v>
      </c>
      <c r="M236" s="143" t="s">
        <v>4367</v>
      </c>
      <c r="N236" s="143" t="s">
        <v>30</v>
      </c>
      <c r="O236" s="143" t="s">
        <v>4296</v>
      </c>
      <c r="P236" s="143" t="s">
        <v>735</v>
      </c>
      <c r="Q236" s="223">
        <v>1</v>
      </c>
      <c r="R236" s="223">
        <v>0</v>
      </c>
      <c r="S236" s="223">
        <v>0</v>
      </c>
      <c r="T236" s="223">
        <v>0</v>
      </c>
      <c r="U236" s="223">
        <v>1</v>
      </c>
      <c r="V236" s="223">
        <v>0</v>
      </c>
      <c r="W236" s="223" t="s">
        <v>4312</v>
      </c>
      <c r="X236" s="223">
        <v>0</v>
      </c>
      <c r="Y236" s="223" t="s">
        <v>4368</v>
      </c>
      <c r="Z236" s="223">
        <v>0</v>
      </c>
      <c r="AA236" s="223" t="s">
        <v>4312</v>
      </c>
      <c r="AB236" s="223"/>
      <c r="AC236" s="223"/>
      <c r="AD236" s="213">
        <v>44295</v>
      </c>
      <c r="AE236" s="213">
        <v>44379</v>
      </c>
      <c r="AF236" s="213">
        <v>44483</v>
      </c>
      <c r="AG236" s="213"/>
      <c r="AH236" s="75">
        <f t="shared" si="13"/>
        <v>0</v>
      </c>
      <c r="AI236" s="75" t="str">
        <f t="shared" si="14"/>
        <v/>
      </c>
      <c r="AJ236" s="75" t="str">
        <f t="shared" si="15"/>
        <v/>
      </c>
      <c r="AK236" s="75" t="str">
        <f t="shared" si="16"/>
        <v/>
      </c>
      <c r="AL236" s="75" t="s">
        <v>2467</v>
      </c>
      <c r="AM236" s="212" t="s">
        <v>838</v>
      </c>
      <c r="AN236" s="212" t="s">
        <v>838</v>
      </c>
      <c r="AO236" s="212" t="s">
        <v>838</v>
      </c>
      <c r="AP236" s="212"/>
      <c r="AQ236" s="212" t="s">
        <v>4336</v>
      </c>
      <c r="AR236" s="212" t="s">
        <v>4336</v>
      </c>
      <c r="AS236" s="212" t="s">
        <v>4331</v>
      </c>
      <c r="AT236" s="212"/>
      <c r="AU236" s="212" t="s">
        <v>838</v>
      </c>
      <c r="AV236" s="212" t="s">
        <v>838</v>
      </c>
      <c r="AW236" s="212" t="s">
        <v>838</v>
      </c>
      <c r="AX236" s="212"/>
      <c r="AY236" s="212" t="s">
        <v>4336</v>
      </c>
      <c r="AZ236" s="212" t="s">
        <v>4336</v>
      </c>
      <c r="BA236" s="214" t="s">
        <v>4327</v>
      </c>
      <c r="BB236" s="214"/>
      <c r="BC236" s="143" t="s">
        <v>4306</v>
      </c>
    </row>
    <row r="237" spans="1:55" ht="15" customHeight="1" x14ac:dyDescent="0.25">
      <c r="A237" s="210">
        <v>12</v>
      </c>
      <c r="B237" s="143" t="s">
        <v>4288</v>
      </c>
      <c r="C237" s="143" t="s">
        <v>4374</v>
      </c>
      <c r="D237" s="143" t="s">
        <v>4375</v>
      </c>
      <c r="E237" s="143" t="s">
        <v>3008</v>
      </c>
      <c r="F237" s="143" t="s">
        <v>4376</v>
      </c>
      <c r="G237" s="143" t="s">
        <v>730</v>
      </c>
      <c r="H237" s="143" t="s">
        <v>4292</v>
      </c>
      <c r="I237" s="143" t="s">
        <v>4377</v>
      </c>
      <c r="J237" s="217">
        <v>44228</v>
      </c>
      <c r="K237" s="217">
        <v>44500</v>
      </c>
      <c r="L237" s="143" t="s">
        <v>4378</v>
      </c>
      <c r="M237" s="143" t="s">
        <v>4379</v>
      </c>
      <c r="N237" s="143" t="s">
        <v>30</v>
      </c>
      <c r="O237" s="143" t="s">
        <v>4380</v>
      </c>
      <c r="P237" s="143" t="s">
        <v>735</v>
      </c>
      <c r="Q237" s="223">
        <v>1</v>
      </c>
      <c r="R237" s="223">
        <v>0</v>
      </c>
      <c r="S237" s="223">
        <v>0</v>
      </c>
      <c r="T237" s="223">
        <v>0</v>
      </c>
      <c r="U237" s="223">
        <v>1</v>
      </c>
      <c r="V237" s="223">
        <v>0</v>
      </c>
      <c r="W237" s="223" t="s">
        <v>4381</v>
      </c>
      <c r="X237" s="223">
        <v>0</v>
      </c>
      <c r="Y237" s="223" t="s">
        <v>4382</v>
      </c>
      <c r="Z237" s="223">
        <v>0</v>
      </c>
      <c r="AA237" s="223" t="s">
        <v>4383</v>
      </c>
      <c r="AB237" s="223"/>
      <c r="AC237" s="223"/>
      <c r="AD237" s="213">
        <v>44295</v>
      </c>
      <c r="AE237" s="213">
        <v>44379</v>
      </c>
      <c r="AF237" s="213">
        <v>44483</v>
      </c>
      <c r="AG237" s="213"/>
      <c r="AH237" s="75">
        <f t="shared" si="13"/>
        <v>0</v>
      </c>
      <c r="AI237" s="75" t="str">
        <f t="shared" si="14"/>
        <v/>
      </c>
      <c r="AJ237" s="75" t="str">
        <f t="shared" si="15"/>
        <v/>
      </c>
      <c r="AK237" s="75" t="str">
        <f t="shared" si="16"/>
        <v/>
      </c>
      <c r="AL237" s="75" t="s">
        <v>2467</v>
      </c>
      <c r="AM237" s="212" t="s">
        <v>739</v>
      </c>
      <c r="AN237" s="212" t="s">
        <v>739</v>
      </c>
      <c r="AO237" s="212" t="s">
        <v>739</v>
      </c>
      <c r="AP237" s="212"/>
      <c r="AQ237" s="212" t="s">
        <v>4300</v>
      </c>
      <c r="AR237" s="212" t="s">
        <v>4384</v>
      </c>
      <c r="AS237" s="212" t="s">
        <v>4385</v>
      </c>
      <c r="AT237" s="212"/>
      <c r="AU237" s="212" t="s">
        <v>838</v>
      </c>
      <c r="AV237" s="212" t="s">
        <v>838</v>
      </c>
      <c r="AW237" s="212" t="s">
        <v>739</v>
      </c>
      <c r="AX237" s="212"/>
      <c r="AY237" s="212" t="s">
        <v>4386</v>
      </c>
      <c r="AZ237" s="212" t="s">
        <v>4387</v>
      </c>
      <c r="BA237" s="214" t="s">
        <v>4388</v>
      </c>
      <c r="BB237" s="214"/>
      <c r="BC237" s="143" t="s">
        <v>4306</v>
      </c>
    </row>
    <row r="238" spans="1:55" ht="15" customHeight="1" x14ac:dyDescent="0.25">
      <c r="A238" s="210">
        <v>13</v>
      </c>
      <c r="B238" s="143" t="s">
        <v>4288</v>
      </c>
      <c r="C238" s="143" t="s">
        <v>4374</v>
      </c>
      <c r="D238" s="143" t="s">
        <v>4375</v>
      </c>
      <c r="E238" s="143" t="s">
        <v>3008</v>
      </c>
      <c r="F238" s="143" t="s">
        <v>4376</v>
      </c>
      <c r="G238" s="143" t="s">
        <v>730</v>
      </c>
      <c r="H238" s="143" t="s">
        <v>4292</v>
      </c>
      <c r="I238" s="143" t="s">
        <v>4389</v>
      </c>
      <c r="J238" s="217">
        <v>44470</v>
      </c>
      <c r="K238" s="217">
        <v>44561</v>
      </c>
      <c r="L238" s="143" t="s">
        <v>4390</v>
      </c>
      <c r="M238" s="143" t="s">
        <v>4379</v>
      </c>
      <c r="N238" s="143" t="s">
        <v>30</v>
      </c>
      <c r="O238" s="143" t="s">
        <v>4380</v>
      </c>
      <c r="P238" s="143" t="s">
        <v>735</v>
      </c>
      <c r="Q238" s="212">
        <f t="shared" ref="Q238:Q247" si="17">SUM(R238:U238)</f>
        <v>1</v>
      </c>
      <c r="R238" s="212">
        <v>0</v>
      </c>
      <c r="S238" s="212">
        <v>0</v>
      </c>
      <c r="T238" s="212">
        <v>0</v>
      </c>
      <c r="U238" s="212">
        <v>1</v>
      </c>
      <c r="V238" s="212">
        <v>0</v>
      </c>
      <c r="W238" s="212" t="s">
        <v>4312</v>
      </c>
      <c r="X238" s="212">
        <v>0</v>
      </c>
      <c r="Y238" s="212" t="s">
        <v>4368</v>
      </c>
      <c r="Z238" s="212">
        <v>0</v>
      </c>
      <c r="AA238" s="212" t="s">
        <v>4336</v>
      </c>
      <c r="AB238" s="212"/>
      <c r="AC238" s="212"/>
      <c r="AD238" s="213">
        <v>44295</v>
      </c>
      <c r="AE238" s="213">
        <v>44379</v>
      </c>
      <c r="AF238" s="213">
        <v>44483</v>
      </c>
      <c r="AG238" s="213"/>
      <c r="AH238" s="75">
        <f t="shared" si="13"/>
        <v>0</v>
      </c>
      <c r="AI238" s="75" t="str">
        <f t="shared" si="14"/>
        <v/>
      </c>
      <c r="AJ238" s="75" t="str">
        <f t="shared" si="15"/>
        <v/>
      </c>
      <c r="AK238" s="75" t="str">
        <f t="shared" si="16"/>
        <v/>
      </c>
      <c r="AL238" s="75" t="s">
        <v>2467</v>
      </c>
      <c r="AM238" s="212" t="s">
        <v>838</v>
      </c>
      <c r="AN238" s="212" t="s">
        <v>838</v>
      </c>
      <c r="AO238" s="212" t="s">
        <v>838</v>
      </c>
      <c r="AP238" s="212"/>
      <c r="AQ238" s="212" t="s">
        <v>4336</v>
      </c>
      <c r="AR238" s="212" t="s">
        <v>4336</v>
      </c>
      <c r="AS238" s="212" t="s">
        <v>3234</v>
      </c>
      <c r="AT238" s="212"/>
      <c r="AU238" s="212" t="s">
        <v>838</v>
      </c>
      <c r="AV238" s="212" t="s">
        <v>838</v>
      </c>
      <c r="AW238" s="212" t="s">
        <v>838</v>
      </c>
      <c r="AX238" s="212"/>
      <c r="AY238" s="212" t="s">
        <v>4336</v>
      </c>
      <c r="AZ238" s="212" t="s">
        <v>4336</v>
      </c>
      <c r="BA238" s="214" t="s">
        <v>3380</v>
      </c>
      <c r="BB238" s="214"/>
      <c r="BC238" s="143" t="s">
        <v>4306</v>
      </c>
    </row>
    <row r="239" spans="1:55" ht="15" customHeight="1" x14ac:dyDescent="0.25">
      <c r="A239" s="210">
        <v>14</v>
      </c>
      <c r="B239" s="143" t="s">
        <v>4288</v>
      </c>
      <c r="C239" s="143" t="s">
        <v>4374</v>
      </c>
      <c r="D239" s="143" t="s">
        <v>4375</v>
      </c>
      <c r="E239" s="143" t="s">
        <v>3008</v>
      </c>
      <c r="F239" s="143" t="s">
        <v>4376</v>
      </c>
      <c r="G239" s="143" t="s">
        <v>730</v>
      </c>
      <c r="H239" s="143" t="s">
        <v>4292</v>
      </c>
      <c r="I239" s="143" t="s">
        <v>4391</v>
      </c>
      <c r="J239" s="217">
        <v>44228</v>
      </c>
      <c r="K239" s="217">
        <v>44561</v>
      </c>
      <c r="L239" s="143" t="s">
        <v>4392</v>
      </c>
      <c r="M239" s="143" t="s">
        <v>4379</v>
      </c>
      <c r="N239" s="143" t="s">
        <v>30</v>
      </c>
      <c r="O239" s="143" t="s">
        <v>4380</v>
      </c>
      <c r="P239" s="143" t="s">
        <v>735</v>
      </c>
      <c r="Q239" s="212">
        <f t="shared" si="17"/>
        <v>1</v>
      </c>
      <c r="R239" s="212">
        <v>0</v>
      </c>
      <c r="S239" s="212">
        <v>0</v>
      </c>
      <c r="T239" s="212">
        <v>0</v>
      </c>
      <c r="U239" s="212">
        <v>1</v>
      </c>
      <c r="V239" s="212">
        <v>0</v>
      </c>
      <c r="W239" s="212" t="s">
        <v>4393</v>
      </c>
      <c r="X239" s="212">
        <v>0</v>
      </c>
      <c r="Y239" s="212" t="s">
        <v>4394</v>
      </c>
      <c r="Z239" s="212">
        <v>0</v>
      </c>
      <c r="AA239" s="212" t="s">
        <v>4395</v>
      </c>
      <c r="AB239" s="212"/>
      <c r="AC239" s="212"/>
      <c r="AD239" s="213">
        <v>44295</v>
      </c>
      <c r="AE239" s="213">
        <v>44379</v>
      </c>
      <c r="AF239" s="213">
        <v>44483</v>
      </c>
      <c r="AG239" s="213"/>
      <c r="AH239" s="75">
        <f t="shared" si="13"/>
        <v>0</v>
      </c>
      <c r="AI239" s="75" t="str">
        <f t="shared" si="14"/>
        <v/>
      </c>
      <c r="AJ239" s="75" t="str">
        <f t="shared" si="15"/>
        <v/>
      </c>
      <c r="AK239" s="75" t="str">
        <f t="shared" si="16"/>
        <v/>
      </c>
      <c r="AL239" s="75" t="s">
        <v>2467</v>
      </c>
      <c r="AM239" s="212" t="s">
        <v>739</v>
      </c>
      <c r="AN239" s="212" t="s">
        <v>838</v>
      </c>
      <c r="AO239" s="212" t="s">
        <v>739</v>
      </c>
      <c r="AP239" s="212"/>
      <c r="AQ239" s="212" t="s">
        <v>4300</v>
      </c>
      <c r="AR239" s="212" t="s">
        <v>4336</v>
      </c>
      <c r="AS239" s="212" t="s">
        <v>4396</v>
      </c>
      <c r="AT239" s="212"/>
      <c r="AU239" s="212" t="s">
        <v>838</v>
      </c>
      <c r="AV239" s="212" t="s">
        <v>838</v>
      </c>
      <c r="AW239" s="212" t="s">
        <v>739</v>
      </c>
      <c r="AX239" s="212"/>
      <c r="AY239" s="212" t="s">
        <v>4397</v>
      </c>
      <c r="AZ239" s="212" t="s">
        <v>4315</v>
      </c>
      <c r="BA239" s="214" t="s">
        <v>4398</v>
      </c>
      <c r="BB239" s="214"/>
      <c r="BC239" s="143" t="s">
        <v>4306</v>
      </c>
    </row>
    <row r="240" spans="1:55" ht="15" customHeight="1" x14ac:dyDescent="0.25">
      <c r="A240" s="210">
        <v>15</v>
      </c>
      <c r="B240" s="143" t="s">
        <v>4288</v>
      </c>
      <c r="C240" s="143" t="s">
        <v>4374</v>
      </c>
      <c r="D240" s="143" t="s">
        <v>4375</v>
      </c>
      <c r="E240" s="143" t="s">
        <v>3008</v>
      </c>
      <c r="F240" s="143" t="s">
        <v>4376</v>
      </c>
      <c r="G240" s="143" t="s">
        <v>730</v>
      </c>
      <c r="H240" s="143" t="s">
        <v>4292</v>
      </c>
      <c r="I240" s="143" t="s">
        <v>4399</v>
      </c>
      <c r="J240" s="217">
        <v>44470</v>
      </c>
      <c r="K240" s="217">
        <v>44561</v>
      </c>
      <c r="L240" s="143" t="s">
        <v>4390</v>
      </c>
      <c r="M240" s="143" t="s">
        <v>4379</v>
      </c>
      <c r="N240" s="143" t="s">
        <v>60</v>
      </c>
      <c r="O240" s="143" t="s">
        <v>4380</v>
      </c>
      <c r="P240" s="143" t="s">
        <v>735</v>
      </c>
      <c r="Q240" s="215">
        <f t="shared" si="17"/>
        <v>1</v>
      </c>
      <c r="R240" s="215">
        <v>0</v>
      </c>
      <c r="S240" s="215">
        <v>0</v>
      </c>
      <c r="T240" s="215">
        <v>0</v>
      </c>
      <c r="U240" s="215">
        <v>1</v>
      </c>
      <c r="V240" s="215">
        <v>0</v>
      </c>
      <c r="W240" s="215" t="s">
        <v>4312</v>
      </c>
      <c r="X240" s="215">
        <v>0</v>
      </c>
      <c r="Y240" s="215" t="s">
        <v>4368</v>
      </c>
      <c r="Z240" s="215">
        <v>0</v>
      </c>
      <c r="AA240" s="215" t="s">
        <v>4336</v>
      </c>
      <c r="AB240" s="215"/>
      <c r="AC240" s="215"/>
      <c r="AD240" s="213">
        <v>44295</v>
      </c>
      <c r="AE240" s="213">
        <v>44379</v>
      </c>
      <c r="AF240" s="213">
        <v>44483</v>
      </c>
      <c r="AG240" s="213"/>
      <c r="AH240" s="75">
        <f t="shared" si="13"/>
        <v>0</v>
      </c>
      <c r="AI240" s="75" t="str">
        <f t="shared" si="14"/>
        <v/>
      </c>
      <c r="AJ240" s="75" t="str">
        <f t="shared" si="15"/>
        <v/>
      </c>
      <c r="AK240" s="75" t="str">
        <f t="shared" si="16"/>
        <v/>
      </c>
      <c r="AL240" s="75" t="s">
        <v>2467</v>
      </c>
      <c r="AM240" s="212" t="s">
        <v>838</v>
      </c>
      <c r="AN240" s="212" t="s">
        <v>838</v>
      </c>
      <c r="AO240" s="212" t="s">
        <v>838</v>
      </c>
      <c r="AP240" s="212"/>
      <c r="AQ240" s="212" t="s">
        <v>4336</v>
      </c>
      <c r="AR240" s="212" t="s">
        <v>4336</v>
      </c>
      <c r="AS240" s="212" t="s">
        <v>4336</v>
      </c>
      <c r="AT240" s="212"/>
      <c r="AU240" s="212" t="s">
        <v>838</v>
      </c>
      <c r="AV240" s="212" t="s">
        <v>838</v>
      </c>
      <c r="AW240" s="212" t="s">
        <v>838</v>
      </c>
      <c r="AX240" s="212"/>
      <c r="AY240" s="212" t="s">
        <v>1485</v>
      </c>
      <c r="AZ240" s="212" t="s">
        <v>4336</v>
      </c>
      <c r="BA240" s="214" t="s">
        <v>4400</v>
      </c>
      <c r="BB240" s="214"/>
      <c r="BC240" s="143" t="s">
        <v>4306</v>
      </c>
    </row>
    <row r="241" spans="1:55" ht="15" customHeight="1" x14ac:dyDescent="0.25">
      <c r="A241" s="210">
        <v>16</v>
      </c>
      <c r="B241" s="143" t="s">
        <v>4288</v>
      </c>
      <c r="C241" s="143" t="s">
        <v>4374</v>
      </c>
      <c r="D241" s="143" t="s">
        <v>4401</v>
      </c>
      <c r="E241" s="143" t="s">
        <v>3008</v>
      </c>
      <c r="F241" s="143" t="s">
        <v>4402</v>
      </c>
      <c r="G241" s="143" t="s">
        <v>730</v>
      </c>
      <c r="H241" s="143" t="s">
        <v>4292</v>
      </c>
      <c r="I241" s="143" t="s">
        <v>4403</v>
      </c>
      <c r="J241" s="217">
        <v>44256</v>
      </c>
      <c r="K241" s="217">
        <v>44561</v>
      </c>
      <c r="L241" s="143" t="s">
        <v>4378</v>
      </c>
      <c r="M241" s="143" t="s">
        <v>4379</v>
      </c>
      <c r="N241" s="143" t="s">
        <v>30</v>
      </c>
      <c r="O241" s="143" t="s">
        <v>4404</v>
      </c>
      <c r="P241" s="143" t="s">
        <v>735</v>
      </c>
      <c r="Q241" s="212">
        <f t="shared" si="17"/>
        <v>1</v>
      </c>
      <c r="R241" s="212">
        <v>0</v>
      </c>
      <c r="S241" s="212">
        <v>0</v>
      </c>
      <c r="T241" s="212">
        <v>0</v>
      </c>
      <c r="U241" s="212">
        <v>1</v>
      </c>
      <c r="V241" s="212">
        <v>0</v>
      </c>
      <c r="W241" s="212" t="s">
        <v>4405</v>
      </c>
      <c r="X241" s="212">
        <v>0</v>
      </c>
      <c r="Y241" s="212" t="s">
        <v>4406</v>
      </c>
      <c r="Z241" s="212">
        <v>0</v>
      </c>
      <c r="AA241" s="212" t="s">
        <v>4407</v>
      </c>
      <c r="AB241" s="212"/>
      <c r="AC241" s="212"/>
      <c r="AD241" s="213">
        <v>44295</v>
      </c>
      <c r="AE241" s="213">
        <v>44379</v>
      </c>
      <c r="AF241" s="213">
        <v>44483</v>
      </c>
      <c r="AG241" s="213"/>
      <c r="AH241" s="75">
        <f t="shared" si="13"/>
        <v>0</v>
      </c>
      <c r="AI241" s="75" t="str">
        <f t="shared" si="14"/>
        <v/>
      </c>
      <c r="AJ241" s="75" t="str">
        <f t="shared" si="15"/>
        <v/>
      </c>
      <c r="AK241" s="75" t="str">
        <f t="shared" si="16"/>
        <v/>
      </c>
      <c r="AL241" s="75" t="s">
        <v>2467</v>
      </c>
      <c r="AM241" s="212" t="s">
        <v>739</v>
      </c>
      <c r="AN241" s="212" t="s">
        <v>739</v>
      </c>
      <c r="AO241" s="212" t="s">
        <v>739</v>
      </c>
      <c r="AP241" s="212"/>
      <c r="AQ241" s="212" t="s">
        <v>4300</v>
      </c>
      <c r="AR241" s="212" t="s">
        <v>4408</v>
      </c>
      <c r="AS241" s="212" t="s">
        <v>4409</v>
      </c>
      <c r="AT241" s="212"/>
      <c r="AU241" s="212" t="s">
        <v>838</v>
      </c>
      <c r="AV241" s="212" t="s">
        <v>838</v>
      </c>
      <c r="AW241" s="212" t="s">
        <v>838</v>
      </c>
      <c r="AX241" s="212"/>
      <c r="AY241" s="212" t="s">
        <v>4410</v>
      </c>
      <c r="AZ241" s="212" t="s">
        <v>4411</v>
      </c>
      <c r="BA241" s="214" t="s">
        <v>4412</v>
      </c>
      <c r="BB241" s="214"/>
      <c r="BC241" s="143" t="s">
        <v>4306</v>
      </c>
    </row>
    <row r="242" spans="1:55" ht="15" customHeight="1" x14ac:dyDescent="0.25">
      <c r="A242" s="210">
        <v>17</v>
      </c>
      <c r="B242" s="143" t="s">
        <v>4288</v>
      </c>
      <c r="C242" s="143" t="s">
        <v>4374</v>
      </c>
      <c r="D242" s="143" t="s">
        <v>4401</v>
      </c>
      <c r="E242" s="143" t="s">
        <v>3008</v>
      </c>
      <c r="F242" s="143" t="s">
        <v>4413</v>
      </c>
      <c r="G242" s="143" t="s">
        <v>730</v>
      </c>
      <c r="H242" s="143" t="s">
        <v>4292</v>
      </c>
      <c r="I242" s="143" t="s">
        <v>4414</v>
      </c>
      <c r="J242" s="217">
        <v>44228</v>
      </c>
      <c r="K242" s="217">
        <v>44561</v>
      </c>
      <c r="L242" s="143" t="s">
        <v>4415</v>
      </c>
      <c r="M242" s="143" t="s">
        <v>4379</v>
      </c>
      <c r="N242" s="143" t="s">
        <v>60</v>
      </c>
      <c r="O242" s="143" t="s">
        <v>4416</v>
      </c>
      <c r="P242" s="143" t="s">
        <v>735</v>
      </c>
      <c r="Q242" s="215">
        <f t="shared" si="17"/>
        <v>1</v>
      </c>
      <c r="R242" s="215">
        <v>0</v>
      </c>
      <c r="S242" s="215">
        <v>0</v>
      </c>
      <c r="T242" s="215">
        <v>0</v>
      </c>
      <c r="U242" s="215">
        <v>1</v>
      </c>
      <c r="V242" s="215">
        <v>0</v>
      </c>
      <c r="W242" s="215" t="s">
        <v>4417</v>
      </c>
      <c r="X242" s="215">
        <v>0</v>
      </c>
      <c r="Y242" s="215" t="s">
        <v>4418</v>
      </c>
      <c r="Z242" s="215">
        <v>0</v>
      </c>
      <c r="AA242" s="215" t="s">
        <v>4419</v>
      </c>
      <c r="AB242" s="215"/>
      <c r="AC242" s="215"/>
      <c r="AD242" s="213">
        <v>44295</v>
      </c>
      <c r="AE242" s="213">
        <v>44379</v>
      </c>
      <c r="AF242" s="213">
        <v>44483</v>
      </c>
      <c r="AG242" s="213"/>
      <c r="AH242" s="75">
        <f t="shared" si="13"/>
        <v>0</v>
      </c>
      <c r="AI242" s="75" t="str">
        <f t="shared" si="14"/>
        <v/>
      </c>
      <c r="AJ242" s="75" t="str">
        <f t="shared" si="15"/>
        <v/>
      </c>
      <c r="AK242" s="75" t="str">
        <f t="shared" si="16"/>
        <v/>
      </c>
      <c r="AL242" s="75" t="s">
        <v>2467</v>
      </c>
      <c r="AM242" s="212" t="s">
        <v>739</v>
      </c>
      <c r="AN242" s="212" t="s">
        <v>739</v>
      </c>
      <c r="AO242" s="212" t="s">
        <v>739</v>
      </c>
      <c r="AP242" s="212"/>
      <c r="AQ242" s="212" t="s">
        <v>4300</v>
      </c>
      <c r="AR242" s="212" t="s">
        <v>4420</v>
      </c>
      <c r="AS242" s="212" t="s">
        <v>4421</v>
      </c>
      <c r="AT242" s="212"/>
      <c r="AU242" s="212" t="s">
        <v>838</v>
      </c>
      <c r="AV242" s="212" t="s">
        <v>838</v>
      </c>
      <c r="AW242" s="212" t="s">
        <v>838</v>
      </c>
      <c r="AX242" s="212"/>
      <c r="AY242" s="212" t="s">
        <v>4422</v>
      </c>
      <c r="AZ242" s="212" t="s">
        <v>4423</v>
      </c>
      <c r="BA242" s="214" t="s">
        <v>4424</v>
      </c>
      <c r="BB242" s="214"/>
      <c r="BC242" s="143" t="s">
        <v>4306</v>
      </c>
    </row>
    <row r="243" spans="1:55" ht="15" customHeight="1" x14ac:dyDescent="0.25">
      <c r="A243" s="210">
        <v>18</v>
      </c>
      <c r="B243" s="143" t="s">
        <v>4288</v>
      </c>
      <c r="C243" s="143" t="s">
        <v>4289</v>
      </c>
      <c r="D243" s="143" t="s">
        <v>4401</v>
      </c>
      <c r="E243" s="143" t="s">
        <v>3008</v>
      </c>
      <c r="F243" s="143" t="s">
        <v>4291</v>
      </c>
      <c r="G243" s="143" t="s">
        <v>730</v>
      </c>
      <c r="H243" s="143" t="s">
        <v>4292</v>
      </c>
      <c r="I243" s="143" t="s">
        <v>4425</v>
      </c>
      <c r="J243" s="217">
        <v>44228</v>
      </c>
      <c r="K243" s="217">
        <v>44377</v>
      </c>
      <c r="L243" s="143" t="s">
        <v>4378</v>
      </c>
      <c r="M243" s="143" t="s">
        <v>4295</v>
      </c>
      <c r="N243" s="143" t="s">
        <v>30</v>
      </c>
      <c r="O243" s="143" t="s">
        <v>4404</v>
      </c>
      <c r="P243" s="143" t="s">
        <v>735</v>
      </c>
      <c r="Q243" s="212">
        <f t="shared" si="17"/>
        <v>1</v>
      </c>
      <c r="R243" s="212">
        <v>0</v>
      </c>
      <c r="S243" s="212">
        <v>0</v>
      </c>
      <c r="T243" s="212">
        <v>1</v>
      </c>
      <c r="U243" s="212">
        <v>0</v>
      </c>
      <c r="V243" s="212">
        <v>0</v>
      </c>
      <c r="W243" s="212" t="s">
        <v>4312</v>
      </c>
      <c r="X243" s="212">
        <v>0</v>
      </c>
      <c r="Y243" s="212" t="s">
        <v>4336</v>
      </c>
      <c r="Z243" s="212">
        <v>1</v>
      </c>
      <c r="AA243" s="212" t="s">
        <v>4426</v>
      </c>
      <c r="AB243" s="212"/>
      <c r="AC243" s="212"/>
      <c r="AD243" s="213">
        <v>44295</v>
      </c>
      <c r="AE243" s="213">
        <v>44379</v>
      </c>
      <c r="AF243" s="213">
        <v>44483</v>
      </c>
      <c r="AG243" s="213"/>
      <c r="AH243" s="75">
        <f t="shared" si="13"/>
        <v>1</v>
      </c>
      <c r="AI243" s="75" t="str">
        <f t="shared" si="14"/>
        <v/>
      </c>
      <c r="AJ243" s="75" t="str">
        <f t="shared" si="15"/>
        <v/>
      </c>
      <c r="AK243" s="75">
        <f t="shared" si="16"/>
        <v>1</v>
      </c>
      <c r="AL243" s="75" t="s">
        <v>2467</v>
      </c>
      <c r="AM243" s="212" t="s">
        <v>838</v>
      </c>
      <c r="AN243" s="212" t="s">
        <v>838</v>
      </c>
      <c r="AO243" s="212" t="s">
        <v>739</v>
      </c>
      <c r="AP243" s="212"/>
      <c r="AQ243" s="212" t="s">
        <v>4336</v>
      </c>
      <c r="AR243" s="212" t="s">
        <v>4336</v>
      </c>
      <c r="AS243" s="212" t="s">
        <v>4427</v>
      </c>
      <c r="AT243" s="212"/>
      <c r="AU243" s="212" t="s">
        <v>838</v>
      </c>
      <c r="AV243" s="212" t="s">
        <v>838</v>
      </c>
      <c r="AW243" s="212" t="s">
        <v>739</v>
      </c>
      <c r="AX243" s="212"/>
      <c r="AY243" s="212" t="s">
        <v>1485</v>
      </c>
      <c r="AZ243" s="212" t="s">
        <v>4428</v>
      </c>
      <c r="BA243" s="214" t="s">
        <v>4429</v>
      </c>
      <c r="BB243" s="214"/>
      <c r="BC243" s="143" t="s">
        <v>4306</v>
      </c>
    </row>
    <row r="244" spans="1:55" ht="15" customHeight="1" x14ac:dyDescent="0.25">
      <c r="A244" s="210">
        <v>19</v>
      </c>
      <c r="B244" s="143" t="s">
        <v>4288</v>
      </c>
      <c r="C244" s="143" t="s">
        <v>4289</v>
      </c>
      <c r="D244" s="143" t="s">
        <v>4401</v>
      </c>
      <c r="E244" s="143" t="s">
        <v>3008</v>
      </c>
      <c r="F244" s="143" t="s">
        <v>4291</v>
      </c>
      <c r="G244" s="143" t="s">
        <v>730</v>
      </c>
      <c r="H244" s="143" t="s">
        <v>4292</v>
      </c>
      <c r="I244" s="143" t="s">
        <v>4430</v>
      </c>
      <c r="J244" s="217">
        <v>44348</v>
      </c>
      <c r="K244" s="217">
        <v>44469</v>
      </c>
      <c r="L244" s="143" t="s">
        <v>4390</v>
      </c>
      <c r="M244" s="143" t="s">
        <v>4295</v>
      </c>
      <c r="N244" s="143" t="s">
        <v>30</v>
      </c>
      <c r="O244" s="143" t="s">
        <v>4404</v>
      </c>
      <c r="P244" s="143" t="s">
        <v>735</v>
      </c>
      <c r="Q244" s="212">
        <f t="shared" si="17"/>
        <v>1</v>
      </c>
      <c r="R244" s="212">
        <v>0</v>
      </c>
      <c r="S244" s="212">
        <v>0</v>
      </c>
      <c r="T244" s="212">
        <v>0</v>
      </c>
      <c r="U244" s="212">
        <v>1</v>
      </c>
      <c r="V244" s="212">
        <v>0</v>
      </c>
      <c r="W244" s="212" t="s">
        <v>4312</v>
      </c>
      <c r="X244" s="212">
        <v>0</v>
      </c>
      <c r="Y244" s="212" t="s">
        <v>4336</v>
      </c>
      <c r="Z244" s="212">
        <v>0</v>
      </c>
      <c r="AA244" s="212" t="s">
        <v>4327</v>
      </c>
      <c r="AB244" s="212"/>
      <c r="AC244" s="212"/>
      <c r="AD244" s="213">
        <v>44295</v>
      </c>
      <c r="AE244" s="213">
        <v>44379</v>
      </c>
      <c r="AF244" s="213">
        <v>44483</v>
      </c>
      <c r="AG244" s="213"/>
      <c r="AH244" s="75">
        <f t="shared" si="13"/>
        <v>0</v>
      </c>
      <c r="AI244" s="75" t="str">
        <f t="shared" si="14"/>
        <v/>
      </c>
      <c r="AJ244" s="75" t="str">
        <f t="shared" si="15"/>
        <v/>
      </c>
      <c r="AK244" s="75" t="str">
        <f t="shared" si="16"/>
        <v/>
      </c>
      <c r="AL244" s="75" t="s">
        <v>2467</v>
      </c>
      <c r="AM244" s="212" t="s">
        <v>838</v>
      </c>
      <c r="AN244" s="212" t="s">
        <v>838</v>
      </c>
      <c r="AO244" s="212" t="s">
        <v>838</v>
      </c>
      <c r="AP244" s="212"/>
      <c r="AQ244" s="212" t="s">
        <v>4336</v>
      </c>
      <c r="AR244" s="212" t="s">
        <v>4336</v>
      </c>
      <c r="AS244" s="212" t="s">
        <v>3234</v>
      </c>
      <c r="AT244" s="212"/>
      <c r="AU244" s="212" t="s">
        <v>838</v>
      </c>
      <c r="AV244" s="212" t="s">
        <v>838</v>
      </c>
      <c r="AW244" s="212" t="s">
        <v>838</v>
      </c>
      <c r="AX244" s="212"/>
      <c r="AY244" s="212" t="s">
        <v>1485</v>
      </c>
      <c r="AZ244" s="212" t="s">
        <v>4428</v>
      </c>
      <c r="BA244" s="214" t="s">
        <v>1418</v>
      </c>
      <c r="BB244" s="214"/>
      <c r="BC244" s="143" t="s">
        <v>4306</v>
      </c>
    </row>
    <row r="245" spans="1:55" ht="15" customHeight="1" x14ac:dyDescent="0.25">
      <c r="A245" s="210">
        <v>20</v>
      </c>
      <c r="B245" s="143" t="s">
        <v>4288</v>
      </c>
      <c r="C245" s="143" t="s">
        <v>4374</v>
      </c>
      <c r="D245" s="143" t="s">
        <v>4401</v>
      </c>
      <c r="E245" s="143" t="s">
        <v>3008</v>
      </c>
      <c r="F245" s="143" t="s">
        <v>4291</v>
      </c>
      <c r="G245" s="143" t="s">
        <v>730</v>
      </c>
      <c r="H245" s="143" t="s">
        <v>4292</v>
      </c>
      <c r="I245" s="143" t="s">
        <v>4431</v>
      </c>
      <c r="J245" s="217">
        <v>44228</v>
      </c>
      <c r="K245" s="217">
        <v>44500</v>
      </c>
      <c r="L245" s="143" t="s">
        <v>4432</v>
      </c>
      <c r="M245" s="143" t="s">
        <v>4379</v>
      </c>
      <c r="N245" s="143" t="s">
        <v>30</v>
      </c>
      <c r="O245" s="143" t="s">
        <v>4404</v>
      </c>
      <c r="P245" s="143" t="s">
        <v>735</v>
      </c>
      <c r="Q245" s="212">
        <f t="shared" si="17"/>
        <v>1</v>
      </c>
      <c r="R245" s="212">
        <v>0</v>
      </c>
      <c r="S245" s="212">
        <v>0</v>
      </c>
      <c r="T245" s="212">
        <v>0</v>
      </c>
      <c r="U245" s="212">
        <v>1</v>
      </c>
      <c r="V245" s="212">
        <v>0</v>
      </c>
      <c r="W245" s="212" t="s">
        <v>4433</v>
      </c>
      <c r="X245" s="212">
        <v>0</v>
      </c>
      <c r="Y245" s="212" t="s">
        <v>4336</v>
      </c>
      <c r="Z245" s="212">
        <v>0</v>
      </c>
      <c r="AA245" s="212" t="s">
        <v>4327</v>
      </c>
      <c r="AB245" s="212"/>
      <c r="AC245" s="212"/>
      <c r="AD245" s="213">
        <v>44295</v>
      </c>
      <c r="AE245" s="213">
        <v>44379</v>
      </c>
      <c r="AF245" s="213">
        <v>44483</v>
      </c>
      <c r="AG245" s="213"/>
      <c r="AH245" s="75">
        <f t="shared" si="13"/>
        <v>0</v>
      </c>
      <c r="AI245" s="75" t="str">
        <f t="shared" si="14"/>
        <v/>
      </c>
      <c r="AJ245" s="75" t="str">
        <f t="shared" si="15"/>
        <v/>
      </c>
      <c r="AK245" s="75" t="str">
        <f t="shared" si="16"/>
        <v/>
      </c>
      <c r="AL245" s="75" t="s">
        <v>2467</v>
      </c>
      <c r="AM245" s="212" t="s">
        <v>739</v>
      </c>
      <c r="AN245" s="212" t="s">
        <v>838</v>
      </c>
      <c r="AO245" s="212" t="s">
        <v>838</v>
      </c>
      <c r="AP245" s="212"/>
      <c r="AQ245" s="212" t="s">
        <v>4300</v>
      </c>
      <c r="AR245" s="212" t="s">
        <v>4336</v>
      </c>
      <c r="AS245" s="212" t="s">
        <v>3234</v>
      </c>
      <c r="AT245" s="212"/>
      <c r="AU245" s="212" t="s">
        <v>838</v>
      </c>
      <c r="AV245" s="212" t="s">
        <v>838</v>
      </c>
      <c r="AW245" s="212" t="s">
        <v>838</v>
      </c>
      <c r="AX245" s="212"/>
      <c r="AY245" s="212" t="s">
        <v>4434</v>
      </c>
      <c r="AZ245" s="212" t="s">
        <v>4428</v>
      </c>
      <c r="BA245" s="214" t="s">
        <v>1418</v>
      </c>
      <c r="BB245" s="214"/>
      <c r="BC245" s="143" t="s">
        <v>4306</v>
      </c>
    </row>
    <row r="246" spans="1:55" ht="15" customHeight="1" x14ac:dyDescent="0.25">
      <c r="A246" s="210">
        <v>21</v>
      </c>
      <c r="B246" s="143" t="s">
        <v>4288</v>
      </c>
      <c r="C246" s="143" t="s">
        <v>4374</v>
      </c>
      <c r="D246" s="143" t="s">
        <v>4401</v>
      </c>
      <c r="E246" s="143" t="s">
        <v>3008</v>
      </c>
      <c r="F246" s="143" t="s">
        <v>4291</v>
      </c>
      <c r="G246" s="143" t="s">
        <v>730</v>
      </c>
      <c r="H246" s="143" t="s">
        <v>4292</v>
      </c>
      <c r="I246" s="143" t="s">
        <v>4435</v>
      </c>
      <c r="J246" s="217">
        <v>44197</v>
      </c>
      <c r="K246" s="217">
        <v>44377</v>
      </c>
      <c r="L246" s="143" t="s">
        <v>4436</v>
      </c>
      <c r="M246" s="143" t="s">
        <v>4379</v>
      </c>
      <c r="N246" s="143" t="s">
        <v>30</v>
      </c>
      <c r="O246" s="143" t="s">
        <v>4404</v>
      </c>
      <c r="P246" s="143" t="s">
        <v>735</v>
      </c>
      <c r="Q246" s="212">
        <f t="shared" si="17"/>
        <v>1</v>
      </c>
      <c r="R246" s="212">
        <v>0</v>
      </c>
      <c r="S246" s="212">
        <v>1</v>
      </c>
      <c r="T246" s="212">
        <v>0</v>
      </c>
      <c r="U246" s="212">
        <v>0</v>
      </c>
      <c r="V246" s="212">
        <v>1</v>
      </c>
      <c r="W246" s="212" t="s">
        <v>4437</v>
      </c>
      <c r="X246" s="212">
        <v>1</v>
      </c>
      <c r="Y246" s="212" t="s">
        <v>4310</v>
      </c>
      <c r="Z246" s="212">
        <v>0</v>
      </c>
      <c r="AA246" s="212" t="s">
        <v>4310</v>
      </c>
      <c r="AB246" s="212"/>
      <c r="AC246" s="212"/>
      <c r="AD246" s="213">
        <v>44295</v>
      </c>
      <c r="AE246" s="213">
        <v>44379</v>
      </c>
      <c r="AF246" s="213">
        <v>44483</v>
      </c>
      <c r="AG246" s="213"/>
      <c r="AH246" s="75">
        <f t="shared" si="13"/>
        <v>1</v>
      </c>
      <c r="AI246" s="75" t="str">
        <f t="shared" si="14"/>
        <v/>
      </c>
      <c r="AJ246" s="75">
        <f t="shared" si="15"/>
        <v>1</v>
      </c>
      <c r="AK246" s="75" t="str">
        <f t="shared" si="16"/>
        <v/>
      </c>
      <c r="AL246" s="75" t="s">
        <v>2467</v>
      </c>
      <c r="AM246" s="212" t="s">
        <v>739</v>
      </c>
      <c r="AN246" s="212" t="s">
        <v>838</v>
      </c>
      <c r="AO246" s="212" t="s">
        <v>838</v>
      </c>
      <c r="AP246" s="212"/>
      <c r="AQ246" s="212" t="s">
        <v>4300</v>
      </c>
      <c r="AR246" s="212" t="s">
        <v>4336</v>
      </c>
      <c r="AS246" s="212" t="s">
        <v>4336</v>
      </c>
      <c r="AT246" s="212"/>
      <c r="AU246" s="212" t="s">
        <v>739</v>
      </c>
      <c r="AV246" s="212" t="s">
        <v>838</v>
      </c>
      <c r="AW246" s="212" t="s">
        <v>838</v>
      </c>
      <c r="AX246" s="212"/>
      <c r="AY246" s="212" t="s">
        <v>4438</v>
      </c>
      <c r="AZ246" s="212" t="s">
        <v>842</v>
      </c>
      <c r="BA246" s="214" t="s">
        <v>1418</v>
      </c>
      <c r="BB246" s="214"/>
      <c r="BC246" s="143" t="s">
        <v>4306</v>
      </c>
    </row>
    <row r="247" spans="1:55" ht="15" customHeight="1" x14ac:dyDescent="0.25">
      <c r="A247" s="210">
        <v>22</v>
      </c>
      <c r="B247" s="143" t="s">
        <v>4288</v>
      </c>
      <c r="C247" s="143" t="s">
        <v>4374</v>
      </c>
      <c r="D247" s="143" t="s">
        <v>4401</v>
      </c>
      <c r="E247" s="143" t="s">
        <v>3008</v>
      </c>
      <c r="F247" s="143" t="s">
        <v>4291</v>
      </c>
      <c r="G247" s="143" t="s">
        <v>730</v>
      </c>
      <c r="H247" s="143" t="s">
        <v>4292</v>
      </c>
      <c r="I247" s="143" t="s">
        <v>4439</v>
      </c>
      <c r="J247" s="217">
        <v>44256</v>
      </c>
      <c r="K247" s="217">
        <v>44377</v>
      </c>
      <c r="L247" s="143" t="s">
        <v>4390</v>
      </c>
      <c r="M247" s="143" t="s">
        <v>4379</v>
      </c>
      <c r="N247" s="143" t="s">
        <v>30</v>
      </c>
      <c r="O247" s="143" t="s">
        <v>4404</v>
      </c>
      <c r="P247" s="143" t="s">
        <v>735</v>
      </c>
      <c r="Q247" s="212">
        <f t="shared" si="17"/>
        <v>1</v>
      </c>
      <c r="R247" s="212">
        <v>0</v>
      </c>
      <c r="S247" s="212">
        <v>1</v>
      </c>
      <c r="T247" s="212">
        <v>0</v>
      </c>
      <c r="U247" s="212">
        <v>0</v>
      </c>
      <c r="V247" s="212">
        <v>1</v>
      </c>
      <c r="W247" s="212" t="s">
        <v>4440</v>
      </c>
      <c r="X247" s="212">
        <v>1</v>
      </c>
      <c r="Y247" s="212" t="s">
        <v>4310</v>
      </c>
      <c r="Z247" s="212">
        <v>0</v>
      </c>
      <c r="AA247" s="212" t="s">
        <v>4310</v>
      </c>
      <c r="AB247" s="212"/>
      <c r="AC247" s="212"/>
      <c r="AD247" s="213">
        <v>44295</v>
      </c>
      <c r="AE247" s="213">
        <v>44379</v>
      </c>
      <c r="AF247" s="213">
        <v>44483</v>
      </c>
      <c r="AG247" s="213"/>
      <c r="AH247" s="75">
        <f t="shared" si="13"/>
        <v>1</v>
      </c>
      <c r="AI247" s="75" t="str">
        <f t="shared" si="14"/>
        <v/>
      </c>
      <c r="AJ247" s="75">
        <f t="shared" si="15"/>
        <v>1</v>
      </c>
      <c r="AK247" s="75" t="str">
        <f t="shared" si="16"/>
        <v/>
      </c>
      <c r="AL247" s="75" t="s">
        <v>2467</v>
      </c>
      <c r="AM247" s="212" t="s">
        <v>739</v>
      </c>
      <c r="AN247" s="212" t="s">
        <v>838</v>
      </c>
      <c r="AO247" s="212" t="s">
        <v>838</v>
      </c>
      <c r="AP247" s="212"/>
      <c r="AQ247" s="212" t="s">
        <v>4300</v>
      </c>
      <c r="AR247" s="212" t="s">
        <v>4336</v>
      </c>
      <c r="AS247" s="212" t="s">
        <v>4336</v>
      </c>
      <c r="AT247" s="212"/>
      <c r="AU247" s="212" t="s">
        <v>739</v>
      </c>
      <c r="AV247" s="212" t="s">
        <v>838</v>
      </c>
      <c r="AW247" s="212" t="s">
        <v>838</v>
      </c>
      <c r="AX247" s="212"/>
      <c r="AY247" s="212" t="s">
        <v>4441</v>
      </c>
      <c r="AZ247" s="212" t="s">
        <v>4442</v>
      </c>
      <c r="BA247" s="214" t="s">
        <v>1418</v>
      </c>
      <c r="BB247" s="214"/>
      <c r="BC247" s="143" t="s">
        <v>4306</v>
      </c>
    </row>
    <row r="248" spans="1:55" ht="15" customHeight="1" x14ac:dyDescent="0.25">
      <c r="A248" s="210">
        <v>23</v>
      </c>
      <c r="B248" s="143" t="s">
        <v>4288</v>
      </c>
      <c r="C248" s="143" t="s">
        <v>4374</v>
      </c>
      <c r="D248" s="143" t="s">
        <v>4401</v>
      </c>
      <c r="E248" s="143" t="s">
        <v>3008</v>
      </c>
      <c r="F248" s="143" t="s">
        <v>4291</v>
      </c>
      <c r="G248" s="143" t="s">
        <v>730</v>
      </c>
      <c r="H248" s="143" t="s">
        <v>4292</v>
      </c>
      <c r="I248" s="143" t="s">
        <v>4443</v>
      </c>
      <c r="J248" s="217">
        <v>44197</v>
      </c>
      <c r="K248" s="217">
        <v>44561</v>
      </c>
      <c r="L248" s="143" t="s">
        <v>4378</v>
      </c>
      <c r="M248" s="143" t="s">
        <v>4379</v>
      </c>
      <c r="N248" s="143" t="s">
        <v>30</v>
      </c>
      <c r="O248" s="143" t="s">
        <v>4380</v>
      </c>
      <c r="P248" s="143" t="s">
        <v>735</v>
      </c>
      <c r="Q248" s="223">
        <v>1</v>
      </c>
      <c r="R248" s="223">
        <v>0</v>
      </c>
      <c r="S248" s="223">
        <v>0</v>
      </c>
      <c r="T248" s="223">
        <v>0</v>
      </c>
      <c r="U248" s="223">
        <v>1</v>
      </c>
      <c r="V248" s="223">
        <v>1</v>
      </c>
      <c r="W248" s="223" t="s">
        <v>4444</v>
      </c>
      <c r="X248" s="223">
        <v>0</v>
      </c>
      <c r="Y248" s="223" t="s">
        <v>4310</v>
      </c>
      <c r="Z248" s="223">
        <v>0</v>
      </c>
      <c r="AA248" s="223" t="s">
        <v>4445</v>
      </c>
      <c r="AB248" s="223"/>
      <c r="AC248" s="223"/>
      <c r="AD248" s="213">
        <v>44295</v>
      </c>
      <c r="AE248" s="213">
        <v>44379</v>
      </c>
      <c r="AF248" s="213">
        <v>44483</v>
      </c>
      <c r="AG248" s="213"/>
      <c r="AH248" s="75">
        <f t="shared" si="13"/>
        <v>1</v>
      </c>
      <c r="AI248" s="75" t="str">
        <f t="shared" si="14"/>
        <v/>
      </c>
      <c r="AJ248" s="75" t="str">
        <f t="shared" si="15"/>
        <v/>
      </c>
      <c r="AK248" s="75" t="str">
        <f t="shared" si="16"/>
        <v/>
      </c>
      <c r="AL248" s="75" t="s">
        <v>2467</v>
      </c>
      <c r="AM248" s="212" t="s">
        <v>739</v>
      </c>
      <c r="AN248" s="212" t="s">
        <v>838</v>
      </c>
      <c r="AO248" s="212" t="s">
        <v>838</v>
      </c>
      <c r="AP248" s="212"/>
      <c r="AQ248" s="212" t="s">
        <v>4300</v>
      </c>
      <c r="AR248" s="212" t="s">
        <v>4336</v>
      </c>
      <c r="AS248" s="212" t="s">
        <v>4336</v>
      </c>
      <c r="AT248" s="212"/>
      <c r="AU248" s="212" t="s">
        <v>739</v>
      </c>
      <c r="AV248" s="212" t="s">
        <v>838</v>
      </c>
      <c r="AW248" s="212" t="s">
        <v>838</v>
      </c>
      <c r="AX248" s="212"/>
      <c r="AY248" s="212" t="s">
        <v>4446</v>
      </c>
      <c r="AZ248" s="212" t="s">
        <v>4428</v>
      </c>
      <c r="BA248" s="214" t="s">
        <v>3380</v>
      </c>
      <c r="BB248" s="214"/>
      <c r="BC248" s="143" t="s">
        <v>4306</v>
      </c>
    </row>
    <row r="249" spans="1:55" ht="15" customHeight="1" x14ac:dyDescent="0.25">
      <c r="A249" s="210">
        <v>24</v>
      </c>
      <c r="B249" s="143" t="s">
        <v>4288</v>
      </c>
      <c r="C249" s="143" t="s">
        <v>4374</v>
      </c>
      <c r="D249" s="143" t="s">
        <v>4401</v>
      </c>
      <c r="E249" s="143" t="s">
        <v>3008</v>
      </c>
      <c r="F249" s="143" t="s">
        <v>4291</v>
      </c>
      <c r="G249" s="143" t="s">
        <v>730</v>
      </c>
      <c r="H249" s="143" t="s">
        <v>4292</v>
      </c>
      <c r="I249" s="143" t="s">
        <v>4447</v>
      </c>
      <c r="J249" s="217">
        <v>44287</v>
      </c>
      <c r="K249" s="217">
        <v>44561</v>
      </c>
      <c r="L249" s="143" t="s">
        <v>4378</v>
      </c>
      <c r="M249" s="143" t="s">
        <v>4379</v>
      </c>
      <c r="N249" s="143" t="s">
        <v>30</v>
      </c>
      <c r="O249" s="143" t="s">
        <v>4380</v>
      </c>
      <c r="P249" s="143" t="s">
        <v>735</v>
      </c>
      <c r="Q249" s="223">
        <v>1</v>
      </c>
      <c r="R249" s="223">
        <v>0</v>
      </c>
      <c r="S249" s="223">
        <v>0</v>
      </c>
      <c r="T249" s="223">
        <v>0</v>
      </c>
      <c r="U249" s="223">
        <v>1</v>
      </c>
      <c r="V249" s="223">
        <v>1</v>
      </c>
      <c r="W249" s="223" t="s">
        <v>4448</v>
      </c>
      <c r="X249" s="223">
        <v>0</v>
      </c>
      <c r="Y249" s="223" t="s">
        <v>4310</v>
      </c>
      <c r="Z249" s="223">
        <v>0</v>
      </c>
      <c r="AA249" s="223" t="s">
        <v>4445</v>
      </c>
      <c r="AB249" s="223"/>
      <c r="AC249" s="223"/>
      <c r="AD249" s="213">
        <v>44295</v>
      </c>
      <c r="AE249" s="213">
        <v>44379</v>
      </c>
      <c r="AF249" s="213">
        <v>44483</v>
      </c>
      <c r="AG249" s="213"/>
      <c r="AH249" s="75">
        <f t="shared" si="13"/>
        <v>1</v>
      </c>
      <c r="AI249" s="75" t="str">
        <f t="shared" si="14"/>
        <v/>
      </c>
      <c r="AJ249" s="75" t="str">
        <f t="shared" si="15"/>
        <v/>
      </c>
      <c r="AK249" s="75" t="str">
        <f t="shared" si="16"/>
        <v/>
      </c>
      <c r="AL249" s="75" t="s">
        <v>2467</v>
      </c>
      <c r="AM249" s="212" t="s">
        <v>739</v>
      </c>
      <c r="AN249" s="212" t="s">
        <v>838</v>
      </c>
      <c r="AO249" s="212" t="s">
        <v>838</v>
      </c>
      <c r="AP249" s="212"/>
      <c r="AQ249" s="212" t="s">
        <v>4300</v>
      </c>
      <c r="AR249" s="212" t="s">
        <v>4336</v>
      </c>
      <c r="AS249" s="212" t="s">
        <v>4336</v>
      </c>
      <c r="AT249" s="212"/>
      <c r="AU249" s="212" t="s">
        <v>739</v>
      </c>
      <c r="AV249" s="212" t="s">
        <v>838</v>
      </c>
      <c r="AW249" s="212" t="s">
        <v>838</v>
      </c>
      <c r="AX249" s="212"/>
      <c r="AY249" s="212" t="s">
        <v>4449</v>
      </c>
      <c r="AZ249" s="212" t="s">
        <v>4428</v>
      </c>
      <c r="BA249" s="214" t="s">
        <v>3380</v>
      </c>
      <c r="BB249" s="214"/>
      <c r="BC249" s="143" t="s">
        <v>4306</v>
      </c>
    </row>
    <row r="250" spans="1:55" ht="15" customHeight="1" x14ac:dyDescent="0.25">
      <c r="A250" s="210">
        <v>25</v>
      </c>
      <c r="B250" s="143" t="s">
        <v>4288</v>
      </c>
      <c r="C250" s="143" t="s">
        <v>2552</v>
      </c>
      <c r="D250" s="143" t="s">
        <v>2583</v>
      </c>
      <c r="E250" s="143" t="s">
        <v>2584</v>
      </c>
      <c r="F250" s="143" t="s">
        <v>793</v>
      </c>
      <c r="G250" s="143" t="s">
        <v>2458</v>
      </c>
      <c r="H250" s="143" t="s">
        <v>731</v>
      </c>
      <c r="I250" s="143" t="s">
        <v>2595</v>
      </c>
      <c r="J250" s="217">
        <v>44197</v>
      </c>
      <c r="K250" s="217">
        <v>44561</v>
      </c>
      <c r="L250" s="143" t="s">
        <v>2596</v>
      </c>
      <c r="M250" s="143" t="s">
        <v>4350</v>
      </c>
      <c r="N250" s="143" t="s">
        <v>60</v>
      </c>
      <c r="O250" s="143" t="s">
        <v>2587</v>
      </c>
      <c r="P250" s="143" t="s">
        <v>11</v>
      </c>
      <c r="Q250" s="215">
        <v>1</v>
      </c>
      <c r="R250" s="215">
        <v>0</v>
      </c>
      <c r="S250" s="215">
        <v>0</v>
      </c>
      <c r="T250" s="215">
        <v>0.5</v>
      </c>
      <c r="U250" s="215">
        <v>0.5</v>
      </c>
      <c r="V250" s="215">
        <v>0</v>
      </c>
      <c r="W250" s="215" t="s">
        <v>4312</v>
      </c>
      <c r="X250" s="215">
        <v>0</v>
      </c>
      <c r="Y250" s="215" t="s">
        <v>4336</v>
      </c>
      <c r="Z250" s="215">
        <v>0</v>
      </c>
      <c r="AA250" s="215" t="s">
        <v>4450</v>
      </c>
      <c r="AB250" s="215"/>
      <c r="AC250" s="215"/>
      <c r="AD250" s="213">
        <v>44295</v>
      </c>
      <c r="AE250" s="213">
        <v>44379</v>
      </c>
      <c r="AF250" s="213">
        <v>44483</v>
      </c>
      <c r="AG250" s="213"/>
      <c r="AH250" s="75">
        <f t="shared" si="13"/>
        <v>0</v>
      </c>
      <c r="AI250" s="75" t="str">
        <f t="shared" si="14"/>
        <v/>
      </c>
      <c r="AJ250" s="75" t="str">
        <f t="shared" si="15"/>
        <v/>
      </c>
      <c r="AK250" s="75">
        <f t="shared" si="16"/>
        <v>0</v>
      </c>
      <c r="AL250" s="75" t="s">
        <v>2467</v>
      </c>
      <c r="AM250" s="212" t="s">
        <v>838</v>
      </c>
      <c r="AN250" s="212" t="s">
        <v>838</v>
      </c>
      <c r="AO250" s="212" t="s">
        <v>828</v>
      </c>
      <c r="AP250" s="212"/>
      <c r="AQ250" s="212" t="s">
        <v>4336</v>
      </c>
      <c r="AR250" s="212" t="s">
        <v>4336</v>
      </c>
      <c r="AS250" s="212" t="s">
        <v>4451</v>
      </c>
      <c r="AT250" s="212"/>
      <c r="AU250" s="212" t="s">
        <v>838</v>
      </c>
      <c r="AV250" s="212" t="s">
        <v>838</v>
      </c>
      <c r="AW250" s="212" t="s">
        <v>828</v>
      </c>
      <c r="AX250" s="212"/>
      <c r="AY250" s="212" t="s">
        <v>1417</v>
      </c>
      <c r="AZ250" s="212" t="s">
        <v>1418</v>
      </c>
      <c r="BA250" s="214" t="s">
        <v>4452</v>
      </c>
      <c r="BB250" s="214"/>
      <c r="BC250" s="143" t="s">
        <v>727</v>
      </c>
    </row>
    <row r="251" spans="1:55" ht="15" customHeight="1" x14ac:dyDescent="0.25">
      <c r="A251" s="210">
        <v>26</v>
      </c>
      <c r="B251" s="143" t="s">
        <v>4288</v>
      </c>
      <c r="C251" s="143" t="s">
        <v>2601</v>
      </c>
      <c r="D251" s="143" t="s">
        <v>2583</v>
      </c>
      <c r="E251" s="143" t="s">
        <v>2584</v>
      </c>
      <c r="F251" s="143" t="s">
        <v>793</v>
      </c>
      <c r="G251" s="143" t="s">
        <v>2458</v>
      </c>
      <c r="H251" s="143" t="s">
        <v>731</v>
      </c>
      <c r="I251" s="143" t="s">
        <v>2602</v>
      </c>
      <c r="J251" s="217">
        <v>44197</v>
      </c>
      <c r="K251" s="217">
        <v>44561</v>
      </c>
      <c r="L251" s="143" t="s">
        <v>2603</v>
      </c>
      <c r="M251" s="143" t="s">
        <v>4350</v>
      </c>
      <c r="N251" s="143" t="s">
        <v>30</v>
      </c>
      <c r="O251" s="143" t="s">
        <v>2587</v>
      </c>
      <c r="P251" s="143" t="s">
        <v>11</v>
      </c>
      <c r="Q251" s="223">
        <v>4</v>
      </c>
      <c r="R251" s="223">
        <v>1</v>
      </c>
      <c r="S251" s="223">
        <v>1</v>
      </c>
      <c r="T251" s="223">
        <v>1</v>
      </c>
      <c r="U251" s="223">
        <v>1</v>
      </c>
      <c r="V251" s="223">
        <v>1</v>
      </c>
      <c r="W251" s="223" t="s">
        <v>2821</v>
      </c>
      <c r="X251" s="223">
        <v>1</v>
      </c>
      <c r="Y251" s="223" t="s">
        <v>4453</v>
      </c>
      <c r="Z251" s="223">
        <v>1</v>
      </c>
      <c r="AA251" s="223" t="s">
        <v>4453</v>
      </c>
      <c r="AB251" s="223"/>
      <c r="AC251" s="223"/>
      <c r="AD251" s="213">
        <v>44295</v>
      </c>
      <c r="AE251" s="213">
        <v>44379</v>
      </c>
      <c r="AF251" s="213">
        <v>44483</v>
      </c>
      <c r="AG251" s="213"/>
      <c r="AH251" s="75">
        <f t="shared" si="13"/>
        <v>0.75</v>
      </c>
      <c r="AI251" s="75">
        <f t="shared" si="14"/>
        <v>1</v>
      </c>
      <c r="AJ251" s="75">
        <f t="shared" si="15"/>
        <v>1</v>
      </c>
      <c r="AK251" s="75">
        <f t="shared" si="16"/>
        <v>1</v>
      </c>
      <c r="AL251" s="75" t="s">
        <v>2467</v>
      </c>
      <c r="AM251" s="212" t="s">
        <v>739</v>
      </c>
      <c r="AN251" s="212" t="s">
        <v>739</v>
      </c>
      <c r="AO251" s="212" t="s">
        <v>739</v>
      </c>
      <c r="AP251" s="212"/>
      <c r="AQ251" s="212" t="s">
        <v>4300</v>
      </c>
      <c r="AR251" s="212" t="s">
        <v>4454</v>
      </c>
      <c r="AS251" s="212" t="s">
        <v>4455</v>
      </c>
      <c r="AT251" s="212"/>
      <c r="AU251" s="212" t="s">
        <v>739</v>
      </c>
      <c r="AV251" s="212" t="s">
        <v>739</v>
      </c>
      <c r="AW251" s="212" t="s">
        <v>739</v>
      </c>
      <c r="AX251" s="212"/>
      <c r="AY251" s="212" t="s">
        <v>4456</v>
      </c>
      <c r="AZ251" s="212" t="s">
        <v>4457</v>
      </c>
      <c r="BA251" s="214" t="s">
        <v>4458</v>
      </c>
      <c r="BB251" s="214"/>
      <c r="BC251" s="143" t="s">
        <v>727</v>
      </c>
    </row>
    <row r="252" spans="1:55" ht="15" customHeight="1" x14ac:dyDescent="0.25">
      <c r="A252" s="210">
        <v>27</v>
      </c>
      <c r="B252" s="143" t="s">
        <v>4288</v>
      </c>
      <c r="C252" s="143" t="s">
        <v>2601</v>
      </c>
      <c r="D252" s="143" t="s">
        <v>2583</v>
      </c>
      <c r="E252" s="143" t="s">
        <v>2584</v>
      </c>
      <c r="F252" s="143" t="s">
        <v>793</v>
      </c>
      <c r="G252" s="143" t="s">
        <v>2458</v>
      </c>
      <c r="H252" s="143" t="s">
        <v>731</v>
      </c>
      <c r="I252" s="143" t="s">
        <v>2825</v>
      </c>
      <c r="J252" s="217">
        <v>44470</v>
      </c>
      <c r="K252" s="217">
        <v>44561</v>
      </c>
      <c r="L252" s="143" t="s">
        <v>2603</v>
      </c>
      <c r="M252" s="143" t="s">
        <v>4350</v>
      </c>
      <c r="N252" s="143" t="s">
        <v>30</v>
      </c>
      <c r="O252" s="143" t="s">
        <v>2587</v>
      </c>
      <c r="P252" s="143" t="s">
        <v>11</v>
      </c>
      <c r="Q252" s="223">
        <v>1</v>
      </c>
      <c r="R252" s="223">
        <v>0</v>
      </c>
      <c r="S252" s="223">
        <v>0</v>
      </c>
      <c r="T252" s="223">
        <v>0</v>
      </c>
      <c r="U252" s="223">
        <v>1</v>
      </c>
      <c r="V252" s="223">
        <v>0</v>
      </c>
      <c r="W252" s="223" t="s">
        <v>4312</v>
      </c>
      <c r="X252" s="223">
        <v>0</v>
      </c>
      <c r="Y252" s="223" t="s">
        <v>4336</v>
      </c>
      <c r="Z252" s="223">
        <v>0</v>
      </c>
      <c r="AA252" s="223" t="s">
        <v>4312</v>
      </c>
      <c r="AB252" s="223"/>
      <c r="AC252" s="223"/>
      <c r="AD252" s="213">
        <v>44295</v>
      </c>
      <c r="AE252" s="213">
        <v>44379</v>
      </c>
      <c r="AF252" s="213">
        <v>44483</v>
      </c>
      <c r="AG252" s="213"/>
      <c r="AH252" s="75">
        <f t="shared" si="13"/>
        <v>0</v>
      </c>
      <c r="AI252" s="75" t="str">
        <f t="shared" si="14"/>
        <v/>
      </c>
      <c r="AJ252" s="75" t="str">
        <f t="shared" si="15"/>
        <v/>
      </c>
      <c r="AK252" s="75" t="str">
        <f t="shared" si="16"/>
        <v/>
      </c>
      <c r="AL252" s="75" t="s">
        <v>2467</v>
      </c>
      <c r="AM252" s="212" t="s">
        <v>838</v>
      </c>
      <c r="AN252" s="212" t="s">
        <v>838</v>
      </c>
      <c r="AO252" s="212" t="s">
        <v>838</v>
      </c>
      <c r="AP252" s="212"/>
      <c r="AQ252" s="212" t="s">
        <v>4336</v>
      </c>
      <c r="AR252" s="212" t="s">
        <v>4336</v>
      </c>
      <c r="AS252" s="212" t="s">
        <v>4336</v>
      </c>
      <c r="AT252" s="212"/>
      <c r="AU252" s="212" t="s">
        <v>838</v>
      </c>
      <c r="AV252" s="212" t="s">
        <v>838</v>
      </c>
      <c r="AW252" s="212" t="s">
        <v>838</v>
      </c>
      <c r="AX252" s="212"/>
      <c r="AY252" s="212" t="s">
        <v>1485</v>
      </c>
      <c r="AZ252" s="212" t="s">
        <v>842</v>
      </c>
      <c r="BA252" s="214" t="s">
        <v>3380</v>
      </c>
      <c r="BB252" s="214"/>
      <c r="BC252" s="143" t="s">
        <v>727</v>
      </c>
    </row>
    <row r="253" spans="1:55" ht="15" customHeight="1" x14ac:dyDescent="0.25">
      <c r="A253" s="210">
        <v>28</v>
      </c>
      <c r="B253" s="143" t="s">
        <v>4288</v>
      </c>
      <c r="C253" s="143" t="s">
        <v>2459</v>
      </c>
      <c r="D253" s="143" t="s">
        <v>2583</v>
      </c>
      <c r="E253" s="143" t="s">
        <v>2584</v>
      </c>
      <c r="F253" s="143" t="s">
        <v>793</v>
      </c>
      <c r="G253" s="143" t="s">
        <v>2458</v>
      </c>
      <c r="H253" s="143" t="s">
        <v>731</v>
      </c>
      <c r="I253" s="143" t="s">
        <v>2829</v>
      </c>
      <c r="J253" s="217">
        <v>44197</v>
      </c>
      <c r="K253" s="217">
        <v>44561</v>
      </c>
      <c r="L253" s="143" t="s">
        <v>2616</v>
      </c>
      <c r="M253" s="143" t="s">
        <v>4350</v>
      </c>
      <c r="N253" s="143" t="s">
        <v>30</v>
      </c>
      <c r="O253" s="143" t="s">
        <v>2587</v>
      </c>
      <c r="P253" s="143" t="s">
        <v>11</v>
      </c>
      <c r="Q253" s="223">
        <v>4</v>
      </c>
      <c r="R253" s="223">
        <v>1</v>
      </c>
      <c r="S253" s="223">
        <v>1</v>
      </c>
      <c r="T253" s="223">
        <v>1</v>
      </c>
      <c r="U253" s="223">
        <v>1</v>
      </c>
      <c r="V253" s="223">
        <v>1</v>
      </c>
      <c r="W253" s="223" t="s">
        <v>4459</v>
      </c>
      <c r="X253" s="223">
        <v>1</v>
      </c>
      <c r="Y253" s="223" t="s">
        <v>4460</v>
      </c>
      <c r="Z253" s="223">
        <v>1</v>
      </c>
      <c r="AA253" s="223" t="s">
        <v>4460</v>
      </c>
      <c r="AB253" s="223"/>
      <c r="AC253" s="223"/>
      <c r="AD253" s="213">
        <v>44295</v>
      </c>
      <c r="AE253" s="213">
        <v>44379</v>
      </c>
      <c r="AF253" s="213">
        <v>44483</v>
      </c>
      <c r="AG253" s="213"/>
      <c r="AH253" s="75">
        <f t="shared" si="13"/>
        <v>0.75</v>
      </c>
      <c r="AI253" s="75">
        <f t="shared" si="14"/>
        <v>1</v>
      </c>
      <c r="AJ253" s="75">
        <f t="shared" si="15"/>
        <v>1</v>
      </c>
      <c r="AK253" s="75">
        <f t="shared" si="16"/>
        <v>1</v>
      </c>
      <c r="AL253" s="75" t="s">
        <v>2467</v>
      </c>
      <c r="AM253" s="212" t="s">
        <v>739</v>
      </c>
      <c r="AN253" s="212" t="s">
        <v>739</v>
      </c>
      <c r="AO253" s="212" t="s">
        <v>739</v>
      </c>
      <c r="AP253" s="212"/>
      <c r="AQ253" s="212" t="s">
        <v>4300</v>
      </c>
      <c r="AR253" s="212" t="s">
        <v>4454</v>
      </c>
      <c r="AS253" s="212" t="s">
        <v>4461</v>
      </c>
      <c r="AT253" s="212"/>
      <c r="AU253" s="212" t="s">
        <v>739</v>
      </c>
      <c r="AV253" s="212" t="s">
        <v>739</v>
      </c>
      <c r="AW253" s="212" t="s">
        <v>739</v>
      </c>
      <c r="AX253" s="212"/>
      <c r="AY253" s="212" t="s">
        <v>4462</v>
      </c>
      <c r="AZ253" s="212" t="s">
        <v>4463</v>
      </c>
      <c r="BA253" s="214" t="s">
        <v>4464</v>
      </c>
      <c r="BB253" s="214"/>
      <c r="BC253" s="143" t="s">
        <v>727</v>
      </c>
    </row>
    <row r="254" spans="1:55" ht="15" customHeight="1" x14ac:dyDescent="0.25">
      <c r="A254" s="210">
        <v>29</v>
      </c>
      <c r="B254" s="143" t="s">
        <v>4288</v>
      </c>
      <c r="C254" s="143" t="s">
        <v>2459</v>
      </c>
      <c r="D254" s="143" t="s">
        <v>2583</v>
      </c>
      <c r="E254" s="143" t="s">
        <v>2584</v>
      </c>
      <c r="F254" s="143" t="s">
        <v>793</v>
      </c>
      <c r="G254" s="143" t="s">
        <v>2458</v>
      </c>
      <c r="H254" s="143" t="s">
        <v>731</v>
      </c>
      <c r="I254" s="143" t="s">
        <v>2834</v>
      </c>
      <c r="J254" s="217">
        <v>44470</v>
      </c>
      <c r="K254" s="217">
        <v>44561</v>
      </c>
      <c r="L254" s="143" t="s">
        <v>2616</v>
      </c>
      <c r="M254" s="143" t="s">
        <v>4350</v>
      </c>
      <c r="N254" s="143" t="s">
        <v>30</v>
      </c>
      <c r="O254" s="143" t="s">
        <v>2587</v>
      </c>
      <c r="P254" s="143" t="s">
        <v>11</v>
      </c>
      <c r="Q254" s="223">
        <v>2</v>
      </c>
      <c r="R254" s="223">
        <v>0</v>
      </c>
      <c r="S254" s="223">
        <v>0</v>
      </c>
      <c r="T254" s="223">
        <v>0</v>
      </c>
      <c r="U254" s="223">
        <v>2</v>
      </c>
      <c r="V254" s="223">
        <v>0</v>
      </c>
      <c r="W254" s="223" t="s">
        <v>4315</v>
      </c>
      <c r="X254" s="223">
        <v>0</v>
      </c>
      <c r="Y254" s="223" t="s">
        <v>4336</v>
      </c>
      <c r="Z254" s="223">
        <v>0</v>
      </c>
      <c r="AA254" s="223" t="s">
        <v>4465</v>
      </c>
      <c r="AB254" s="223"/>
      <c r="AC254" s="223"/>
      <c r="AD254" s="213">
        <v>44295</v>
      </c>
      <c r="AE254" s="213">
        <v>44379</v>
      </c>
      <c r="AF254" s="213">
        <v>44483</v>
      </c>
      <c r="AG254" s="213"/>
      <c r="AH254" s="75">
        <f t="shared" si="13"/>
        <v>0</v>
      </c>
      <c r="AI254" s="75" t="str">
        <f t="shared" si="14"/>
        <v/>
      </c>
      <c r="AJ254" s="75" t="str">
        <f t="shared" si="15"/>
        <v/>
      </c>
      <c r="AK254" s="75" t="str">
        <f t="shared" si="16"/>
        <v/>
      </c>
      <c r="AL254" s="75" t="s">
        <v>2467</v>
      </c>
      <c r="AM254" s="212" t="s">
        <v>838</v>
      </c>
      <c r="AN254" s="212" t="s">
        <v>838</v>
      </c>
      <c r="AO254" s="212" t="s">
        <v>838</v>
      </c>
      <c r="AP254" s="212"/>
      <c r="AQ254" s="212" t="s">
        <v>4336</v>
      </c>
      <c r="AR254" s="212" t="s">
        <v>4336</v>
      </c>
      <c r="AS254" s="212" t="s">
        <v>4336</v>
      </c>
      <c r="AT254" s="212"/>
      <c r="AU254" s="212" t="s">
        <v>838</v>
      </c>
      <c r="AV254" s="212" t="s">
        <v>838</v>
      </c>
      <c r="AW254" s="212" t="s">
        <v>838</v>
      </c>
      <c r="AX254" s="212"/>
      <c r="AY254" s="212" t="s">
        <v>1485</v>
      </c>
      <c r="AZ254" s="212" t="s">
        <v>4442</v>
      </c>
      <c r="BA254" s="214" t="s">
        <v>3380</v>
      </c>
      <c r="BB254" s="214"/>
      <c r="BC254" s="143" t="s">
        <v>727</v>
      </c>
    </row>
    <row r="255" spans="1:55" ht="15" customHeight="1" x14ac:dyDescent="0.25">
      <c r="A255" s="210">
        <v>30</v>
      </c>
      <c r="B255" s="143" t="s">
        <v>4288</v>
      </c>
      <c r="C255" s="143" t="s">
        <v>2552</v>
      </c>
      <c r="D255" s="143" t="s">
        <v>2583</v>
      </c>
      <c r="E255" s="143" t="s">
        <v>2584</v>
      </c>
      <c r="F255" s="143" t="s">
        <v>793</v>
      </c>
      <c r="G255" s="143" t="s">
        <v>2458</v>
      </c>
      <c r="H255" s="143" t="s">
        <v>731</v>
      </c>
      <c r="I255" s="143" t="s">
        <v>2837</v>
      </c>
      <c r="J255" s="217">
        <v>44317</v>
      </c>
      <c r="K255" s="217">
        <v>44561</v>
      </c>
      <c r="L255" s="143" t="s">
        <v>2649</v>
      </c>
      <c r="M255" s="143" t="s">
        <v>4350</v>
      </c>
      <c r="N255" s="143" t="s">
        <v>30</v>
      </c>
      <c r="O255" s="143" t="s">
        <v>2587</v>
      </c>
      <c r="P255" s="143" t="s">
        <v>11</v>
      </c>
      <c r="Q255" s="223">
        <v>4</v>
      </c>
      <c r="R255" s="223">
        <v>0</v>
      </c>
      <c r="S255" s="223">
        <v>2</v>
      </c>
      <c r="T255" s="223">
        <v>1</v>
      </c>
      <c r="U255" s="223">
        <v>1</v>
      </c>
      <c r="V255" s="223">
        <v>0</v>
      </c>
      <c r="W255" s="223" t="s">
        <v>4312</v>
      </c>
      <c r="X255" s="223">
        <v>2</v>
      </c>
      <c r="Y255" s="223" t="s">
        <v>4466</v>
      </c>
      <c r="Z255" s="223">
        <v>1</v>
      </c>
      <c r="AA255" s="223" t="s">
        <v>4467</v>
      </c>
      <c r="AB255" s="223"/>
      <c r="AC255" s="223"/>
      <c r="AD255" s="213">
        <v>44295</v>
      </c>
      <c r="AE255" s="213">
        <v>44379</v>
      </c>
      <c r="AF255" s="213">
        <v>44483</v>
      </c>
      <c r="AG255" s="213"/>
      <c r="AH255" s="75">
        <f t="shared" si="13"/>
        <v>0.75</v>
      </c>
      <c r="AI255" s="75" t="str">
        <f t="shared" si="14"/>
        <v/>
      </c>
      <c r="AJ255" s="75">
        <f t="shared" si="15"/>
        <v>1</v>
      </c>
      <c r="AK255" s="75">
        <f t="shared" si="16"/>
        <v>1</v>
      </c>
      <c r="AL255" s="75" t="s">
        <v>2467</v>
      </c>
      <c r="AM255" s="212" t="s">
        <v>838</v>
      </c>
      <c r="AN255" s="212" t="s">
        <v>739</v>
      </c>
      <c r="AO255" s="212" t="s">
        <v>739</v>
      </c>
      <c r="AP255" s="212"/>
      <c r="AQ255" s="212" t="s">
        <v>4336</v>
      </c>
      <c r="AR255" s="212" t="s">
        <v>4468</v>
      </c>
      <c r="AS255" s="212" t="s">
        <v>4469</v>
      </c>
      <c r="AT255" s="212"/>
      <c r="AU255" s="212" t="s">
        <v>838</v>
      </c>
      <c r="AV255" s="212" t="s">
        <v>739</v>
      </c>
      <c r="AW255" s="212" t="s">
        <v>739</v>
      </c>
      <c r="AX255" s="212"/>
      <c r="AY255" s="212" t="s">
        <v>1485</v>
      </c>
      <c r="AZ255" s="212" t="s">
        <v>4470</v>
      </c>
      <c r="BA255" s="214" t="s">
        <v>4471</v>
      </c>
      <c r="BB255" s="214"/>
      <c r="BC255" s="143" t="s">
        <v>727</v>
      </c>
    </row>
    <row r="256" spans="1:55" ht="15" customHeight="1" x14ac:dyDescent="0.25">
      <c r="A256" s="210">
        <v>31</v>
      </c>
      <c r="B256" s="143" t="s">
        <v>4288</v>
      </c>
      <c r="C256" s="143" t="s">
        <v>4374</v>
      </c>
      <c r="D256" s="143" t="s">
        <v>4472</v>
      </c>
      <c r="E256" s="143" t="s">
        <v>3606</v>
      </c>
      <c r="F256" s="143" t="s">
        <v>3607</v>
      </c>
      <c r="G256" s="143" t="s">
        <v>4473</v>
      </c>
      <c r="H256" s="143" t="s">
        <v>4474</v>
      </c>
      <c r="I256" s="143" t="s">
        <v>4475</v>
      </c>
      <c r="J256" s="217">
        <v>44287</v>
      </c>
      <c r="K256" s="217">
        <v>44560</v>
      </c>
      <c r="L256" s="143" t="s">
        <v>4476</v>
      </c>
      <c r="M256" s="143" t="s">
        <v>4379</v>
      </c>
      <c r="N256" s="143" t="s">
        <v>30</v>
      </c>
      <c r="O256" s="143" t="s">
        <v>4477</v>
      </c>
      <c r="P256" s="143" t="s">
        <v>735</v>
      </c>
      <c r="Q256" s="223">
        <v>3</v>
      </c>
      <c r="R256" s="223">
        <v>0</v>
      </c>
      <c r="S256" s="223">
        <v>0</v>
      </c>
      <c r="T256" s="223">
        <v>2</v>
      </c>
      <c r="U256" s="223">
        <v>1</v>
      </c>
      <c r="V256" s="223">
        <v>0</v>
      </c>
      <c r="W256" s="223" t="s">
        <v>4478</v>
      </c>
      <c r="X256" s="223">
        <v>1</v>
      </c>
      <c r="Y256" s="223" t="s">
        <v>4479</v>
      </c>
      <c r="Z256" s="223">
        <v>2</v>
      </c>
      <c r="AA256" s="223" t="s">
        <v>4480</v>
      </c>
      <c r="AB256" s="223"/>
      <c r="AC256" s="223"/>
      <c r="AD256" s="213">
        <v>44295</v>
      </c>
      <c r="AE256" s="213">
        <v>44379</v>
      </c>
      <c r="AF256" s="213">
        <v>44483</v>
      </c>
      <c r="AG256" s="213"/>
      <c r="AH256" s="75">
        <f t="shared" si="13"/>
        <v>1</v>
      </c>
      <c r="AI256" s="75" t="str">
        <f t="shared" si="14"/>
        <v/>
      </c>
      <c r="AJ256" s="75" t="str">
        <f t="shared" si="15"/>
        <v/>
      </c>
      <c r="AK256" s="75">
        <f t="shared" si="16"/>
        <v>1</v>
      </c>
      <c r="AL256" s="75" t="s">
        <v>2467</v>
      </c>
      <c r="AM256" s="212" t="s">
        <v>838</v>
      </c>
      <c r="AN256" s="212" t="s">
        <v>739</v>
      </c>
      <c r="AO256" s="212" t="s">
        <v>739</v>
      </c>
      <c r="AP256" s="212"/>
      <c r="AQ256" s="212" t="s">
        <v>4481</v>
      </c>
      <c r="AR256" s="212" t="s">
        <v>4482</v>
      </c>
      <c r="AS256" s="212" t="s">
        <v>4483</v>
      </c>
      <c r="AT256" s="212"/>
      <c r="AU256" s="212" t="s">
        <v>838</v>
      </c>
      <c r="AV256" s="212" t="s">
        <v>739</v>
      </c>
      <c r="AW256" s="212" t="s">
        <v>739</v>
      </c>
      <c r="AX256" s="212"/>
      <c r="AY256" s="212" t="s">
        <v>4336</v>
      </c>
      <c r="AZ256" s="212" t="s">
        <v>4484</v>
      </c>
      <c r="BA256" s="214" t="s">
        <v>4485</v>
      </c>
      <c r="BB256" s="214"/>
      <c r="BC256" s="143" t="s">
        <v>727</v>
      </c>
    </row>
    <row r="257" spans="1:55" ht="15" customHeight="1" x14ac:dyDescent="0.25">
      <c r="A257" s="210">
        <v>32</v>
      </c>
      <c r="B257" s="143" t="s">
        <v>4288</v>
      </c>
      <c r="C257" s="143" t="s">
        <v>4347</v>
      </c>
      <c r="D257" s="143" t="s">
        <v>4486</v>
      </c>
      <c r="E257" s="143" t="s">
        <v>3606</v>
      </c>
      <c r="F257" s="143" t="s">
        <v>3607</v>
      </c>
      <c r="G257" s="143" t="s">
        <v>4473</v>
      </c>
      <c r="H257" s="143" t="s">
        <v>4474</v>
      </c>
      <c r="I257" s="143" t="s">
        <v>4487</v>
      </c>
      <c r="J257" s="217">
        <v>44228</v>
      </c>
      <c r="K257" s="217">
        <v>44560</v>
      </c>
      <c r="L257" s="143" t="s">
        <v>4488</v>
      </c>
      <c r="M257" s="143" t="s">
        <v>4367</v>
      </c>
      <c r="N257" s="143" t="s">
        <v>30</v>
      </c>
      <c r="O257" s="143" t="s">
        <v>228</v>
      </c>
      <c r="P257" s="143" t="s">
        <v>735</v>
      </c>
      <c r="Q257" s="223">
        <v>50</v>
      </c>
      <c r="R257" s="223">
        <v>0</v>
      </c>
      <c r="S257" s="223">
        <v>10</v>
      </c>
      <c r="T257" s="223">
        <v>15</v>
      </c>
      <c r="U257" s="223">
        <v>25</v>
      </c>
      <c r="V257" s="223">
        <v>0</v>
      </c>
      <c r="W257" s="223" t="s">
        <v>4489</v>
      </c>
      <c r="X257" s="223">
        <v>93</v>
      </c>
      <c r="Y257" s="223" t="s">
        <v>4490</v>
      </c>
      <c r="Z257" s="223">
        <v>64</v>
      </c>
      <c r="AA257" s="223" t="s">
        <v>4491</v>
      </c>
      <c r="AB257" s="223"/>
      <c r="AC257" s="223"/>
      <c r="AD257" s="213">
        <v>44295</v>
      </c>
      <c r="AE257" s="213">
        <v>44379</v>
      </c>
      <c r="AF257" s="213">
        <v>44483</v>
      </c>
      <c r="AG257" s="213"/>
      <c r="AH257" s="75">
        <f t="shared" si="13"/>
        <v>1</v>
      </c>
      <c r="AI257" s="75" t="str">
        <f t="shared" si="14"/>
        <v/>
      </c>
      <c r="AJ257" s="75">
        <f t="shared" si="15"/>
        <v>1</v>
      </c>
      <c r="AK257" s="75">
        <f t="shared" si="16"/>
        <v>1</v>
      </c>
      <c r="AL257" s="75" t="s">
        <v>2467</v>
      </c>
      <c r="AM257" s="212" t="s">
        <v>739</v>
      </c>
      <c r="AN257" s="212" t="s">
        <v>739</v>
      </c>
      <c r="AO257" s="212" t="s">
        <v>739</v>
      </c>
      <c r="AP257" s="212"/>
      <c r="AQ257" s="212" t="s">
        <v>4300</v>
      </c>
      <c r="AR257" s="212" t="s">
        <v>4492</v>
      </c>
      <c r="AS257" s="212" t="s">
        <v>4493</v>
      </c>
      <c r="AT257" s="212"/>
      <c r="AU257" s="212" t="s">
        <v>838</v>
      </c>
      <c r="AV257" s="212" t="s">
        <v>739</v>
      </c>
      <c r="AW257" s="212" t="s">
        <v>739</v>
      </c>
      <c r="AX257" s="212"/>
      <c r="AY257" s="212" t="s">
        <v>4494</v>
      </c>
      <c r="AZ257" s="212" t="s">
        <v>4495</v>
      </c>
      <c r="BA257" s="214" t="s">
        <v>4496</v>
      </c>
      <c r="BB257" s="214"/>
      <c r="BC257" s="143" t="s">
        <v>727</v>
      </c>
    </row>
    <row r="258" spans="1:55" ht="15" customHeight="1" x14ac:dyDescent="0.25">
      <c r="A258" s="210">
        <v>33</v>
      </c>
      <c r="B258" s="143" t="s">
        <v>4288</v>
      </c>
      <c r="C258" s="143" t="s">
        <v>4497</v>
      </c>
      <c r="D258" s="143" t="s">
        <v>4498</v>
      </c>
      <c r="E258" s="143" t="s">
        <v>3606</v>
      </c>
      <c r="F258" s="143" t="s">
        <v>4499</v>
      </c>
      <c r="G258" s="143" t="s">
        <v>4473</v>
      </c>
      <c r="H258" s="143" t="s">
        <v>4474</v>
      </c>
      <c r="I258" s="143" t="s">
        <v>4500</v>
      </c>
      <c r="J258" s="217">
        <v>44287</v>
      </c>
      <c r="K258" s="217">
        <v>44560</v>
      </c>
      <c r="L258" s="143" t="s">
        <v>4501</v>
      </c>
      <c r="M258" s="143" t="s">
        <v>4367</v>
      </c>
      <c r="N258" s="143" t="s">
        <v>60</v>
      </c>
      <c r="O258" s="143" t="s">
        <v>4502</v>
      </c>
      <c r="P258" s="143" t="s">
        <v>735</v>
      </c>
      <c r="Q258" s="241">
        <v>1</v>
      </c>
      <c r="R258" s="241">
        <v>0</v>
      </c>
      <c r="S258" s="241">
        <v>0.2</v>
      </c>
      <c r="T258" s="241">
        <v>0.4</v>
      </c>
      <c r="U258" s="241">
        <v>0.4</v>
      </c>
      <c r="V258" s="241">
        <v>0</v>
      </c>
      <c r="W258" s="241" t="s">
        <v>4503</v>
      </c>
      <c r="X258" s="241">
        <v>0.2</v>
      </c>
      <c r="Y258" s="241" t="s">
        <v>4504</v>
      </c>
      <c r="Z258" s="241">
        <v>0.4</v>
      </c>
      <c r="AA258" s="241" t="s">
        <v>4505</v>
      </c>
      <c r="AB258" s="241"/>
      <c r="AC258" s="241"/>
      <c r="AD258" s="213">
        <v>44295</v>
      </c>
      <c r="AE258" s="213">
        <v>44379</v>
      </c>
      <c r="AF258" s="213">
        <v>44483</v>
      </c>
      <c r="AG258" s="213"/>
      <c r="AH258" s="75">
        <f t="shared" si="13"/>
        <v>0.60000000000000009</v>
      </c>
      <c r="AI258" s="75" t="str">
        <f t="shared" si="14"/>
        <v/>
      </c>
      <c r="AJ258" s="75">
        <f t="shared" si="15"/>
        <v>1</v>
      </c>
      <c r="AK258" s="75">
        <f t="shared" si="16"/>
        <v>1</v>
      </c>
      <c r="AL258" s="75" t="s">
        <v>2467</v>
      </c>
      <c r="AM258" s="212" t="s">
        <v>838</v>
      </c>
      <c r="AN258" s="212" t="s">
        <v>739</v>
      </c>
      <c r="AO258" s="212" t="s">
        <v>739</v>
      </c>
      <c r="AP258" s="212"/>
      <c r="AQ258" s="212" t="s">
        <v>4481</v>
      </c>
      <c r="AR258" s="212" t="s">
        <v>4506</v>
      </c>
      <c r="AS258" s="212" t="s">
        <v>4507</v>
      </c>
      <c r="AT258" s="212"/>
      <c r="AU258" s="212" t="s">
        <v>838</v>
      </c>
      <c r="AV258" s="212" t="s">
        <v>739</v>
      </c>
      <c r="AW258" s="212" t="s">
        <v>739</v>
      </c>
      <c r="AX258" s="212"/>
      <c r="AY258" s="212" t="s">
        <v>4336</v>
      </c>
      <c r="AZ258" s="212" t="s">
        <v>4508</v>
      </c>
      <c r="BA258" s="214" t="s">
        <v>4509</v>
      </c>
      <c r="BB258" s="214"/>
      <c r="BC258" s="143" t="s">
        <v>727</v>
      </c>
    </row>
    <row r="259" spans="1:55" ht="15" customHeight="1" x14ac:dyDescent="0.25">
      <c r="A259" s="210">
        <v>34</v>
      </c>
      <c r="B259" s="143" t="s">
        <v>4288</v>
      </c>
      <c r="C259" s="143" t="s">
        <v>4497</v>
      </c>
      <c r="D259" s="143" t="s">
        <v>4498</v>
      </c>
      <c r="E259" s="143" t="s">
        <v>3606</v>
      </c>
      <c r="F259" s="143" t="s">
        <v>4499</v>
      </c>
      <c r="G259" s="143" t="s">
        <v>4473</v>
      </c>
      <c r="H259" s="143" t="s">
        <v>4474</v>
      </c>
      <c r="I259" s="143" t="s">
        <v>4510</v>
      </c>
      <c r="J259" s="217">
        <v>44287</v>
      </c>
      <c r="K259" s="217">
        <v>44560</v>
      </c>
      <c r="L259" s="143" t="s">
        <v>4511</v>
      </c>
      <c r="M259" s="143" t="s">
        <v>4367</v>
      </c>
      <c r="N259" s="143" t="s">
        <v>60</v>
      </c>
      <c r="O259" s="143" t="s">
        <v>4512</v>
      </c>
      <c r="P259" s="143" t="s">
        <v>735</v>
      </c>
      <c r="Q259" s="241">
        <v>1</v>
      </c>
      <c r="R259" s="241">
        <v>0</v>
      </c>
      <c r="S259" s="241">
        <v>0.2</v>
      </c>
      <c r="T259" s="241">
        <v>0.4</v>
      </c>
      <c r="U259" s="241">
        <v>0.4</v>
      </c>
      <c r="V259" s="241">
        <v>0</v>
      </c>
      <c r="W259" s="241" t="s">
        <v>4503</v>
      </c>
      <c r="X259" s="241">
        <v>0.2</v>
      </c>
      <c r="Y259" s="241" t="s">
        <v>4513</v>
      </c>
      <c r="Z259" s="241">
        <v>0.4</v>
      </c>
      <c r="AA259" s="241" t="s">
        <v>4514</v>
      </c>
      <c r="AB259" s="241"/>
      <c r="AC259" s="241"/>
      <c r="AD259" s="213">
        <v>44295</v>
      </c>
      <c r="AE259" s="213">
        <v>44379</v>
      </c>
      <c r="AF259" s="213">
        <v>44483</v>
      </c>
      <c r="AG259" s="213"/>
      <c r="AH259" s="75">
        <f t="shared" ref="AH259:AH322" si="18">IFERROR(IF((V259+X259+Z259+AB259)/Q259&gt;1,1,(V259+X259+Z259+AB259)/Q259),0)</f>
        <v>0.60000000000000009</v>
      </c>
      <c r="AI259" s="75" t="str">
        <f t="shared" ref="AI259:AI322" si="19">IFERROR(IF(R259=0,"",IF((V259/R259)&gt;1,1,(V259/R259))),"")</f>
        <v/>
      </c>
      <c r="AJ259" s="75">
        <f t="shared" ref="AJ259:AJ322" si="20">IFERROR(IF(S259=0,"",IF((V259+X259/S259)&gt;1,1,(V259+X259/S259))),"")</f>
        <v>1</v>
      </c>
      <c r="AK259" s="75">
        <f t="shared" ref="AK259:AK322" si="21">IFERROR(IF(T259=0,"",IF((V259+X259+Z259/T259)&gt;1,1,(V259+X259+Z259/T259))),"")</f>
        <v>1</v>
      </c>
      <c r="AL259" s="75" t="s">
        <v>2467</v>
      </c>
      <c r="AM259" s="212" t="s">
        <v>838</v>
      </c>
      <c r="AN259" s="212" t="s">
        <v>739</v>
      </c>
      <c r="AO259" s="212" t="s">
        <v>739</v>
      </c>
      <c r="AP259" s="212"/>
      <c r="AQ259" s="212" t="s">
        <v>4481</v>
      </c>
      <c r="AR259" s="212" t="s">
        <v>4515</v>
      </c>
      <c r="AS259" s="212" t="s">
        <v>4516</v>
      </c>
      <c r="AT259" s="212"/>
      <c r="AU259" s="212" t="s">
        <v>838</v>
      </c>
      <c r="AV259" s="212" t="s">
        <v>739</v>
      </c>
      <c r="AW259" s="212" t="s">
        <v>739</v>
      </c>
      <c r="AX259" s="212"/>
      <c r="AY259" s="212" t="s">
        <v>4336</v>
      </c>
      <c r="AZ259" s="212" t="s">
        <v>4517</v>
      </c>
      <c r="BA259" s="214" t="s">
        <v>4518</v>
      </c>
      <c r="BB259" s="214"/>
      <c r="BC259" s="143" t="s">
        <v>727</v>
      </c>
    </row>
    <row r="260" spans="1:55" ht="15" customHeight="1" x14ac:dyDescent="0.25">
      <c r="A260" s="210">
        <v>35</v>
      </c>
      <c r="B260" s="143" t="s">
        <v>4288</v>
      </c>
      <c r="C260" s="143" t="s">
        <v>4497</v>
      </c>
      <c r="D260" s="143" t="s">
        <v>4519</v>
      </c>
      <c r="E260" s="143" t="s">
        <v>3606</v>
      </c>
      <c r="F260" s="143" t="s">
        <v>4499</v>
      </c>
      <c r="G260" s="143" t="s">
        <v>4473</v>
      </c>
      <c r="H260" s="143" t="s">
        <v>4474</v>
      </c>
      <c r="I260" s="143" t="s">
        <v>4520</v>
      </c>
      <c r="J260" s="217">
        <v>44256</v>
      </c>
      <c r="K260" s="217">
        <v>44560</v>
      </c>
      <c r="L260" s="143" t="s">
        <v>4521</v>
      </c>
      <c r="M260" s="143" t="s">
        <v>4367</v>
      </c>
      <c r="N260" s="143" t="s">
        <v>30</v>
      </c>
      <c r="O260" s="143" t="s">
        <v>4522</v>
      </c>
      <c r="P260" s="143" t="s">
        <v>735</v>
      </c>
      <c r="Q260" s="223">
        <v>5</v>
      </c>
      <c r="R260" s="223">
        <v>0</v>
      </c>
      <c r="S260" s="223">
        <v>0</v>
      </c>
      <c r="T260" s="223">
        <v>0</v>
      </c>
      <c r="U260" s="223">
        <v>5</v>
      </c>
      <c r="V260" s="223">
        <v>0</v>
      </c>
      <c r="W260" s="223" t="s">
        <v>4523</v>
      </c>
      <c r="X260" s="223">
        <v>0</v>
      </c>
      <c r="Y260" s="223" t="s">
        <v>4524</v>
      </c>
      <c r="Z260" s="223">
        <v>0</v>
      </c>
      <c r="AA260" s="223" t="s">
        <v>4525</v>
      </c>
      <c r="AB260" s="223"/>
      <c r="AC260" s="223"/>
      <c r="AD260" s="213">
        <v>44295</v>
      </c>
      <c r="AE260" s="213">
        <v>44379</v>
      </c>
      <c r="AF260" s="213">
        <v>44483</v>
      </c>
      <c r="AG260" s="213"/>
      <c r="AH260" s="75">
        <f t="shared" si="18"/>
        <v>0</v>
      </c>
      <c r="AI260" s="75" t="str">
        <f t="shared" si="19"/>
        <v/>
      </c>
      <c r="AJ260" s="75" t="str">
        <f t="shared" si="20"/>
        <v/>
      </c>
      <c r="AK260" s="75" t="str">
        <f t="shared" si="21"/>
        <v/>
      </c>
      <c r="AL260" s="75" t="s">
        <v>2467</v>
      </c>
      <c r="AM260" s="212" t="s">
        <v>739</v>
      </c>
      <c r="AN260" s="212" t="s">
        <v>739</v>
      </c>
      <c r="AO260" s="212" t="s">
        <v>739</v>
      </c>
      <c r="AP260" s="212"/>
      <c r="AQ260" s="212" t="s">
        <v>4300</v>
      </c>
      <c r="AR260" s="212" t="s">
        <v>4526</v>
      </c>
      <c r="AS260" s="212" t="s">
        <v>4527</v>
      </c>
      <c r="AT260" s="212"/>
      <c r="AU260" s="212" t="s">
        <v>838</v>
      </c>
      <c r="AV260" s="212" t="s">
        <v>739</v>
      </c>
      <c r="AW260" s="212" t="s">
        <v>739</v>
      </c>
      <c r="AX260" s="212"/>
      <c r="AY260" s="212" t="s">
        <v>4528</v>
      </c>
      <c r="AZ260" s="212" t="s">
        <v>4529</v>
      </c>
      <c r="BA260" s="214" t="s">
        <v>4530</v>
      </c>
      <c r="BB260" s="214"/>
      <c r="BC260" s="143" t="s">
        <v>727</v>
      </c>
    </row>
    <row r="261" spans="1:55" ht="15" customHeight="1" x14ac:dyDescent="0.25">
      <c r="A261" s="210">
        <v>36</v>
      </c>
      <c r="B261" s="143" t="s">
        <v>4288</v>
      </c>
      <c r="C261" s="143" t="s">
        <v>4497</v>
      </c>
      <c r="D261" s="143" t="s">
        <v>4519</v>
      </c>
      <c r="E261" s="143" t="s">
        <v>3606</v>
      </c>
      <c r="F261" s="143" t="s">
        <v>4499</v>
      </c>
      <c r="G261" s="143" t="s">
        <v>4473</v>
      </c>
      <c r="H261" s="143" t="s">
        <v>4474</v>
      </c>
      <c r="I261" s="143" t="s">
        <v>4531</v>
      </c>
      <c r="J261" s="217">
        <v>44287</v>
      </c>
      <c r="K261" s="217">
        <v>44560</v>
      </c>
      <c r="L261" s="143" t="s">
        <v>4532</v>
      </c>
      <c r="M261" s="143" t="s">
        <v>4367</v>
      </c>
      <c r="N261" s="143" t="s">
        <v>30</v>
      </c>
      <c r="O261" s="143" t="s">
        <v>4522</v>
      </c>
      <c r="P261" s="143" t="s">
        <v>735</v>
      </c>
      <c r="Q261" s="223">
        <v>45</v>
      </c>
      <c r="R261" s="223">
        <v>0</v>
      </c>
      <c r="S261" s="223">
        <v>5</v>
      </c>
      <c r="T261" s="223">
        <v>15</v>
      </c>
      <c r="U261" s="223">
        <v>25</v>
      </c>
      <c r="V261" s="223">
        <v>0</v>
      </c>
      <c r="W261" s="223" t="s">
        <v>4503</v>
      </c>
      <c r="X261" s="223">
        <v>0</v>
      </c>
      <c r="Y261" s="223" t="s">
        <v>4533</v>
      </c>
      <c r="Z261" s="223">
        <v>41</v>
      </c>
      <c r="AA261" s="223" t="s">
        <v>4534</v>
      </c>
      <c r="AB261" s="223"/>
      <c r="AC261" s="223"/>
      <c r="AD261" s="213">
        <v>44295</v>
      </c>
      <c r="AE261" s="213">
        <v>44379</v>
      </c>
      <c r="AF261" s="213">
        <v>44483</v>
      </c>
      <c r="AG261" s="213"/>
      <c r="AH261" s="75">
        <f t="shared" si="18"/>
        <v>0.91111111111111109</v>
      </c>
      <c r="AI261" s="75" t="str">
        <f t="shared" si="19"/>
        <v/>
      </c>
      <c r="AJ261" s="75">
        <f t="shared" si="20"/>
        <v>0</v>
      </c>
      <c r="AK261" s="75">
        <f t="shared" si="21"/>
        <v>1</v>
      </c>
      <c r="AL261" s="75" t="s">
        <v>2467</v>
      </c>
      <c r="AM261" s="212" t="s">
        <v>838</v>
      </c>
      <c r="AN261" s="212" t="s">
        <v>828</v>
      </c>
      <c r="AO261" s="212" t="s">
        <v>739</v>
      </c>
      <c r="AP261" s="212"/>
      <c r="AQ261" s="212" t="s">
        <v>4535</v>
      </c>
      <c r="AR261" s="212" t="s">
        <v>4536</v>
      </c>
      <c r="AS261" s="212" t="s">
        <v>4537</v>
      </c>
      <c r="AT261" s="212"/>
      <c r="AU261" s="212" t="s">
        <v>838</v>
      </c>
      <c r="AV261" s="212" t="s">
        <v>828</v>
      </c>
      <c r="AW261" s="212" t="s">
        <v>739</v>
      </c>
      <c r="AX261" s="212"/>
      <c r="AY261" s="212" t="s">
        <v>4336</v>
      </c>
      <c r="AZ261" s="212" t="s">
        <v>4538</v>
      </c>
      <c r="BA261" s="214" t="s">
        <v>4539</v>
      </c>
      <c r="BB261" s="214"/>
      <c r="BC261" s="143" t="s">
        <v>727</v>
      </c>
    </row>
    <row r="262" spans="1:55" ht="15" customHeight="1" x14ac:dyDescent="0.25">
      <c r="A262" s="210">
        <v>37</v>
      </c>
      <c r="B262" s="143" t="s">
        <v>4288</v>
      </c>
      <c r="C262" s="143" t="s">
        <v>4497</v>
      </c>
      <c r="D262" s="143" t="s">
        <v>4519</v>
      </c>
      <c r="E262" s="143" t="s">
        <v>3606</v>
      </c>
      <c r="F262" s="143" t="s">
        <v>4499</v>
      </c>
      <c r="G262" s="143" t="s">
        <v>4473</v>
      </c>
      <c r="H262" s="143" t="s">
        <v>4474</v>
      </c>
      <c r="I262" s="143" t="s">
        <v>4540</v>
      </c>
      <c r="J262" s="217">
        <v>44287</v>
      </c>
      <c r="K262" s="217">
        <v>44560</v>
      </c>
      <c r="L262" s="143" t="s">
        <v>4541</v>
      </c>
      <c r="M262" s="143" t="s">
        <v>4367</v>
      </c>
      <c r="N262" s="143" t="s">
        <v>30</v>
      </c>
      <c r="O262" s="143" t="s">
        <v>4522</v>
      </c>
      <c r="P262" s="143" t="s">
        <v>735</v>
      </c>
      <c r="Q262" s="223">
        <v>1</v>
      </c>
      <c r="R262" s="223">
        <v>0</v>
      </c>
      <c r="S262" s="223">
        <v>0</v>
      </c>
      <c r="T262" s="223">
        <v>0</v>
      </c>
      <c r="U262" s="223">
        <v>1</v>
      </c>
      <c r="V262" s="223">
        <v>0</v>
      </c>
      <c r="W262" s="223" t="s">
        <v>4503</v>
      </c>
      <c r="X262" s="223">
        <v>0</v>
      </c>
      <c r="Y262" s="223" t="s">
        <v>4542</v>
      </c>
      <c r="Z262" s="223">
        <v>0</v>
      </c>
      <c r="AA262" s="223" t="s">
        <v>4543</v>
      </c>
      <c r="AB262" s="223"/>
      <c r="AC262" s="223"/>
      <c r="AD262" s="213">
        <v>44295</v>
      </c>
      <c r="AE262" s="213">
        <v>44379</v>
      </c>
      <c r="AF262" s="213">
        <v>44483</v>
      </c>
      <c r="AG262" s="213"/>
      <c r="AH262" s="75">
        <f t="shared" si="18"/>
        <v>0</v>
      </c>
      <c r="AI262" s="75" t="str">
        <f t="shared" si="19"/>
        <v/>
      </c>
      <c r="AJ262" s="75" t="str">
        <f t="shared" si="20"/>
        <v/>
      </c>
      <c r="AK262" s="75" t="str">
        <f t="shared" si="21"/>
        <v/>
      </c>
      <c r="AL262" s="75" t="s">
        <v>2467</v>
      </c>
      <c r="AM262" s="212" t="s">
        <v>838</v>
      </c>
      <c r="AN262" s="212" t="s">
        <v>739</v>
      </c>
      <c r="AO262" s="212" t="s">
        <v>739</v>
      </c>
      <c r="AP262" s="212"/>
      <c r="AQ262" s="212" t="s">
        <v>4535</v>
      </c>
      <c r="AR262" s="212" t="s">
        <v>4544</v>
      </c>
      <c r="AS262" s="212" t="s">
        <v>4545</v>
      </c>
      <c r="AT262" s="212"/>
      <c r="AU262" s="212" t="s">
        <v>838</v>
      </c>
      <c r="AV262" s="212" t="s">
        <v>739</v>
      </c>
      <c r="AW262" s="212" t="s">
        <v>739</v>
      </c>
      <c r="AX262" s="212"/>
      <c r="AY262" s="212" t="s">
        <v>4336</v>
      </c>
      <c r="AZ262" s="212" t="s">
        <v>4546</v>
      </c>
      <c r="BA262" s="214" t="s">
        <v>4547</v>
      </c>
      <c r="BB262" s="214"/>
      <c r="BC262" s="143" t="s">
        <v>727</v>
      </c>
    </row>
    <row r="263" spans="1:55" ht="15" customHeight="1" x14ac:dyDescent="0.25">
      <c r="A263" s="210">
        <v>38</v>
      </c>
      <c r="B263" s="143" t="s">
        <v>4288</v>
      </c>
      <c r="C263" s="143" t="s">
        <v>4497</v>
      </c>
      <c r="D263" s="143" t="s">
        <v>4548</v>
      </c>
      <c r="E263" s="143" t="s">
        <v>3606</v>
      </c>
      <c r="F263" s="143" t="s">
        <v>4499</v>
      </c>
      <c r="G263" s="143" t="s">
        <v>4473</v>
      </c>
      <c r="H263" s="143" t="s">
        <v>4474</v>
      </c>
      <c r="I263" s="143" t="s">
        <v>4549</v>
      </c>
      <c r="J263" s="217">
        <v>44256</v>
      </c>
      <c r="K263" s="217">
        <v>44560</v>
      </c>
      <c r="L263" s="143" t="s">
        <v>4550</v>
      </c>
      <c r="M263" s="143" t="s">
        <v>4367</v>
      </c>
      <c r="N263" s="143" t="s">
        <v>30</v>
      </c>
      <c r="O263" s="143" t="s">
        <v>4551</v>
      </c>
      <c r="P263" s="143" t="s">
        <v>735</v>
      </c>
      <c r="Q263" s="224">
        <v>1</v>
      </c>
      <c r="R263" s="224">
        <v>0</v>
      </c>
      <c r="S263" s="224">
        <v>0</v>
      </c>
      <c r="T263" s="224">
        <v>0</v>
      </c>
      <c r="U263" s="224">
        <v>1</v>
      </c>
      <c r="V263" s="224">
        <v>0</v>
      </c>
      <c r="W263" s="224" t="s">
        <v>4552</v>
      </c>
      <c r="X263" s="224">
        <v>0</v>
      </c>
      <c r="Y263" s="224" t="s">
        <v>4553</v>
      </c>
      <c r="Z263" s="224">
        <v>1</v>
      </c>
      <c r="AA263" s="224" t="s">
        <v>4554</v>
      </c>
      <c r="AB263" s="224"/>
      <c r="AC263" s="224"/>
      <c r="AD263" s="213">
        <v>44295</v>
      </c>
      <c r="AE263" s="213">
        <v>44379</v>
      </c>
      <c r="AF263" s="213">
        <v>44483</v>
      </c>
      <c r="AG263" s="213"/>
      <c r="AH263" s="75">
        <f t="shared" si="18"/>
        <v>1</v>
      </c>
      <c r="AI263" s="75" t="str">
        <f t="shared" si="19"/>
        <v/>
      </c>
      <c r="AJ263" s="75" t="str">
        <f t="shared" si="20"/>
        <v/>
      </c>
      <c r="AK263" s="75" t="str">
        <f t="shared" si="21"/>
        <v/>
      </c>
      <c r="AL263" s="75" t="s">
        <v>2467</v>
      </c>
      <c r="AM263" s="212" t="s">
        <v>739</v>
      </c>
      <c r="AN263" s="212" t="s">
        <v>739</v>
      </c>
      <c r="AO263" s="212" t="s">
        <v>739</v>
      </c>
      <c r="AP263" s="212"/>
      <c r="AQ263" s="212" t="s">
        <v>4300</v>
      </c>
      <c r="AR263" s="212" t="s">
        <v>4555</v>
      </c>
      <c r="AS263" s="212" t="s">
        <v>4556</v>
      </c>
      <c r="AT263" s="212"/>
      <c r="AU263" s="212" t="s">
        <v>838</v>
      </c>
      <c r="AV263" s="212" t="s">
        <v>739</v>
      </c>
      <c r="AW263" s="212" t="s">
        <v>739</v>
      </c>
      <c r="AX263" s="212"/>
      <c r="AY263" s="212" t="s">
        <v>4557</v>
      </c>
      <c r="AZ263" s="212" t="s">
        <v>4558</v>
      </c>
      <c r="BA263" s="214" t="s">
        <v>4559</v>
      </c>
      <c r="BB263" s="214"/>
      <c r="BC263" s="143" t="s">
        <v>727</v>
      </c>
    </row>
    <row r="264" spans="1:55" ht="15" customHeight="1" x14ac:dyDescent="0.25">
      <c r="A264" s="210">
        <v>39</v>
      </c>
      <c r="B264" s="143" t="s">
        <v>4288</v>
      </c>
      <c r="C264" s="143" t="s">
        <v>4497</v>
      </c>
      <c r="D264" s="143" t="s">
        <v>4548</v>
      </c>
      <c r="E264" s="143" t="s">
        <v>3606</v>
      </c>
      <c r="F264" s="143" t="s">
        <v>4499</v>
      </c>
      <c r="G264" s="143" t="s">
        <v>4473</v>
      </c>
      <c r="H264" s="143" t="s">
        <v>4474</v>
      </c>
      <c r="I264" s="143" t="s">
        <v>4560</v>
      </c>
      <c r="J264" s="217">
        <v>44256</v>
      </c>
      <c r="K264" s="217">
        <v>44560</v>
      </c>
      <c r="L264" s="143" t="s">
        <v>4561</v>
      </c>
      <c r="M264" s="143" t="s">
        <v>4367</v>
      </c>
      <c r="N264" s="143" t="s">
        <v>30</v>
      </c>
      <c r="O264" s="143" t="s">
        <v>4562</v>
      </c>
      <c r="P264" s="143" t="s">
        <v>735</v>
      </c>
      <c r="Q264" s="223">
        <v>3</v>
      </c>
      <c r="R264" s="223">
        <v>0</v>
      </c>
      <c r="S264" s="223">
        <v>1</v>
      </c>
      <c r="T264" s="223">
        <v>1</v>
      </c>
      <c r="U264" s="223">
        <v>1</v>
      </c>
      <c r="V264" s="223">
        <v>0</v>
      </c>
      <c r="W264" s="223" t="s">
        <v>4563</v>
      </c>
      <c r="X264" s="223">
        <v>0</v>
      </c>
      <c r="Y264" s="223" t="s">
        <v>4564</v>
      </c>
      <c r="Z264" s="223">
        <v>1</v>
      </c>
      <c r="AA264" s="223" t="s">
        <v>4565</v>
      </c>
      <c r="AB264" s="223"/>
      <c r="AC264" s="223"/>
      <c r="AD264" s="213">
        <v>44295</v>
      </c>
      <c r="AE264" s="213">
        <v>44379</v>
      </c>
      <c r="AF264" s="213">
        <v>44483</v>
      </c>
      <c r="AG264" s="213"/>
      <c r="AH264" s="75">
        <f t="shared" si="18"/>
        <v>0.33333333333333331</v>
      </c>
      <c r="AI264" s="75" t="str">
        <f t="shared" si="19"/>
        <v/>
      </c>
      <c r="AJ264" s="75">
        <f t="shared" si="20"/>
        <v>0</v>
      </c>
      <c r="AK264" s="75">
        <f t="shared" si="21"/>
        <v>1</v>
      </c>
      <c r="AL264" s="75" t="s">
        <v>2467</v>
      </c>
      <c r="AM264" s="212" t="s">
        <v>739</v>
      </c>
      <c r="AN264" s="212" t="s">
        <v>828</v>
      </c>
      <c r="AO264" s="212" t="s">
        <v>739</v>
      </c>
      <c r="AP264" s="212"/>
      <c r="AQ264" s="212" t="s">
        <v>4300</v>
      </c>
      <c r="AR264" s="212" t="s">
        <v>4536</v>
      </c>
      <c r="AS264" s="212" t="s">
        <v>4566</v>
      </c>
      <c r="AT264" s="212"/>
      <c r="AU264" s="212" t="s">
        <v>838</v>
      </c>
      <c r="AV264" s="212" t="s">
        <v>828</v>
      </c>
      <c r="AW264" s="212" t="s">
        <v>739</v>
      </c>
      <c r="AX264" s="212"/>
      <c r="AY264" s="212" t="s">
        <v>4567</v>
      </c>
      <c r="AZ264" s="212" t="s">
        <v>4568</v>
      </c>
      <c r="BA264" s="214" t="s">
        <v>4569</v>
      </c>
      <c r="BB264" s="214"/>
      <c r="BC264" s="143" t="s">
        <v>727</v>
      </c>
    </row>
    <row r="265" spans="1:55" ht="15" customHeight="1" x14ac:dyDescent="0.25">
      <c r="A265" s="210">
        <v>40</v>
      </c>
      <c r="B265" s="143" t="s">
        <v>4288</v>
      </c>
      <c r="C265" s="143" t="s">
        <v>4289</v>
      </c>
      <c r="D265" s="143" t="s">
        <v>4570</v>
      </c>
      <c r="E265" s="143" t="s">
        <v>3008</v>
      </c>
      <c r="F265" s="143" t="s">
        <v>4291</v>
      </c>
      <c r="G265" s="143" t="s">
        <v>730</v>
      </c>
      <c r="H265" s="143" t="s">
        <v>4292</v>
      </c>
      <c r="I265" s="143" t="s">
        <v>4571</v>
      </c>
      <c r="J265" s="217">
        <v>44197</v>
      </c>
      <c r="K265" s="217">
        <v>44561</v>
      </c>
      <c r="L265" s="143" t="s">
        <v>4572</v>
      </c>
      <c r="M265" s="143" t="s">
        <v>4295</v>
      </c>
      <c r="N265" s="143" t="s">
        <v>60</v>
      </c>
      <c r="O265" s="143" t="s">
        <v>4573</v>
      </c>
      <c r="P265" s="143" t="s">
        <v>735</v>
      </c>
      <c r="Q265" s="215">
        <v>1</v>
      </c>
      <c r="R265" s="215">
        <v>0.25</v>
      </c>
      <c r="S265" s="215">
        <v>0.25</v>
      </c>
      <c r="T265" s="215">
        <v>0.25</v>
      </c>
      <c r="U265" s="215">
        <v>0.25</v>
      </c>
      <c r="V265" s="215">
        <v>0.25</v>
      </c>
      <c r="W265" s="215" t="s">
        <v>4574</v>
      </c>
      <c r="X265" s="215">
        <v>0.25</v>
      </c>
      <c r="Y265" s="215" t="s">
        <v>4575</v>
      </c>
      <c r="Z265" s="215">
        <v>0.25</v>
      </c>
      <c r="AA265" s="215" t="s">
        <v>4576</v>
      </c>
      <c r="AB265" s="215"/>
      <c r="AC265" s="215"/>
      <c r="AD265" s="213">
        <v>44295</v>
      </c>
      <c r="AE265" s="213">
        <v>44379</v>
      </c>
      <c r="AF265" s="213">
        <v>44483</v>
      </c>
      <c r="AG265" s="213"/>
      <c r="AH265" s="75">
        <f t="shared" si="18"/>
        <v>0.75</v>
      </c>
      <c r="AI265" s="75">
        <f t="shared" si="19"/>
        <v>1</v>
      </c>
      <c r="AJ265" s="75">
        <f t="shared" si="20"/>
        <v>1</v>
      </c>
      <c r="AK265" s="75">
        <f t="shared" si="21"/>
        <v>1</v>
      </c>
      <c r="AL265" s="75" t="s">
        <v>2467</v>
      </c>
      <c r="AM265" s="212" t="s">
        <v>739</v>
      </c>
      <c r="AN265" s="212" t="s">
        <v>739</v>
      </c>
      <c r="AO265" s="212" t="s">
        <v>739</v>
      </c>
      <c r="AP265" s="212"/>
      <c r="AQ265" s="212" t="s">
        <v>4300</v>
      </c>
      <c r="AR265" s="212" t="s">
        <v>4577</v>
      </c>
      <c r="AS265" s="212" t="s">
        <v>4578</v>
      </c>
      <c r="AT265" s="212"/>
      <c r="AU265" s="212" t="s">
        <v>739</v>
      </c>
      <c r="AV265" s="212" t="s">
        <v>739</v>
      </c>
      <c r="AW265" s="212" t="s">
        <v>739</v>
      </c>
      <c r="AX265" s="212"/>
      <c r="AY265" s="212" t="s">
        <v>4579</v>
      </c>
      <c r="AZ265" s="212" t="s">
        <v>4580</v>
      </c>
      <c r="BA265" s="214" t="s">
        <v>4581</v>
      </c>
      <c r="BB265" s="214"/>
      <c r="BC265" s="143" t="s">
        <v>4306</v>
      </c>
    </row>
    <row r="266" spans="1:55" ht="15" customHeight="1" x14ac:dyDescent="0.25">
      <c r="A266" s="210">
        <v>41</v>
      </c>
      <c r="B266" s="143" t="s">
        <v>4288</v>
      </c>
      <c r="C266" s="143" t="s">
        <v>4374</v>
      </c>
      <c r="D266" s="143" t="s">
        <v>4570</v>
      </c>
      <c r="E266" s="143" t="s">
        <v>3008</v>
      </c>
      <c r="F266" s="143" t="s">
        <v>4291</v>
      </c>
      <c r="G266" s="143" t="s">
        <v>730</v>
      </c>
      <c r="H266" s="143" t="s">
        <v>4292</v>
      </c>
      <c r="I266" s="143" t="s">
        <v>4582</v>
      </c>
      <c r="J266" s="217">
        <v>44197</v>
      </c>
      <c r="K266" s="217">
        <v>44561</v>
      </c>
      <c r="L266" s="143" t="s">
        <v>4583</v>
      </c>
      <c r="M266" s="143" t="s">
        <v>4379</v>
      </c>
      <c r="N266" s="143" t="s">
        <v>60</v>
      </c>
      <c r="O266" s="143" t="s">
        <v>4573</v>
      </c>
      <c r="P266" s="143" t="s">
        <v>735</v>
      </c>
      <c r="Q266" s="215">
        <v>1</v>
      </c>
      <c r="R266" s="215">
        <v>0.25</v>
      </c>
      <c r="S266" s="215">
        <v>0.25</v>
      </c>
      <c r="T266" s="215">
        <v>0.25</v>
      </c>
      <c r="U266" s="215">
        <v>0.25</v>
      </c>
      <c r="V266" s="215">
        <v>0.25</v>
      </c>
      <c r="W266" s="215" t="s">
        <v>4584</v>
      </c>
      <c r="X266" s="215">
        <v>0.25</v>
      </c>
      <c r="Y266" s="215" t="s">
        <v>4585</v>
      </c>
      <c r="Z266" s="215">
        <v>0.25</v>
      </c>
      <c r="AA266" s="215" t="s">
        <v>4586</v>
      </c>
      <c r="AB266" s="215"/>
      <c r="AC266" s="215"/>
      <c r="AD266" s="213">
        <v>44295</v>
      </c>
      <c r="AE266" s="213">
        <v>44379</v>
      </c>
      <c r="AF266" s="213">
        <v>44483</v>
      </c>
      <c r="AG266" s="213"/>
      <c r="AH266" s="75">
        <f t="shared" si="18"/>
        <v>0.75</v>
      </c>
      <c r="AI266" s="75">
        <f t="shared" si="19"/>
        <v>1</v>
      </c>
      <c r="AJ266" s="75">
        <f t="shared" si="20"/>
        <v>1</v>
      </c>
      <c r="AK266" s="75">
        <f t="shared" si="21"/>
        <v>1</v>
      </c>
      <c r="AL266" s="75" t="s">
        <v>2467</v>
      </c>
      <c r="AM266" s="212" t="s">
        <v>739</v>
      </c>
      <c r="AN266" s="212" t="s">
        <v>739</v>
      </c>
      <c r="AO266" s="212" t="s">
        <v>739</v>
      </c>
      <c r="AP266" s="212"/>
      <c r="AQ266" s="212" t="s">
        <v>4300</v>
      </c>
      <c r="AR266" s="212" t="s">
        <v>4587</v>
      </c>
      <c r="AS266" s="212" t="s">
        <v>4588</v>
      </c>
      <c r="AT266" s="212"/>
      <c r="AU266" s="212" t="s">
        <v>739</v>
      </c>
      <c r="AV266" s="212" t="s">
        <v>739</v>
      </c>
      <c r="AW266" s="212" t="s">
        <v>739</v>
      </c>
      <c r="AX266" s="212"/>
      <c r="AY266" s="212" t="s">
        <v>4589</v>
      </c>
      <c r="AZ266" s="212" t="s">
        <v>4590</v>
      </c>
      <c r="BA266" s="214" t="s">
        <v>4590</v>
      </c>
      <c r="BB266" s="214"/>
      <c r="BC266" s="143" t="s">
        <v>4306</v>
      </c>
    </row>
    <row r="267" spans="1:55" ht="15" customHeight="1" x14ac:dyDescent="0.25">
      <c r="A267" s="210">
        <v>42</v>
      </c>
      <c r="B267" s="143" t="s">
        <v>4288</v>
      </c>
      <c r="C267" s="143" t="s">
        <v>4289</v>
      </c>
      <c r="D267" s="143" t="s">
        <v>4570</v>
      </c>
      <c r="E267" s="143" t="s">
        <v>3008</v>
      </c>
      <c r="F267" s="143" t="s">
        <v>4291</v>
      </c>
      <c r="G267" s="143" t="s">
        <v>730</v>
      </c>
      <c r="H267" s="143" t="s">
        <v>4292</v>
      </c>
      <c r="I267" s="143" t="s">
        <v>4591</v>
      </c>
      <c r="J267" s="217">
        <v>44197</v>
      </c>
      <c r="K267" s="217">
        <v>44561</v>
      </c>
      <c r="L267" s="143" t="s">
        <v>4592</v>
      </c>
      <c r="M267" s="143" t="s">
        <v>4295</v>
      </c>
      <c r="N267" s="143" t="s">
        <v>60</v>
      </c>
      <c r="O267" s="143" t="s">
        <v>4573</v>
      </c>
      <c r="P267" s="143" t="s">
        <v>735</v>
      </c>
      <c r="Q267" s="215">
        <v>1</v>
      </c>
      <c r="R267" s="215">
        <v>0.25</v>
      </c>
      <c r="S267" s="215">
        <v>0.25</v>
      </c>
      <c r="T267" s="215">
        <v>0.25</v>
      </c>
      <c r="U267" s="215">
        <v>0.25</v>
      </c>
      <c r="V267" s="215">
        <v>0.25</v>
      </c>
      <c r="W267" s="215" t="s">
        <v>4593</v>
      </c>
      <c r="X267" s="215">
        <v>0.25</v>
      </c>
      <c r="Y267" s="215" t="s">
        <v>4594</v>
      </c>
      <c r="Z267" s="215">
        <v>0.25</v>
      </c>
      <c r="AA267" s="215" t="s">
        <v>4595</v>
      </c>
      <c r="AB267" s="215"/>
      <c r="AC267" s="215"/>
      <c r="AD267" s="213">
        <v>44295</v>
      </c>
      <c r="AE267" s="213">
        <v>44379</v>
      </c>
      <c r="AF267" s="213">
        <v>44483</v>
      </c>
      <c r="AG267" s="213"/>
      <c r="AH267" s="75">
        <f t="shared" si="18"/>
        <v>0.75</v>
      </c>
      <c r="AI267" s="75">
        <f t="shared" si="19"/>
        <v>1</v>
      </c>
      <c r="AJ267" s="75">
        <f t="shared" si="20"/>
        <v>1</v>
      </c>
      <c r="AK267" s="75">
        <f t="shared" si="21"/>
        <v>1</v>
      </c>
      <c r="AL267" s="75" t="s">
        <v>2467</v>
      </c>
      <c r="AM267" s="212" t="s">
        <v>739</v>
      </c>
      <c r="AN267" s="212" t="s">
        <v>739</v>
      </c>
      <c r="AO267" s="212" t="s">
        <v>739</v>
      </c>
      <c r="AP267" s="212"/>
      <c r="AQ267" s="212" t="s">
        <v>4300</v>
      </c>
      <c r="AR267" s="212" t="s">
        <v>4596</v>
      </c>
      <c r="AS267" s="212" t="s">
        <v>4588</v>
      </c>
      <c r="AT267" s="212"/>
      <c r="AU267" s="212" t="s">
        <v>739</v>
      </c>
      <c r="AV267" s="212" t="s">
        <v>739</v>
      </c>
      <c r="AW267" s="212" t="s">
        <v>739</v>
      </c>
      <c r="AX267" s="212"/>
      <c r="AY267" s="212" t="s">
        <v>4597</v>
      </c>
      <c r="AZ267" s="212" t="s">
        <v>4598</v>
      </c>
      <c r="BA267" s="214" t="s">
        <v>4599</v>
      </c>
      <c r="BB267" s="214"/>
      <c r="BC267" s="143" t="s">
        <v>4306</v>
      </c>
    </row>
    <row r="268" spans="1:55" ht="15" customHeight="1" x14ac:dyDescent="0.25">
      <c r="A268" s="210">
        <v>43</v>
      </c>
      <c r="B268" s="143" t="s">
        <v>4288</v>
      </c>
      <c r="C268" s="143" t="s">
        <v>4289</v>
      </c>
      <c r="D268" s="143" t="s">
        <v>4600</v>
      </c>
      <c r="E268" s="143" t="s">
        <v>3008</v>
      </c>
      <c r="F268" s="143" t="s">
        <v>4291</v>
      </c>
      <c r="G268" s="143" t="s">
        <v>730</v>
      </c>
      <c r="H268" s="143" t="s">
        <v>4292</v>
      </c>
      <c r="I268" s="143" t="s">
        <v>4601</v>
      </c>
      <c r="J268" s="217">
        <v>44440</v>
      </c>
      <c r="K268" s="217">
        <v>44561</v>
      </c>
      <c r="L268" s="143" t="s">
        <v>4602</v>
      </c>
      <c r="M268" s="143" t="s">
        <v>4295</v>
      </c>
      <c r="N268" s="143" t="s">
        <v>30</v>
      </c>
      <c r="O268" s="143" t="s">
        <v>4603</v>
      </c>
      <c r="P268" s="143" t="s">
        <v>735</v>
      </c>
      <c r="Q268" s="212">
        <f>SUM(R268:U268)</f>
        <v>1</v>
      </c>
      <c r="R268" s="212">
        <v>0</v>
      </c>
      <c r="S268" s="212">
        <v>0</v>
      </c>
      <c r="T268" s="212">
        <v>0</v>
      </c>
      <c r="U268" s="212">
        <v>1</v>
      </c>
      <c r="V268" s="212">
        <v>0</v>
      </c>
      <c r="W268" s="212" t="s">
        <v>4604</v>
      </c>
      <c r="X268" s="212">
        <v>0</v>
      </c>
      <c r="Y268" s="212" t="s">
        <v>4605</v>
      </c>
      <c r="Z268" s="212">
        <v>0</v>
      </c>
      <c r="AA268" s="212" t="s">
        <v>4606</v>
      </c>
      <c r="AB268" s="212"/>
      <c r="AC268" s="212"/>
      <c r="AD268" s="213">
        <v>44295</v>
      </c>
      <c r="AE268" s="213">
        <v>44379</v>
      </c>
      <c r="AF268" s="213">
        <v>44483</v>
      </c>
      <c r="AG268" s="213"/>
      <c r="AH268" s="75">
        <f t="shared" si="18"/>
        <v>0</v>
      </c>
      <c r="AI268" s="75" t="str">
        <f t="shared" si="19"/>
        <v/>
      </c>
      <c r="AJ268" s="75" t="str">
        <f t="shared" si="20"/>
        <v/>
      </c>
      <c r="AK268" s="75" t="str">
        <f t="shared" si="21"/>
        <v/>
      </c>
      <c r="AL268" s="75" t="s">
        <v>2467</v>
      </c>
      <c r="AM268" s="212" t="s">
        <v>739</v>
      </c>
      <c r="AN268" s="212" t="s">
        <v>739</v>
      </c>
      <c r="AO268" s="212" t="s">
        <v>739</v>
      </c>
      <c r="AP268" s="212"/>
      <c r="AQ268" s="212" t="s">
        <v>4300</v>
      </c>
      <c r="AR268" s="212" t="s">
        <v>4607</v>
      </c>
      <c r="AS268" s="212" t="s">
        <v>4608</v>
      </c>
      <c r="AT268" s="212"/>
      <c r="AU268" s="212" t="s">
        <v>838</v>
      </c>
      <c r="AV268" s="212" t="s">
        <v>838</v>
      </c>
      <c r="AW268" s="212" t="s">
        <v>739</v>
      </c>
      <c r="AX268" s="212"/>
      <c r="AY268" s="212" t="s">
        <v>1417</v>
      </c>
      <c r="AZ268" s="212" t="s">
        <v>4609</v>
      </c>
      <c r="BA268" s="214" t="s">
        <v>4610</v>
      </c>
      <c r="BB268" s="214"/>
      <c r="BC268" s="143" t="s">
        <v>4306</v>
      </c>
    </row>
    <row r="269" spans="1:55" ht="15" customHeight="1" x14ac:dyDescent="0.25">
      <c r="A269" s="210">
        <v>44</v>
      </c>
      <c r="B269" s="143" t="s">
        <v>4288</v>
      </c>
      <c r="C269" s="143" t="s">
        <v>4289</v>
      </c>
      <c r="D269" s="143" t="s">
        <v>4600</v>
      </c>
      <c r="E269" s="143" t="s">
        <v>3008</v>
      </c>
      <c r="F269" s="143" t="s">
        <v>4291</v>
      </c>
      <c r="G269" s="143" t="s">
        <v>730</v>
      </c>
      <c r="H269" s="143" t="s">
        <v>4292</v>
      </c>
      <c r="I269" s="143" t="s">
        <v>4611</v>
      </c>
      <c r="J269" s="217">
        <v>44440</v>
      </c>
      <c r="K269" s="217">
        <v>44561</v>
      </c>
      <c r="L269" s="143" t="s">
        <v>4602</v>
      </c>
      <c r="M269" s="143" t="s">
        <v>4295</v>
      </c>
      <c r="N269" s="143" t="s">
        <v>30</v>
      </c>
      <c r="O269" s="143" t="s">
        <v>4603</v>
      </c>
      <c r="P269" s="143" t="s">
        <v>735</v>
      </c>
      <c r="Q269" s="212">
        <f>SUM(R269:U269)</f>
        <v>1</v>
      </c>
      <c r="R269" s="212">
        <v>0</v>
      </c>
      <c r="S269" s="212">
        <v>0</v>
      </c>
      <c r="T269" s="212">
        <v>0</v>
      </c>
      <c r="U269" s="212">
        <v>1</v>
      </c>
      <c r="V269" s="212">
        <v>0</v>
      </c>
      <c r="W269" s="212" t="s">
        <v>4612</v>
      </c>
      <c r="X269" s="212">
        <v>0</v>
      </c>
      <c r="Y269" s="212" t="s">
        <v>4613</v>
      </c>
      <c r="Z269" s="212">
        <v>0</v>
      </c>
      <c r="AA269" s="212" t="s">
        <v>4606</v>
      </c>
      <c r="AB269" s="212"/>
      <c r="AC269" s="212"/>
      <c r="AD269" s="213">
        <v>44295</v>
      </c>
      <c r="AE269" s="213">
        <v>44379</v>
      </c>
      <c r="AF269" s="213">
        <v>44483</v>
      </c>
      <c r="AG269" s="213"/>
      <c r="AH269" s="75">
        <f t="shared" si="18"/>
        <v>0</v>
      </c>
      <c r="AI269" s="75" t="str">
        <f t="shared" si="19"/>
        <v/>
      </c>
      <c r="AJ269" s="75" t="str">
        <f t="shared" si="20"/>
        <v/>
      </c>
      <c r="AK269" s="75" t="str">
        <f t="shared" si="21"/>
        <v/>
      </c>
      <c r="AL269" s="75" t="s">
        <v>2467</v>
      </c>
      <c r="AM269" s="212" t="s">
        <v>739</v>
      </c>
      <c r="AN269" s="212" t="s">
        <v>739</v>
      </c>
      <c r="AO269" s="212" t="s">
        <v>739</v>
      </c>
      <c r="AP269" s="212"/>
      <c r="AQ269" s="212" t="s">
        <v>4300</v>
      </c>
      <c r="AR269" s="212" t="s">
        <v>4614</v>
      </c>
      <c r="AS269" s="212" t="s">
        <v>4615</v>
      </c>
      <c r="AT269" s="212"/>
      <c r="AU269" s="212" t="s">
        <v>838</v>
      </c>
      <c r="AV269" s="212" t="s">
        <v>838</v>
      </c>
      <c r="AW269" s="212" t="s">
        <v>739</v>
      </c>
      <c r="AX269" s="212"/>
      <c r="AY269" s="212" t="s">
        <v>1417</v>
      </c>
      <c r="AZ269" s="212" t="s">
        <v>4616</v>
      </c>
      <c r="BA269" s="214" t="s">
        <v>4617</v>
      </c>
      <c r="BB269" s="214"/>
      <c r="BC269" s="143" t="s">
        <v>4306</v>
      </c>
    </row>
    <row r="270" spans="1:55" ht="15" customHeight="1" x14ac:dyDescent="0.25">
      <c r="A270" s="210">
        <v>45</v>
      </c>
      <c r="B270" s="143" t="s">
        <v>4288</v>
      </c>
      <c r="C270" s="143" t="s">
        <v>4289</v>
      </c>
      <c r="D270" s="143" t="s">
        <v>4600</v>
      </c>
      <c r="E270" s="143" t="s">
        <v>3008</v>
      </c>
      <c r="F270" s="143" t="s">
        <v>4291</v>
      </c>
      <c r="G270" s="143" t="s">
        <v>730</v>
      </c>
      <c r="H270" s="143" t="s">
        <v>4292</v>
      </c>
      <c r="I270" s="143" t="s">
        <v>4618</v>
      </c>
      <c r="J270" s="217">
        <v>44197</v>
      </c>
      <c r="K270" s="217">
        <v>44561</v>
      </c>
      <c r="L270" s="143" t="s">
        <v>4619</v>
      </c>
      <c r="M270" s="143" t="s">
        <v>4295</v>
      </c>
      <c r="N270" s="143" t="s">
        <v>30</v>
      </c>
      <c r="O270" s="143" t="s">
        <v>4603</v>
      </c>
      <c r="P270" s="143" t="s">
        <v>735</v>
      </c>
      <c r="Q270" s="212">
        <f>SUM(R270:U270)</f>
        <v>2</v>
      </c>
      <c r="R270" s="212">
        <v>0</v>
      </c>
      <c r="S270" s="212">
        <v>1</v>
      </c>
      <c r="T270" s="212">
        <v>0</v>
      </c>
      <c r="U270" s="212">
        <v>1</v>
      </c>
      <c r="V270" s="212">
        <v>0</v>
      </c>
      <c r="W270" s="212" t="s">
        <v>4620</v>
      </c>
      <c r="X270" s="212">
        <v>1</v>
      </c>
      <c r="Y270" s="212" t="s">
        <v>4620</v>
      </c>
      <c r="Z270" s="212">
        <v>0</v>
      </c>
      <c r="AA270" s="212" t="s">
        <v>4621</v>
      </c>
      <c r="AB270" s="212"/>
      <c r="AC270" s="212"/>
      <c r="AD270" s="213">
        <v>44295</v>
      </c>
      <c r="AE270" s="213">
        <v>44379</v>
      </c>
      <c r="AF270" s="213">
        <v>44483</v>
      </c>
      <c r="AG270" s="213"/>
      <c r="AH270" s="75">
        <f t="shared" si="18"/>
        <v>0.5</v>
      </c>
      <c r="AI270" s="75" t="str">
        <f t="shared" si="19"/>
        <v/>
      </c>
      <c r="AJ270" s="75">
        <f t="shared" si="20"/>
        <v>1</v>
      </c>
      <c r="AK270" s="75" t="str">
        <f t="shared" si="21"/>
        <v/>
      </c>
      <c r="AL270" s="75" t="s">
        <v>2467</v>
      </c>
      <c r="AM270" s="212" t="s">
        <v>739</v>
      </c>
      <c r="AN270" s="212" t="s">
        <v>739</v>
      </c>
      <c r="AO270" s="212" t="s">
        <v>838</v>
      </c>
      <c r="AP270" s="212"/>
      <c r="AQ270" s="212" t="s">
        <v>4300</v>
      </c>
      <c r="AR270" s="212" t="s">
        <v>4622</v>
      </c>
      <c r="AS270" s="212" t="s">
        <v>842</v>
      </c>
      <c r="AT270" s="212"/>
      <c r="AU270" s="212" t="s">
        <v>838</v>
      </c>
      <c r="AV270" s="212" t="s">
        <v>739</v>
      </c>
      <c r="AW270" s="212" t="s">
        <v>838</v>
      </c>
      <c r="AX270" s="212"/>
      <c r="AY270" s="212" t="s">
        <v>4623</v>
      </c>
      <c r="AZ270" s="212" t="s">
        <v>4624</v>
      </c>
      <c r="BA270" s="214" t="s">
        <v>3380</v>
      </c>
      <c r="BB270" s="214"/>
      <c r="BC270" s="143" t="s">
        <v>4306</v>
      </c>
    </row>
    <row r="271" spans="1:55" ht="15" customHeight="1" x14ac:dyDescent="0.25">
      <c r="A271" s="210">
        <v>46</v>
      </c>
      <c r="B271" s="143" t="s">
        <v>4288</v>
      </c>
      <c r="C271" s="143" t="s">
        <v>4289</v>
      </c>
      <c r="D271" s="143" t="s">
        <v>4600</v>
      </c>
      <c r="E271" s="143" t="s">
        <v>3008</v>
      </c>
      <c r="F271" s="143" t="s">
        <v>4625</v>
      </c>
      <c r="G271" s="143" t="s">
        <v>730</v>
      </c>
      <c r="H271" s="143" t="s">
        <v>4292</v>
      </c>
      <c r="I271" s="143" t="s">
        <v>4626</v>
      </c>
      <c r="J271" s="217">
        <v>44197</v>
      </c>
      <c r="K271" s="217">
        <v>44561</v>
      </c>
      <c r="L271" s="143" t="s">
        <v>4627</v>
      </c>
      <c r="M271" s="143" t="s">
        <v>4295</v>
      </c>
      <c r="N271" s="143" t="s">
        <v>60</v>
      </c>
      <c r="O271" s="143" t="s">
        <v>4603</v>
      </c>
      <c r="P271" s="143" t="s">
        <v>735</v>
      </c>
      <c r="Q271" s="215">
        <v>1</v>
      </c>
      <c r="R271" s="215">
        <v>0</v>
      </c>
      <c r="S271" s="215">
        <v>0</v>
      </c>
      <c r="T271" s="215">
        <v>0</v>
      </c>
      <c r="U271" s="215">
        <v>1</v>
      </c>
      <c r="V271" s="215">
        <v>0</v>
      </c>
      <c r="W271" s="215" t="s">
        <v>4628</v>
      </c>
      <c r="X271" s="215">
        <v>0</v>
      </c>
      <c r="Y271" s="215" t="s">
        <v>4336</v>
      </c>
      <c r="Z271" s="215">
        <v>1</v>
      </c>
      <c r="AA271" s="215" t="s">
        <v>4629</v>
      </c>
      <c r="AB271" s="215"/>
      <c r="AC271" s="215"/>
      <c r="AD271" s="213">
        <v>44295</v>
      </c>
      <c r="AE271" s="213">
        <v>44379</v>
      </c>
      <c r="AF271" s="213">
        <v>44483</v>
      </c>
      <c r="AG271" s="213"/>
      <c r="AH271" s="75">
        <f t="shared" si="18"/>
        <v>1</v>
      </c>
      <c r="AI271" s="75" t="str">
        <f t="shared" si="19"/>
        <v/>
      </c>
      <c r="AJ271" s="75" t="str">
        <f t="shared" si="20"/>
        <v/>
      </c>
      <c r="AK271" s="75" t="str">
        <f t="shared" si="21"/>
        <v/>
      </c>
      <c r="AL271" s="75" t="s">
        <v>2467</v>
      </c>
      <c r="AM271" s="212" t="s">
        <v>739</v>
      </c>
      <c r="AN271" s="212" t="s">
        <v>838</v>
      </c>
      <c r="AO271" s="212" t="s">
        <v>739</v>
      </c>
      <c r="AP271" s="212"/>
      <c r="AQ271" s="212" t="s">
        <v>4300</v>
      </c>
      <c r="AR271" s="212" t="s">
        <v>4336</v>
      </c>
      <c r="AS271" s="212" t="s">
        <v>4630</v>
      </c>
      <c r="AT271" s="212"/>
      <c r="AU271" s="212" t="s">
        <v>838</v>
      </c>
      <c r="AV271" s="212" t="s">
        <v>838</v>
      </c>
      <c r="AW271" s="212" t="s">
        <v>739</v>
      </c>
      <c r="AX271" s="212"/>
      <c r="AY271" s="212" t="s">
        <v>4631</v>
      </c>
      <c r="AZ271" s="212" t="s">
        <v>1418</v>
      </c>
      <c r="BA271" s="214" t="s">
        <v>4632</v>
      </c>
      <c r="BB271" s="214"/>
      <c r="BC271" s="143" t="s">
        <v>4306</v>
      </c>
    </row>
    <row r="272" spans="1:55" ht="15" customHeight="1" x14ac:dyDescent="0.25">
      <c r="A272" s="210">
        <v>1</v>
      </c>
      <c r="B272" s="143" t="s">
        <v>4633</v>
      </c>
      <c r="C272" s="143" t="s">
        <v>4634</v>
      </c>
      <c r="D272" s="143" t="s">
        <v>4635</v>
      </c>
      <c r="E272" s="143" t="s">
        <v>792</v>
      </c>
      <c r="F272" s="143" t="s">
        <v>4636</v>
      </c>
      <c r="G272" s="143" t="s">
        <v>794</v>
      </c>
      <c r="H272" s="143" t="s">
        <v>794</v>
      </c>
      <c r="I272" s="143" t="s">
        <v>4637</v>
      </c>
      <c r="J272" s="217">
        <v>44197</v>
      </c>
      <c r="K272" s="217">
        <v>44561</v>
      </c>
      <c r="L272" s="143" t="s">
        <v>4638</v>
      </c>
      <c r="M272" s="143" t="s">
        <v>4639</v>
      </c>
      <c r="N272" s="143" t="s">
        <v>60</v>
      </c>
      <c r="O272" s="143" t="s">
        <v>4640</v>
      </c>
      <c r="P272" s="143" t="s">
        <v>821</v>
      </c>
      <c r="Q272" s="215">
        <v>1</v>
      </c>
      <c r="R272" s="215">
        <v>0</v>
      </c>
      <c r="S272" s="215">
        <v>0</v>
      </c>
      <c r="T272" s="215">
        <v>0</v>
      </c>
      <c r="U272" s="215">
        <v>1</v>
      </c>
      <c r="V272" s="215">
        <v>0</v>
      </c>
      <c r="W272" s="215" t="s">
        <v>4641</v>
      </c>
      <c r="X272" s="215">
        <v>0</v>
      </c>
      <c r="Y272" s="215" t="s">
        <v>4642</v>
      </c>
      <c r="Z272" s="215">
        <v>0.5</v>
      </c>
      <c r="AA272" s="215" t="s">
        <v>4643</v>
      </c>
      <c r="AB272" s="215"/>
      <c r="AC272" s="215"/>
      <c r="AD272" s="213">
        <v>44295</v>
      </c>
      <c r="AE272" s="213">
        <v>44379</v>
      </c>
      <c r="AF272" s="213">
        <v>44482</v>
      </c>
      <c r="AG272" s="213"/>
      <c r="AH272" s="75">
        <f t="shared" si="18"/>
        <v>0.5</v>
      </c>
      <c r="AI272" s="75" t="str">
        <f t="shared" si="19"/>
        <v/>
      </c>
      <c r="AJ272" s="75" t="str">
        <f t="shared" si="20"/>
        <v/>
      </c>
      <c r="AK272" s="75" t="str">
        <f t="shared" si="21"/>
        <v/>
      </c>
      <c r="AL272" s="75" t="s">
        <v>2467</v>
      </c>
      <c r="AM272" s="215" t="s">
        <v>838</v>
      </c>
      <c r="AN272" s="215" t="s">
        <v>838</v>
      </c>
      <c r="AO272" s="215" t="s">
        <v>739</v>
      </c>
      <c r="AP272" s="215"/>
      <c r="AQ272" s="215" t="s">
        <v>4644</v>
      </c>
      <c r="AR272" s="215" t="s">
        <v>4645</v>
      </c>
      <c r="AS272" s="215" t="s">
        <v>4646</v>
      </c>
      <c r="AT272" s="215"/>
      <c r="AU272" s="215" t="s">
        <v>838</v>
      </c>
      <c r="AV272" s="215" t="s">
        <v>838</v>
      </c>
      <c r="AW272" s="215" t="s">
        <v>739</v>
      </c>
      <c r="AX272" s="215"/>
      <c r="AY272" s="215" t="s">
        <v>4647</v>
      </c>
      <c r="AZ272" s="215" t="s">
        <v>3209</v>
      </c>
      <c r="BA272" s="214" t="s">
        <v>4648</v>
      </c>
      <c r="BB272" s="214"/>
      <c r="BC272" s="143" t="s">
        <v>727</v>
      </c>
    </row>
    <row r="273" spans="1:55" ht="15" customHeight="1" x14ac:dyDescent="0.25">
      <c r="A273" s="210">
        <v>2</v>
      </c>
      <c r="B273" s="143" t="s">
        <v>4633</v>
      </c>
      <c r="C273" s="143" t="s">
        <v>4634</v>
      </c>
      <c r="D273" s="143" t="s">
        <v>4649</v>
      </c>
      <c r="E273" s="143" t="s">
        <v>792</v>
      </c>
      <c r="F273" s="143" t="s">
        <v>793</v>
      </c>
      <c r="G273" s="143" t="s">
        <v>794</v>
      </c>
      <c r="H273" s="143" t="s">
        <v>794</v>
      </c>
      <c r="I273" s="143" t="s">
        <v>4650</v>
      </c>
      <c r="J273" s="217">
        <v>44197</v>
      </c>
      <c r="K273" s="217">
        <v>44255</v>
      </c>
      <c r="L273" s="143" t="s">
        <v>4651</v>
      </c>
      <c r="M273" s="143" t="s">
        <v>4639</v>
      </c>
      <c r="N273" s="143" t="s">
        <v>30</v>
      </c>
      <c r="O273" s="143" t="s">
        <v>4652</v>
      </c>
      <c r="P273" s="143" t="s">
        <v>821</v>
      </c>
      <c r="Q273" s="212">
        <v>1</v>
      </c>
      <c r="R273" s="212">
        <v>1</v>
      </c>
      <c r="S273" s="212">
        <v>0</v>
      </c>
      <c r="T273" s="212">
        <v>0</v>
      </c>
      <c r="U273" s="212">
        <v>0</v>
      </c>
      <c r="V273" s="212">
        <v>1</v>
      </c>
      <c r="W273" s="212" t="s">
        <v>4653</v>
      </c>
      <c r="X273" s="212">
        <v>0</v>
      </c>
      <c r="Y273" s="212" t="s">
        <v>4654</v>
      </c>
      <c r="Z273" s="212">
        <v>0</v>
      </c>
      <c r="AA273" s="212" t="s">
        <v>4654</v>
      </c>
      <c r="AB273" s="215"/>
      <c r="AC273" s="215"/>
      <c r="AD273" s="213">
        <v>44295</v>
      </c>
      <c r="AE273" s="213">
        <v>44379</v>
      </c>
      <c r="AF273" s="213">
        <v>44481</v>
      </c>
      <c r="AG273" s="213"/>
      <c r="AH273" s="75">
        <f t="shared" si="18"/>
        <v>1</v>
      </c>
      <c r="AI273" s="75">
        <f t="shared" si="19"/>
        <v>1</v>
      </c>
      <c r="AJ273" s="75" t="str">
        <f t="shared" si="20"/>
        <v/>
      </c>
      <c r="AK273" s="75" t="str">
        <f t="shared" si="21"/>
        <v/>
      </c>
      <c r="AL273" s="75" t="s">
        <v>2467</v>
      </c>
      <c r="AM273" s="215" t="s">
        <v>739</v>
      </c>
      <c r="AN273" s="215" t="s">
        <v>838</v>
      </c>
      <c r="AO273" s="215" t="s">
        <v>838</v>
      </c>
      <c r="AP273" s="215"/>
      <c r="AQ273" s="215" t="s">
        <v>4655</v>
      </c>
      <c r="AR273" s="215" t="s">
        <v>4656</v>
      </c>
      <c r="AS273" s="215" t="s">
        <v>4654</v>
      </c>
      <c r="AT273" s="215"/>
      <c r="AU273" s="215" t="s">
        <v>739</v>
      </c>
      <c r="AV273" s="215" t="s">
        <v>838</v>
      </c>
      <c r="AW273" s="215" t="s">
        <v>838</v>
      </c>
      <c r="AX273" s="215"/>
      <c r="AY273" s="215" t="s">
        <v>4657</v>
      </c>
      <c r="AZ273" s="215" t="s">
        <v>4658</v>
      </c>
      <c r="BA273" s="214" t="s">
        <v>4659</v>
      </c>
      <c r="BB273" s="214"/>
      <c r="BC273" s="143" t="s">
        <v>4651</v>
      </c>
    </row>
    <row r="274" spans="1:55" ht="15" customHeight="1" x14ac:dyDescent="0.25">
      <c r="A274" s="210">
        <v>3</v>
      </c>
      <c r="B274" s="143" t="s">
        <v>4633</v>
      </c>
      <c r="C274" s="143" t="s">
        <v>4634</v>
      </c>
      <c r="D274" s="143" t="s">
        <v>4649</v>
      </c>
      <c r="E274" s="143" t="s">
        <v>792</v>
      </c>
      <c r="F274" s="143" t="s">
        <v>793</v>
      </c>
      <c r="G274" s="143" t="s">
        <v>794</v>
      </c>
      <c r="H274" s="143" t="s">
        <v>794</v>
      </c>
      <c r="I274" s="143" t="s">
        <v>4660</v>
      </c>
      <c r="J274" s="217">
        <v>44197</v>
      </c>
      <c r="K274" s="217">
        <v>44561</v>
      </c>
      <c r="L274" s="143" t="s">
        <v>4661</v>
      </c>
      <c r="M274" s="143" t="s">
        <v>4639</v>
      </c>
      <c r="N274" s="143" t="s">
        <v>30</v>
      </c>
      <c r="O274" s="143" t="s">
        <v>4652</v>
      </c>
      <c r="P274" s="143" t="s">
        <v>821</v>
      </c>
      <c r="Q274" s="212">
        <v>59</v>
      </c>
      <c r="R274" s="212">
        <v>9</v>
      </c>
      <c r="S274" s="212">
        <v>18</v>
      </c>
      <c r="T274" s="212">
        <v>17</v>
      </c>
      <c r="U274" s="212">
        <v>15</v>
      </c>
      <c r="V274" s="212">
        <v>7</v>
      </c>
      <c r="W274" s="212" t="s">
        <v>4662</v>
      </c>
      <c r="X274" s="212">
        <v>17</v>
      </c>
      <c r="Y274" s="212" t="s">
        <v>4663</v>
      </c>
      <c r="Z274" s="212">
        <v>19</v>
      </c>
      <c r="AA274" s="212" t="s">
        <v>4664</v>
      </c>
      <c r="AB274" s="212"/>
      <c r="AC274" s="212"/>
      <c r="AD274" s="213">
        <v>44295</v>
      </c>
      <c r="AE274" s="213">
        <v>44379</v>
      </c>
      <c r="AF274" s="213">
        <v>44481</v>
      </c>
      <c r="AG274" s="213"/>
      <c r="AH274" s="75">
        <f t="shared" si="18"/>
        <v>0.72881355932203384</v>
      </c>
      <c r="AI274" s="75">
        <f t="shared" si="19"/>
        <v>0.77777777777777779</v>
      </c>
      <c r="AJ274" s="75">
        <f t="shared" si="20"/>
        <v>1</v>
      </c>
      <c r="AK274" s="75">
        <f t="shared" si="21"/>
        <v>1</v>
      </c>
      <c r="AL274" s="75" t="s">
        <v>2467</v>
      </c>
      <c r="AM274" s="215" t="s">
        <v>739</v>
      </c>
      <c r="AN274" s="215" t="s">
        <v>739</v>
      </c>
      <c r="AO274" s="215"/>
      <c r="AP274" s="215"/>
      <c r="AQ274" s="215" t="s">
        <v>4665</v>
      </c>
      <c r="AR274" s="215" t="s">
        <v>4666</v>
      </c>
      <c r="AS274" s="215"/>
      <c r="AT274" s="215"/>
      <c r="AU274" s="215" t="s">
        <v>838</v>
      </c>
      <c r="AV274" s="215" t="s">
        <v>739</v>
      </c>
      <c r="AW274" s="215" t="s">
        <v>739</v>
      </c>
      <c r="AX274" s="215"/>
      <c r="AY274" s="215" t="s">
        <v>4667</v>
      </c>
      <c r="AZ274" s="215" t="s">
        <v>4668</v>
      </c>
      <c r="BA274" s="214" t="s">
        <v>4669</v>
      </c>
      <c r="BB274" s="214"/>
      <c r="BC274" s="143" t="s">
        <v>4651</v>
      </c>
    </row>
    <row r="275" spans="1:55" ht="15" customHeight="1" x14ac:dyDescent="0.25">
      <c r="A275" s="210">
        <v>4</v>
      </c>
      <c r="B275" s="143" t="s">
        <v>4633</v>
      </c>
      <c r="C275" s="143" t="s">
        <v>4634</v>
      </c>
      <c r="D275" s="143" t="s">
        <v>4670</v>
      </c>
      <c r="E275" s="143" t="s">
        <v>792</v>
      </c>
      <c r="F275" s="143" t="s">
        <v>793</v>
      </c>
      <c r="G275" s="143" t="s">
        <v>794</v>
      </c>
      <c r="H275" s="143" t="s">
        <v>794</v>
      </c>
      <c r="I275" s="143" t="s">
        <v>4671</v>
      </c>
      <c r="J275" s="217">
        <v>44197</v>
      </c>
      <c r="K275" s="217">
        <v>44255</v>
      </c>
      <c r="L275" s="143" t="s">
        <v>4670</v>
      </c>
      <c r="M275" s="143" t="s">
        <v>4639</v>
      </c>
      <c r="N275" s="143" t="s">
        <v>30</v>
      </c>
      <c r="O275" s="143" t="s">
        <v>4652</v>
      </c>
      <c r="P275" s="143" t="s">
        <v>821</v>
      </c>
      <c r="Q275" s="212">
        <v>1</v>
      </c>
      <c r="R275" s="212">
        <v>1</v>
      </c>
      <c r="S275" s="212">
        <v>0</v>
      </c>
      <c r="T275" s="212">
        <v>0</v>
      </c>
      <c r="U275" s="212">
        <v>0</v>
      </c>
      <c r="V275" s="212">
        <v>1</v>
      </c>
      <c r="W275" s="212" t="s">
        <v>4672</v>
      </c>
      <c r="X275" s="212">
        <v>0</v>
      </c>
      <c r="Y275" s="212" t="s">
        <v>4654</v>
      </c>
      <c r="Z275" s="212">
        <v>0</v>
      </c>
      <c r="AA275" s="212" t="s">
        <v>4654</v>
      </c>
      <c r="AB275" s="212"/>
      <c r="AC275" s="212"/>
      <c r="AD275" s="213">
        <v>44295</v>
      </c>
      <c r="AE275" s="213">
        <v>44379</v>
      </c>
      <c r="AF275" s="213">
        <v>44481</v>
      </c>
      <c r="AG275" s="213"/>
      <c r="AH275" s="75">
        <f t="shared" si="18"/>
        <v>1</v>
      </c>
      <c r="AI275" s="75">
        <f t="shared" si="19"/>
        <v>1</v>
      </c>
      <c r="AJ275" s="75" t="str">
        <f t="shared" si="20"/>
        <v/>
      </c>
      <c r="AK275" s="75" t="str">
        <f t="shared" si="21"/>
        <v/>
      </c>
      <c r="AL275" s="75" t="s">
        <v>2467</v>
      </c>
      <c r="AM275" s="215" t="s">
        <v>739</v>
      </c>
      <c r="AN275" s="215" t="s">
        <v>838</v>
      </c>
      <c r="AO275" s="215" t="s">
        <v>838</v>
      </c>
      <c r="AP275" s="215"/>
      <c r="AQ275" s="215" t="s">
        <v>4655</v>
      </c>
      <c r="AR275" s="215" t="s">
        <v>4673</v>
      </c>
      <c r="AS275" s="215" t="s">
        <v>4654</v>
      </c>
      <c r="AT275" s="215"/>
      <c r="AU275" s="215" t="s">
        <v>739</v>
      </c>
      <c r="AV275" s="215" t="s">
        <v>838</v>
      </c>
      <c r="AW275" s="215" t="s">
        <v>838</v>
      </c>
      <c r="AX275" s="215"/>
      <c r="AY275" s="215" t="s">
        <v>4674</v>
      </c>
      <c r="AZ275" s="215" t="s">
        <v>4675</v>
      </c>
      <c r="BA275" s="214" t="s">
        <v>4676</v>
      </c>
      <c r="BB275" s="214"/>
      <c r="BC275" s="143" t="s">
        <v>4670</v>
      </c>
    </row>
    <row r="276" spans="1:55" ht="15" customHeight="1" x14ac:dyDescent="0.25">
      <c r="A276" s="210">
        <v>5</v>
      </c>
      <c r="B276" s="143" t="s">
        <v>4633</v>
      </c>
      <c r="C276" s="143" t="s">
        <v>4634</v>
      </c>
      <c r="D276" s="143" t="s">
        <v>4670</v>
      </c>
      <c r="E276" s="143" t="s">
        <v>792</v>
      </c>
      <c r="F276" s="143" t="s">
        <v>793</v>
      </c>
      <c r="G276" s="143" t="s">
        <v>794</v>
      </c>
      <c r="H276" s="143" t="s">
        <v>794</v>
      </c>
      <c r="I276" s="143" t="s">
        <v>4677</v>
      </c>
      <c r="J276" s="217">
        <v>44197</v>
      </c>
      <c r="K276" s="217">
        <v>44561</v>
      </c>
      <c r="L276" s="143" t="s">
        <v>4661</v>
      </c>
      <c r="M276" s="143" t="s">
        <v>4639</v>
      </c>
      <c r="N276" s="143" t="s">
        <v>30</v>
      </c>
      <c r="O276" s="143" t="s">
        <v>4652</v>
      </c>
      <c r="P276" s="143" t="s">
        <v>821</v>
      </c>
      <c r="Q276" s="212">
        <v>32</v>
      </c>
      <c r="R276" s="212">
        <v>5</v>
      </c>
      <c r="S276" s="212">
        <v>9</v>
      </c>
      <c r="T276" s="212">
        <v>9</v>
      </c>
      <c r="U276" s="212">
        <v>9</v>
      </c>
      <c r="V276" s="212">
        <v>5</v>
      </c>
      <c r="W276" s="212" t="s">
        <v>4678</v>
      </c>
      <c r="X276" s="212">
        <v>9</v>
      </c>
      <c r="Y276" s="212" t="s">
        <v>4679</v>
      </c>
      <c r="Z276" s="212">
        <v>9</v>
      </c>
      <c r="AA276" s="212" t="s">
        <v>4680</v>
      </c>
      <c r="AB276" s="215"/>
      <c r="AC276" s="215"/>
      <c r="AD276" s="213">
        <v>44295</v>
      </c>
      <c r="AE276" s="213">
        <v>44379</v>
      </c>
      <c r="AF276" s="213">
        <v>44481</v>
      </c>
      <c r="AG276" s="213"/>
      <c r="AH276" s="75">
        <f t="shared" si="18"/>
        <v>0.71875</v>
      </c>
      <c r="AI276" s="75">
        <f t="shared" si="19"/>
        <v>1</v>
      </c>
      <c r="AJ276" s="75">
        <f t="shared" si="20"/>
        <v>1</v>
      </c>
      <c r="AK276" s="75">
        <f t="shared" si="21"/>
        <v>1</v>
      </c>
      <c r="AL276" s="75" t="s">
        <v>2467</v>
      </c>
      <c r="AM276" s="215" t="s">
        <v>739</v>
      </c>
      <c r="AN276" s="215" t="s">
        <v>739</v>
      </c>
      <c r="AO276" s="215" t="s">
        <v>739</v>
      </c>
      <c r="AP276" s="215"/>
      <c r="AQ276" s="215" t="s">
        <v>4681</v>
      </c>
      <c r="AR276" s="215" t="s">
        <v>4682</v>
      </c>
      <c r="AS276" s="215" t="s">
        <v>4683</v>
      </c>
      <c r="AT276" s="215"/>
      <c r="AU276" s="215" t="s">
        <v>739</v>
      </c>
      <c r="AV276" s="215" t="s">
        <v>739</v>
      </c>
      <c r="AW276" s="215" t="s">
        <v>739</v>
      </c>
      <c r="AX276" s="215"/>
      <c r="AY276" s="215" t="s">
        <v>4684</v>
      </c>
      <c r="AZ276" s="215" t="s">
        <v>4685</v>
      </c>
      <c r="BA276" s="214" t="s">
        <v>4686</v>
      </c>
      <c r="BB276" s="214"/>
      <c r="BC276" s="143" t="s">
        <v>4670</v>
      </c>
    </row>
    <row r="277" spans="1:55" ht="15" customHeight="1" x14ac:dyDescent="0.25">
      <c r="A277" s="210">
        <v>6</v>
      </c>
      <c r="B277" s="143" t="s">
        <v>4633</v>
      </c>
      <c r="C277" s="143" t="s">
        <v>4687</v>
      </c>
      <c r="D277" s="143" t="s">
        <v>4688</v>
      </c>
      <c r="E277" s="143" t="s">
        <v>792</v>
      </c>
      <c r="F277" s="143" t="s">
        <v>793</v>
      </c>
      <c r="G277" s="143" t="s">
        <v>794</v>
      </c>
      <c r="H277" s="143" t="s">
        <v>794</v>
      </c>
      <c r="I277" s="143" t="s">
        <v>4689</v>
      </c>
      <c r="J277" s="217">
        <v>44197</v>
      </c>
      <c r="K277" s="217">
        <v>44255</v>
      </c>
      <c r="L277" s="143" t="s">
        <v>4688</v>
      </c>
      <c r="M277" s="143" t="s">
        <v>4639</v>
      </c>
      <c r="N277" s="143" t="s">
        <v>30</v>
      </c>
      <c r="O277" s="143" t="s">
        <v>4652</v>
      </c>
      <c r="P277" s="143" t="s">
        <v>821</v>
      </c>
      <c r="Q277" s="212">
        <v>1</v>
      </c>
      <c r="R277" s="212">
        <v>1</v>
      </c>
      <c r="S277" s="212">
        <v>0</v>
      </c>
      <c r="T277" s="212">
        <v>0</v>
      </c>
      <c r="U277" s="212">
        <v>0</v>
      </c>
      <c r="V277" s="212">
        <v>1</v>
      </c>
      <c r="W277" s="212" t="s">
        <v>4690</v>
      </c>
      <c r="X277" s="212">
        <v>0</v>
      </c>
      <c r="Y277" s="212" t="s">
        <v>4654</v>
      </c>
      <c r="Z277" s="212">
        <v>0</v>
      </c>
      <c r="AA277" s="212" t="s">
        <v>4654</v>
      </c>
      <c r="AB277" s="212"/>
      <c r="AC277" s="212"/>
      <c r="AD277" s="213">
        <v>44295</v>
      </c>
      <c r="AE277" s="213">
        <v>44379</v>
      </c>
      <c r="AF277" s="213">
        <v>44481</v>
      </c>
      <c r="AG277" s="213"/>
      <c r="AH277" s="75">
        <f t="shared" si="18"/>
        <v>1</v>
      </c>
      <c r="AI277" s="75">
        <f t="shared" si="19"/>
        <v>1</v>
      </c>
      <c r="AJ277" s="75" t="str">
        <f t="shared" si="20"/>
        <v/>
      </c>
      <c r="AK277" s="75" t="str">
        <f t="shared" si="21"/>
        <v/>
      </c>
      <c r="AL277" s="75" t="s">
        <v>2467</v>
      </c>
      <c r="AM277" s="215" t="s">
        <v>739</v>
      </c>
      <c r="AN277" s="215" t="s">
        <v>838</v>
      </c>
      <c r="AO277" s="215" t="s">
        <v>838</v>
      </c>
      <c r="AP277" s="215"/>
      <c r="AQ277" s="215" t="s">
        <v>4691</v>
      </c>
      <c r="AR277" s="215" t="s">
        <v>4692</v>
      </c>
      <c r="AS277" s="215" t="s">
        <v>4654</v>
      </c>
      <c r="AT277" s="215"/>
      <c r="AU277" s="215" t="s">
        <v>739</v>
      </c>
      <c r="AV277" s="215" t="s">
        <v>838</v>
      </c>
      <c r="AW277" s="215" t="s">
        <v>838</v>
      </c>
      <c r="AX277" s="215"/>
      <c r="AY277" s="215" t="s">
        <v>4693</v>
      </c>
      <c r="AZ277" s="215" t="s">
        <v>4675</v>
      </c>
      <c r="BA277" s="214" t="s">
        <v>4694</v>
      </c>
      <c r="BB277" s="214"/>
      <c r="BC277" s="143" t="s">
        <v>4695</v>
      </c>
    </row>
    <row r="278" spans="1:55" ht="15" customHeight="1" x14ac:dyDescent="0.25">
      <c r="A278" s="210">
        <v>7</v>
      </c>
      <c r="B278" s="143" t="s">
        <v>4633</v>
      </c>
      <c r="C278" s="143" t="s">
        <v>4687</v>
      </c>
      <c r="D278" s="143" t="s">
        <v>4688</v>
      </c>
      <c r="E278" s="143" t="s">
        <v>792</v>
      </c>
      <c r="F278" s="143" t="s">
        <v>793</v>
      </c>
      <c r="G278" s="143" t="s">
        <v>794</v>
      </c>
      <c r="H278" s="143" t="s">
        <v>794</v>
      </c>
      <c r="I278" s="143" t="s">
        <v>4696</v>
      </c>
      <c r="J278" s="217">
        <v>44197</v>
      </c>
      <c r="K278" s="217">
        <v>44561</v>
      </c>
      <c r="L278" s="143" t="s">
        <v>4661</v>
      </c>
      <c r="M278" s="143" t="s">
        <v>4639</v>
      </c>
      <c r="N278" s="143" t="s">
        <v>30</v>
      </c>
      <c r="O278" s="143" t="s">
        <v>4652</v>
      </c>
      <c r="P278" s="143" t="s">
        <v>821</v>
      </c>
      <c r="Q278" s="212">
        <v>63</v>
      </c>
      <c r="R278" s="212">
        <v>9</v>
      </c>
      <c r="S278" s="212">
        <v>18</v>
      </c>
      <c r="T278" s="212">
        <v>18</v>
      </c>
      <c r="U278" s="212">
        <v>18</v>
      </c>
      <c r="V278" s="212">
        <v>9</v>
      </c>
      <c r="W278" s="212" t="s">
        <v>4697</v>
      </c>
      <c r="X278" s="212">
        <v>18</v>
      </c>
      <c r="Y278" s="212" t="s">
        <v>4698</v>
      </c>
      <c r="Z278" s="212">
        <v>18</v>
      </c>
      <c r="AA278" s="212" t="s">
        <v>4699</v>
      </c>
      <c r="AB278" s="212"/>
      <c r="AC278" s="212"/>
      <c r="AD278" s="213">
        <v>44295</v>
      </c>
      <c r="AE278" s="213">
        <v>44379</v>
      </c>
      <c r="AF278" s="213">
        <v>44481</v>
      </c>
      <c r="AG278" s="213"/>
      <c r="AH278" s="75">
        <f t="shared" si="18"/>
        <v>0.7142857142857143</v>
      </c>
      <c r="AI278" s="75">
        <f t="shared" si="19"/>
        <v>1</v>
      </c>
      <c r="AJ278" s="75">
        <f t="shared" si="20"/>
        <v>1</v>
      </c>
      <c r="AK278" s="75">
        <f t="shared" si="21"/>
        <v>1</v>
      </c>
      <c r="AL278" s="75" t="s">
        <v>2467</v>
      </c>
      <c r="AM278" s="215" t="s">
        <v>739</v>
      </c>
      <c r="AN278" s="215" t="s">
        <v>739</v>
      </c>
      <c r="AO278" s="215" t="s">
        <v>739</v>
      </c>
      <c r="AP278" s="215"/>
      <c r="AQ278" s="215" t="s">
        <v>4700</v>
      </c>
      <c r="AR278" s="215" t="s">
        <v>4701</v>
      </c>
      <c r="AS278" s="215" t="s">
        <v>4702</v>
      </c>
      <c r="AT278" s="215"/>
      <c r="AU278" s="215" t="s">
        <v>739</v>
      </c>
      <c r="AV278" s="215" t="s">
        <v>739</v>
      </c>
      <c r="AW278" s="215" t="s">
        <v>739</v>
      </c>
      <c r="AX278" s="215"/>
      <c r="AY278" s="215" t="s">
        <v>4703</v>
      </c>
      <c r="AZ278" s="215" t="s">
        <v>4704</v>
      </c>
      <c r="BA278" s="214" t="s">
        <v>4705</v>
      </c>
      <c r="BB278" s="214"/>
      <c r="BC278" s="143" t="s">
        <v>4695</v>
      </c>
    </row>
    <row r="279" spans="1:55" ht="15" customHeight="1" x14ac:dyDescent="0.25">
      <c r="A279" s="210">
        <v>8</v>
      </c>
      <c r="B279" s="143" t="s">
        <v>4633</v>
      </c>
      <c r="C279" s="143" t="s">
        <v>4687</v>
      </c>
      <c r="D279" s="143" t="s">
        <v>4688</v>
      </c>
      <c r="E279" s="143" t="s">
        <v>792</v>
      </c>
      <c r="F279" s="143" t="s">
        <v>793</v>
      </c>
      <c r="G279" s="143" t="s">
        <v>794</v>
      </c>
      <c r="H279" s="143" t="s">
        <v>794</v>
      </c>
      <c r="I279" s="143" t="s">
        <v>4706</v>
      </c>
      <c r="J279" s="217">
        <v>44197</v>
      </c>
      <c r="K279" s="217">
        <v>44561</v>
      </c>
      <c r="L279" s="143" t="s">
        <v>4707</v>
      </c>
      <c r="M279" s="143" t="s">
        <v>4639</v>
      </c>
      <c r="N279" s="143" t="s">
        <v>30</v>
      </c>
      <c r="O279" s="143" t="s">
        <v>4652</v>
      </c>
      <c r="P279" s="143" t="s">
        <v>821</v>
      </c>
      <c r="Q279" s="212">
        <v>9</v>
      </c>
      <c r="R279" s="212">
        <v>6</v>
      </c>
      <c r="S279" s="212">
        <v>0</v>
      </c>
      <c r="T279" s="212">
        <v>2</v>
      </c>
      <c r="U279" s="212">
        <v>1</v>
      </c>
      <c r="V279" s="212">
        <v>5</v>
      </c>
      <c r="W279" s="212" t="s">
        <v>4708</v>
      </c>
      <c r="X279" s="212">
        <v>0</v>
      </c>
      <c r="Y279" s="212" t="s">
        <v>4709</v>
      </c>
      <c r="Z279" s="212">
        <v>3</v>
      </c>
      <c r="AA279" s="212" t="s">
        <v>4710</v>
      </c>
      <c r="AB279" s="212"/>
      <c r="AC279" s="212"/>
      <c r="AD279" s="213">
        <v>44295</v>
      </c>
      <c r="AE279" s="213">
        <v>44379</v>
      </c>
      <c r="AF279" s="213">
        <v>44481</v>
      </c>
      <c r="AG279" s="213"/>
      <c r="AH279" s="75">
        <f t="shared" si="18"/>
        <v>0.88888888888888884</v>
      </c>
      <c r="AI279" s="75">
        <f t="shared" si="19"/>
        <v>0.83333333333333337</v>
      </c>
      <c r="AJ279" s="75" t="str">
        <f t="shared" si="20"/>
        <v/>
      </c>
      <c r="AK279" s="75">
        <f t="shared" si="21"/>
        <v>1</v>
      </c>
      <c r="AL279" s="75" t="s">
        <v>2467</v>
      </c>
      <c r="AM279" s="215" t="s">
        <v>739</v>
      </c>
      <c r="AN279" s="215" t="s">
        <v>838</v>
      </c>
      <c r="AO279" s="215" t="s">
        <v>739</v>
      </c>
      <c r="AP279" s="215"/>
      <c r="AQ279" s="215" t="s">
        <v>4711</v>
      </c>
      <c r="AR279" s="215" t="s">
        <v>4712</v>
      </c>
      <c r="AS279" s="215" t="s">
        <v>4713</v>
      </c>
      <c r="AT279" s="215"/>
      <c r="AU279" s="215" t="s">
        <v>739</v>
      </c>
      <c r="AV279" s="215" t="s">
        <v>838</v>
      </c>
      <c r="AW279" s="215" t="s">
        <v>739</v>
      </c>
      <c r="AX279" s="215"/>
      <c r="AY279" s="215" t="s">
        <v>4714</v>
      </c>
      <c r="AZ279" s="215" t="s">
        <v>4715</v>
      </c>
      <c r="BA279" s="214" t="s">
        <v>4716</v>
      </c>
      <c r="BB279" s="214"/>
      <c r="BC279" s="143" t="s">
        <v>4695</v>
      </c>
    </row>
    <row r="280" spans="1:55" ht="15" customHeight="1" x14ac:dyDescent="0.25">
      <c r="A280" s="210">
        <v>9</v>
      </c>
      <c r="B280" s="143" t="s">
        <v>4633</v>
      </c>
      <c r="C280" s="143" t="s">
        <v>4634</v>
      </c>
      <c r="D280" s="143" t="s">
        <v>4688</v>
      </c>
      <c r="E280" s="143" t="s">
        <v>792</v>
      </c>
      <c r="F280" s="143" t="s">
        <v>793</v>
      </c>
      <c r="G280" s="143" t="s">
        <v>794</v>
      </c>
      <c r="H280" s="143" t="s">
        <v>794</v>
      </c>
      <c r="I280" s="143" t="s">
        <v>4717</v>
      </c>
      <c r="J280" s="217">
        <v>44197</v>
      </c>
      <c r="K280" s="217">
        <v>44530</v>
      </c>
      <c r="L280" s="143" t="s">
        <v>4718</v>
      </c>
      <c r="M280" s="143" t="s">
        <v>4639</v>
      </c>
      <c r="N280" s="143" t="s">
        <v>60</v>
      </c>
      <c r="O280" s="143" t="s">
        <v>4652</v>
      </c>
      <c r="P280" s="143" t="s">
        <v>821</v>
      </c>
      <c r="Q280" s="240">
        <v>1</v>
      </c>
      <c r="R280" s="240">
        <v>0.21</v>
      </c>
      <c r="S280" s="240">
        <v>0.28999999999999998</v>
      </c>
      <c r="T280" s="240">
        <v>0.21</v>
      </c>
      <c r="U280" s="240">
        <v>0.28999999999999998</v>
      </c>
      <c r="V280" s="240">
        <v>0.21</v>
      </c>
      <c r="W280" s="240" t="s">
        <v>4719</v>
      </c>
      <c r="X280" s="240">
        <v>0.28999999999999998</v>
      </c>
      <c r="Y280" s="240" t="s">
        <v>4720</v>
      </c>
      <c r="Z280" s="240">
        <v>0.21</v>
      </c>
      <c r="AA280" s="240" t="s">
        <v>4721</v>
      </c>
      <c r="AB280" s="212"/>
      <c r="AC280" s="212"/>
      <c r="AD280" s="213">
        <v>44295</v>
      </c>
      <c r="AE280" s="213">
        <v>44379</v>
      </c>
      <c r="AF280" s="213">
        <v>44481</v>
      </c>
      <c r="AG280" s="213"/>
      <c r="AH280" s="75">
        <f t="shared" si="18"/>
        <v>0.71</v>
      </c>
      <c r="AI280" s="75">
        <f t="shared" si="19"/>
        <v>1</v>
      </c>
      <c r="AJ280" s="75">
        <f t="shared" si="20"/>
        <v>1</v>
      </c>
      <c r="AK280" s="75">
        <f t="shared" si="21"/>
        <v>1</v>
      </c>
      <c r="AL280" s="75" t="s">
        <v>2467</v>
      </c>
      <c r="AM280" s="215" t="s">
        <v>739</v>
      </c>
      <c r="AN280" s="215" t="s">
        <v>739</v>
      </c>
      <c r="AO280" s="215" t="s">
        <v>739</v>
      </c>
      <c r="AP280" s="215"/>
      <c r="AQ280" s="215" t="s">
        <v>4722</v>
      </c>
      <c r="AR280" s="215" t="s">
        <v>4723</v>
      </c>
      <c r="AS280" s="215" t="s">
        <v>4724</v>
      </c>
      <c r="AT280" s="215"/>
      <c r="AU280" s="215" t="s">
        <v>739</v>
      </c>
      <c r="AV280" s="215" t="s">
        <v>739</v>
      </c>
      <c r="AW280" s="215" t="s">
        <v>739</v>
      </c>
      <c r="AX280" s="215"/>
      <c r="AY280" s="215" t="s">
        <v>4725</v>
      </c>
      <c r="AZ280" s="215" t="s">
        <v>4726</v>
      </c>
      <c r="BA280" s="214" t="s">
        <v>4727</v>
      </c>
      <c r="BB280" s="214"/>
      <c r="BC280" s="143" t="s">
        <v>4695</v>
      </c>
    </row>
    <row r="281" spans="1:55" ht="15" customHeight="1" x14ac:dyDescent="0.25">
      <c r="A281" s="210">
        <v>10</v>
      </c>
      <c r="B281" s="143" t="s">
        <v>4633</v>
      </c>
      <c r="C281" s="143" t="s">
        <v>4687</v>
      </c>
      <c r="D281" s="143" t="s">
        <v>4688</v>
      </c>
      <c r="E281" s="143" t="s">
        <v>792</v>
      </c>
      <c r="F281" s="143" t="s">
        <v>793</v>
      </c>
      <c r="G281" s="143" t="s">
        <v>794</v>
      </c>
      <c r="H281" s="143" t="s">
        <v>794</v>
      </c>
      <c r="I281" s="143" t="s">
        <v>4728</v>
      </c>
      <c r="J281" s="217">
        <v>44228</v>
      </c>
      <c r="K281" s="217">
        <v>44316</v>
      </c>
      <c r="L281" s="143" t="s">
        <v>4729</v>
      </c>
      <c r="M281" s="228" t="s">
        <v>4639</v>
      </c>
      <c r="N281" s="143" t="s">
        <v>30</v>
      </c>
      <c r="O281" s="143" t="s">
        <v>4652</v>
      </c>
      <c r="P281" s="143" t="s">
        <v>821</v>
      </c>
      <c r="Q281" s="212">
        <v>1</v>
      </c>
      <c r="R281" s="212">
        <v>0</v>
      </c>
      <c r="S281" s="212">
        <v>1</v>
      </c>
      <c r="T281" s="212">
        <v>0</v>
      </c>
      <c r="U281" s="212">
        <v>0</v>
      </c>
      <c r="V281" s="212">
        <v>0</v>
      </c>
      <c r="W281" s="212" t="s">
        <v>4730</v>
      </c>
      <c r="X281" s="212">
        <v>1</v>
      </c>
      <c r="Y281" s="212" t="s">
        <v>4731</v>
      </c>
      <c r="Z281" s="212">
        <v>0</v>
      </c>
      <c r="AA281" s="212" t="s">
        <v>4732</v>
      </c>
      <c r="AB281" s="212"/>
      <c r="AC281" s="212"/>
      <c r="AD281" s="213">
        <v>44295</v>
      </c>
      <c r="AE281" s="213">
        <v>44379</v>
      </c>
      <c r="AF281" s="213">
        <v>44481</v>
      </c>
      <c r="AG281" s="213"/>
      <c r="AH281" s="75">
        <f t="shared" si="18"/>
        <v>1</v>
      </c>
      <c r="AI281" s="75" t="str">
        <f t="shared" si="19"/>
        <v/>
      </c>
      <c r="AJ281" s="75">
        <f t="shared" si="20"/>
        <v>1</v>
      </c>
      <c r="AK281" s="75" t="str">
        <f t="shared" si="21"/>
        <v/>
      </c>
      <c r="AL281" s="75" t="s">
        <v>2467</v>
      </c>
      <c r="AM281" s="215" t="s">
        <v>838</v>
      </c>
      <c r="AN281" s="215" t="s">
        <v>739</v>
      </c>
      <c r="AO281" s="215" t="s">
        <v>739</v>
      </c>
      <c r="AP281" s="215"/>
      <c r="AQ281" s="215" t="s">
        <v>4733</v>
      </c>
      <c r="AR281" s="215" t="s">
        <v>4734</v>
      </c>
      <c r="AS281" s="215" t="s">
        <v>4732</v>
      </c>
      <c r="AT281" s="215"/>
      <c r="AU281" s="215" t="s">
        <v>838</v>
      </c>
      <c r="AV281" s="215" t="s">
        <v>739</v>
      </c>
      <c r="AW281" s="215" t="s">
        <v>838</v>
      </c>
      <c r="AX281" s="215"/>
      <c r="AY281" s="215" t="s">
        <v>2389</v>
      </c>
      <c r="AZ281" s="215" t="s">
        <v>4735</v>
      </c>
      <c r="BA281" s="214" t="s">
        <v>4736</v>
      </c>
      <c r="BB281" s="214"/>
      <c r="BC281" s="143" t="s">
        <v>4695</v>
      </c>
    </row>
    <row r="282" spans="1:55" ht="15" customHeight="1" x14ac:dyDescent="0.25">
      <c r="A282" s="210">
        <v>11</v>
      </c>
      <c r="B282" s="143" t="s">
        <v>4633</v>
      </c>
      <c r="C282" s="229" t="s">
        <v>4687</v>
      </c>
      <c r="D282" s="225" t="s">
        <v>4737</v>
      </c>
      <c r="E282" s="143" t="s">
        <v>792</v>
      </c>
      <c r="F282" s="143" t="s">
        <v>793</v>
      </c>
      <c r="G282" s="143" t="s">
        <v>794</v>
      </c>
      <c r="H282" s="143" t="s">
        <v>794</v>
      </c>
      <c r="I282" s="143" t="s">
        <v>4738</v>
      </c>
      <c r="J282" s="217">
        <v>44197</v>
      </c>
      <c r="K282" s="217">
        <v>44255</v>
      </c>
      <c r="L282" s="143" t="s">
        <v>4737</v>
      </c>
      <c r="M282" s="226" t="s">
        <v>4639</v>
      </c>
      <c r="N282" s="143" t="s">
        <v>30</v>
      </c>
      <c r="O282" s="143" t="s">
        <v>4652</v>
      </c>
      <c r="P282" s="143" t="s">
        <v>821</v>
      </c>
      <c r="Q282" s="212">
        <v>1</v>
      </c>
      <c r="R282" s="212">
        <v>1</v>
      </c>
      <c r="S282" s="212">
        <v>0</v>
      </c>
      <c r="T282" s="212">
        <v>0</v>
      </c>
      <c r="U282" s="212">
        <v>0</v>
      </c>
      <c r="V282" s="212">
        <v>1</v>
      </c>
      <c r="W282" s="212" t="s">
        <v>4739</v>
      </c>
      <c r="X282" s="212">
        <v>0</v>
      </c>
      <c r="Y282" s="212" t="s">
        <v>4654</v>
      </c>
      <c r="Z282" s="212">
        <v>0</v>
      </c>
      <c r="AA282" s="212" t="s">
        <v>4654</v>
      </c>
      <c r="AB282" s="212"/>
      <c r="AC282" s="212"/>
      <c r="AD282" s="213">
        <v>44295</v>
      </c>
      <c r="AE282" s="213">
        <v>44379</v>
      </c>
      <c r="AF282" s="213">
        <v>44481</v>
      </c>
      <c r="AG282" s="213"/>
      <c r="AH282" s="75">
        <f t="shared" si="18"/>
        <v>1</v>
      </c>
      <c r="AI282" s="75">
        <f t="shared" si="19"/>
        <v>1</v>
      </c>
      <c r="AJ282" s="75" t="str">
        <f t="shared" si="20"/>
        <v/>
      </c>
      <c r="AK282" s="75" t="str">
        <f t="shared" si="21"/>
        <v/>
      </c>
      <c r="AL282" s="75" t="s">
        <v>2467</v>
      </c>
      <c r="AM282" s="215" t="s">
        <v>739</v>
      </c>
      <c r="AN282" s="215" t="s">
        <v>838</v>
      </c>
      <c r="AO282" s="215" t="s">
        <v>838</v>
      </c>
      <c r="AP282" s="215"/>
      <c r="AQ282" s="215" t="s">
        <v>4740</v>
      </c>
      <c r="AR282" s="215" t="s">
        <v>4741</v>
      </c>
      <c r="AS282" s="215" t="s">
        <v>4654</v>
      </c>
      <c r="AT282" s="215"/>
      <c r="AU282" s="215" t="s">
        <v>739</v>
      </c>
      <c r="AV282" s="215" t="s">
        <v>838</v>
      </c>
      <c r="AW282" s="215" t="s">
        <v>838</v>
      </c>
      <c r="AX282" s="215"/>
      <c r="AY282" s="215" t="s">
        <v>4742</v>
      </c>
      <c r="AZ282" s="215" t="s">
        <v>4675</v>
      </c>
      <c r="BA282" s="214" t="s">
        <v>4743</v>
      </c>
      <c r="BB282" s="214"/>
      <c r="BC282" s="143" t="s">
        <v>4737</v>
      </c>
    </row>
    <row r="283" spans="1:55" ht="15" customHeight="1" x14ac:dyDescent="0.25">
      <c r="A283" s="210">
        <v>12</v>
      </c>
      <c r="B283" s="143" t="s">
        <v>4633</v>
      </c>
      <c r="C283" s="229" t="s">
        <v>4687</v>
      </c>
      <c r="D283" s="225" t="s">
        <v>4737</v>
      </c>
      <c r="E283" s="143" t="s">
        <v>792</v>
      </c>
      <c r="F283" s="143" t="s">
        <v>793</v>
      </c>
      <c r="G283" s="143" t="s">
        <v>794</v>
      </c>
      <c r="H283" s="143" t="s">
        <v>794</v>
      </c>
      <c r="I283" s="143" t="s">
        <v>4744</v>
      </c>
      <c r="J283" s="217">
        <v>44197</v>
      </c>
      <c r="K283" s="217">
        <v>44561</v>
      </c>
      <c r="L283" s="143" t="s">
        <v>4661</v>
      </c>
      <c r="M283" s="226" t="s">
        <v>4639</v>
      </c>
      <c r="N283" s="143" t="s">
        <v>30</v>
      </c>
      <c r="O283" s="143" t="s">
        <v>4652</v>
      </c>
      <c r="P283" s="143" t="s">
        <v>821</v>
      </c>
      <c r="Q283" s="212">
        <v>109</v>
      </c>
      <c r="R283" s="212">
        <v>13</v>
      </c>
      <c r="S283" s="212">
        <v>42</v>
      </c>
      <c r="T283" s="212">
        <v>30</v>
      </c>
      <c r="U283" s="212">
        <v>24</v>
      </c>
      <c r="V283" s="212">
        <v>7</v>
      </c>
      <c r="W283" s="212" t="s">
        <v>4745</v>
      </c>
      <c r="X283" s="212">
        <v>31</v>
      </c>
      <c r="Y283" s="212" t="s">
        <v>4746</v>
      </c>
      <c r="Z283" s="212">
        <v>28</v>
      </c>
      <c r="AA283" s="212" t="s">
        <v>4747</v>
      </c>
      <c r="AB283" s="212"/>
      <c r="AC283" s="212"/>
      <c r="AD283" s="213">
        <v>44295</v>
      </c>
      <c r="AE283" s="213">
        <v>44379</v>
      </c>
      <c r="AF283" s="213">
        <v>44482</v>
      </c>
      <c r="AG283" s="213"/>
      <c r="AH283" s="75">
        <f t="shared" si="18"/>
        <v>0.60550458715596334</v>
      </c>
      <c r="AI283" s="75">
        <f t="shared" si="19"/>
        <v>0.53846153846153844</v>
      </c>
      <c r="AJ283" s="75">
        <f t="shared" si="20"/>
        <v>1</v>
      </c>
      <c r="AK283" s="75">
        <f t="shared" si="21"/>
        <v>1</v>
      </c>
      <c r="AL283" s="75" t="s">
        <v>2467</v>
      </c>
      <c r="AM283" s="215" t="s">
        <v>739</v>
      </c>
      <c r="AN283" s="215" t="s">
        <v>739</v>
      </c>
      <c r="AO283" s="215" t="s">
        <v>739</v>
      </c>
      <c r="AP283" s="215"/>
      <c r="AQ283" s="215" t="s">
        <v>4748</v>
      </c>
      <c r="AR283" s="215" t="s">
        <v>4749</v>
      </c>
      <c r="AS283" s="215" t="s">
        <v>1103</v>
      </c>
      <c r="AT283" s="215"/>
      <c r="AU283" s="215" t="s">
        <v>739</v>
      </c>
      <c r="AV283" s="215" t="s">
        <v>739</v>
      </c>
      <c r="AW283" s="215" t="s">
        <v>739</v>
      </c>
      <c r="AX283" s="215"/>
      <c r="AY283" s="215" t="s">
        <v>4750</v>
      </c>
      <c r="AZ283" s="215" t="s">
        <v>4751</v>
      </c>
      <c r="BA283" s="214" t="s">
        <v>4752</v>
      </c>
      <c r="BB283" s="214"/>
      <c r="BC283" s="143" t="s">
        <v>4737</v>
      </c>
    </row>
    <row r="284" spans="1:55" ht="15" customHeight="1" x14ac:dyDescent="0.25">
      <c r="A284" s="210">
        <v>13</v>
      </c>
      <c r="B284" s="143" t="s">
        <v>4633</v>
      </c>
      <c r="C284" s="229" t="s">
        <v>4753</v>
      </c>
      <c r="D284" s="225" t="s">
        <v>4754</v>
      </c>
      <c r="E284" s="143" t="s">
        <v>792</v>
      </c>
      <c r="F284" s="143" t="s">
        <v>793</v>
      </c>
      <c r="G284" s="143" t="s">
        <v>794</v>
      </c>
      <c r="H284" s="143" t="s">
        <v>794</v>
      </c>
      <c r="I284" s="143" t="s">
        <v>4755</v>
      </c>
      <c r="J284" s="217">
        <v>44197</v>
      </c>
      <c r="K284" s="217">
        <v>44255</v>
      </c>
      <c r="L284" s="143" t="s">
        <v>4754</v>
      </c>
      <c r="M284" s="226" t="s">
        <v>4639</v>
      </c>
      <c r="N284" s="143" t="s">
        <v>30</v>
      </c>
      <c r="O284" s="143" t="s">
        <v>4652</v>
      </c>
      <c r="P284" s="143" t="s">
        <v>821</v>
      </c>
      <c r="Q284" s="212">
        <v>1</v>
      </c>
      <c r="R284" s="212">
        <v>1</v>
      </c>
      <c r="S284" s="212">
        <v>0</v>
      </c>
      <c r="T284" s="212">
        <v>0</v>
      </c>
      <c r="U284" s="212">
        <v>0</v>
      </c>
      <c r="V284" s="212">
        <v>1</v>
      </c>
      <c r="W284" s="212" t="s">
        <v>4756</v>
      </c>
      <c r="X284" s="212">
        <v>0</v>
      </c>
      <c r="Y284" s="212" t="s">
        <v>4654</v>
      </c>
      <c r="Z284" s="212">
        <v>0</v>
      </c>
      <c r="AA284" s="212" t="s">
        <v>4654</v>
      </c>
      <c r="AB284" s="212"/>
      <c r="AC284" s="212"/>
      <c r="AD284" s="213">
        <v>44295</v>
      </c>
      <c r="AE284" s="213">
        <v>44379</v>
      </c>
      <c r="AF284" s="213">
        <v>44481</v>
      </c>
      <c r="AG284" s="213"/>
      <c r="AH284" s="75">
        <f t="shared" si="18"/>
        <v>1</v>
      </c>
      <c r="AI284" s="75">
        <f t="shared" si="19"/>
        <v>1</v>
      </c>
      <c r="AJ284" s="75" t="str">
        <f t="shared" si="20"/>
        <v/>
      </c>
      <c r="AK284" s="75" t="str">
        <f t="shared" si="21"/>
        <v/>
      </c>
      <c r="AL284" s="75" t="s">
        <v>2467</v>
      </c>
      <c r="AM284" s="215" t="s">
        <v>739</v>
      </c>
      <c r="AN284" s="215" t="s">
        <v>838</v>
      </c>
      <c r="AO284" s="215" t="s">
        <v>838</v>
      </c>
      <c r="AP284" s="215"/>
      <c r="AQ284" s="215" t="s">
        <v>4757</v>
      </c>
      <c r="AR284" s="215" t="s">
        <v>4758</v>
      </c>
      <c r="AS284" s="215" t="s">
        <v>4654</v>
      </c>
      <c r="AT284" s="215"/>
      <c r="AU284" s="215" t="s">
        <v>739</v>
      </c>
      <c r="AV284" s="215" t="s">
        <v>838</v>
      </c>
      <c r="AW284" s="215" t="s">
        <v>838</v>
      </c>
      <c r="AX284" s="215"/>
      <c r="AY284" s="215" t="s">
        <v>4759</v>
      </c>
      <c r="AZ284" s="215" t="s">
        <v>3075</v>
      </c>
      <c r="BA284" s="214" t="s">
        <v>4694</v>
      </c>
      <c r="BB284" s="214"/>
      <c r="BC284" s="143" t="s">
        <v>4754</v>
      </c>
    </row>
    <row r="285" spans="1:55" ht="15" customHeight="1" x14ac:dyDescent="0.25">
      <c r="A285" s="210">
        <v>14</v>
      </c>
      <c r="B285" s="143" t="s">
        <v>4633</v>
      </c>
      <c r="C285" s="229" t="s">
        <v>4753</v>
      </c>
      <c r="D285" s="225" t="s">
        <v>4754</v>
      </c>
      <c r="E285" s="143" t="s">
        <v>792</v>
      </c>
      <c r="F285" s="143" t="s">
        <v>793</v>
      </c>
      <c r="G285" s="143" t="s">
        <v>794</v>
      </c>
      <c r="H285" s="143" t="s">
        <v>794</v>
      </c>
      <c r="I285" s="143" t="s">
        <v>4760</v>
      </c>
      <c r="J285" s="217">
        <v>44197</v>
      </c>
      <c r="K285" s="217">
        <v>44561</v>
      </c>
      <c r="L285" s="143" t="s">
        <v>4661</v>
      </c>
      <c r="M285" s="226" t="s">
        <v>4639</v>
      </c>
      <c r="N285" s="143" t="s">
        <v>30</v>
      </c>
      <c r="O285" s="143" t="s">
        <v>4652</v>
      </c>
      <c r="P285" s="143" t="s">
        <v>821</v>
      </c>
      <c r="Q285" s="212">
        <v>12</v>
      </c>
      <c r="R285" s="212">
        <v>2</v>
      </c>
      <c r="S285" s="212">
        <v>4</v>
      </c>
      <c r="T285" s="212">
        <v>1</v>
      </c>
      <c r="U285" s="212">
        <v>5</v>
      </c>
      <c r="V285" s="212">
        <v>0</v>
      </c>
      <c r="W285" s="212" t="s">
        <v>4761</v>
      </c>
      <c r="X285" s="212">
        <v>7</v>
      </c>
      <c r="Y285" s="212" t="s">
        <v>4762</v>
      </c>
      <c r="Z285" s="212">
        <v>4</v>
      </c>
      <c r="AA285" s="212" t="s">
        <v>4763</v>
      </c>
      <c r="AB285" s="212"/>
      <c r="AC285" s="212"/>
      <c r="AD285" s="213">
        <v>44295</v>
      </c>
      <c r="AE285" s="213">
        <v>44379</v>
      </c>
      <c r="AF285" s="213">
        <v>44481</v>
      </c>
      <c r="AG285" s="213"/>
      <c r="AH285" s="75">
        <f t="shared" si="18"/>
        <v>0.91666666666666663</v>
      </c>
      <c r="AI285" s="75">
        <f t="shared" si="19"/>
        <v>0</v>
      </c>
      <c r="AJ285" s="75">
        <f t="shared" si="20"/>
        <v>1</v>
      </c>
      <c r="AK285" s="75">
        <f t="shared" si="21"/>
        <v>1</v>
      </c>
      <c r="AL285" s="75" t="s">
        <v>2467</v>
      </c>
      <c r="AM285" s="215" t="s">
        <v>739</v>
      </c>
      <c r="AN285" s="215" t="s">
        <v>739</v>
      </c>
      <c r="AO285" s="215" t="s">
        <v>739</v>
      </c>
      <c r="AP285" s="215"/>
      <c r="AQ285" s="215" t="s">
        <v>4764</v>
      </c>
      <c r="AR285" s="215" t="s">
        <v>4765</v>
      </c>
      <c r="AS285" s="215" t="s">
        <v>4766</v>
      </c>
      <c r="AT285" s="215"/>
      <c r="AU285" s="215" t="s">
        <v>828</v>
      </c>
      <c r="AV285" s="215" t="s">
        <v>739</v>
      </c>
      <c r="AW285" s="215" t="s">
        <v>739</v>
      </c>
      <c r="AX285" s="215"/>
      <c r="AY285" s="215" t="s">
        <v>4767</v>
      </c>
      <c r="AZ285" s="215" t="s">
        <v>4768</v>
      </c>
      <c r="BA285" s="214" t="s">
        <v>4769</v>
      </c>
      <c r="BB285" s="214"/>
      <c r="BC285" s="143" t="s">
        <v>4754</v>
      </c>
    </row>
    <row r="286" spans="1:55" ht="15" customHeight="1" x14ac:dyDescent="0.25">
      <c r="A286" s="210">
        <v>15</v>
      </c>
      <c r="B286" s="143" t="s">
        <v>4633</v>
      </c>
      <c r="C286" s="229" t="s">
        <v>4753</v>
      </c>
      <c r="D286" s="225" t="s">
        <v>4770</v>
      </c>
      <c r="E286" s="143" t="s">
        <v>792</v>
      </c>
      <c r="F286" s="143" t="s">
        <v>793</v>
      </c>
      <c r="G286" s="143" t="s">
        <v>794</v>
      </c>
      <c r="H286" s="143" t="s">
        <v>794</v>
      </c>
      <c r="I286" s="143" t="s">
        <v>4771</v>
      </c>
      <c r="J286" s="217">
        <v>44197</v>
      </c>
      <c r="K286" s="217">
        <v>44255</v>
      </c>
      <c r="L286" s="143" t="s">
        <v>4770</v>
      </c>
      <c r="M286" s="226" t="s">
        <v>4639</v>
      </c>
      <c r="N286" s="143" t="s">
        <v>30</v>
      </c>
      <c r="O286" s="143" t="s">
        <v>4652</v>
      </c>
      <c r="P286" s="143" t="s">
        <v>821</v>
      </c>
      <c r="Q286" s="212">
        <v>1</v>
      </c>
      <c r="R286" s="212">
        <v>1</v>
      </c>
      <c r="S286" s="212">
        <v>0</v>
      </c>
      <c r="T286" s="212">
        <v>0</v>
      </c>
      <c r="U286" s="212">
        <v>0</v>
      </c>
      <c r="V286" s="212">
        <v>1</v>
      </c>
      <c r="W286" s="212" t="s">
        <v>4772</v>
      </c>
      <c r="X286" s="212">
        <v>0</v>
      </c>
      <c r="Y286" s="212" t="s">
        <v>4654</v>
      </c>
      <c r="Z286" s="212">
        <v>0</v>
      </c>
      <c r="AA286" s="212" t="s">
        <v>4654</v>
      </c>
      <c r="AB286" s="212"/>
      <c r="AC286" s="212"/>
      <c r="AD286" s="213">
        <v>44295</v>
      </c>
      <c r="AE286" s="213">
        <v>44379</v>
      </c>
      <c r="AF286" s="213">
        <v>44481</v>
      </c>
      <c r="AG286" s="213"/>
      <c r="AH286" s="75">
        <f t="shared" si="18"/>
        <v>1</v>
      </c>
      <c r="AI286" s="75">
        <f t="shared" si="19"/>
        <v>1</v>
      </c>
      <c r="AJ286" s="75" t="str">
        <f t="shared" si="20"/>
        <v/>
      </c>
      <c r="AK286" s="75" t="str">
        <f t="shared" si="21"/>
        <v/>
      </c>
      <c r="AL286" s="75" t="s">
        <v>2467</v>
      </c>
      <c r="AM286" s="215" t="s">
        <v>739</v>
      </c>
      <c r="AN286" s="215" t="s">
        <v>838</v>
      </c>
      <c r="AO286" s="215" t="s">
        <v>838</v>
      </c>
      <c r="AP286" s="215"/>
      <c r="AQ286" s="215" t="s">
        <v>4773</v>
      </c>
      <c r="AR286" s="215" t="s">
        <v>4774</v>
      </c>
      <c r="AS286" s="215" t="s">
        <v>4654</v>
      </c>
      <c r="AT286" s="215"/>
      <c r="AU286" s="215" t="s">
        <v>739</v>
      </c>
      <c r="AV286" s="215" t="s">
        <v>838</v>
      </c>
      <c r="AW286" s="215" t="s">
        <v>838</v>
      </c>
      <c r="AX286" s="215"/>
      <c r="AY286" s="215" t="s">
        <v>4775</v>
      </c>
      <c r="AZ286" s="215" t="s">
        <v>3075</v>
      </c>
      <c r="BA286" s="214" t="s">
        <v>4776</v>
      </c>
      <c r="BB286" s="214"/>
      <c r="BC286" s="143" t="s">
        <v>4770</v>
      </c>
    </row>
    <row r="287" spans="1:55" ht="15" customHeight="1" x14ac:dyDescent="0.25">
      <c r="A287" s="210">
        <v>16</v>
      </c>
      <c r="B287" s="143" t="s">
        <v>4633</v>
      </c>
      <c r="C287" s="229" t="s">
        <v>4753</v>
      </c>
      <c r="D287" s="225" t="s">
        <v>4770</v>
      </c>
      <c r="E287" s="143" t="s">
        <v>792</v>
      </c>
      <c r="F287" s="143" t="s">
        <v>793</v>
      </c>
      <c r="G287" s="143" t="s">
        <v>794</v>
      </c>
      <c r="H287" s="143" t="s">
        <v>794</v>
      </c>
      <c r="I287" s="143" t="s">
        <v>4777</v>
      </c>
      <c r="J287" s="217">
        <v>44197</v>
      </c>
      <c r="K287" s="217">
        <v>44561</v>
      </c>
      <c r="L287" s="143" t="s">
        <v>4661</v>
      </c>
      <c r="M287" s="226" t="s">
        <v>4639</v>
      </c>
      <c r="N287" s="143" t="s">
        <v>30</v>
      </c>
      <c r="O287" s="143" t="s">
        <v>4652</v>
      </c>
      <c r="P287" s="143" t="s">
        <v>821</v>
      </c>
      <c r="Q287" s="212">
        <v>82</v>
      </c>
      <c r="R287" s="212">
        <v>16</v>
      </c>
      <c r="S287" s="212">
        <v>29</v>
      </c>
      <c r="T287" s="212">
        <v>22</v>
      </c>
      <c r="U287" s="212">
        <v>15</v>
      </c>
      <c r="V287" s="212">
        <v>14</v>
      </c>
      <c r="W287" s="212" t="s">
        <v>4778</v>
      </c>
      <c r="X287" s="212">
        <v>29</v>
      </c>
      <c r="Y287" s="212" t="s">
        <v>4779</v>
      </c>
      <c r="Z287" s="212">
        <v>23</v>
      </c>
      <c r="AA287" s="212" t="s">
        <v>4780</v>
      </c>
      <c r="AB287" s="212"/>
      <c r="AC287" s="212"/>
      <c r="AD287" s="213">
        <v>44295</v>
      </c>
      <c r="AE287" s="213">
        <v>44379</v>
      </c>
      <c r="AF287" s="213">
        <v>44481</v>
      </c>
      <c r="AG287" s="213"/>
      <c r="AH287" s="75">
        <f t="shared" si="18"/>
        <v>0.80487804878048785</v>
      </c>
      <c r="AI287" s="75">
        <f t="shared" si="19"/>
        <v>0.875</v>
      </c>
      <c r="AJ287" s="75">
        <f t="shared" si="20"/>
        <v>1</v>
      </c>
      <c r="AK287" s="75">
        <f t="shared" si="21"/>
        <v>1</v>
      </c>
      <c r="AL287" s="75" t="s">
        <v>2467</v>
      </c>
      <c r="AM287" s="215" t="s">
        <v>739</v>
      </c>
      <c r="AN287" s="215" t="s">
        <v>739</v>
      </c>
      <c r="AO287" s="215" t="s">
        <v>739</v>
      </c>
      <c r="AP287" s="215"/>
      <c r="AQ287" s="215" t="s">
        <v>4781</v>
      </c>
      <c r="AR287" s="215" t="s">
        <v>4782</v>
      </c>
      <c r="AS287" s="215" t="s">
        <v>4783</v>
      </c>
      <c r="AT287" s="215"/>
      <c r="AU287" s="215" t="s">
        <v>739</v>
      </c>
      <c r="AV287" s="215" t="s">
        <v>739</v>
      </c>
      <c r="AW287" s="215" t="s">
        <v>739</v>
      </c>
      <c r="AX287" s="215"/>
      <c r="AY287" s="215" t="s">
        <v>4784</v>
      </c>
      <c r="AZ287" s="215" t="s">
        <v>4785</v>
      </c>
      <c r="BA287" s="214" t="s">
        <v>4786</v>
      </c>
      <c r="BB287" s="214"/>
      <c r="BC287" s="143" t="s">
        <v>4770</v>
      </c>
    </row>
    <row r="288" spans="1:55" ht="15" customHeight="1" x14ac:dyDescent="0.25">
      <c r="A288" s="210">
        <v>17</v>
      </c>
      <c r="B288" s="143" t="s">
        <v>4633</v>
      </c>
      <c r="C288" s="229" t="s">
        <v>4753</v>
      </c>
      <c r="D288" s="225" t="s">
        <v>791</v>
      </c>
      <c r="E288" s="143" t="s">
        <v>792</v>
      </c>
      <c r="F288" s="143" t="s">
        <v>793</v>
      </c>
      <c r="G288" s="143" t="s">
        <v>794</v>
      </c>
      <c r="H288" s="143" t="s">
        <v>794</v>
      </c>
      <c r="I288" s="143" t="s">
        <v>4787</v>
      </c>
      <c r="J288" s="217">
        <v>44197</v>
      </c>
      <c r="K288" s="217">
        <v>44255</v>
      </c>
      <c r="L288" s="143" t="s">
        <v>791</v>
      </c>
      <c r="M288" s="226" t="s">
        <v>4639</v>
      </c>
      <c r="N288" s="143" t="s">
        <v>30</v>
      </c>
      <c r="O288" s="143" t="s">
        <v>4652</v>
      </c>
      <c r="P288" s="143" t="s">
        <v>821</v>
      </c>
      <c r="Q288" s="212">
        <v>1</v>
      </c>
      <c r="R288" s="212">
        <v>1</v>
      </c>
      <c r="S288" s="212">
        <v>0</v>
      </c>
      <c r="T288" s="212">
        <v>0</v>
      </c>
      <c r="U288" s="212">
        <v>0</v>
      </c>
      <c r="V288" s="212">
        <v>1</v>
      </c>
      <c r="W288" s="212" t="s">
        <v>4788</v>
      </c>
      <c r="X288" s="212">
        <v>0</v>
      </c>
      <c r="Y288" s="212" t="s">
        <v>4654</v>
      </c>
      <c r="Z288" s="212">
        <v>0</v>
      </c>
      <c r="AA288" s="212" t="s">
        <v>4654</v>
      </c>
      <c r="AB288" s="212"/>
      <c r="AC288" s="212"/>
      <c r="AD288" s="213">
        <v>44295</v>
      </c>
      <c r="AE288" s="213">
        <v>44379</v>
      </c>
      <c r="AF288" s="213">
        <v>44481</v>
      </c>
      <c r="AG288" s="213"/>
      <c r="AH288" s="75">
        <f t="shared" si="18"/>
        <v>1</v>
      </c>
      <c r="AI288" s="75">
        <f t="shared" si="19"/>
        <v>1</v>
      </c>
      <c r="AJ288" s="75" t="str">
        <f t="shared" si="20"/>
        <v/>
      </c>
      <c r="AK288" s="75" t="str">
        <f t="shared" si="21"/>
        <v/>
      </c>
      <c r="AL288" s="75" t="s">
        <v>2467</v>
      </c>
      <c r="AM288" s="215" t="s">
        <v>739</v>
      </c>
      <c r="AN288" s="215" t="s">
        <v>838</v>
      </c>
      <c r="AO288" s="215" t="s">
        <v>838</v>
      </c>
      <c r="AP288" s="215"/>
      <c r="AQ288" s="215" t="s">
        <v>4789</v>
      </c>
      <c r="AR288" s="215" t="s">
        <v>4790</v>
      </c>
      <c r="AS288" s="215" t="s">
        <v>4654</v>
      </c>
      <c r="AT288" s="215"/>
      <c r="AU288" s="215" t="s">
        <v>739</v>
      </c>
      <c r="AV288" s="215" t="s">
        <v>838</v>
      </c>
      <c r="AW288" s="215" t="s">
        <v>838</v>
      </c>
      <c r="AX288" s="215"/>
      <c r="AY288" s="215" t="s">
        <v>4791</v>
      </c>
      <c r="AZ288" s="215" t="s">
        <v>4792</v>
      </c>
      <c r="BA288" s="214" t="s">
        <v>4694</v>
      </c>
      <c r="BB288" s="214"/>
      <c r="BC288" s="143" t="s">
        <v>791</v>
      </c>
    </row>
    <row r="289" spans="1:55" ht="15" customHeight="1" x14ac:dyDescent="0.25">
      <c r="A289" s="210">
        <v>18</v>
      </c>
      <c r="B289" s="143" t="s">
        <v>4633</v>
      </c>
      <c r="C289" s="229" t="s">
        <v>4753</v>
      </c>
      <c r="D289" s="225" t="s">
        <v>791</v>
      </c>
      <c r="E289" s="143" t="s">
        <v>792</v>
      </c>
      <c r="F289" s="143" t="s">
        <v>793</v>
      </c>
      <c r="G289" s="143" t="s">
        <v>794</v>
      </c>
      <c r="H289" s="143" t="s">
        <v>794</v>
      </c>
      <c r="I289" s="143" t="s">
        <v>4793</v>
      </c>
      <c r="J289" s="217">
        <v>44197</v>
      </c>
      <c r="K289" s="217">
        <v>44561</v>
      </c>
      <c r="L289" s="143" t="s">
        <v>4661</v>
      </c>
      <c r="M289" s="226" t="s">
        <v>4639</v>
      </c>
      <c r="N289" s="143" t="s">
        <v>30</v>
      </c>
      <c r="O289" s="143" t="s">
        <v>4652</v>
      </c>
      <c r="P289" s="143" t="s">
        <v>821</v>
      </c>
      <c r="Q289" s="212">
        <v>222</v>
      </c>
      <c r="R289" s="212">
        <v>69</v>
      </c>
      <c r="S289" s="212">
        <v>60</v>
      </c>
      <c r="T289" s="212">
        <v>50</v>
      </c>
      <c r="U289" s="212">
        <v>43</v>
      </c>
      <c r="V289" s="212">
        <v>60</v>
      </c>
      <c r="W289" s="212" t="s">
        <v>4794</v>
      </c>
      <c r="X289" s="212">
        <v>60</v>
      </c>
      <c r="Y289" s="212" t="s">
        <v>4795</v>
      </c>
      <c r="Z289" s="212">
        <v>38</v>
      </c>
      <c r="AA289" s="212" t="s">
        <v>4796</v>
      </c>
      <c r="AB289" s="215"/>
      <c r="AC289" s="215"/>
      <c r="AD289" s="213">
        <v>44295</v>
      </c>
      <c r="AE289" s="213">
        <v>44379</v>
      </c>
      <c r="AF289" s="213">
        <v>44481</v>
      </c>
      <c r="AG289" s="213"/>
      <c r="AH289" s="75">
        <f t="shared" si="18"/>
        <v>0.71171171171171166</v>
      </c>
      <c r="AI289" s="75">
        <f t="shared" si="19"/>
        <v>0.86956521739130432</v>
      </c>
      <c r="AJ289" s="75">
        <f t="shared" si="20"/>
        <v>1</v>
      </c>
      <c r="AK289" s="75">
        <f t="shared" si="21"/>
        <v>1</v>
      </c>
      <c r="AL289" s="75" t="s">
        <v>2467</v>
      </c>
      <c r="AM289" s="215" t="s">
        <v>739</v>
      </c>
      <c r="AN289" s="215" t="s">
        <v>739</v>
      </c>
      <c r="AO289" s="215" t="s">
        <v>739</v>
      </c>
      <c r="AP289" s="215"/>
      <c r="AQ289" s="215" t="s">
        <v>4797</v>
      </c>
      <c r="AR289" s="215" t="s">
        <v>4798</v>
      </c>
      <c r="AS289" s="215" t="s">
        <v>4799</v>
      </c>
      <c r="AT289" s="215"/>
      <c r="AU289" s="215" t="s">
        <v>739</v>
      </c>
      <c r="AV289" s="215" t="s">
        <v>739</v>
      </c>
      <c r="AW289" s="215" t="s">
        <v>739</v>
      </c>
      <c r="AX289" s="215"/>
      <c r="AY289" s="215" t="s">
        <v>4800</v>
      </c>
      <c r="AZ289" s="215" t="s">
        <v>4801</v>
      </c>
      <c r="BA289" s="214" t="s">
        <v>4802</v>
      </c>
      <c r="BB289" s="214"/>
      <c r="BC289" s="143" t="s">
        <v>791</v>
      </c>
    </row>
    <row r="290" spans="1:55" ht="15" customHeight="1" x14ac:dyDescent="0.25">
      <c r="A290" s="210">
        <v>19</v>
      </c>
      <c r="B290" s="143" t="s">
        <v>4633</v>
      </c>
      <c r="C290" s="229" t="s">
        <v>2552</v>
      </c>
      <c r="D290" s="225" t="s">
        <v>2583</v>
      </c>
      <c r="E290" s="143" t="s">
        <v>792</v>
      </c>
      <c r="F290" s="143" t="s">
        <v>793</v>
      </c>
      <c r="G290" s="143" t="s">
        <v>2458</v>
      </c>
      <c r="H290" s="143" t="s">
        <v>731</v>
      </c>
      <c r="I290" s="143" t="s">
        <v>2595</v>
      </c>
      <c r="J290" s="217">
        <v>44348</v>
      </c>
      <c r="K290" s="217">
        <v>44469</v>
      </c>
      <c r="L290" s="143" t="s">
        <v>733</v>
      </c>
      <c r="M290" s="226" t="s">
        <v>4639</v>
      </c>
      <c r="N290" s="143" t="s">
        <v>60</v>
      </c>
      <c r="O290" s="143" t="s">
        <v>3202</v>
      </c>
      <c r="P290" s="143" t="s">
        <v>11</v>
      </c>
      <c r="Q290" s="215">
        <v>1</v>
      </c>
      <c r="R290" s="215">
        <v>0</v>
      </c>
      <c r="S290" s="215">
        <v>0</v>
      </c>
      <c r="T290" s="215">
        <v>0.5</v>
      </c>
      <c r="U290" s="215">
        <v>0.5</v>
      </c>
      <c r="V290" s="215">
        <v>0</v>
      </c>
      <c r="W290" s="215" t="s">
        <v>4803</v>
      </c>
      <c r="X290" s="215">
        <v>0</v>
      </c>
      <c r="Y290" s="215" t="s">
        <v>4804</v>
      </c>
      <c r="Z290" s="215">
        <v>0.5</v>
      </c>
      <c r="AA290" s="215" t="s">
        <v>4805</v>
      </c>
      <c r="AB290" s="212"/>
      <c r="AC290" s="212"/>
      <c r="AD290" s="213">
        <v>44295</v>
      </c>
      <c r="AE290" s="213">
        <v>44379</v>
      </c>
      <c r="AF290" s="213">
        <v>44481</v>
      </c>
      <c r="AG290" s="213"/>
      <c r="AH290" s="75">
        <f t="shared" si="18"/>
        <v>0.5</v>
      </c>
      <c r="AI290" s="75" t="str">
        <f t="shared" si="19"/>
        <v/>
      </c>
      <c r="AJ290" s="75" t="str">
        <f t="shared" si="20"/>
        <v/>
      </c>
      <c r="AK290" s="75">
        <f t="shared" si="21"/>
        <v>1</v>
      </c>
      <c r="AL290" s="75" t="s">
        <v>2467</v>
      </c>
      <c r="AM290" s="215" t="s">
        <v>838</v>
      </c>
      <c r="AN290" s="215" t="s">
        <v>838</v>
      </c>
      <c r="AO290" s="215" t="s">
        <v>739</v>
      </c>
      <c r="AP290" s="215"/>
      <c r="AQ290" s="215" t="s">
        <v>4806</v>
      </c>
      <c r="AR290" s="215" t="s">
        <v>4654</v>
      </c>
      <c r="AS290" s="215" t="s">
        <v>4807</v>
      </c>
      <c r="AT290" s="215"/>
      <c r="AU290" s="215" t="s">
        <v>838</v>
      </c>
      <c r="AV290" s="215" t="s">
        <v>838</v>
      </c>
      <c r="AW290" s="215" t="s">
        <v>739</v>
      </c>
      <c r="AX290" s="215"/>
      <c r="AY290" s="215" t="s">
        <v>4808</v>
      </c>
      <c r="AZ290" s="215" t="s">
        <v>3122</v>
      </c>
      <c r="BA290" s="214" t="s">
        <v>4809</v>
      </c>
      <c r="BB290" s="214"/>
      <c r="BC290" s="143" t="s">
        <v>727</v>
      </c>
    </row>
    <row r="291" spans="1:55" ht="15" customHeight="1" x14ac:dyDescent="0.25">
      <c r="A291" s="210">
        <v>20</v>
      </c>
      <c r="B291" s="143" t="s">
        <v>4633</v>
      </c>
      <c r="C291" s="229" t="s">
        <v>2459</v>
      </c>
      <c r="D291" s="225" t="s">
        <v>2583</v>
      </c>
      <c r="E291" s="143" t="s">
        <v>792</v>
      </c>
      <c r="F291" s="143" t="s">
        <v>793</v>
      </c>
      <c r="G291" s="143" t="s">
        <v>2458</v>
      </c>
      <c r="H291" s="143" t="s">
        <v>731</v>
      </c>
      <c r="I291" s="143" t="s">
        <v>2829</v>
      </c>
      <c r="J291" s="217">
        <v>44287</v>
      </c>
      <c r="K291" s="217">
        <v>44561</v>
      </c>
      <c r="L291" s="143" t="s">
        <v>733</v>
      </c>
      <c r="M291" s="226" t="s">
        <v>4639</v>
      </c>
      <c r="N291" s="143" t="s">
        <v>60</v>
      </c>
      <c r="O291" s="143" t="s">
        <v>3202</v>
      </c>
      <c r="P291" s="143" t="s">
        <v>11</v>
      </c>
      <c r="Q291" s="215">
        <v>1</v>
      </c>
      <c r="R291" s="215">
        <v>0</v>
      </c>
      <c r="S291" s="215">
        <v>0.3</v>
      </c>
      <c r="T291" s="215">
        <v>0.3</v>
      </c>
      <c r="U291" s="215">
        <v>0.4</v>
      </c>
      <c r="V291" s="215">
        <v>1</v>
      </c>
      <c r="W291" s="215" t="s">
        <v>4810</v>
      </c>
      <c r="X291" s="215">
        <v>1</v>
      </c>
      <c r="Y291" s="215" t="s">
        <v>4810</v>
      </c>
      <c r="Z291" s="215">
        <v>1</v>
      </c>
      <c r="AA291" s="215" t="s">
        <v>4811</v>
      </c>
      <c r="AB291" s="212"/>
      <c r="AC291" s="212"/>
      <c r="AD291" s="213">
        <v>44295</v>
      </c>
      <c r="AE291" s="213">
        <v>44379</v>
      </c>
      <c r="AF291" s="213">
        <v>44482</v>
      </c>
      <c r="AG291" s="213"/>
      <c r="AH291" s="75">
        <f t="shared" si="18"/>
        <v>1</v>
      </c>
      <c r="AI291" s="75" t="str">
        <f t="shared" si="19"/>
        <v/>
      </c>
      <c r="AJ291" s="75">
        <f t="shared" si="20"/>
        <v>1</v>
      </c>
      <c r="AK291" s="75">
        <f t="shared" si="21"/>
        <v>1</v>
      </c>
      <c r="AL291" s="75" t="s">
        <v>2467</v>
      </c>
      <c r="AM291" s="215" t="s">
        <v>739</v>
      </c>
      <c r="AN291" s="215" t="s">
        <v>739</v>
      </c>
      <c r="AO291" s="215" t="s">
        <v>739</v>
      </c>
      <c r="AP291" s="215"/>
      <c r="AQ291" s="215" t="s">
        <v>4812</v>
      </c>
      <c r="AR291" s="215" t="s">
        <v>4813</v>
      </c>
      <c r="AS291" s="215" t="s">
        <v>4814</v>
      </c>
      <c r="AT291" s="215"/>
      <c r="AU291" s="215" t="s">
        <v>739</v>
      </c>
      <c r="AV291" s="215" t="s">
        <v>739</v>
      </c>
      <c r="AW291" s="215" t="s">
        <v>739</v>
      </c>
      <c r="AX291" s="215"/>
      <c r="AY291" s="215" t="s">
        <v>4815</v>
      </c>
      <c r="AZ291" s="215" t="s">
        <v>4816</v>
      </c>
      <c r="BA291" s="214" t="s">
        <v>4817</v>
      </c>
      <c r="BB291" s="214"/>
      <c r="BC291" s="143" t="s">
        <v>727</v>
      </c>
    </row>
    <row r="292" spans="1:55" ht="15" customHeight="1" x14ac:dyDescent="0.25">
      <c r="A292" s="210">
        <v>21</v>
      </c>
      <c r="B292" s="143" t="s">
        <v>4633</v>
      </c>
      <c r="C292" s="229" t="s">
        <v>2552</v>
      </c>
      <c r="D292" s="225" t="s">
        <v>2583</v>
      </c>
      <c r="E292" s="143" t="s">
        <v>792</v>
      </c>
      <c r="F292" s="143" t="s">
        <v>793</v>
      </c>
      <c r="G292" s="143" t="s">
        <v>2458</v>
      </c>
      <c r="H292" s="143" t="s">
        <v>731</v>
      </c>
      <c r="I292" s="143" t="s">
        <v>3130</v>
      </c>
      <c r="J292" s="217">
        <v>44378</v>
      </c>
      <c r="K292" s="217">
        <v>44408</v>
      </c>
      <c r="L292" s="143" t="s">
        <v>733</v>
      </c>
      <c r="M292" s="226" t="s">
        <v>4639</v>
      </c>
      <c r="N292" s="143" t="s">
        <v>60</v>
      </c>
      <c r="O292" s="143" t="s">
        <v>3202</v>
      </c>
      <c r="P292" s="143" t="s">
        <v>11</v>
      </c>
      <c r="Q292" s="215">
        <v>1</v>
      </c>
      <c r="R292" s="215">
        <v>0</v>
      </c>
      <c r="S292" s="215">
        <v>0</v>
      </c>
      <c r="T292" s="215">
        <v>1</v>
      </c>
      <c r="U292" s="215">
        <v>0</v>
      </c>
      <c r="V292" s="215">
        <v>0</v>
      </c>
      <c r="W292" s="215" t="s">
        <v>4818</v>
      </c>
      <c r="X292" s="215">
        <v>0</v>
      </c>
      <c r="Y292" s="215" t="s">
        <v>4819</v>
      </c>
      <c r="Z292" s="215">
        <v>1</v>
      </c>
      <c r="AA292" s="215" t="s">
        <v>4820</v>
      </c>
      <c r="AB292" s="212"/>
      <c r="AC292" s="212"/>
      <c r="AD292" s="213">
        <v>44295</v>
      </c>
      <c r="AE292" s="213">
        <v>44379</v>
      </c>
      <c r="AF292" s="213">
        <v>44481</v>
      </c>
      <c r="AG292" s="213"/>
      <c r="AH292" s="75">
        <f t="shared" si="18"/>
        <v>1</v>
      </c>
      <c r="AI292" s="75" t="str">
        <f t="shared" si="19"/>
        <v/>
      </c>
      <c r="AJ292" s="75" t="str">
        <f t="shared" si="20"/>
        <v/>
      </c>
      <c r="AK292" s="75">
        <f t="shared" si="21"/>
        <v>1</v>
      </c>
      <c r="AL292" s="75" t="s">
        <v>2467</v>
      </c>
      <c r="AM292" s="215" t="s">
        <v>838</v>
      </c>
      <c r="AN292" s="215" t="s">
        <v>838</v>
      </c>
      <c r="AO292" s="215" t="s">
        <v>739</v>
      </c>
      <c r="AP292" s="215"/>
      <c r="AQ292" s="215" t="s">
        <v>4821</v>
      </c>
      <c r="AR292" s="215" t="s">
        <v>4822</v>
      </c>
      <c r="AS292" s="215" t="s">
        <v>4823</v>
      </c>
      <c r="AT292" s="215"/>
      <c r="AU292" s="215" t="s">
        <v>838</v>
      </c>
      <c r="AV292" s="215" t="s">
        <v>838</v>
      </c>
      <c r="AW292" s="215" t="s">
        <v>739</v>
      </c>
      <c r="AX292" s="215"/>
      <c r="AY292" s="215" t="s">
        <v>4808</v>
      </c>
      <c r="AZ292" s="215" t="s">
        <v>4808</v>
      </c>
      <c r="BA292" s="214" t="s">
        <v>4824</v>
      </c>
      <c r="BB292" s="214"/>
      <c r="BC292" s="143" t="s">
        <v>727</v>
      </c>
    </row>
    <row r="293" spans="1:55" ht="15" customHeight="1" x14ac:dyDescent="0.25">
      <c r="A293" s="210">
        <v>22</v>
      </c>
      <c r="B293" s="143" t="s">
        <v>4633</v>
      </c>
      <c r="C293" s="229" t="s">
        <v>2552</v>
      </c>
      <c r="D293" s="225" t="s">
        <v>2583</v>
      </c>
      <c r="E293" s="143" t="s">
        <v>792</v>
      </c>
      <c r="F293" s="143" t="s">
        <v>793</v>
      </c>
      <c r="G293" s="143" t="s">
        <v>2458</v>
      </c>
      <c r="H293" s="143" t="s">
        <v>731</v>
      </c>
      <c r="I293" s="143" t="s">
        <v>2837</v>
      </c>
      <c r="J293" s="217">
        <v>44409</v>
      </c>
      <c r="K293" s="217">
        <v>44561</v>
      </c>
      <c r="L293" s="143" t="s">
        <v>733</v>
      </c>
      <c r="M293" s="226" t="s">
        <v>4639</v>
      </c>
      <c r="N293" s="143" t="s">
        <v>60</v>
      </c>
      <c r="O293" s="143" t="s">
        <v>3202</v>
      </c>
      <c r="P293" s="143" t="s">
        <v>11</v>
      </c>
      <c r="Q293" s="215">
        <v>1</v>
      </c>
      <c r="R293" s="215">
        <v>0</v>
      </c>
      <c r="S293" s="215">
        <v>0</v>
      </c>
      <c r="T293" s="215">
        <v>0.4</v>
      </c>
      <c r="U293" s="215">
        <v>0.6</v>
      </c>
      <c r="V293" s="215">
        <v>0</v>
      </c>
      <c r="W293" s="215" t="s">
        <v>4825</v>
      </c>
      <c r="X293" s="215">
        <v>0</v>
      </c>
      <c r="Y293" s="215" t="s">
        <v>4825</v>
      </c>
      <c r="Z293" s="215">
        <v>0.4</v>
      </c>
      <c r="AA293" s="215" t="s">
        <v>4826</v>
      </c>
      <c r="AB293" s="212"/>
      <c r="AC293" s="212"/>
      <c r="AD293" s="213">
        <v>44295</v>
      </c>
      <c r="AE293" s="213">
        <v>44379</v>
      </c>
      <c r="AF293" s="213">
        <v>44481</v>
      </c>
      <c r="AG293" s="213"/>
      <c r="AH293" s="75">
        <f t="shared" si="18"/>
        <v>0.4</v>
      </c>
      <c r="AI293" s="75" t="str">
        <f t="shared" si="19"/>
        <v/>
      </c>
      <c r="AJ293" s="75" t="str">
        <f t="shared" si="20"/>
        <v/>
      </c>
      <c r="AK293" s="75">
        <f t="shared" si="21"/>
        <v>1</v>
      </c>
      <c r="AL293" s="75" t="s">
        <v>2467</v>
      </c>
      <c r="AM293" s="215" t="s">
        <v>838</v>
      </c>
      <c r="AN293" s="215" t="s">
        <v>838</v>
      </c>
      <c r="AO293" s="215" t="s">
        <v>739</v>
      </c>
      <c r="AP293" s="215"/>
      <c r="AQ293" s="215" t="s">
        <v>4821</v>
      </c>
      <c r="AR293" s="215" t="s">
        <v>4827</v>
      </c>
      <c r="AS293" s="215" t="s">
        <v>1103</v>
      </c>
      <c r="AT293" s="215"/>
      <c r="AU293" s="215" t="s">
        <v>838</v>
      </c>
      <c r="AV293" s="215" t="s">
        <v>838</v>
      </c>
      <c r="AW293" s="215" t="s">
        <v>739</v>
      </c>
      <c r="AX293" s="215"/>
      <c r="AY293" s="215" t="s">
        <v>4808</v>
      </c>
      <c r="AZ293" s="215" t="s">
        <v>4808</v>
      </c>
      <c r="BA293" s="214" t="s">
        <v>4828</v>
      </c>
      <c r="BB293" s="214"/>
      <c r="BC293" s="143" t="s">
        <v>727</v>
      </c>
    </row>
    <row r="294" spans="1:55" ht="15" customHeight="1" x14ac:dyDescent="0.25">
      <c r="A294" s="210">
        <v>23</v>
      </c>
      <c r="B294" s="143" t="s">
        <v>4633</v>
      </c>
      <c r="C294" s="229" t="s">
        <v>2601</v>
      </c>
      <c r="D294" s="225" t="s">
        <v>2583</v>
      </c>
      <c r="E294" s="143" t="s">
        <v>792</v>
      </c>
      <c r="F294" s="143" t="s">
        <v>793</v>
      </c>
      <c r="G294" s="143" t="s">
        <v>2458</v>
      </c>
      <c r="H294" s="143" t="s">
        <v>731</v>
      </c>
      <c r="I294" s="143" t="s">
        <v>2825</v>
      </c>
      <c r="J294" s="217">
        <v>44378</v>
      </c>
      <c r="K294" s="217">
        <v>44408</v>
      </c>
      <c r="L294" s="143" t="s">
        <v>733</v>
      </c>
      <c r="M294" s="226" t="s">
        <v>4639</v>
      </c>
      <c r="N294" s="143" t="s">
        <v>60</v>
      </c>
      <c r="O294" s="143" t="s">
        <v>3202</v>
      </c>
      <c r="P294" s="143" t="s">
        <v>11</v>
      </c>
      <c r="Q294" s="215">
        <v>1</v>
      </c>
      <c r="R294" s="215">
        <v>0</v>
      </c>
      <c r="S294" s="215">
        <v>0</v>
      </c>
      <c r="T294" s="215">
        <v>0</v>
      </c>
      <c r="U294" s="215">
        <v>1</v>
      </c>
      <c r="V294" s="215">
        <v>0</v>
      </c>
      <c r="W294" s="215" t="s">
        <v>4825</v>
      </c>
      <c r="X294" s="215">
        <v>0</v>
      </c>
      <c r="Y294" s="215" t="s">
        <v>4825</v>
      </c>
      <c r="Z294" s="215">
        <v>0</v>
      </c>
      <c r="AA294" s="215" t="s">
        <v>4829</v>
      </c>
      <c r="AB294" s="212"/>
      <c r="AC294" s="212"/>
      <c r="AD294" s="213">
        <v>44295</v>
      </c>
      <c r="AE294" s="213">
        <v>44379</v>
      </c>
      <c r="AF294" s="213">
        <v>44481</v>
      </c>
      <c r="AG294" s="213"/>
      <c r="AH294" s="75">
        <f t="shared" si="18"/>
        <v>0</v>
      </c>
      <c r="AI294" s="75" t="str">
        <f t="shared" si="19"/>
        <v/>
      </c>
      <c r="AJ294" s="75" t="str">
        <f t="shared" si="20"/>
        <v/>
      </c>
      <c r="AK294" s="75" t="str">
        <f t="shared" si="21"/>
        <v/>
      </c>
      <c r="AL294" s="75" t="s">
        <v>2467</v>
      </c>
      <c r="AM294" s="215" t="s">
        <v>838</v>
      </c>
      <c r="AN294" s="215" t="s">
        <v>838</v>
      </c>
      <c r="AO294" s="215" t="s">
        <v>739</v>
      </c>
      <c r="AP294" s="215"/>
      <c r="AQ294" s="215" t="s">
        <v>4821</v>
      </c>
      <c r="AR294" s="215" t="s">
        <v>4830</v>
      </c>
      <c r="AS294" s="215" t="s">
        <v>4829</v>
      </c>
      <c r="AT294" s="215"/>
      <c r="AU294" s="215" t="s">
        <v>838</v>
      </c>
      <c r="AV294" s="215" t="s">
        <v>838</v>
      </c>
      <c r="AW294" s="215" t="s">
        <v>838</v>
      </c>
      <c r="AX294" s="215"/>
      <c r="AY294" s="215" t="s">
        <v>4808</v>
      </c>
      <c r="AZ294" s="215" t="s">
        <v>4808</v>
      </c>
      <c r="BA294" s="214" t="s">
        <v>4831</v>
      </c>
      <c r="BB294" s="214"/>
      <c r="BC294" s="143" t="s">
        <v>727</v>
      </c>
    </row>
    <row r="295" spans="1:55" ht="15" customHeight="1" x14ac:dyDescent="0.25">
      <c r="A295" s="210">
        <v>1</v>
      </c>
      <c r="B295" s="143" t="s">
        <v>4832</v>
      </c>
      <c r="C295" s="143" t="s">
        <v>1710</v>
      </c>
      <c r="D295" s="225" t="s">
        <v>4833</v>
      </c>
      <c r="E295" s="143" t="s">
        <v>792</v>
      </c>
      <c r="F295" s="143" t="s">
        <v>793</v>
      </c>
      <c r="G295" s="143" t="s">
        <v>4834</v>
      </c>
      <c r="H295" s="143" t="s">
        <v>4834</v>
      </c>
      <c r="I295" s="143" t="s">
        <v>4835</v>
      </c>
      <c r="J295" s="217">
        <v>44228</v>
      </c>
      <c r="K295" s="217">
        <v>44530</v>
      </c>
      <c r="L295" s="143" t="s">
        <v>4836</v>
      </c>
      <c r="M295" s="226" t="s">
        <v>4837</v>
      </c>
      <c r="N295" s="143" t="s">
        <v>60</v>
      </c>
      <c r="O295" s="143" t="s">
        <v>4838</v>
      </c>
      <c r="P295" s="143" t="s">
        <v>735</v>
      </c>
      <c r="Q295" s="215">
        <v>1</v>
      </c>
      <c r="R295" s="215">
        <v>0.2</v>
      </c>
      <c r="S295" s="215">
        <v>0.3</v>
      </c>
      <c r="T295" s="215">
        <v>0.3</v>
      </c>
      <c r="U295" s="215">
        <v>0.2</v>
      </c>
      <c r="V295" s="215">
        <v>0.2</v>
      </c>
      <c r="W295" s="215" t="s">
        <v>4839</v>
      </c>
      <c r="X295" s="215">
        <v>0.3</v>
      </c>
      <c r="Y295" s="215" t="s">
        <v>4840</v>
      </c>
      <c r="Z295" s="215">
        <v>0.3</v>
      </c>
      <c r="AA295" s="215" t="s">
        <v>4841</v>
      </c>
      <c r="AB295" s="223"/>
      <c r="AC295" s="223"/>
      <c r="AD295" s="213">
        <v>44295</v>
      </c>
      <c r="AE295" s="213">
        <v>44379</v>
      </c>
      <c r="AF295" s="213">
        <v>44481</v>
      </c>
      <c r="AG295" s="213"/>
      <c r="AH295" s="75">
        <f t="shared" si="18"/>
        <v>0.8</v>
      </c>
      <c r="AI295" s="75">
        <f t="shared" si="19"/>
        <v>1</v>
      </c>
      <c r="AJ295" s="75">
        <f t="shared" si="20"/>
        <v>1</v>
      </c>
      <c r="AK295" s="75">
        <f t="shared" si="21"/>
        <v>1</v>
      </c>
      <c r="AL295" s="75" t="s">
        <v>2467</v>
      </c>
      <c r="AM295" s="214" t="s">
        <v>739</v>
      </c>
      <c r="AN295" s="214" t="s">
        <v>739</v>
      </c>
      <c r="AO295" s="214" t="s">
        <v>739</v>
      </c>
      <c r="AP295" s="214"/>
      <c r="AQ295" s="214" t="s">
        <v>4842</v>
      </c>
      <c r="AR295" s="214" t="s">
        <v>4843</v>
      </c>
      <c r="AS295" s="214" t="s">
        <v>2724</v>
      </c>
      <c r="AT295" s="214"/>
      <c r="AU295" s="214" t="s">
        <v>739</v>
      </c>
      <c r="AV295" s="214" t="s">
        <v>4844</v>
      </c>
      <c r="AW295" s="214" t="s">
        <v>739</v>
      </c>
      <c r="AX295" s="214"/>
      <c r="AY295" s="214" t="s">
        <v>4845</v>
      </c>
      <c r="AZ295" s="214" t="s">
        <v>4846</v>
      </c>
      <c r="BA295" s="214" t="s">
        <v>4847</v>
      </c>
      <c r="BB295" s="214"/>
      <c r="BC295" s="143" t="s">
        <v>727</v>
      </c>
    </row>
    <row r="296" spans="1:55" ht="15" customHeight="1" x14ac:dyDescent="0.25">
      <c r="A296" s="210">
        <v>2</v>
      </c>
      <c r="B296" s="143" t="s">
        <v>4832</v>
      </c>
      <c r="C296" s="143" t="s">
        <v>1710</v>
      </c>
      <c r="D296" s="225" t="s">
        <v>4833</v>
      </c>
      <c r="E296" s="143" t="s">
        <v>792</v>
      </c>
      <c r="F296" s="143" t="s">
        <v>793</v>
      </c>
      <c r="G296" s="143" t="s">
        <v>4834</v>
      </c>
      <c r="H296" s="143" t="s">
        <v>4834</v>
      </c>
      <c r="I296" s="143" t="s">
        <v>4848</v>
      </c>
      <c r="J296" s="217">
        <v>44228</v>
      </c>
      <c r="K296" s="217">
        <v>44530</v>
      </c>
      <c r="L296" s="143" t="s">
        <v>4849</v>
      </c>
      <c r="M296" s="226" t="s">
        <v>4837</v>
      </c>
      <c r="N296" s="143" t="s">
        <v>60</v>
      </c>
      <c r="O296" s="143" t="s">
        <v>4838</v>
      </c>
      <c r="P296" s="143" t="s">
        <v>735</v>
      </c>
      <c r="Q296" s="215">
        <v>1</v>
      </c>
      <c r="R296" s="215">
        <v>0.2</v>
      </c>
      <c r="S296" s="215">
        <v>0.3</v>
      </c>
      <c r="T296" s="215">
        <v>0.3</v>
      </c>
      <c r="U296" s="215">
        <v>0.2</v>
      </c>
      <c r="V296" s="215">
        <v>0.2</v>
      </c>
      <c r="W296" s="215" t="s">
        <v>4850</v>
      </c>
      <c r="X296" s="215">
        <v>0.3</v>
      </c>
      <c r="Y296" s="215" t="s">
        <v>4851</v>
      </c>
      <c r="Z296" s="215">
        <v>0.3</v>
      </c>
      <c r="AA296" s="215" t="s">
        <v>4852</v>
      </c>
      <c r="AB296" s="219"/>
      <c r="AC296" s="219"/>
      <c r="AD296" s="213">
        <v>44295</v>
      </c>
      <c r="AE296" s="213">
        <v>44379</v>
      </c>
      <c r="AF296" s="213">
        <v>44481</v>
      </c>
      <c r="AG296" s="213"/>
      <c r="AH296" s="75">
        <f t="shared" si="18"/>
        <v>0.8</v>
      </c>
      <c r="AI296" s="75">
        <f t="shared" si="19"/>
        <v>1</v>
      </c>
      <c r="AJ296" s="75">
        <f t="shared" si="20"/>
        <v>1</v>
      </c>
      <c r="AK296" s="75">
        <f t="shared" si="21"/>
        <v>1</v>
      </c>
      <c r="AL296" s="75" t="s">
        <v>2467</v>
      </c>
      <c r="AM296" s="214" t="s">
        <v>739</v>
      </c>
      <c r="AN296" s="214" t="s">
        <v>739</v>
      </c>
      <c r="AO296" s="214" t="s">
        <v>739</v>
      </c>
      <c r="AP296" s="214"/>
      <c r="AQ296" s="214" t="s">
        <v>4853</v>
      </c>
      <c r="AR296" s="214" t="s">
        <v>4854</v>
      </c>
      <c r="AS296" s="214" t="s">
        <v>2724</v>
      </c>
      <c r="AT296" s="214"/>
      <c r="AU296" s="214" t="s">
        <v>739</v>
      </c>
      <c r="AV296" s="214" t="s">
        <v>739</v>
      </c>
      <c r="AW296" s="214" t="s">
        <v>739</v>
      </c>
      <c r="AX296" s="214"/>
      <c r="AY296" s="214" t="s">
        <v>4855</v>
      </c>
      <c r="AZ296" s="214" t="s">
        <v>4856</v>
      </c>
      <c r="BA296" s="214" t="s">
        <v>4857</v>
      </c>
      <c r="BB296" s="214"/>
      <c r="BC296" s="143" t="s">
        <v>727</v>
      </c>
    </row>
    <row r="297" spans="1:55" ht="15" customHeight="1" x14ac:dyDescent="0.25">
      <c r="A297" s="210">
        <v>3</v>
      </c>
      <c r="B297" s="143" t="s">
        <v>4832</v>
      </c>
      <c r="C297" s="143" t="s">
        <v>1710</v>
      </c>
      <c r="D297" s="225" t="s">
        <v>4833</v>
      </c>
      <c r="E297" s="143" t="s">
        <v>792</v>
      </c>
      <c r="F297" s="143" t="s">
        <v>793</v>
      </c>
      <c r="G297" s="143" t="s">
        <v>4834</v>
      </c>
      <c r="H297" s="143" t="s">
        <v>4834</v>
      </c>
      <c r="I297" s="143" t="s">
        <v>4858</v>
      </c>
      <c r="J297" s="217">
        <v>44197</v>
      </c>
      <c r="K297" s="217">
        <v>44561</v>
      </c>
      <c r="L297" s="143" t="s">
        <v>4859</v>
      </c>
      <c r="M297" s="226" t="s">
        <v>4837</v>
      </c>
      <c r="N297" s="143" t="s">
        <v>30</v>
      </c>
      <c r="O297" s="143" t="s">
        <v>4838</v>
      </c>
      <c r="P297" s="143" t="s">
        <v>735</v>
      </c>
      <c r="Q297" s="212">
        <v>12</v>
      </c>
      <c r="R297" s="212">
        <v>3</v>
      </c>
      <c r="S297" s="212">
        <v>3</v>
      </c>
      <c r="T297" s="212">
        <v>3</v>
      </c>
      <c r="U297" s="212">
        <v>3</v>
      </c>
      <c r="V297" s="212">
        <v>3</v>
      </c>
      <c r="W297" s="212" t="s">
        <v>4860</v>
      </c>
      <c r="X297" s="212">
        <v>3</v>
      </c>
      <c r="Y297" s="212" t="s">
        <v>4861</v>
      </c>
      <c r="Z297" s="212">
        <v>3</v>
      </c>
      <c r="AA297" s="212" t="s">
        <v>4862</v>
      </c>
      <c r="AB297" s="219"/>
      <c r="AC297" s="219"/>
      <c r="AD297" s="213">
        <v>44295</v>
      </c>
      <c r="AE297" s="213">
        <v>44379</v>
      </c>
      <c r="AF297" s="213">
        <v>44481</v>
      </c>
      <c r="AG297" s="213"/>
      <c r="AH297" s="75">
        <f t="shared" si="18"/>
        <v>0.75</v>
      </c>
      <c r="AI297" s="75">
        <f t="shared" si="19"/>
        <v>1</v>
      </c>
      <c r="AJ297" s="75">
        <f t="shared" si="20"/>
        <v>1</v>
      </c>
      <c r="AK297" s="75">
        <f t="shared" si="21"/>
        <v>1</v>
      </c>
      <c r="AL297" s="75" t="s">
        <v>2467</v>
      </c>
      <c r="AM297" s="214" t="s">
        <v>739</v>
      </c>
      <c r="AN297" s="214" t="s">
        <v>739</v>
      </c>
      <c r="AO297" s="214" t="s">
        <v>739</v>
      </c>
      <c r="AP297" s="214"/>
      <c r="AQ297" s="214" t="s">
        <v>4863</v>
      </c>
      <c r="AR297" s="214" t="s">
        <v>4864</v>
      </c>
      <c r="AS297" s="214" t="s">
        <v>2724</v>
      </c>
      <c r="AT297" s="214"/>
      <c r="AU297" s="214" t="s">
        <v>739</v>
      </c>
      <c r="AV297" s="214" t="s">
        <v>739</v>
      </c>
      <c r="AW297" s="214" t="s">
        <v>739</v>
      </c>
      <c r="AX297" s="214"/>
      <c r="AY297" s="214" t="s">
        <v>4865</v>
      </c>
      <c r="AZ297" s="214" t="s">
        <v>4866</v>
      </c>
      <c r="BA297" s="214" t="s">
        <v>4867</v>
      </c>
      <c r="BB297" s="214"/>
      <c r="BC297" s="143" t="s">
        <v>727</v>
      </c>
    </row>
    <row r="298" spans="1:55" ht="15" customHeight="1" x14ac:dyDescent="0.25">
      <c r="A298" s="210">
        <v>4</v>
      </c>
      <c r="B298" s="143" t="s">
        <v>4832</v>
      </c>
      <c r="C298" s="143" t="s">
        <v>1710</v>
      </c>
      <c r="D298" s="225" t="s">
        <v>4868</v>
      </c>
      <c r="E298" s="143" t="s">
        <v>792</v>
      </c>
      <c r="F298" s="143" t="s">
        <v>793</v>
      </c>
      <c r="G298" s="143" t="s">
        <v>4834</v>
      </c>
      <c r="H298" s="143" t="s">
        <v>4834</v>
      </c>
      <c r="I298" s="225" t="s">
        <v>4869</v>
      </c>
      <c r="J298" s="217">
        <v>44228</v>
      </c>
      <c r="K298" s="217">
        <v>44561</v>
      </c>
      <c r="L298" s="225" t="s">
        <v>4870</v>
      </c>
      <c r="M298" s="226" t="s">
        <v>4837</v>
      </c>
      <c r="N298" s="225" t="s">
        <v>30</v>
      </c>
      <c r="O298" s="225" t="s">
        <v>4871</v>
      </c>
      <c r="P298" s="225" t="s">
        <v>735</v>
      </c>
      <c r="Q298" s="212">
        <v>8</v>
      </c>
      <c r="R298" s="212">
        <v>2</v>
      </c>
      <c r="S298" s="212">
        <v>2</v>
      </c>
      <c r="T298" s="212">
        <v>2</v>
      </c>
      <c r="U298" s="212">
        <v>2</v>
      </c>
      <c r="V298" s="212">
        <v>3</v>
      </c>
      <c r="W298" s="212" t="s">
        <v>4872</v>
      </c>
      <c r="X298" s="212">
        <v>3</v>
      </c>
      <c r="Y298" s="212" t="s">
        <v>4873</v>
      </c>
      <c r="Z298" s="212">
        <v>0</v>
      </c>
      <c r="AA298" s="212" t="s">
        <v>4874</v>
      </c>
      <c r="AB298" s="219"/>
      <c r="AC298" s="219"/>
      <c r="AD298" s="213">
        <v>44295</v>
      </c>
      <c r="AE298" s="213">
        <v>44379</v>
      </c>
      <c r="AF298" s="213">
        <v>44481</v>
      </c>
      <c r="AG298" s="213"/>
      <c r="AH298" s="75">
        <f t="shared" si="18"/>
        <v>0.75</v>
      </c>
      <c r="AI298" s="75">
        <f t="shared" si="19"/>
        <v>1</v>
      </c>
      <c r="AJ298" s="75">
        <f t="shared" si="20"/>
        <v>1</v>
      </c>
      <c r="AK298" s="75">
        <f t="shared" si="21"/>
        <v>1</v>
      </c>
      <c r="AL298" s="75" t="s">
        <v>2467</v>
      </c>
      <c r="AM298" s="214" t="s">
        <v>739</v>
      </c>
      <c r="AN298" s="214" t="s">
        <v>739</v>
      </c>
      <c r="AO298" s="214" t="s">
        <v>739</v>
      </c>
      <c r="AP298" s="214"/>
      <c r="AQ298" s="214" t="s">
        <v>4875</v>
      </c>
      <c r="AR298" s="214" t="s">
        <v>4876</v>
      </c>
      <c r="AS298" s="214" t="s">
        <v>4877</v>
      </c>
      <c r="AT298" s="214"/>
      <c r="AU298" s="214" t="s">
        <v>739</v>
      </c>
      <c r="AV298" s="214" t="s">
        <v>739</v>
      </c>
      <c r="AW298" s="214" t="s">
        <v>828</v>
      </c>
      <c r="AX298" s="214"/>
      <c r="AY298" s="214" t="s">
        <v>4878</v>
      </c>
      <c r="AZ298" s="214" t="s">
        <v>4879</v>
      </c>
      <c r="BA298" s="214" t="s">
        <v>4880</v>
      </c>
      <c r="BB298" s="214"/>
      <c r="BC298" s="143" t="s">
        <v>727</v>
      </c>
    </row>
    <row r="299" spans="1:55" ht="15" customHeight="1" x14ac:dyDescent="0.25">
      <c r="A299" s="210">
        <v>5</v>
      </c>
      <c r="B299" s="143" t="s">
        <v>4832</v>
      </c>
      <c r="C299" s="143" t="s">
        <v>2552</v>
      </c>
      <c r="D299" s="143" t="s">
        <v>2583</v>
      </c>
      <c r="E299" s="143" t="s">
        <v>2584</v>
      </c>
      <c r="F299" s="143" t="s">
        <v>793</v>
      </c>
      <c r="G299" s="143" t="s">
        <v>2458</v>
      </c>
      <c r="H299" s="143" t="s">
        <v>731</v>
      </c>
      <c r="I299" s="143" t="s">
        <v>2595</v>
      </c>
      <c r="J299" s="217">
        <v>44197</v>
      </c>
      <c r="K299" s="217">
        <v>44561</v>
      </c>
      <c r="L299" s="143" t="s">
        <v>2815</v>
      </c>
      <c r="M299" s="143" t="s">
        <v>4837</v>
      </c>
      <c r="N299" s="143" t="s">
        <v>60</v>
      </c>
      <c r="O299" s="143" t="s">
        <v>2587</v>
      </c>
      <c r="P299" s="143" t="s">
        <v>11</v>
      </c>
      <c r="Q299" s="215">
        <v>1</v>
      </c>
      <c r="R299" s="215">
        <v>0</v>
      </c>
      <c r="S299" s="215">
        <v>0</v>
      </c>
      <c r="T299" s="215">
        <v>0.5</v>
      </c>
      <c r="U299" s="215">
        <v>0.5</v>
      </c>
      <c r="V299" s="215">
        <v>0</v>
      </c>
      <c r="W299" s="215" t="s">
        <v>4881</v>
      </c>
      <c r="X299" s="215">
        <v>0</v>
      </c>
      <c r="Y299" s="215" t="s">
        <v>4882</v>
      </c>
      <c r="Z299" s="215">
        <v>0.5</v>
      </c>
      <c r="AA299" s="215" t="s">
        <v>4883</v>
      </c>
      <c r="AB299" s="219"/>
      <c r="AC299" s="219"/>
      <c r="AD299" s="213">
        <v>44295</v>
      </c>
      <c r="AE299" s="213">
        <v>44379</v>
      </c>
      <c r="AF299" s="213">
        <v>44481</v>
      </c>
      <c r="AG299" s="213"/>
      <c r="AH299" s="75">
        <f t="shared" si="18"/>
        <v>0.5</v>
      </c>
      <c r="AI299" s="75" t="str">
        <f t="shared" si="19"/>
        <v/>
      </c>
      <c r="AJ299" s="75" t="str">
        <f t="shared" si="20"/>
        <v/>
      </c>
      <c r="AK299" s="75">
        <f t="shared" si="21"/>
        <v>1</v>
      </c>
      <c r="AL299" s="75" t="s">
        <v>2467</v>
      </c>
      <c r="AM299" s="214" t="s">
        <v>838</v>
      </c>
      <c r="AN299" s="214" t="s">
        <v>838</v>
      </c>
      <c r="AO299" s="214" t="s">
        <v>739</v>
      </c>
      <c r="AP299" s="214"/>
      <c r="AQ299" s="214" t="s">
        <v>4884</v>
      </c>
      <c r="AR299" s="214" t="s">
        <v>838</v>
      </c>
      <c r="AS299" s="214" t="s">
        <v>2724</v>
      </c>
      <c r="AT299" s="214"/>
      <c r="AU299" s="214" t="s">
        <v>838</v>
      </c>
      <c r="AV299" s="214" t="s">
        <v>838</v>
      </c>
      <c r="AW299" s="214" t="s">
        <v>739</v>
      </c>
      <c r="AX299" s="214"/>
      <c r="AY299" s="214" t="s">
        <v>4885</v>
      </c>
      <c r="AZ299" s="214" t="s">
        <v>4885</v>
      </c>
      <c r="BA299" s="214" t="s">
        <v>4886</v>
      </c>
      <c r="BB299" s="214"/>
      <c r="BC299" s="143" t="s">
        <v>727</v>
      </c>
    </row>
    <row r="300" spans="1:55" ht="15" customHeight="1" x14ac:dyDescent="0.25">
      <c r="A300" s="210">
        <v>6</v>
      </c>
      <c r="B300" s="143" t="s">
        <v>4832</v>
      </c>
      <c r="C300" s="143" t="s">
        <v>2601</v>
      </c>
      <c r="D300" s="143" t="s">
        <v>2583</v>
      </c>
      <c r="E300" s="143" t="s">
        <v>2584</v>
      </c>
      <c r="F300" s="143" t="s">
        <v>793</v>
      </c>
      <c r="G300" s="143" t="s">
        <v>2458</v>
      </c>
      <c r="H300" s="143" t="s">
        <v>731</v>
      </c>
      <c r="I300" s="143" t="s">
        <v>2602</v>
      </c>
      <c r="J300" s="217">
        <v>44197</v>
      </c>
      <c r="K300" s="217">
        <v>44561</v>
      </c>
      <c r="L300" s="143" t="s">
        <v>2603</v>
      </c>
      <c r="M300" s="143" t="s">
        <v>4837</v>
      </c>
      <c r="N300" s="143" t="s">
        <v>30</v>
      </c>
      <c r="O300" s="143" t="s">
        <v>2587</v>
      </c>
      <c r="P300" s="143" t="s">
        <v>11</v>
      </c>
      <c r="Q300" s="212">
        <v>4</v>
      </c>
      <c r="R300" s="212">
        <v>1</v>
      </c>
      <c r="S300" s="212">
        <v>1</v>
      </c>
      <c r="T300" s="212">
        <v>1</v>
      </c>
      <c r="U300" s="212">
        <v>1</v>
      </c>
      <c r="V300" s="212">
        <v>1</v>
      </c>
      <c r="W300" s="212" t="s">
        <v>4887</v>
      </c>
      <c r="X300" s="212">
        <v>1</v>
      </c>
      <c r="Y300" s="212" t="s">
        <v>4888</v>
      </c>
      <c r="Z300" s="212">
        <v>1</v>
      </c>
      <c r="AA300" s="212" t="s">
        <v>4889</v>
      </c>
      <c r="AB300" s="223"/>
      <c r="AC300" s="223"/>
      <c r="AD300" s="213">
        <v>44295</v>
      </c>
      <c r="AE300" s="213">
        <v>44379</v>
      </c>
      <c r="AF300" s="213">
        <v>44481</v>
      </c>
      <c r="AG300" s="213"/>
      <c r="AH300" s="75">
        <f t="shared" si="18"/>
        <v>0.75</v>
      </c>
      <c r="AI300" s="75">
        <f t="shared" si="19"/>
        <v>1</v>
      </c>
      <c r="AJ300" s="75">
        <f t="shared" si="20"/>
        <v>1</v>
      </c>
      <c r="AK300" s="75">
        <f t="shared" si="21"/>
        <v>1</v>
      </c>
      <c r="AL300" s="75" t="s">
        <v>2467</v>
      </c>
      <c r="AM300" s="214" t="s">
        <v>739</v>
      </c>
      <c r="AN300" s="214" t="s">
        <v>739</v>
      </c>
      <c r="AO300" s="214" t="s">
        <v>739</v>
      </c>
      <c r="AP300" s="214"/>
      <c r="AQ300" s="214" t="s">
        <v>4890</v>
      </c>
      <c r="AR300" s="214" t="s">
        <v>4891</v>
      </c>
      <c r="AS300" s="214" t="s">
        <v>2724</v>
      </c>
      <c r="AT300" s="214"/>
      <c r="AU300" s="214" t="s">
        <v>739</v>
      </c>
      <c r="AV300" s="214" t="s">
        <v>739</v>
      </c>
      <c r="AW300" s="214" t="s">
        <v>739</v>
      </c>
      <c r="AX300" s="214"/>
      <c r="AY300" s="214" t="s">
        <v>4892</v>
      </c>
      <c r="AZ300" s="214" t="s">
        <v>4893</v>
      </c>
      <c r="BA300" s="214" t="s">
        <v>4894</v>
      </c>
      <c r="BB300" s="214"/>
      <c r="BC300" s="143" t="s">
        <v>727</v>
      </c>
    </row>
    <row r="301" spans="1:55" ht="15" customHeight="1" x14ac:dyDescent="0.25">
      <c r="A301" s="210">
        <v>7</v>
      </c>
      <c r="B301" s="143" t="s">
        <v>4832</v>
      </c>
      <c r="C301" s="143" t="s">
        <v>2601</v>
      </c>
      <c r="D301" s="143" t="s">
        <v>2583</v>
      </c>
      <c r="E301" s="143" t="s">
        <v>2584</v>
      </c>
      <c r="F301" s="143" t="s">
        <v>793</v>
      </c>
      <c r="G301" s="143" t="s">
        <v>2458</v>
      </c>
      <c r="H301" s="143" t="s">
        <v>731</v>
      </c>
      <c r="I301" s="143" t="s">
        <v>2825</v>
      </c>
      <c r="J301" s="217">
        <v>44470</v>
      </c>
      <c r="K301" s="217">
        <v>44561</v>
      </c>
      <c r="L301" s="143" t="s">
        <v>2603</v>
      </c>
      <c r="M301" s="143" t="s">
        <v>4837</v>
      </c>
      <c r="N301" s="143" t="s">
        <v>30</v>
      </c>
      <c r="O301" s="143" t="s">
        <v>2587</v>
      </c>
      <c r="P301" s="143" t="s">
        <v>11</v>
      </c>
      <c r="Q301" s="212">
        <v>1</v>
      </c>
      <c r="R301" s="212">
        <v>0</v>
      </c>
      <c r="S301" s="212">
        <v>0</v>
      </c>
      <c r="T301" s="212">
        <v>0</v>
      </c>
      <c r="U301" s="212">
        <v>1</v>
      </c>
      <c r="V301" s="212">
        <v>0</v>
      </c>
      <c r="W301" s="212" t="s">
        <v>4881</v>
      </c>
      <c r="X301" s="212">
        <v>0</v>
      </c>
      <c r="Y301" s="212" t="s">
        <v>2826</v>
      </c>
      <c r="Z301" s="212">
        <v>0</v>
      </c>
      <c r="AA301" s="212" t="s">
        <v>2826</v>
      </c>
      <c r="AB301" s="219"/>
      <c r="AC301" s="219"/>
      <c r="AD301" s="213">
        <v>44295</v>
      </c>
      <c r="AE301" s="213">
        <v>44379</v>
      </c>
      <c r="AF301" s="213">
        <v>44481</v>
      </c>
      <c r="AG301" s="213"/>
      <c r="AH301" s="75">
        <f t="shared" si="18"/>
        <v>0</v>
      </c>
      <c r="AI301" s="75" t="str">
        <f t="shared" si="19"/>
        <v/>
      </c>
      <c r="AJ301" s="75" t="str">
        <f t="shared" si="20"/>
        <v/>
      </c>
      <c r="AK301" s="75" t="str">
        <f t="shared" si="21"/>
        <v/>
      </c>
      <c r="AL301" s="75" t="s">
        <v>2467</v>
      </c>
      <c r="AM301" s="214" t="s">
        <v>838</v>
      </c>
      <c r="AN301" s="214" t="s">
        <v>838</v>
      </c>
      <c r="AO301" s="214" t="s">
        <v>838</v>
      </c>
      <c r="AP301" s="214"/>
      <c r="AQ301" s="214" t="s">
        <v>4884</v>
      </c>
      <c r="AR301" s="214" t="s">
        <v>838</v>
      </c>
      <c r="AS301" s="214" t="s">
        <v>838</v>
      </c>
      <c r="AT301" s="214"/>
      <c r="AU301" s="214" t="s">
        <v>838</v>
      </c>
      <c r="AV301" s="214" t="s">
        <v>838</v>
      </c>
      <c r="AW301" s="214" t="s">
        <v>838</v>
      </c>
      <c r="AX301" s="214"/>
      <c r="AY301" s="214" t="s">
        <v>4885</v>
      </c>
      <c r="AZ301" s="214" t="s">
        <v>4885</v>
      </c>
      <c r="BA301" s="214" t="s">
        <v>3122</v>
      </c>
      <c r="BB301" s="214"/>
      <c r="BC301" s="143" t="s">
        <v>727</v>
      </c>
    </row>
    <row r="302" spans="1:55" ht="15" customHeight="1" x14ac:dyDescent="0.25">
      <c r="A302" s="210">
        <v>8</v>
      </c>
      <c r="B302" s="143" t="s">
        <v>4832</v>
      </c>
      <c r="C302" s="143" t="s">
        <v>2459</v>
      </c>
      <c r="D302" s="143" t="s">
        <v>2583</v>
      </c>
      <c r="E302" s="143" t="s">
        <v>2584</v>
      </c>
      <c r="F302" s="143" t="s">
        <v>793</v>
      </c>
      <c r="G302" s="143" t="s">
        <v>2458</v>
      </c>
      <c r="H302" s="143" t="s">
        <v>731</v>
      </c>
      <c r="I302" s="143" t="s">
        <v>2829</v>
      </c>
      <c r="J302" s="217">
        <v>44197</v>
      </c>
      <c r="K302" s="217">
        <v>44561</v>
      </c>
      <c r="L302" s="143" t="s">
        <v>2616</v>
      </c>
      <c r="M302" s="143" t="s">
        <v>4837</v>
      </c>
      <c r="N302" s="143" t="s">
        <v>30</v>
      </c>
      <c r="O302" s="143" t="s">
        <v>2587</v>
      </c>
      <c r="P302" s="143" t="s">
        <v>11</v>
      </c>
      <c r="Q302" s="212">
        <v>4</v>
      </c>
      <c r="R302" s="212">
        <v>1</v>
      </c>
      <c r="S302" s="212">
        <v>1</v>
      </c>
      <c r="T302" s="212">
        <v>1</v>
      </c>
      <c r="U302" s="212">
        <v>1</v>
      </c>
      <c r="V302" s="212">
        <v>1</v>
      </c>
      <c r="W302" s="212" t="s">
        <v>4895</v>
      </c>
      <c r="X302" s="212">
        <v>1</v>
      </c>
      <c r="Y302" s="212" t="s">
        <v>4896</v>
      </c>
      <c r="Z302" s="212">
        <v>1</v>
      </c>
      <c r="AA302" s="212" t="s">
        <v>4897</v>
      </c>
      <c r="AB302" s="219"/>
      <c r="AC302" s="219"/>
      <c r="AD302" s="213">
        <v>44295</v>
      </c>
      <c r="AE302" s="213">
        <v>44379</v>
      </c>
      <c r="AF302" s="213">
        <v>44481</v>
      </c>
      <c r="AG302" s="213"/>
      <c r="AH302" s="75">
        <f t="shared" si="18"/>
        <v>0.75</v>
      </c>
      <c r="AI302" s="75">
        <f t="shared" si="19"/>
        <v>1</v>
      </c>
      <c r="AJ302" s="75">
        <f t="shared" si="20"/>
        <v>1</v>
      </c>
      <c r="AK302" s="75">
        <f t="shared" si="21"/>
        <v>1</v>
      </c>
      <c r="AL302" s="75" t="s">
        <v>2467</v>
      </c>
      <c r="AM302" s="214" t="s">
        <v>739</v>
      </c>
      <c r="AN302" s="214" t="s">
        <v>739</v>
      </c>
      <c r="AO302" s="214" t="s">
        <v>739</v>
      </c>
      <c r="AP302" s="214"/>
      <c r="AQ302" s="214" t="s">
        <v>4890</v>
      </c>
      <c r="AR302" s="214" t="s">
        <v>4898</v>
      </c>
      <c r="AS302" s="214" t="s">
        <v>2724</v>
      </c>
      <c r="AT302" s="214"/>
      <c r="AU302" s="214" t="s">
        <v>739</v>
      </c>
      <c r="AV302" s="214" t="s">
        <v>739</v>
      </c>
      <c r="AW302" s="214" t="s">
        <v>739</v>
      </c>
      <c r="AX302" s="214"/>
      <c r="AY302" s="214" t="s">
        <v>4899</v>
      </c>
      <c r="AZ302" s="214" t="s">
        <v>4900</v>
      </c>
      <c r="BA302" s="214" t="s">
        <v>4901</v>
      </c>
      <c r="BB302" s="214"/>
      <c r="BC302" s="143" t="s">
        <v>727</v>
      </c>
    </row>
    <row r="303" spans="1:55" ht="15" customHeight="1" x14ac:dyDescent="0.25">
      <c r="A303" s="210">
        <v>9</v>
      </c>
      <c r="B303" s="143" t="s">
        <v>4832</v>
      </c>
      <c r="C303" s="143" t="s">
        <v>2459</v>
      </c>
      <c r="D303" s="143" t="s">
        <v>2583</v>
      </c>
      <c r="E303" s="143" t="s">
        <v>2584</v>
      </c>
      <c r="F303" s="143" t="s">
        <v>793</v>
      </c>
      <c r="G303" s="143" t="s">
        <v>2458</v>
      </c>
      <c r="H303" s="143" t="s">
        <v>731</v>
      </c>
      <c r="I303" s="143" t="s">
        <v>2834</v>
      </c>
      <c r="J303" s="217">
        <v>44470</v>
      </c>
      <c r="K303" s="217">
        <v>44561</v>
      </c>
      <c r="L303" s="143" t="s">
        <v>2616</v>
      </c>
      <c r="M303" s="143" t="s">
        <v>4837</v>
      </c>
      <c r="N303" s="143" t="s">
        <v>30</v>
      </c>
      <c r="O303" s="143" t="s">
        <v>2587</v>
      </c>
      <c r="P303" s="143" t="s">
        <v>11</v>
      </c>
      <c r="Q303" s="212">
        <v>2</v>
      </c>
      <c r="R303" s="212">
        <v>0</v>
      </c>
      <c r="S303" s="212">
        <v>0</v>
      </c>
      <c r="T303" s="212">
        <v>0</v>
      </c>
      <c r="U303" s="212">
        <v>2</v>
      </c>
      <c r="V303" s="212">
        <v>0</v>
      </c>
      <c r="W303" s="212" t="s">
        <v>4881</v>
      </c>
      <c r="X303" s="212">
        <v>0</v>
      </c>
      <c r="Y303" s="212" t="s">
        <v>2826</v>
      </c>
      <c r="Z303" s="212">
        <v>0</v>
      </c>
      <c r="AA303" s="212" t="s">
        <v>2826</v>
      </c>
      <c r="AB303" s="223"/>
      <c r="AC303" s="223"/>
      <c r="AD303" s="213">
        <v>44295</v>
      </c>
      <c r="AE303" s="213">
        <v>44379</v>
      </c>
      <c r="AF303" s="213">
        <v>44481</v>
      </c>
      <c r="AG303" s="213"/>
      <c r="AH303" s="75">
        <f t="shared" si="18"/>
        <v>0</v>
      </c>
      <c r="AI303" s="75" t="str">
        <f t="shared" si="19"/>
        <v/>
      </c>
      <c r="AJ303" s="75" t="str">
        <f t="shared" si="20"/>
        <v/>
      </c>
      <c r="AK303" s="75" t="str">
        <f t="shared" si="21"/>
        <v/>
      </c>
      <c r="AL303" s="75" t="s">
        <v>2467</v>
      </c>
      <c r="AM303" s="214" t="s">
        <v>838</v>
      </c>
      <c r="AN303" s="214" t="s">
        <v>838</v>
      </c>
      <c r="AO303" s="214" t="s">
        <v>838</v>
      </c>
      <c r="AP303" s="214"/>
      <c r="AQ303" s="214" t="s">
        <v>4884</v>
      </c>
      <c r="AR303" s="214" t="s">
        <v>838</v>
      </c>
      <c r="AS303" s="214" t="s">
        <v>838</v>
      </c>
      <c r="AT303" s="214"/>
      <c r="AU303" s="214" t="s">
        <v>838</v>
      </c>
      <c r="AV303" s="214" t="s">
        <v>838</v>
      </c>
      <c r="AW303" s="214" t="s">
        <v>838</v>
      </c>
      <c r="AX303" s="214"/>
      <c r="AY303" s="214" t="s">
        <v>4885</v>
      </c>
      <c r="AZ303" s="214" t="s">
        <v>4885</v>
      </c>
      <c r="BA303" s="214" t="s">
        <v>3122</v>
      </c>
      <c r="BB303" s="214"/>
      <c r="BC303" s="143" t="s">
        <v>727</v>
      </c>
    </row>
    <row r="304" spans="1:55" ht="15" customHeight="1" x14ac:dyDescent="0.25">
      <c r="A304" s="210">
        <v>10</v>
      </c>
      <c r="B304" s="143" t="s">
        <v>4832</v>
      </c>
      <c r="C304" s="143" t="s">
        <v>2552</v>
      </c>
      <c r="D304" s="143" t="s">
        <v>2583</v>
      </c>
      <c r="E304" s="143" t="s">
        <v>2584</v>
      </c>
      <c r="F304" s="143" t="s">
        <v>793</v>
      </c>
      <c r="G304" s="143" t="s">
        <v>2458</v>
      </c>
      <c r="H304" s="143" t="s">
        <v>731</v>
      </c>
      <c r="I304" s="143" t="s">
        <v>2837</v>
      </c>
      <c r="J304" s="217">
        <v>44317</v>
      </c>
      <c r="K304" s="217">
        <v>44561</v>
      </c>
      <c r="L304" s="143" t="s">
        <v>2649</v>
      </c>
      <c r="M304" s="143" t="s">
        <v>4837</v>
      </c>
      <c r="N304" s="143" t="s">
        <v>30</v>
      </c>
      <c r="O304" s="143" t="s">
        <v>2587</v>
      </c>
      <c r="P304" s="143" t="s">
        <v>11</v>
      </c>
      <c r="Q304" s="212">
        <v>4</v>
      </c>
      <c r="R304" s="212">
        <v>0</v>
      </c>
      <c r="S304" s="212">
        <v>2</v>
      </c>
      <c r="T304" s="212">
        <v>1</v>
      </c>
      <c r="U304" s="212">
        <v>1</v>
      </c>
      <c r="V304" s="212">
        <v>0</v>
      </c>
      <c r="W304" s="212" t="s">
        <v>4881</v>
      </c>
      <c r="X304" s="212">
        <v>2</v>
      </c>
      <c r="Y304" s="212" t="s">
        <v>4902</v>
      </c>
      <c r="Z304" s="212">
        <v>1</v>
      </c>
      <c r="AA304" s="212" t="s">
        <v>4902</v>
      </c>
      <c r="AB304" s="219"/>
      <c r="AC304" s="219"/>
      <c r="AD304" s="213">
        <v>44295</v>
      </c>
      <c r="AE304" s="213">
        <v>44379</v>
      </c>
      <c r="AF304" s="213">
        <v>44481</v>
      </c>
      <c r="AG304" s="213"/>
      <c r="AH304" s="75">
        <f t="shared" si="18"/>
        <v>0.75</v>
      </c>
      <c r="AI304" s="75" t="str">
        <f t="shared" si="19"/>
        <v/>
      </c>
      <c r="AJ304" s="75">
        <f t="shared" si="20"/>
        <v>1</v>
      </c>
      <c r="AK304" s="75">
        <f t="shared" si="21"/>
        <v>1</v>
      </c>
      <c r="AL304" s="75" t="s">
        <v>2467</v>
      </c>
      <c r="AM304" s="214" t="s">
        <v>838</v>
      </c>
      <c r="AN304" s="214" t="s">
        <v>739</v>
      </c>
      <c r="AO304" s="214" t="s">
        <v>739</v>
      </c>
      <c r="AP304" s="214"/>
      <c r="AQ304" s="214" t="s">
        <v>4884</v>
      </c>
      <c r="AR304" s="214" t="s">
        <v>4903</v>
      </c>
      <c r="AS304" s="214" t="s">
        <v>2724</v>
      </c>
      <c r="AT304" s="214"/>
      <c r="AU304" s="214" t="s">
        <v>838</v>
      </c>
      <c r="AV304" s="214" t="s">
        <v>739</v>
      </c>
      <c r="AW304" s="214" t="s">
        <v>739</v>
      </c>
      <c r="AX304" s="214"/>
      <c r="AY304" s="214" t="s">
        <v>4885</v>
      </c>
      <c r="AZ304" s="214" t="s">
        <v>4904</v>
      </c>
      <c r="BA304" s="214" t="s">
        <v>4905</v>
      </c>
      <c r="BB304" s="214"/>
      <c r="BC304" s="143" t="s">
        <v>727</v>
      </c>
    </row>
    <row r="305" spans="1:55" ht="15" customHeight="1" x14ac:dyDescent="0.25">
      <c r="A305" s="210">
        <v>1</v>
      </c>
      <c r="B305" s="143" t="s">
        <v>4906</v>
      </c>
      <c r="C305" s="143" t="s">
        <v>4907</v>
      </c>
      <c r="D305" s="143" t="s">
        <v>4908</v>
      </c>
      <c r="E305" s="143" t="s">
        <v>792</v>
      </c>
      <c r="F305" s="143" t="s">
        <v>793</v>
      </c>
      <c r="G305" s="143" t="s">
        <v>3240</v>
      </c>
      <c r="H305" s="143" t="s">
        <v>4909</v>
      </c>
      <c r="I305" s="143" t="s">
        <v>4910</v>
      </c>
      <c r="J305" s="217">
        <v>44256</v>
      </c>
      <c r="K305" s="217">
        <v>44561</v>
      </c>
      <c r="L305" s="143" t="s">
        <v>4911</v>
      </c>
      <c r="M305" s="143" t="s">
        <v>2718</v>
      </c>
      <c r="N305" s="143" t="s">
        <v>30</v>
      </c>
      <c r="O305" s="143" t="s">
        <v>4912</v>
      </c>
      <c r="P305" s="143" t="s">
        <v>735</v>
      </c>
      <c r="Q305" s="212">
        <v>4</v>
      </c>
      <c r="R305" s="212">
        <v>1</v>
      </c>
      <c r="S305" s="212">
        <v>1</v>
      </c>
      <c r="T305" s="212">
        <v>1</v>
      </c>
      <c r="U305" s="212">
        <v>1</v>
      </c>
      <c r="V305" s="212">
        <v>1</v>
      </c>
      <c r="W305" s="212" t="s">
        <v>4913</v>
      </c>
      <c r="X305" s="212">
        <v>1</v>
      </c>
      <c r="Y305" s="212" t="s">
        <v>4914</v>
      </c>
      <c r="Z305" s="212">
        <v>1</v>
      </c>
      <c r="AA305" s="212" t="s">
        <v>4915</v>
      </c>
      <c r="AB305" s="219"/>
      <c r="AC305" s="219"/>
      <c r="AD305" s="213">
        <v>44295</v>
      </c>
      <c r="AE305" s="213">
        <v>44379</v>
      </c>
      <c r="AF305" s="213">
        <v>44482</v>
      </c>
      <c r="AG305" s="213"/>
      <c r="AH305" s="75">
        <f t="shared" si="18"/>
        <v>0.75</v>
      </c>
      <c r="AI305" s="75">
        <f t="shared" si="19"/>
        <v>1</v>
      </c>
      <c r="AJ305" s="75">
        <f t="shared" si="20"/>
        <v>1</v>
      </c>
      <c r="AK305" s="75">
        <f t="shared" si="21"/>
        <v>1</v>
      </c>
      <c r="AL305" s="75" t="s">
        <v>2467</v>
      </c>
      <c r="AM305" s="214" t="s">
        <v>739</v>
      </c>
      <c r="AN305" s="214" t="s">
        <v>739</v>
      </c>
      <c r="AO305" s="214" t="s">
        <v>739</v>
      </c>
      <c r="AP305" s="214"/>
      <c r="AQ305" s="214" t="s">
        <v>2723</v>
      </c>
      <c r="AR305" s="214" t="s">
        <v>1258</v>
      </c>
      <c r="AS305" s="214" t="s">
        <v>2724</v>
      </c>
      <c r="AT305" s="214"/>
      <c r="AU305" s="214" t="s">
        <v>739</v>
      </c>
      <c r="AV305" s="214" t="s">
        <v>739</v>
      </c>
      <c r="AW305" s="214" t="s">
        <v>739</v>
      </c>
      <c r="AX305" s="214"/>
      <c r="AY305" s="214" t="s">
        <v>4916</v>
      </c>
      <c r="AZ305" s="214" t="s">
        <v>4917</v>
      </c>
      <c r="BA305" s="214" t="s">
        <v>4918</v>
      </c>
      <c r="BB305" s="214"/>
      <c r="BC305" s="143" t="s">
        <v>4919</v>
      </c>
    </row>
    <row r="306" spans="1:55" ht="15" customHeight="1" x14ac:dyDescent="0.25">
      <c r="A306" s="210">
        <v>2</v>
      </c>
      <c r="B306" s="143" t="s">
        <v>4906</v>
      </c>
      <c r="C306" s="143" t="s">
        <v>4907</v>
      </c>
      <c r="D306" s="143" t="s">
        <v>4908</v>
      </c>
      <c r="E306" s="143" t="s">
        <v>792</v>
      </c>
      <c r="F306" s="143" t="s">
        <v>793</v>
      </c>
      <c r="G306" s="143" t="s">
        <v>3240</v>
      </c>
      <c r="H306" s="143" t="s">
        <v>4909</v>
      </c>
      <c r="I306" s="143" t="s">
        <v>4920</v>
      </c>
      <c r="J306" s="217">
        <v>44256</v>
      </c>
      <c r="K306" s="217">
        <v>44408</v>
      </c>
      <c r="L306" s="143" t="s">
        <v>4921</v>
      </c>
      <c r="M306" s="143" t="s">
        <v>2718</v>
      </c>
      <c r="N306" s="143" t="s">
        <v>30</v>
      </c>
      <c r="O306" s="143" t="s">
        <v>4912</v>
      </c>
      <c r="P306" s="143" t="s">
        <v>735</v>
      </c>
      <c r="Q306" s="212">
        <v>1</v>
      </c>
      <c r="R306" s="212">
        <v>0</v>
      </c>
      <c r="S306" s="212">
        <v>1</v>
      </c>
      <c r="T306" s="212">
        <v>0</v>
      </c>
      <c r="U306" s="212">
        <v>0</v>
      </c>
      <c r="V306" s="212">
        <v>0</v>
      </c>
      <c r="W306" s="212" t="s">
        <v>4922</v>
      </c>
      <c r="X306" s="212">
        <v>0</v>
      </c>
      <c r="Y306" s="212" t="s">
        <v>4923</v>
      </c>
      <c r="Z306" s="212">
        <v>0</v>
      </c>
      <c r="AA306" s="212" t="s">
        <v>4924</v>
      </c>
      <c r="AB306" s="219"/>
      <c r="AC306" s="219"/>
      <c r="AD306" s="213">
        <v>44295</v>
      </c>
      <c r="AE306" s="213">
        <v>44379</v>
      </c>
      <c r="AF306" s="213">
        <v>44482</v>
      </c>
      <c r="AG306" s="213"/>
      <c r="AH306" s="75">
        <f t="shared" si="18"/>
        <v>0</v>
      </c>
      <c r="AI306" s="75" t="str">
        <f t="shared" si="19"/>
        <v/>
      </c>
      <c r="AJ306" s="75">
        <f t="shared" si="20"/>
        <v>0</v>
      </c>
      <c r="AK306" s="75" t="str">
        <f t="shared" si="21"/>
        <v/>
      </c>
      <c r="AL306" s="75" t="s">
        <v>2467</v>
      </c>
      <c r="AM306" s="214" t="s">
        <v>838</v>
      </c>
      <c r="AN306" s="214" t="s">
        <v>739</v>
      </c>
      <c r="AO306" s="214" t="s">
        <v>739</v>
      </c>
      <c r="AP306" s="214"/>
      <c r="AQ306" s="214" t="s">
        <v>4925</v>
      </c>
      <c r="AR306" s="214" t="s">
        <v>1258</v>
      </c>
      <c r="AS306" s="214" t="s">
        <v>2724</v>
      </c>
      <c r="AT306" s="214"/>
      <c r="AU306" s="214" t="s">
        <v>838</v>
      </c>
      <c r="AV306" s="214" t="s">
        <v>739</v>
      </c>
      <c r="AW306" s="214" t="s">
        <v>739</v>
      </c>
      <c r="AX306" s="214"/>
      <c r="AY306" s="214" t="s">
        <v>4925</v>
      </c>
      <c r="AZ306" s="214" t="s">
        <v>4926</v>
      </c>
      <c r="BA306" s="214" t="s">
        <v>4927</v>
      </c>
      <c r="BB306" s="214"/>
      <c r="BC306" s="143" t="s">
        <v>4919</v>
      </c>
    </row>
    <row r="307" spans="1:55" ht="15" customHeight="1" x14ac:dyDescent="0.25">
      <c r="A307" s="210">
        <v>3</v>
      </c>
      <c r="B307" s="143" t="s">
        <v>4906</v>
      </c>
      <c r="C307" s="143" t="s">
        <v>4907</v>
      </c>
      <c r="D307" s="143" t="s">
        <v>4908</v>
      </c>
      <c r="E307" s="143" t="s">
        <v>792</v>
      </c>
      <c r="F307" s="143" t="s">
        <v>793</v>
      </c>
      <c r="G307" s="143" t="s">
        <v>3240</v>
      </c>
      <c r="H307" s="143" t="s">
        <v>4909</v>
      </c>
      <c r="I307" s="143" t="s">
        <v>4928</v>
      </c>
      <c r="J307" s="217">
        <v>44501</v>
      </c>
      <c r="K307" s="217">
        <v>44530</v>
      </c>
      <c r="L307" s="143" t="s">
        <v>4929</v>
      </c>
      <c r="M307" s="143" t="s">
        <v>2718</v>
      </c>
      <c r="N307" s="143" t="s">
        <v>30</v>
      </c>
      <c r="O307" s="143" t="s">
        <v>4912</v>
      </c>
      <c r="P307" s="143" t="s">
        <v>735</v>
      </c>
      <c r="Q307" s="212">
        <v>1</v>
      </c>
      <c r="R307" s="212">
        <v>0</v>
      </c>
      <c r="S307" s="212">
        <v>0</v>
      </c>
      <c r="T307" s="212">
        <v>0</v>
      </c>
      <c r="U307" s="212">
        <v>1</v>
      </c>
      <c r="V307" s="212">
        <v>0</v>
      </c>
      <c r="W307" s="212" t="s">
        <v>4930</v>
      </c>
      <c r="X307" s="212">
        <v>0</v>
      </c>
      <c r="Y307" s="212" t="s">
        <v>4930</v>
      </c>
      <c r="Z307" s="212">
        <v>0</v>
      </c>
      <c r="AA307" s="212" t="s">
        <v>4931</v>
      </c>
      <c r="AB307" s="223"/>
      <c r="AC307" s="223"/>
      <c r="AD307" s="213">
        <v>44295</v>
      </c>
      <c r="AE307" s="213">
        <v>44379</v>
      </c>
      <c r="AF307" s="213">
        <v>44482</v>
      </c>
      <c r="AG307" s="213"/>
      <c r="AH307" s="75">
        <f t="shared" si="18"/>
        <v>0</v>
      </c>
      <c r="AI307" s="75" t="str">
        <f t="shared" si="19"/>
        <v/>
      </c>
      <c r="AJ307" s="75" t="str">
        <f t="shared" si="20"/>
        <v/>
      </c>
      <c r="AK307" s="75" t="str">
        <f t="shared" si="21"/>
        <v/>
      </c>
      <c r="AL307" s="75" t="s">
        <v>2467</v>
      </c>
      <c r="AM307" s="214" t="s">
        <v>838</v>
      </c>
      <c r="AN307" s="214" t="s">
        <v>838</v>
      </c>
      <c r="AO307" s="214" t="s">
        <v>838</v>
      </c>
      <c r="AP307" s="214"/>
      <c r="AQ307" s="214" t="s">
        <v>4932</v>
      </c>
      <c r="AR307" s="214" t="s">
        <v>4933</v>
      </c>
      <c r="AS307" s="214" t="s">
        <v>838</v>
      </c>
      <c r="AT307" s="214"/>
      <c r="AU307" s="214" t="s">
        <v>739</v>
      </c>
      <c r="AV307" s="214" t="s">
        <v>838</v>
      </c>
      <c r="AW307" s="214" t="s">
        <v>838</v>
      </c>
      <c r="AX307" s="214"/>
      <c r="AY307" s="214" t="s">
        <v>4932</v>
      </c>
      <c r="AZ307" s="214" t="s">
        <v>838</v>
      </c>
      <c r="BA307" s="214" t="s">
        <v>3075</v>
      </c>
      <c r="BB307" s="214"/>
      <c r="BC307" s="143" t="s">
        <v>4919</v>
      </c>
    </row>
    <row r="308" spans="1:55" ht="15" customHeight="1" x14ac:dyDescent="0.25">
      <c r="A308" s="210">
        <v>4</v>
      </c>
      <c r="B308" s="143" t="s">
        <v>4906</v>
      </c>
      <c r="C308" s="143" t="s">
        <v>4907</v>
      </c>
      <c r="D308" s="143" t="s">
        <v>4934</v>
      </c>
      <c r="E308" s="143" t="s">
        <v>792</v>
      </c>
      <c r="F308" s="143" t="s">
        <v>793</v>
      </c>
      <c r="G308" s="143" t="s">
        <v>3240</v>
      </c>
      <c r="H308" s="143" t="s">
        <v>4909</v>
      </c>
      <c r="I308" s="143" t="s">
        <v>4935</v>
      </c>
      <c r="J308" s="217">
        <v>44287</v>
      </c>
      <c r="K308" s="217">
        <v>44530</v>
      </c>
      <c r="L308" s="143" t="s">
        <v>733</v>
      </c>
      <c r="M308" s="143" t="s">
        <v>2718</v>
      </c>
      <c r="N308" s="143" t="s">
        <v>30</v>
      </c>
      <c r="O308" s="143" t="s">
        <v>4936</v>
      </c>
      <c r="P308" s="143" t="s">
        <v>735</v>
      </c>
      <c r="Q308" s="212">
        <v>30</v>
      </c>
      <c r="R308" s="212">
        <v>0</v>
      </c>
      <c r="S308" s="212">
        <v>5</v>
      </c>
      <c r="T308" s="212">
        <v>10</v>
      </c>
      <c r="U308" s="212">
        <v>15</v>
      </c>
      <c r="V308" s="212">
        <v>7</v>
      </c>
      <c r="W308" s="212" t="s">
        <v>4937</v>
      </c>
      <c r="X308" s="212">
        <v>36</v>
      </c>
      <c r="Y308" s="212" t="s">
        <v>4938</v>
      </c>
      <c r="Z308" s="212">
        <v>10</v>
      </c>
      <c r="AA308" s="212" t="s">
        <v>4939</v>
      </c>
      <c r="AB308" s="219"/>
      <c r="AC308" s="219"/>
      <c r="AD308" s="213">
        <v>44295</v>
      </c>
      <c r="AE308" s="213">
        <v>44379</v>
      </c>
      <c r="AF308" s="213">
        <v>44482</v>
      </c>
      <c r="AG308" s="213"/>
      <c r="AH308" s="75">
        <f t="shared" si="18"/>
        <v>1</v>
      </c>
      <c r="AI308" s="75" t="str">
        <f t="shared" si="19"/>
        <v/>
      </c>
      <c r="AJ308" s="75">
        <f t="shared" si="20"/>
        <v>1</v>
      </c>
      <c r="AK308" s="75">
        <f t="shared" si="21"/>
        <v>1</v>
      </c>
      <c r="AL308" s="75" t="s">
        <v>2467</v>
      </c>
      <c r="AM308" s="214" t="s">
        <v>739</v>
      </c>
      <c r="AN308" s="214" t="s">
        <v>739</v>
      </c>
      <c r="AO308" s="214" t="s">
        <v>739</v>
      </c>
      <c r="AP308" s="214"/>
      <c r="AQ308" s="214" t="s">
        <v>4940</v>
      </c>
      <c r="AR308" s="214" t="s">
        <v>1258</v>
      </c>
      <c r="AS308" s="214" t="s">
        <v>2724</v>
      </c>
      <c r="AT308" s="214"/>
      <c r="AU308" s="214" t="s">
        <v>739</v>
      </c>
      <c r="AV308" s="214" t="s">
        <v>739</v>
      </c>
      <c r="AW308" s="214" t="s">
        <v>739</v>
      </c>
      <c r="AX308" s="214"/>
      <c r="AY308" s="214" t="s">
        <v>4941</v>
      </c>
      <c r="AZ308" s="214" t="s">
        <v>4942</v>
      </c>
      <c r="BA308" s="214" t="s">
        <v>4943</v>
      </c>
      <c r="BB308" s="214"/>
      <c r="BC308" s="143" t="s">
        <v>4919</v>
      </c>
    </row>
    <row r="309" spans="1:55" ht="15" customHeight="1" x14ac:dyDescent="0.25">
      <c r="A309" s="210">
        <v>5</v>
      </c>
      <c r="B309" s="143" t="s">
        <v>4906</v>
      </c>
      <c r="C309" s="143" t="s">
        <v>4907</v>
      </c>
      <c r="D309" s="143" t="s">
        <v>4934</v>
      </c>
      <c r="E309" s="143" t="s">
        <v>792</v>
      </c>
      <c r="F309" s="143" t="s">
        <v>793</v>
      </c>
      <c r="G309" s="143" t="s">
        <v>3240</v>
      </c>
      <c r="H309" s="143" t="s">
        <v>4909</v>
      </c>
      <c r="I309" s="143" t="s">
        <v>4944</v>
      </c>
      <c r="J309" s="217">
        <v>44287</v>
      </c>
      <c r="K309" s="217">
        <v>44530</v>
      </c>
      <c r="L309" s="143" t="s">
        <v>4945</v>
      </c>
      <c r="M309" s="143" t="s">
        <v>2718</v>
      </c>
      <c r="N309" s="143" t="s">
        <v>30</v>
      </c>
      <c r="O309" s="143" t="s">
        <v>4936</v>
      </c>
      <c r="P309" s="143" t="s">
        <v>735</v>
      </c>
      <c r="Q309" s="212">
        <v>30</v>
      </c>
      <c r="R309" s="212">
        <v>0</v>
      </c>
      <c r="S309" s="212">
        <v>5</v>
      </c>
      <c r="T309" s="212">
        <v>10</v>
      </c>
      <c r="U309" s="212">
        <v>15</v>
      </c>
      <c r="V309" s="212">
        <v>7</v>
      </c>
      <c r="W309" s="212" t="s">
        <v>4946</v>
      </c>
      <c r="X309" s="212">
        <v>36</v>
      </c>
      <c r="Y309" s="212" t="s">
        <v>4938</v>
      </c>
      <c r="Z309" s="212">
        <v>10</v>
      </c>
      <c r="AA309" s="212" t="s">
        <v>4939</v>
      </c>
      <c r="AB309" s="219"/>
      <c r="AC309" s="219"/>
      <c r="AD309" s="213">
        <v>44295</v>
      </c>
      <c r="AE309" s="213">
        <v>44379</v>
      </c>
      <c r="AF309" s="213">
        <v>44482</v>
      </c>
      <c r="AG309" s="213"/>
      <c r="AH309" s="75">
        <f t="shared" si="18"/>
        <v>1</v>
      </c>
      <c r="AI309" s="75" t="str">
        <f t="shared" si="19"/>
        <v/>
      </c>
      <c r="AJ309" s="75">
        <f t="shared" si="20"/>
        <v>1</v>
      </c>
      <c r="AK309" s="75">
        <f t="shared" si="21"/>
        <v>1</v>
      </c>
      <c r="AL309" s="75" t="s">
        <v>2467</v>
      </c>
      <c r="AM309" s="214" t="s">
        <v>739</v>
      </c>
      <c r="AN309" s="214" t="s">
        <v>739</v>
      </c>
      <c r="AO309" s="214" t="s">
        <v>739</v>
      </c>
      <c r="AP309" s="214"/>
      <c r="AQ309" s="214" t="s">
        <v>4947</v>
      </c>
      <c r="AR309" s="214" t="s">
        <v>1258</v>
      </c>
      <c r="AS309" s="214" t="s">
        <v>2724</v>
      </c>
      <c r="AT309" s="214"/>
      <c r="AU309" s="214" t="s">
        <v>739</v>
      </c>
      <c r="AV309" s="214" t="s">
        <v>739</v>
      </c>
      <c r="AW309" s="214" t="s">
        <v>739</v>
      </c>
      <c r="AX309" s="214"/>
      <c r="AY309" s="214" t="s">
        <v>4947</v>
      </c>
      <c r="AZ309" s="214" t="s">
        <v>4948</v>
      </c>
      <c r="BA309" s="214" t="s">
        <v>4943</v>
      </c>
      <c r="BB309" s="214"/>
      <c r="BC309" s="143" t="s">
        <v>4919</v>
      </c>
    </row>
    <row r="310" spans="1:55" ht="15" customHeight="1" x14ac:dyDescent="0.25">
      <c r="A310" s="210">
        <v>6</v>
      </c>
      <c r="B310" s="143" t="s">
        <v>4906</v>
      </c>
      <c r="C310" s="143" t="s">
        <v>4907</v>
      </c>
      <c r="D310" s="143" t="s">
        <v>4934</v>
      </c>
      <c r="E310" s="143" t="s">
        <v>792</v>
      </c>
      <c r="F310" s="143" t="s">
        <v>793</v>
      </c>
      <c r="G310" s="143" t="s">
        <v>3240</v>
      </c>
      <c r="H310" s="143" t="s">
        <v>4909</v>
      </c>
      <c r="I310" s="143" t="s">
        <v>4949</v>
      </c>
      <c r="J310" s="217">
        <v>44256</v>
      </c>
      <c r="K310" s="217">
        <v>44530</v>
      </c>
      <c r="L310" s="143" t="s">
        <v>4950</v>
      </c>
      <c r="M310" s="143" t="s">
        <v>2718</v>
      </c>
      <c r="N310" s="143" t="s">
        <v>30</v>
      </c>
      <c r="O310" s="143" t="s">
        <v>4936</v>
      </c>
      <c r="P310" s="143" t="s">
        <v>735</v>
      </c>
      <c r="Q310" s="212">
        <v>8</v>
      </c>
      <c r="R310" s="212">
        <v>1</v>
      </c>
      <c r="S310" s="212">
        <v>3</v>
      </c>
      <c r="T310" s="212">
        <v>3</v>
      </c>
      <c r="U310" s="212">
        <v>1</v>
      </c>
      <c r="V310" s="212">
        <v>1</v>
      </c>
      <c r="W310" s="212" t="s">
        <v>4951</v>
      </c>
      <c r="X310" s="212">
        <v>3</v>
      </c>
      <c r="Y310" s="212" t="s">
        <v>4952</v>
      </c>
      <c r="Z310" s="212">
        <v>3</v>
      </c>
      <c r="AA310" s="212" t="s">
        <v>4953</v>
      </c>
      <c r="AB310" s="223"/>
      <c r="AC310" s="223"/>
      <c r="AD310" s="213">
        <v>44295</v>
      </c>
      <c r="AE310" s="213">
        <v>44379</v>
      </c>
      <c r="AF310" s="213">
        <v>44482</v>
      </c>
      <c r="AG310" s="213"/>
      <c r="AH310" s="75">
        <f t="shared" si="18"/>
        <v>0.875</v>
      </c>
      <c r="AI310" s="75">
        <f t="shared" si="19"/>
        <v>1</v>
      </c>
      <c r="AJ310" s="75">
        <f t="shared" si="20"/>
        <v>1</v>
      </c>
      <c r="AK310" s="75">
        <f t="shared" si="21"/>
        <v>1</v>
      </c>
      <c r="AL310" s="75" t="s">
        <v>2467</v>
      </c>
      <c r="AM310" s="214" t="s">
        <v>739</v>
      </c>
      <c r="AN310" s="214" t="s">
        <v>739</v>
      </c>
      <c r="AO310" s="214" t="s">
        <v>739</v>
      </c>
      <c r="AP310" s="214"/>
      <c r="AQ310" s="214" t="s">
        <v>4947</v>
      </c>
      <c r="AR310" s="214" t="s">
        <v>1258</v>
      </c>
      <c r="AS310" s="214" t="s">
        <v>2724</v>
      </c>
      <c r="AT310" s="214"/>
      <c r="AU310" s="214" t="s">
        <v>739</v>
      </c>
      <c r="AV310" s="214" t="s">
        <v>739</v>
      </c>
      <c r="AW310" s="214" t="s">
        <v>739</v>
      </c>
      <c r="AX310" s="214"/>
      <c r="AY310" s="214" t="s">
        <v>4954</v>
      </c>
      <c r="AZ310" s="214" t="s">
        <v>4955</v>
      </c>
      <c r="BA310" s="214" t="s">
        <v>4956</v>
      </c>
      <c r="BB310" s="214"/>
      <c r="BC310" s="143" t="s">
        <v>4919</v>
      </c>
    </row>
    <row r="311" spans="1:55" ht="15" customHeight="1" x14ac:dyDescent="0.25">
      <c r="A311" s="210">
        <v>7</v>
      </c>
      <c r="B311" s="143" t="s">
        <v>4906</v>
      </c>
      <c r="C311" s="143" t="s">
        <v>4957</v>
      </c>
      <c r="D311" s="143" t="s">
        <v>4934</v>
      </c>
      <c r="E311" s="143" t="s">
        <v>792</v>
      </c>
      <c r="F311" s="143" t="s">
        <v>793</v>
      </c>
      <c r="G311" s="143" t="s">
        <v>3240</v>
      </c>
      <c r="H311" s="143" t="s">
        <v>4909</v>
      </c>
      <c r="I311" s="143" t="s">
        <v>4958</v>
      </c>
      <c r="J311" s="217">
        <v>44256</v>
      </c>
      <c r="K311" s="217">
        <v>44530</v>
      </c>
      <c r="L311" s="143" t="s">
        <v>4950</v>
      </c>
      <c r="M311" s="143" t="s">
        <v>2718</v>
      </c>
      <c r="N311" s="143" t="s">
        <v>30</v>
      </c>
      <c r="O311" s="143" t="s">
        <v>4936</v>
      </c>
      <c r="P311" s="143" t="s">
        <v>735</v>
      </c>
      <c r="Q311" s="212">
        <v>8</v>
      </c>
      <c r="R311" s="212">
        <v>1</v>
      </c>
      <c r="S311" s="212">
        <v>3</v>
      </c>
      <c r="T311" s="212">
        <v>3</v>
      </c>
      <c r="U311" s="212">
        <v>1</v>
      </c>
      <c r="V311" s="212">
        <v>1</v>
      </c>
      <c r="W311" s="212" t="s">
        <v>4951</v>
      </c>
      <c r="X311" s="212">
        <v>3</v>
      </c>
      <c r="Y311" s="212" t="s">
        <v>4952</v>
      </c>
      <c r="Z311" s="212">
        <v>3</v>
      </c>
      <c r="AA311" s="212" t="s">
        <v>4953</v>
      </c>
      <c r="AB311" s="223"/>
      <c r="AC311" s="223"/>
      <c r="AD311" s="213">
        <v>44295</v>
      </c>
      <c r="AE311" s="213">
        <v>44379</v>
      </c>
      <c r="AF311" s="213">
        <v>44482</v>
      </c>
      <c r="AG311" s="213"/>
      <c r="AH311" s="75">
        <f t="shared" si="18"/>
        <v>0.875</v>
      </c>
      <c r="AI311" s="75">
        <f t="shared" si="19"/>
        <v>1</v>
      </c>
      <c r="AJ311" s="75">
        <f t="shared" si="20"/>
        <v>1</v>
      </c>
      <c r="AK311" s="75">
        <f t="shared" si="21"/>
        <v>1</v>
      </c>
      <c r="AL311" s="75" t="s">
        <v>2467</v>
      </c>
      <c r="AM311" s="214" t="s">
        <v>739</v>
      </c>
      <c r="AN311" s="214" t="s">
        <v>739</v>
      </c>
      <c r="AO311" s="214" t="s">
        <v>739</v>
      </c>
      <c r="AP311" s="214"/>
      <c r="AQ311" s="214" t="s">
        <v>4947</v>
      </c>
      <c r="AR311" s="214" t="s">
        <v>1258</v>
      </c>
      <c r="AS311" s="214" t="s">
        <v>2724</v>
      </c>
      <c r="AT311" s="214"/>
      <c r="AU311" s="214" t="s">
        <v>739</v>
      </c>
      <c r="AV311" s="214" t="s">
        <v>739</v>
      </c>
      <c r="AW311" s="214" t="s">
        <v>739</v>
      </c>
      <c r="AX311" s="214"/>
      <c r="AY311" s="214" t="s">
        <v>4954</v>
      </c>
      <c r="AZ311" s="214" t="s">
        <v>4955</v>
      </c>
      <c r="BA311" s="214" t="s">
        <v>4956</v>
      </c>
      <c r="BB311" s="214"/>
      <c r="BC311" s="143" t="s">
        <v>4919</v>
      </c>
    </row>
    <row r="312" spans="1:55" ht="15" customHeight="1" x14ac:dyDescent="0.25">
      <c r="A312" s="210">
        <v>8</v>
      </c>
      <c r="B312" s="143" t="s">
        <v>4906</v>
      </c>
      <c r="C312" s="143" t="s">
        <v>2552</v>
      </c>
      <c r="D312" s="143" t="s">
        <v>2583</v>
      </c>
      <c r="E312" s="143" t="s">
        <v>2584</v>
      </c>
      <c r="F312" s="143" t="s">
        <v>793</v>
      </c>
      <c r="G312" s="143" t="s">
        <v>2458</v>
      </c>
      <c r="H312" s="143" t="s">
        <v>731</v>
      </c>
      <c r="I312" s="143" t="s">
        <v>2595</v>
      </c>
      <c r="J312" s="217">
        <v>44197</v>
      </c>
      <c r="K312" s="217">
        <v>44561</v>
      </c>
      <c r="L312" s="143" t="s">
        <v>2815</v>
      </c>
      <c r="M312" s="143" t="s">
        <v>2718</v>
      </c>
      <c r="N312" s="143" t="s">
        <v>60</v>
      </c>
      <c r="O312" s="143" t="s">
        <v>2587</v>
      </c>
      <c r="P312" s="143" t="s">
        <v>11</v>
      </c>
      <c r="Q312" s="215">
        <v>1</v>
      </c>
      <c r="R312" s="215">
        <v>0</v>
      </c>
      <c r="S312" s="215">
        <v>0</v>
      </c>
      <c r="T312" s="215">
        <v>0.5</v>
      </c>
      <c r="U312" s="215">
        <v>0.5</v>
      </c>
      <c r="V312" s="215">
        <v>0</v>
      </c>
      <c r="W312" s="215" t="s">
        <v>4959</v>
      </c>
      <c r="X312" s="215">
        <v>0</v>
      </c>
      <c r="Y312" s="215" t="s">
        <v>4960</v>
      </c>
      <c r="Z312" s="215">
        <v>0.5</v>
      </c>
      <c r="AA312" s="215" t="s">
        <v>4961</v>
      </c>
      <c r="AB312" s="223"/>
      <c r="AC312" s="223"/>
      <c r="AD312" s="213">
        <v>44295</v>
      </c>
      <c r="AE312" s="213">
        <v>44379</v>
      </c>
      <c r="AF312" s="213">
        <v>44482</v>
      </c>
      <c r="AG312" s="213"/>
      <c r="AH312" s="75">
        <f t="shared" si="18"/>
        <v>0.5</v>
      </c>
      <c r="AI312" s="75" t="str">
        <f t="shared" si="19"/>
        <v/>
      </c>
      <c r="AJ312" s="75" t="str">
        <f t="shared" si="20"/>
        <v/>
      </c>
      <c r="AK312" s="75">
        <f t="shared" si="21"/>
        <v>1</v>
      </c>
      <c r="AL312" s="75" t="s">
        <v>2467</v>
      </c>
      <c r="AM312" s="214" t="s">
        <v>838</v>
      </c>
      <c r="AN312" s="214" t="s">
        <v>838</v>
      </c>
      <c r="AO312" s="214" t="s">
        <v>739</v>
      </c>
      <c r="AP312" s="214"/>
      <c r="AQ312" s="214" t="s">
        <v>4962</v>
      </c>
      <c r="AR312" s="214" t="s">
        <v>4963</v>
      </c>
      <c r="AS312" s="214" t="s">
        <v>2724</v>
      </c>
      <c r="AT312" s="214"/>
      <c r="AU312" s="214" t="s">
        <v>838</v>
      </c>
      <c r="AV312" s="214" t="s">
        <v>838</v>
      </c>
      <c r="AW312" s="214" t="s">
        <v>739</v>
      </c>
      <c r="AX312" s="214"/>
      <c r="AY312" s="214" t="s">
        <v>4964</v>
      </c>
      <c r="AZ312" s="214" t="s">
        <v>838</v>
      </c>
      <c r="BA312" s="214" t="s">
        <v>4965</v>
      </c>
      <c r="BB312" s="214"/>
      <c r="BC312" s="143" t="s">
        <v>727</v>
      </c>
    </row>
    <row r="313" spans="1:55" ht="15" customHeight="1" x14ac:dyDescent="0.25">
      <c r="A313" s="210">
        <v>9</v>
      </c>
      <c r="B313" s="143" t="s">
        <v>4906</v>
      </c>
      <c r="C313" s="143" t="s">
        <v>2601</v>
      </c>
      <c r="D313" s="143" t="s">
        <v>2583</v>
      </c>
      <c r="E313" s="143" t="s">
        <v>2584</v>
      </c>
      <c r="F313" s="143" t="s">
        <v>793</v>
      </c>
      <c r="G313" s="143" t="s">
        <v>2458</v>
      </c>
      <c r="H313" s="143" t="s">
        <v>731</v>
      </c>
      <c r="I313" s="143" t="s">
        <v>2602</v>
      </c>
      <c r="J313" s="217">
        <v>44197</v>
      </c>
      <c r="K313" s="217">
        <v>44561</v>
      </c>
      <c r="L313" s="143" t="s">
        <v>2603</v>
      </c>
      <c r="M313" s="143" t="s">
        <v>2718</v>
      </c>
      <c r="N313" s="143" t="s">
        <v>30</v>
      </c>
      <c r="O313" s="143" t="s">
        <v>2587</v>
      </c>
      <c r="P313" s="143" t="s">
        <v>11</v>
      </c>
      <c r="Q313" s="212">
        <v>4</v>
      </c>
      <c r="R313" s="212">
        <v>1</v>
      </c>
      <c r="S313" s="212">
        <v>1</v>
      </c>
      <c r="T313" s="212">
        <v>1</v>
      </c>
      <c r="U313" s="212">
        <v>1</v>
      </c>
      <c r="V313" s="212">
        <v>1</v>
      </c>
      <c r="W313" s="212" t="s">
        <v>4966</v>
      </c>
      <c r="X313" s="212">
        <v>1</v>
      </c>
      <c r="Y313" s="212" t="s">
        <v>4967</v>
      </c>
      <c r="Z313" s="212">
        <v>1</v>
      </c>
      <c r="AA313" s="212" t="s">
        <v>4968</v>
      </c>
      <c r="AB313" s="219"/>
      <c r="AC313" s="219"/>
      <c r="AD313" s="213">
        <v>44295</v>
      </c>
      <c r="AE313" s="213">
        <v>44379</v>
      </c>
      <c r="AF313" s="213">
        <v>44482</v>
      </c>
      <c r="AG313" s="213"/>
      <c r="AH313" s="75">
        <f t="shared" si="18"/>
        <v>0.75</v>
      </c>
      <c r="AI313" s="75">
        <f t="shared" si="19"/>
        <v>1</v>
      </c>
      <c r="AJ313" s="75">
        <f t="shared" si="20"/>
        <v>1</v>
      </c>
      <c r="AK313" s="75">
        <f t="shared" si="21"/>
        <v>1</v>
      </c>
      <c r="AL313" s="75" t="s">
        <v>2467</v>
      </c>
      <c r="AM313" s="214" t="s">
        <v>739</v>
      </c>
      <c r="AN313" s="214" t="s">
        <v>739</v>
      </c>
      <c r="AO313" s="214" t="s">
        <v>739</v>
      </c>
      <c r="AP313" s="214"/>
      <c r="AQ313" s="214" t="s">
        <v>4947</v>
      </c>
      <c r="AR313" s="214" t="s">
        <v>1258</v>
      </c>
      <c r="AS313" s="214" t="s">
        <v>2724</v>
      </c>
      <c r="AT313" s="214"/>
      <c r="AU313" s="214" t="s">
        <v>739</v>
      </c>
      <c r="AV313" s="214" t="s">
        <v>739</v>
      </c>
      <c r="AW313" s="214" t="s">
        <v>739</v>
      </c>
      <c r="AX313" s="214"/>
      <c r="AY313" s="214" t="s">
        <v>4969</v>
      </c>
      <c r="AZ313" s="214" t="s">
        <v>4970</v>
      </c>
      <c r="BA313" s="214" t="s">
        <v>4971</v>
      </c>
      <c r="BB313" s="214"/>
      <c r="BC313" s="143" t="s">
        <v>727</v>
      </c>
    </row>
    <row r="314" spans="1:55" ht="15" customHeight="1" x14ac:dyDescent="0.25">
      <c r="A314" s="210">
        <v>10</v>
      </c>
      <c r="B314" s="143" t="s">
        <v>4906</v>
      </c>
      <c r="C314" s="143" t="s">
        <v>2601</v>
      </c>
      <c r="D314" s="143" t="s">
        <v>2583</v>
      </c>
      <c r="E314" s="143" t="s">
        <v>2584</v>
      </c>
      <c r="F314" s="143" t="s">
        <v>793</v>
      </c>
      <c r="G314" s="143" t="s">
        <v>2458</v>
      </c>
      <c r="H314" s="143" t="s">
        <v>731</v>
      </c>
      <c r="I314" s="143" t="s">
        <v>2825</v>
      </c>
      <c r="J314" s="217">
        <v>44470</v>
      </c>
      <c r="K314" s="217">
        <v>44561</v>
      </c>
      <c r="L314" s="143" t="s">
        <v>2603</v>
      </c>
      <c r="M314" s="143" t="s">
        <v>2718</v>
      </c>
      <c r="N314" s="143" t="s">
        <v>30</v>
      </c>
      <c r="O314" s="143" t="s">
        <v>2587</v>
      </c>
      <c r="P314" s="143" t="s">
        <v>11</v>
      </c>
      <c r="Q314" s="212">
        <v>1</v>
      </c>
      <c r="R314" s="212">
        <v>0</v>
      </c>
      <c r="S314" s="212">
        <v>0</v>
      </c>
      <c r="T314" s="212">
        <v>0</v>
      </c>
      <c r="U314" s="212">
        <v>1</v>
      </c>
      <c r="V314" s="212">
        <v>0</v>
      </c>
      <c r="W314" s="212" t="s">
        <v>4959</v>
      </c>
      <c r="X314" s="212">
        <v>0</v>
      </c>
      <c r="Y314" s="212" t="s">
        <v>3231</v>
      </c>
      <c r="Z314" s="212">
        <v>0</v>
      </c>
      <c r="AA314" s="212" t="s">
        <v>3231</v>
      </c>
      <c r="AB314" s="223"/>
      <c r="AC314" s="223"/>
      <c r="AD314" s="213">
        <v>44295</v>
      </c>
      <c r="AE314" s="213">
        <v>44379</v>
      </c>
      <c r="AF314" s="213">
        <v>44482</v>
      </c>
      <c r="AG314" s="213"/>
      <c r="AH314" s="75">
        <f t="shared" si="18"/>
        <v>0</v>
      </c>
      <c r="AI314" s="75" t="str">
        <f t="shared" si="19"/>
        <v/>
      </c>
      <c r="AJ314" s="75" t="str">
        <f t="shared" si="20"/>
        <v/>
      </c>
      <c r="AK314" s="75" t="str">
        <f t="shared" si="21"/>
        <v/>
      </c>
      <c r="AL314" s="75" t="s">
        <v>2467</v>
      </c>
      <c r="AM314" s="214" t="s">
        <v>838</v>
      </c>
      <c r="AN314" s="214" t="s">
        <v>838</v>
      </c>
      <c r="AO314" s="214" t="s">
        <v>838</v>
      </c>
      <c r="AP314" s="214"/>
      <c r="AQ314" s="214" t="s">
        <v>4972</v>
      </c>
      <c r="AR314" s="214" t="s">
        <v>4973</v>
      </c>
      <c r="AS314" s="214" t="s">
        <v>838</v>
      </c>
      <c r="AT314" s="214"/>
      <c r="AU314" s="214" t="s">
        <v>838</v>
      </c>
      <c r="AV314" s="214" t="s">
        <v>838</v>
      </c>
      <c r="AW314" s="214" t="s">
        <v>838</v>
      </c>
      <c r="AX314" s="214"/>
      <c r="AY314" s="214" t="s">
        <v>838</v>
      </c>
      <c r="AZ314" s="214" t="s">
        <v>838</v>
      </c>
      <c r="BA314" s="214" t="s">
        <v>3122</v>
      </c>
      <c r="BB314" s="214"/>
      <c r="BC314" s="143" t="s">
        <v>727</v>
      </c>
    </row>
    <row r="315" spans="1:55" ht="15" customHeight="1" x14ac:dyDescent="0.25">
      <c r="A315" s="210">
        <v>11</v>
      </c>
      <c r="B315" s="143" t="s">
        <v>4906</v>
      </c>
      <c r="C315" s="143" t="s">
        <v>2459</v>
      </c>
      <c r="D315" s="143" t="s">
        <v>2583</v>
      </c>
      <c r="E315" s="143" t="s">
        <v>2584</v>
      </c>
      <c r="F315" s="143" t="s">
        <v>793</v>
      </c>
      <c r="G315" s="143" t="s">
        <v>2458</v>
      </c>
      <c r="H315" s="143" t="s">
        <v>731</v>
      </c>
      <c r="I315" s="143" t="s">
        <v>2829</v>
      </c>
      <c r="J315" s="217">
        <v>44197</v>
      </c>
      <c r="K315" s="217">
        <v>44561</v>
      </c>
      <c r="L315" s="143" t="s">
        <v>2616</v>
      </c>
      <c r="M315" s="143" t="s">
        <v>2718</v>
      </c>
      <c r="N315" s="143" t="s">
        <v>30</v>
      </c>
      <c r="O315" s="143" t="s">
        <v>2587</v>
      </c>
      <c r="P315" s="143" t="s">
        <v>11</v>
      </c>
      <c r="Q315" s="212">
        <v>4</v>
      </c>
      <c r="R315" s="212">
        <v>1</v>
      </c>
      <c r="S315" s="212">
        <v>1</v>
      </c>
      <c r="T315" s="212">
        <v>1</v>
      </c>
      <c r="U315" s="212">
        <v>1</v>
      </c>
      <c r="V315" s="212">
        <v>1</v>
      </c>
      <c r="W315" s="212" t="s">
        <v>4974</v>
      </c>
      <c r="X315" s="212">
        <v>1</v>
      </c>
      <c r="Y315" s="212" t="s">
        <v>4975</v>
      </c>
      <c r="Z315" s="212">
        <v>1</v>
      </c>
      <c r="AA315" s="212" t="s">
        <v>4976</v>
      </c>
      <c r="AB315" s="223"/>
      <c r="AC315" s="223"/>
      <c r="AD315" s="213">
        <v>44295</v>
      </c>
      <c r="AE315" s="213">
        <v>44379</v>
      </c>
      <c r="AF315" s="213">
        <v>44482</v>
      </c>
      <c r="AG315" s="213"/>
      <c r="AH315" s="75">
        <f t="shared" si="18"/>
        <v>0.75</v>
      </c>
      <c r="AI315" s="75">
        <f t="shared" si="19"/>
        <v>1</v>
      </c>
      <c r="AJ315" s="75">
        <f t="shared" si="20"/>
        <v>1</v>
      </c>
      <c r="AK315" s="75">
        <f t="shared" si="21"/>
        <v>1</v>
      </c>
      <c r="AL315" s="75" t="s">
        <v>2467</v>
      </c>
      <c r="AM315" s="214" t="s">
        <v>739</v>
      </c>
      <c r="AN315" s="214" t="s">
        <v>739</v>
      </c>
      <c r="AO315" s="214" t="s">
        <v>739</v>
      </c>
      <c r="AP315" s="214"/>
      <c r="AQ315" s="214" t="s">
        <v>4947</v>
      </c>
      <c r="AR315" s="214" t="s">
        <v>1258</v>
      </c>
      <c r="AS315" s="214" t="s">
        <v>2724</v>
      </c>
      <c r="AT315" s="214"/>
      <c r="AU315" s="214" t="s">
        <v>739</v>
      </c>
      <c r="AV315" s="214" t="s">
        <v>739</v>
      </c>
      <c r="AW315" s="214" t="s">
        <v>739</v>
      </c>
      <c r="AX315" s="214"/>
      <c r="AY315" s="214" t="s">
        <v>4977</v>
      </c>
      <c r="AZ315" s="214" t="s">
        <v>4978</v>
      </c>
      <c r="BA315" s="214" t="s">
        <v>4979</v>
      </c>
      <c r="BB315" s="214"/>
      <c r="BC315" s="143" t="s">
        <v>727</v>
      </c>
    </row>
    <row r="316" spans="1:55" ht="15" customHeight="1" x14ac:dyDescent="0.25">
      <c r="A316" s="210">
        <v>12</v>
      </c>
      <c r="B316" s="143" t="s">
        <v>4906</v>
      </c>
      <c r="C316" s="143" t="s">
        <v>2459</v>
      </c>
      <c r="D316" s="143" t="s">
        <v>2583</v>
      </c>
      <c r="E316" s="143" t="s">
        <v>2584</v>
      </c>
      <c r="F316" s="143" t="s">
        <v>793</v>
      </c>
      <c r="G316" s="143" t="s">
        <v>2458</v>
      </c>
      <c r="H316" s="143" t="s">
        <v>731</v>
      </c>
      <c r="I316" s="143" t="s">
        <v>2834</v>
      </c>
      <c r="J316" s="217">
        <v>44470</v>
      </c>
      <c r="K316" s="217">
        <v>44561</v>
      </c>
      <c r="L316" s="143" t="s">
        <v>2616</v>
      </c>
      <c r="M316" s="143" t="s">
        <v>2718</v>
      </c>
      <c r="N316" s="143" t="s">
        <v>30</v>
      </c>
      <c r="O316" s="143" t="s">
        <v>2587</v>
      </c>
      <c r="P316" s="143" t="s">
        <v>11</v>
      </c>
      <c r="Q316" s="212">
        <v>2</v>
      </c>
      <c r="R316" s="212">
        <v>0</v>
      </c>
      <c r="S316" s="212">
        <v>0</v>
      </c>
      <c r="T316" s="212">
        <v>0</v>
      </c>
      <c r="U316" s="212">
        <v>2</v>
      </c>
      <c r="V316" s="212">
        <v>0</v>
      </c>
      <c r="W316" s="212" t="s">
        <v>4959</v>
      </c>
      <c r="X316" s="212">
        <v>0</v>
      </c>
      <c r="Y316" s="212" t="s">
        <v>3231</v>
      </c>
      <c r="Z316" s="212">
        <v>0</v>
      </c>
      <c r="AA316" s="212" t="s">
        <v>3231</v>
      </c>
      <c r="AB316" s="223"/>
      <c r="AC316" s="223"/>
      <c r="AD316" s="213">
        <v>44295</v>
      </c>
      <c r="AE316" s="213">
        <v>44379</v>
      </c>
      <c r="AF316" s="213">
        <v>44482</v>
      </c>
      <c r="AG316" s="213"/>
      <c r="AH316" s="75">
        <f t="shared" si="18"/>
        <v>0</v>
      </c>
      <c r="AI316" s="75" t="str">
        <f t="shared" si="19"/>
        <v/>
      </c>
      <c r="AJ316" s="75" t="str">
        <f t="shared" si="20"/>
        <v/>
      </c>
      <c r="AK316" s="75" t="str">
        <f t="shared" si="21"/>
        <v/>
      </c>
      <c r="AL316" s="75" t="s">
        <v>2467</v>
      </c>
      <c r="AM316" s="214" t="s">
        <v>838</v>
      </c>
      <c r="AN316" s="214" t="s">
        <v>838</v>
      </c>
      <c r="AO316" s="214" t="s">
        <v>838</v>
      </c>
      <c r="AP316" s="214"/>
      <c r="AQ316" s="214" t="s">
        <v>4972</v>
      </c>
      <c r="AR316" s="214" t="s">
        <v>4973</v>
      </c>
      <c r="AS316" s="214" t="s">
        <v>838</v>
      </c>
      <c r="AT316" s="214"/>
      <c r="AU316" s="214" t="s">
        <v>838</v>
      </c>
      <c r="AV316" s="214" t="s">
        <v>838</v>
      </c>
      <c r="AW316" s="214" t="s">
        <v>838</v>
      </c>
      <c r="AX316" s="214"/>
      <c r="AY316" s="214" t="s">
        <v>838</v>
      </c>
      <c r="AZ316" s="214" t="s">
        <v>838</v>
      </c>
      <c r="BA316" s="214" t="s">
        <v>3122</v>
      </c>
      <c r="BB316" s="214"/>
      <c r="BC316" s="143" t="s">
        <v>727</v>
      </c>
    </row>
    <row r="317" spans="1:55" ht="15" customHeight="1" x14ac:dyDescent="0.25">
      <c r="A317" s="210">
        <v>13</v>
      </c>
      <c r="B317" s="143" t="s">
        <v>4906</v>
      </c>
      <c r="C317" s="143" t="s">
        <v>2552</v>
      </c>
      <c r="D317" s="143" t="s">
        <v>2583</v>
      </c>
      <c r="E317" s="143" t="s">
        <v>2584</v>
      </c>
      <c r="F317" s="143" t="s">
        <v>793</v>
      </c>
      <c r="G317" s="143" t="s">
        <v>2458</v>
      </c>
      <c r="H317" s="143" t="s">
        <v>731</v>
      </c>
      <c r="I317" s="143" t="s">
        <v>2837</v>
      </c>
      <c r="J317" s="217">
        <v>44317</v>
      </c>
      <c r="K317" s="217">
        <v>44561</v>
      </c>
      <c r="L317" s="143" t="s">
        <v>2649</v>
      </c>
      <c r="M317" s="143" t="s">
        <v>2718</v>
      </c>
      <c r="N317" s="143" t="s">
        <v>30</v>
      </c>
      <c r="O317" s="143" t="s">
        <v>2587</v>
      </c>
      <c r="P317" s="143" t="s">
        <v>11</v>
      </c>
      <c r="Q317" s="212">
        <v>4</v>
      </c>
      <c r="R317" s="212">
        <v>0</v>
      </c>
      <c r="S317" s="212">
        <v>2</v>
      </c>
      <c r="T317" s="212">
        <v>1</v>
      </c>
      <c r="U317" s="212">
        <v>1</v>
      </c>
      <c r="V317" s="212">
        <v>0</v>
      </c>
      <c r="W317" s="212" t="s">
        <v>4959</v>
      </c>
      <c r="X317" s="212">
        <v>0</v>
      </c>
      <c r="Y317" s="212" t="s">
        <v>4980</v>
      </c>
      <c r="Z317" s="212">
        <v>2</v>
      </c>
      <c r="AA317" s="212" t="s">
        <v>4981</v>
      </c>
      <c r="AB317" s="219"/>
      <c r="AC317" s="219"/>
      <c r="AD317" s="213">
        <v>44295</v>
      </c>
      <c r="AE317" s="213">
        <v>44379</v>
      </c>
      <c r="AF317" s="213">
        <v>44482</v>
      </c>
      <c r="AG317" s="213"/>
      <c r="AH317" s="75">
        <f t="shared" si="18"/>
        <v>0.5</v>
      </c>
      <c r="AI317" s="75" t="str">
        <f t="shared" si="19"/>
        <v/>
      </c>
      <c r="AJ317" s="75">
        <f t="shared" si="20"/>
        <v>0</v>
      </c>
      <c r="AK317" s="75">
        <f t="shared" si="21"/>
        <v>1</v>
      </c>
      <c r="AL317" s="75" t="s">
        <v>2467</v>
      </c>
      <c r="AM317" s="214" t="s">
        <v>838</v>
      </c>
      <c r="AN317" s="214" t="s">
        <v>838</v>
      </c>
      <c r="AO317" s="214" t="s">
        <v>739</v>
      </c>
      <c r="AP317" s="214"/>
      <c r="AQ317" s="214" t="s">
        <v>4972</v>
      </c>
      <c r="AR317" s="214" t="s">
        <v>1258</v>
      </c>
      <c r="AS317" s="214" t="s">
        <v>2724</v>
      </c>
      <c r="AT317" s="214"/>
      <c r="AU317" s="214" t="s">
        <v>838</v>
      </c>
      <c r="AV317" s="214" t="s">
        <v>838</v>
      </c>
      <c r="AW317" s="214" t="s">
        <v>739</v>
      </c>
      <c r="AX317" s="214"/>
      <c r="AY317" s="214" t="s">
        <v>838</v>
      </c>
      <c r="AZ317" s="214" t="s">
        <v>838</v>
      </c>
      <c r="BA317" s="214" t="s">
        <v>4982</v>
      </c>
      <c r="BB317" s="214"/>
      <c r="BC317" s="143" t="s">
        <v>727</v>
      </c>
    </row>
    <row r="318" spans="1:55" ht="15" customHeight="1" x14ac:dyDescent="0.25">
      <c r="A318" s="210">
        <v>1</v>
      </c>
      <c r="B318" s="143" t="s">
        <v>4983</v>
      </c>
      <c r="C318" s="143" t="s">
        <v>4984</v>
      </c>
      <c r="D318" s="143" t="s">
        <v>4985</v>
      </c>
      <c r="E318" s="143" t="s">
        <v>792</v>
      </c>
      <c r="F318" s="143" t="s">
        <v>793</v>
      </c>
      <c r="G318" s="143" t="s">
        <v>2458</v>
      </c>
      <c r="H318" s="143" t="s">
        <v>2486</v>
      </c>
      <c r="I318" s="143" t="s">
        <v>4986</v>
      </c>
      <c r="J318" s="217">
        <v>44197</v>
      </c>
      <c r="K318" s="217">
        <v>44227</v>
      </c>
      <c r="L318" s="143" t="s">
        <v>4987</v>
      </c>
      <c r="M318" s="143" t="s">
        <v>2718</v>
      </c>
      <c r="N318" s="143" t="s">
        <v>30</v>
      </c>
      <c r="O318" s="143" t="s">
        <v>4988</v>
      </c>
      <c r="P318" s="143" t="s">
        <v>735</v>
      </c>
      <c r="Q318" s="223">
        <v>1</v>
      </c>
      <c r="R318" s="223">
        <v>1</v>
      </c>
      <c r="S318" s="223">
        <v>0</v>
      </c>
      <c r="T318" s="223">
        <v>0</v>
      </c>
      <c r="U318" s="223">
        <v>0</v>
      </c>
      <c r="V318" s="223">
        <v>1</v>
      </c>
      <c r="W318" s="223" t="s">
        <v>4989</v>
      </c>
      <c r="X318" s="223">
        <v>0</v>
      </c>
      <c r="Y318" s="223" t="s">
        <v>4990</v>
      </c>
      <c r="Z318" s="223">
        <v>0</v>
      </c>
      <c r="AA318" s="223" t="s">
        <v>4990</v>
      </c>
      <c r="AB318" s="223"/>
      <c r="AC318" s="223"/>
      <c r="AD318" s="213">
        <v>44295</v>
      </c>
      <c r="AE318" s="213">
        <v>44379</v>
      </c>
      <c r="AF318" s="213">
        <v>44482</v>
      </c>
      <c r="AG318" s="213"/>
      <c r="AH318" s="75">
        <f t="shared" si="18"/>
        <v>1</v>
      </c>
      <c r="AI318" s="75">
        <f t="shared" si="19"/>
        <v>1</v>
      </c>
      <c r="AJ318" s="75" t="str">
        <f t="shared" si="20"/>
        <v/>
      </c>
      <c r="AK318" s="75" t="str">
        <f t="shared" si="21"/>
        <v/>
      </c>
      <c r="AL318" s="75" t="s">
        <v>2467</v>
      </c>
      <c r="AM318" s="214" t="s">
        <v>739</v>
      </c>
      <c r="AN318" s="214" t="s">
        <v>838</v>
      </c>
      <c r="AO318" s="214" t="s">
        <v>838</v>
      </c>
      <c r="AP318" s="214"/>
      <c r="AQ318" s="214" t="s">
        <v>4991</v>
      </c>
      <c r="AR318" s="214" t="s">
        <v>4992</v>
      </c>
      <c r="AS318" s="214" t="s">
        <v>842</v>
      </c>
      <c r="AT318" s="214"/>
      <c r="AU318" s="214" t="s">
        <v>739</v>
      </c>
      <c r="AV318" s="214" t="s">
        <v>838</v>
      </c>
      <c r="AW318" s="214" t="s">
        <v>838</v>
      </c>
      <c r="AX318" s="214"/>
      <c r="AY318" s="214" t="s">
        <v>4993</v>
      </c>
      <c r="AZ318" s="214" t="s">
        <v>838</v>
      </c>
      <c r="BA318" s="214" t="s">
        <v>3075</v>
      </c>
      <c r="BB318" s="214"/>
      <c r="BC318" s="143" t="s">
        <v>727</v>
      </c>
    </row>
    <row r="319" spans="1:55" ht="15" customHeight="1" x14ac:dyDescent="0.25">
      <c r="A319" s="210">
        <v>2</v>
      </c>
      <c r="B319" s="143" t="s">
        <v>4983</v>
      </c>
      <c r="C319" s="143" t="s">
        <v>4984</v>
      </c>
      <c r="D319" s="143" t="s">
        <v>4985</v>
      </c>
      <c r="E319" s="143" t="s">
        <v>792</v>
      </c>
      <c r="F319" s="143" t="s">
        <v>793</v>
      </c>
      <c r="G319" s="143" t="s">
        <v>2458</v>
      </c>
      <c r="H319" s="143" t="s">
        <v>2486</v>
      </c>
      <c r="I319" s="143" t="s">
        <v>4994</v>
      </c>
      <c r="J319" s="217">
        <v>44197</v>
      </c>
      <c r="K319" s="217">
        <v>44561</v>
      </c>
      <c r="L319" s="143" t="s">
        <v>4995</v>
      </c>
      <c r="M319" s="143" t="s">
        <v>2718</v>
      </c>
      <c r="N319" s="143" t="s">
        <v>60</v>
      </c>
      <c r="O319" s="143" t="s">
        <v>4988</v>
      </c>
      <c r="P319" s="143" t="s">
        <v>735</v>
      </c>
      <c r="Q319" s="219">
        <v>1</v>
      </c>
      <c r="R319" s="219">
        <v>0.25</v>
      </c>
      <c r="S319" s="219">
        <v>0.25</v>
      </c>
      <c r="T319" s="219">
        <v>0.25</v>
      </c>
      <c r="U319" s="219">
        <v>0.25</v>
      </c>
      <c r="V319" s="219">
        <v>0.25</v>
      </c>
      <c r="W319" s="219" t="s">
        <v>4996</v>
      </c>
      <c r="X319" s="219">
        <v>0.25</v>
      </c>
      <c r="Y319" s="219" t="s">
        <v>4997</v>
      </c>
      <c r="Z319" s="219">
        <v>0.25</v>
      </c>
      <c r="AA319" s="219" t="s">
        <v>4998</v>
      </c>
      <c r="AB319" s="223"/>
      <c r="AC319" s="223"/>
      <c r="AD319" s="213">
        <v>44295</v>
      </c>
      <c r="AE319" s="213">
        <v>44379</v>
      </c>
      <c r="AF319" s="213">
        <v>44482</v>
      </c>
      <c r="AG319" s="213"/>
      <c r="AH319" s="75">
        <f t="shared" si="18"/>
        <v>0.75</v>
      </c>
      <c r="AI319" s="75">
        <f t="shared" si="19"/>
        <v>1</v>
      </c>
      <c r="AJ319" s="75">
        <f t="shared" si="20"/>
        <v>1</v>
      </c>
      <c r="AK319" s="75">
        <f t="shared" si="21"/>
        <v>1</v>
      </c>
      <c r="AL319" s="75" t="s">
        <v>2467</v>
      </c>
      <c r="AM319" s="214" t="s">
        <v>739</v>
      </c>
      <c r="AN319" s="214" t="s">
        <v>739</v>
      </c>
      <c r="AO319" s="214" t="s">
        <v>739</v>
      </c>
      <c r="AP319" s="214"/>
      <c r="AQ319" s="214" t="s">
        <v>4999</v>
      </c>
      <c r="AR319" s="214" t="s">
        <v>1060</v>
      </c>
      <c r="AS319" s="214" t="s">
        <v>5000</v>
      </c>
      <c r="AT319" s="214"/>
      <c r="AU319" s="214" t="s">
        <v>739</v>
      </c>
      <c r="AV319" s="214" t="s">
        <v>739</v>
      </c>
      <c r="AW319" s="214" t="s">
        <v>739</v>
      </c>
      <c r="AX319" s="214"/>
      <c r="AY319" s="214" t="s">
        <v>5001</v>
      </c>
      <c r="AZ319" s="214" t="s">
        <v>5002</v>
      </c>
      <c r="BA319" s="214" t="s">
        <v>5003</v>
      </c>
      <c r="BB319" s="214"/>
      <c r="BC319" s="143" t="s">
        <v>727</v>
      </c>
    </row>
    <row r="320" spans="1:55" ht="15" customHeight="1" x14ac:dyDescent="0.25">
      <c r="A320" s="210">
        <v>3</v>
      </c>
      <c r="B320" s="143" t="s">
        <v>4983</v>
      </c>
      <c r="C320" s="143" t="s">
        <v>5004</v>
      </c>
      <c r="D320" s="143" t="s">
        <v>4985</v>
      </c>
      <c r="E320" s="143" t="s">
        <v>792</v>
      </c>
      <c r="F320" s="143" t="s">
        <v>793</v>
      </c>
      <c r="G320" s="143" t="s">
        <v>2458</v>
      </c>
      <c r="H320" s="143" t="s">
        <v>2486</v>
      </c>
      <c r="I320" s="143" t="s">
        <v>5005</v>
      </c>
      <c r="J320" s="217">
        <v>44197</v>
      </c>
      <c r="K320" s="217">
        <v>44561</v>
      </c>
      <c r="L320" s="143" t="s">
        <v>5006</v>
      </c>
      <c r="M320" s="143" t="s">
        <v>2718</v>
      </c>
      <c r="N320" s="143" t="s">
        <v>60</v>
      </c>
      <c r="O320" s="143" t="s">
        <v>4988</v>
      </c>
      <c r="P320" s="143" t="s">
        <v>735</v>
      </c>
      <c r="Q320" s="219">
        <v>1</v>
      </c>
      <c r="R320" s="219">
        <v>0.25</v>
      </c>
      <c r="S320" s="219">
        <v>0.25</v>
      </c>
      <c r="T320" s="219">
        <v>0.25</v>
      </c>
      <c r="U320" s="219">
        <v>0.25</v>
      </c>
      <c r="V320" s="219">
        <v>0.25</v>
      </c>
      <c r="W320" s="219" t="s">
        <v>5007</v>
      </c>
      <c r="X320" s="219">
        <v>0.25</v>
      </c>
      <c r="Y320" s="219" t="s">
        <v>5008</v>
      </c>
      <c r="Z320" s="219">
        <v>0.25</v>
      </c>
      <c r="AA320" s="219" t="s">
        <v>5009</v>
      </c>
      <c r="AB320" s="223"/>
      <c r="AC320" s="223"/>
      <c r="AD320" s="213">
        <v>44295</v>
      </c>
      <c r="AE320" s="213">
        <v>44379</v>
      </c>
      <c r="AF320" s="213">
        <v>44482</v>
      </c>
      <c r="AG320" s="213"/>
      <c r="AH320" s="75">
        <f t="shared" si="18"/>
        <v>0.75</v>
      </c>
      <c r="AI320" s="75">
        <f t="shared" si="19"/>
        <v>1</v>
      </c>
      <c r="AJ320" s="75">
        <f t="shared" si="20"/>
        <v>1</v>
      </c>
      <c r="AK320" s="75">
        <f t="shared" si="21"/>
        <v>1</v>
      </c>
      <c r="AL320" s="75" t="s">
        <v>2467</v>
      </c>
      <c r="AM320" s="214" t="s">
        <v>739</v>
      </c>
      <c r="AN320" s="214" t="s">
        <v>739</v>
      </c>
      <c r="AO320" s="214" t="s">
        <v>739</v>
      </c>
      <c r="AP320" s="214"/>
      <c r="AQ320" s="214" t="s">
        <v>5010</v>
      </c>
      <c r="AR320" s="214" t="s">
        <v>1060</v>
      </c>
      <c r="AS320" s="214" t="s">
        <v>5011</v>
      </c>
      <c r="AT320" s="214"/>
      <c r="AU320" s="214" t="s">
        <v>739</v>
      </c>
      <c r="AV320" s="214" t="s">
        <v>739</v>
      </c>
      <c r="AW320" s="214" t="s">
        <v>739</v>
      </c>
      <c r="AX320" s="214"/>
      <c r="AY320" s="214" t="s">
        <v>5012</v>
      </c>
      <c r="AZ320" s="214" t="s">
        <v>5013</v>
      </c>
      <c r="BA320" s="214" t="s">
        <v>5014</v>
      </c>
      <c r="BB320" s="214"/>
      <c r="BC320" s="143" t="s">
        <v>727</v>
      </c>
    </row>
    <row r="321" spans="1:55" ht="15" customHeight="1" x14ac:dyDescent="0.25">
      <c r="A321" s="210">
        <v>4</v>
      </c>
      <c r="B321" s="143" t="s">
        <v>4983</v>
      </c>
      <c r="C321" s="143" t="s">
        <v>5015</v>
      </c>
      <c r="D321" s="143" t="s">
        <v>4985</v>
      </c>
      <c r="E321" s="143" t="s">
        <v>792</v>
      </c>
      <c r="F321" s="143" t="s">
        <v>793</v>
      </c>
      <c r="G321" s="143" t="s">
        <v>2458</v>
      </c>
      <c r="H321" s="143" t="s">
        <v>2486</v>
      </c>
      <c r="I321" s="143" t="s">
        <v>5016</v>
      </c>
      <c r="J321" s="217">
        <v>44197</v>
      </c>
      <c r="K321" s="217">
        <v>44561</v>
      </c>
      <c r="L321" s="143" t="s">
        <v>5017</v>
      </c>
      <c r="M321" s="143" t="s">
        <v>2718</v>
      </c>
      <c r="N321" s="143" t="s">
        <v>60</v>
      </c>
      <c r="O321" s="143" t="s">
        <v>4988</v>
      </c>
      <c r="P321" s="143" t="s">
        <v>735</v>
      </c>
      <c r="Q321" s="219">
        <v>1</v>
      </c>
      <c r="R321" s="219">
        <v>0.25</v>
      </c>
      <c r="S321" s="219">
        <v>0.25</v>
      </c>
      <c r="T321" s="219">
        <v>0.25</v>
      </c>
      <c r="U321" s="219">
        <v>0.25</v>
      </c>
      <c r="V321" s="219">
        <v>0.25</v>
      </c>
      <c r="W321" s="219" t="s">
        <v>5018</v>
      </c>
      <c r="X321" s="219">
        <v>0.25</v>
      </c>
      <c r="Y321" s="219" t="s">
        <v>5019</v>
      </c>
      <c r="Z321" s="219">
        <v>0.25</v>
      </c>
      <c r="AA321" s="219" t="s">
        <v>5020</v>
      </c>
      <c r="AB321" s="223"/>
      <c r="AC321" s="223"/>
      <c r="AD321" s="213">
        <v>44295</v>
      </c>
      <c r="AE321" s="213">
        <v>44379</v>
      </c>
      <c r="AF321" s="213">
        <v>44482</v>
      </c>
      <c r="AG321" s="213"/>
      <c r="AH321" s="75">
        <f t="shared" si="18"/>
        <v>0.75</v>
      </c>
      <c r="AI321" s="75">
        <f t="shared" si="19"/>
        <v>1</v>
      </c>
      <c r="AJ321" s="75">
        <f t="shared" si="20"/>
        <v>1</v>
      </c>
      <c r="AK321" s="75">
        <f t="shared" si="21"/>
        <v>1</v>
      </c>
      <c r="AL321" s="75" t="s">
        <v>2467</v>
      </c>
      <c r="AM321" s="214" t="s">
        <v>739</v>
      </c>
      <c r="AN321" s="214" t="s">
        <v>739</v>
      </c>
      <c r="AO321" s="214" t="s">
        <v>739</v>
      </c>
      <c r="AP321" s="214"/>
      <c r="AQ321" s="214" t="s">
        <v>5021</v>
      </c>
      <c r="AR321" s="214" t="s">
        <v>1060</v>
      </c>
      <c r="AS321" s="214" t="s">
        <v>5022</v>
      </c>
      <c r="AT321" s="214"/>
      <c r="AU321" s="214" t="s">
        <v>739</v>
      </c>
      <c r="AV321" s="214" t="s">
        <v>739</v>
      </c>
      <c r="AW321" s="214" t="s">
        <v>739</v>
      </c>
      <c r="AX321" s="214"/>
      <c r="AY321" s="214" t="s">
        <v>5023</v>
      </c>
      <c r="AZ321" s="214" t="s">
        <v>5024</v>
      </c>
      <c r="BA321" s="214" t="s">
        <v>5025</v>
      </c>
      <c r="BB321" s="214"/>
      <c r="BC321" s="143" t="s">
        <v>727</v>
      </c>
    </row>
    <row r="322" spans="1:55" ht="15" customHeight="1" x14ac:dyDescent="0.25">
      <c r="A322" s="210">
        <v>5</v>
      </c>
      <c r="B322" s="143" t="s">
        <v>4983</v>
      </c>
      <c r="C322" s="143" t="s">
        <v>4984</v>
      </c>
      <c r="D322" s="143" t="s">
        <v>4985</v>
      </c>
      <c r="E322" s="143" t="s">
        <v>792</v>
      </c>
      <c r="F322" s="143" t="s">
        <v>793</v>
      </c>
      <c r="G322" s="143" t="s">
        <v>2458</v>
      </c>
      <c r="H322" s="143" t="s">
        <v>2486</v>
      </c>
      <c r="I322" s="143" t="s">
        <v>5026</v>
      </c>
      <c r="J322" s="217">
        <v>44197</v>
      </c>
      <c r="K322" s="217">
        <v>44561</v>
      </c>
      <c r="L322" s="143" t="s">
        <v>5027</v>
      </c>
      <c r="M322" s="143" t="s">
        <v>2718</v>
      </c>
      <c r="N322" s="143" t="s">
        <v>60</v>
      </c>
      <c r="O322" s="143" t="s">
        <v>4988</v>
      </c>
      <c r="P322" s="143" t="s">
        <v>735</v>
      </c>
      <c r="Q322" s="219">
        <v>1</v>
      </c>
      <c r="R322" s="219">
        <v>0.25</v>
      </c>
      <c r="S322" s="219">
        <v>0.25</v>
      </c>
      <c r="T322" s="219">
        <v>0.25</v>
      </c>
      <c r="U322" s="219">
        <v>0.25</v>
      </c>
      <c r="V322" s="219">
        <v>0.25</v>
      </c>
      <c r="W322" s="219" t="s">
        <v>5028</v>
      </c>
      <c r="X322" s="219">
        <v>0.25</v>
      </c>
      <c r="Y322" s="219" t="s">
        <v>5029</v>
      </c>
      <c r="Z322" s="219">
        <v>0.25</v>
      </c>
      <c r="AA322" s="219" t="s">
        <v>5030</v>
      </c>
      <c r="AB322" s="223"/>
      <c r="AC322" s="223"/>
      <c r="AD322" s="213">
        <v>44295</v>
      </c>
      <c r="AE322" s="213">
        <v>44379</v>
      </c>
      <c r="AF322" s="213">
        <v>44482</v>
      </c>
      <c r="AG322" s="213"/>
      <c r="AH322" s="75">
        <f t="shared" si="18"/>
        <v>0.75</v>
      </c>
      <c r="AI322" s="75">
        <f t="shared" si="19"/>
        <v>1</v>
      </c>
      <c r="AJ322" s="75">
        <f t="shared" si="20"/>
        <v>1</v>
      </c>
      <c r="AK322" s="75">
        <f t="shared" si="21"/>
        <v>1</v>
      </c>
      <c r="AL322" s="75" t="s">
        <v>2467</v>
      </c>
      <c r="AM322" s="214" t="s">
        <v>739</v>
      </c>
      <c r="AN322" s="214" t="s">
        <v>739</v>
      </c>
      <c r="AO322" s="214" t="s">
        <v>739</v>
      </c>
      <c r="AP322" s="214"/>
      <c r="AQ322" s="214" t="s">
        <v>5031</v>
      </c>
      <c r="AR322" s="214" t="s">
        <v>1060</v>
      </c>
      <c r="AS322" s="214" t="s">
        <v>5032</v>
      </c>
      <c r="AT322" s="214"/>
      <c r="AU322" s="214" t="s">
        <v>739</v>
      </c>
      <c r="AV322" s="214" t="s">
        <v>739</v>
      </c>
      <c r="AW322" s="214" t="s">
        <v>739</v>
      </c>
      <c r="AX322" s="214"/>
      <c r="AY322" s="214" t="s">
        <v>5033</v>
      </c>
      <c r="AZ322" s="214" t="s">
        <v>5034</v>
      </c>
      <c r="BA322" s="214" t="s">
        <v>5035</v>
      </c>
      <c r="BB322" s="214"/>
      <c r="BC322" s="143" t="s">
        <v>727</v>
      </c>
    </row>
    <row r="323" spans="1:55" ht="15" customHeight="1" x14ac:dyDescent="0.25">
      <c r="A323" s="210">
        <v>6</v>
      </c>
      <c r="B323" s="143" t="s">
        <v>4983</v>
      </c>
      <c r="C323" s="143" t="s">
        <v>4984</v>
      </c>
      <c r="D323" s="143" t="s">
        <v>4985</v>
      </c>
      <c r="E323" s="143" t="s">
        <v>792</v>
      </c>
      <c r="F323" s="143" t="s">
        <v>793</v>
      </c>
      <c r="G323" s="143" t="s">
        <v>2458</v>
      </c>
      <c r="H323" s="143" t="s">
        <v>2486</v>
      </c>
      <c r="I323" s="143" t="s">
        <v>5036</v>
      </c>
      <c r="J323" s="217">
        <v>44197</v>
      </c>
      <c r="K323" s="217">
        <v>44561</v>
      </c>
      <c r="L323" s="143" t="s">
        <v>5037</v>
      </c>
      <c r="M323" s="143" t="s">
        <v>2718</v>
      </c>
      <c r="N323" s="143" t="s">
        <v>30</v>
      </c>
      <c r="O323" s="143" t="s">
        <v>4988</v>
      </c>
      <c r="P323" s="143" t="s">
        <v>735</v>
      </c>
      <c r="Q323" s="223">
        <v>12</v>
      </c>
      <c r="R323" s="223">
        <v>3</v>
      </c>
      <c r="S323" s="223">
        <v>3</v>
      </c>
      <c r="T323" s="223">
        <v>3</v>
      </c>
      <c r="U323" s="223">
        <v>3</v>
      </c>
      <c r="V323" s="223">
        <v>3</v>
      </c>
      <c r="W323" s="223" t="s">
        <v>5038</v>
      </c>
      <c r="X323" s="223">
        <v>3</v>
      </c>
      <c r="Y323" s="223" t="s">
        <v>5039</v>
      </c>
      <c r="Z323" s="223">
        <v>3</v>
      </c>
      <c r="AA323" s="223" t="s">
        <v>5040</v>
      </c>
      <c r="AB323" s="215"/>
      <c r="AC323" s="215"/>
      <c r="AD323" s="213">
        <v>44295</v>
      </c>
      <c r="AE323" s="213">
        <v>44379</v>
      </c>
      <c r="AF323" s="213">
        <v>44482</v>
      </c>
      <c r="AG323" s="213"/>
      <c r="AH323" s="75">
        <f t="shared" ref="AH323:AH386" si="22">IFERROR(IF((V323+X323+Z323+AB323)/Q323&gt;1,1,(V323+X323+Z323+AB323)/Q323),0)</f>
        <v>0.75</v>
      </c>
      <c r="AI323" s="75">
        <f t="shared" ref="AI323:AI386" si="23">IFERROR(IF(R323=0,"",IF((V323/R323)&gt;1,1,(V323/R323))),"")</f>
        <v>1</v>
      </c>
      <c r="AJ323" s="75">
        <f t="shared" ref="AJ323:AJ386" si="24">IFERROR(IF(S323=0,"",IF((V323+X323/S323)&gt;1,1,(V323+X323/S323))),"")</f>
        <v>1</v>
      </c>
      <c r="AK323" s="75">
        <f t="shared" ref="AK323:AK386" si="25">IFERROR(IF(T323=0,"",IF((V323+X323+Z323/T323)&gt;1,1,(V323+X323+Z323/T323))),"")</f>
        <v>1</v>
      </c>
      <c r="AL323" s="75" t="s">
        <v>2467</v>
      </c>
      <c r="AM323" s="214" t="s">
        <v>739</v>
      </c>
      <c r="AN323" s="214" t="s">
        <v>739</v>
      </c>
      <c r="AO323" s="214" t="s">
        <v>739</v>
      </c>
      <c r="AP323" s="214"/>
      <c r="AQ323" s="214" t="s">
        <v>5041</v>
      </c>
      <c r="AR323" s="214" t="s">
        <v>1060</v>
      </c>
      <c r="AS323" s="214" t="s">
        <v>5042</v>
      </c>
      <c r="AT323" s="214"/>
      <c r="AU323" s="214" t="s">
        <v>739</v>
      </c>
      <c r="AV323" s="214" t="s">
        <v>739</v>
      </c>
      <c r="AW323" s="214" t="s">
        <v>739</v>
      </c>
      <c r="AX323" s="214"/>
      <c r="AY323" s="214" t="s">
        <v>5043</v>
      </c>
      <c r="AZ323" s="214" t="s">
        <v>5044</v>
      </c>
      <c r="BA323" s="214" t="s">
        <v>5045</v>
      </c>
      <c r="BB323" s="214"/>
      <c r="BC323" s="143" t="s">
        <v>727</v>
      </c>
    </row>
    <row r="324" spans="1:55" ht="15" customHeight="1" x14ac:dyDescent="0.25">
      <c r="A324" s="210">
        <v>7</v>
      </c>
      <c r="B324" s="143" t="s">
        <v>4983</v>
      </c>
      <c r="C324" s="143" t="s">
        <v>5015</v>
      </c>
      <c r="D324" s="143" t="s">
        <v>5046</v>
      </c>
      <c r="E324" s="143" t="s">
        <v>792</v>
      </c>
      <c r="F324" s="143" t="s">
        <v>793</v>
      </c>
      <c r="G324" s="143" t="s">
        <v>2458</v>
      </c>
      <c r="H324" s="143" t="s">
        <v>2486</v>
      </c>
      <c r="I324" s="143" t="s">
        <v>5047</v>
      </c>
      <c r="J324" s="217">
        <v>44197</v>
      </c>
      <c r="K324" s="217">
        <v>44561</v>
      </c>
      <c r="L324" s="143" t="s">
        <v>5048</v>
      </c>
      <c r="M324" s="143" t="s">
        <v>2718</v>
      </c>
      <c r="N324" s="143" t="s">
        <v>60</v>
      </c>
      <c r="O324" s="143" t="s">
        <v>5049</v>
      </c>
      <c r="P324" s="143" t="s">
        <v>735</v>
      </c>
      <c r="Q324" s="219">
        <v>1</v>
      </c>
      <c r="R324" s="219">
        <v>0.25</v>
      </c>
      <c r="S324" s="219">
        <v>0.25</v>
      </c>
      <c r="T324" s="219">
        <v>0.25</v>
      </c>
      <c r="U324" s="219">
        <v>0.25</v>
      </c>
      <c r="V324" s="219">
        <v>0.25</v>
      </c>
      <c r="W324" s="219" t="s">
        <v>5050</v>
      </c>
      <c r="X324" s="219">
        <v>0.25</v>
      </c>
      <c r="Y324" s="219" t="s">
        <v>5051</v>
      </c>
      <c r="Z324" s="219">
        <v>0.25</v>
      </c>
      <c r="AA324" s="219" t="s">
        <v>5052</v>
      </c>
      <c r="AB324" s="215"/>
      <c r="AC324" s="215"/>
      <c r="AD324" s="213">
        <v>44295</v>
      </c>
      <c r="AE324" s="213">
        <v>44379</v>
      </c>
      <c r="AF324" s="213">
        <v>44482</v>
      </c>
      <c r="AG324" s="213"/>
      <c r="AH324" s="75">
        <f t="shared" si="22"/>
        <v>0.75</v>
      </c>
      <c r="AI324" s="75">
        <f t="shared" si="23"/>
        <v>1</v>
      </c>
      <c r="AJ324" s="75">
        <f t="shared" si="24"/>
        <v>1</v>
      </c>
      <c r="AK324" s="75">
        <f t="shared" si="25"/>
        <v>1</v>
      </c>
      <c r="AL324" s="75" t="s">
        <v>2467</v>
      </c>
      <c r="AM324" s="214" t="s">
        <v>739</v>
      </c>
      <c r="AN324" s="214" t="s">
        <v>739</v>
      </c>
      <c r="AO324" s="214" t="s">
        <v>739</v>
      </c>
      <c r="AP324" s="214"/>
      <c r="AQ324" s="214" t="s">
        <v>5010</v>
      </c>
      <c r="AR324" s="214" t="s">
        <v>1060</v>
      </c>
      <c r="AS324" s="214" t="s">
        <v>3198</v>
      </c>
      <c r="AT324" s="214"/>
      <c r="AU324" s="214" t="s">
        <v>739</v>
      </c>
      <c r="AV324" s="214" t="s">
        <v>739</v>
      </c>
      <c r="AW324" s="214" t="s">
        <v>739</v>
      </c>
      <c r="AX324" s="214"/>
      <c r="AY324" s="214" t="s">
        <v>5053</v>
      </c>
      <c r="AZ324" s="214" t="s">
        <v>5054</v>
      </c>
      <c r="BA324" s="214" t="s">
        <v>5055</v>
      </c>
      <c r="BB324" s="214"/>
      <c r="BC324" s="143" t="s">
        <v>727</v>
      </c>
    </row>
    <row r="325" spans="1:55" ht="15" customHeight="1" x14ac:dyDescent="0.25">
      <c r="A325" s="210">
        <v>8</v>
      </c>
      <c r="B325" s="143" t="s">
        <v>4983</v>
      </c>
      <c r="C325" s="143" t="s">
        <v>5015</v>
      </c>
      <c r="D325" s="143" t="s">
        <v>5046</v>
      </c>
      <c r="E325" s="143" t="s">
        <v>792</v>
      </c>
      <c r="F325" s="143" t="s">
        <v>793</v>
      </c>
      <c r="G325" s="143" t="s">
        <v>2458</v>
      </c>
      <c r="H325" s="143" t="s">
        <v>2486</v>
      </c>
      <c r="I325" s="143" t="s">
        <v>5056</v>
      </c>
      <c r="J325" s="217">
        <v>44197</v>
      </c>
      <c r="K325" s="217">
        <v>44561</v>
      </c>
      <c r="L325" s="143" t="s">
        <v>5057</v>
      </c>
      <c r="M325" s="143" t="s">
        <v>2718</v>
      </c>
      <c r="N325" s="143" t="s">
        <v>60</v>
      </c>
      <c r="O325" s="143" t="s">
        <v>5049</v>
      </c>
      <c r="P325" s="143" t="s">
        <v>735</v>
      </c>
      <c r="Q325" s="219">
        <v>1</v>
      </c>
      <c r="R325" s="219">
        <v>0.25</v>
      </c>
      <c r="S325" s="219">
        <v>0.25</v>
      </c>
      <c r="T325" s="219">
        <v>0.25</v>
      </c>
      <c r="U325" s="219">
        <v>0.25</v>
      </c>
      <c r="V325" s="219">
        <v>0.25</v>
      </c>
      <c r="W325" s="219" t="s">
        <v>5058</v>
      </c>
      <c r="X325" s="219">
        <v>0.25</v>
      </c>
      <c r="Y325" s="219" t="s">
        <v>5059</v>
      </c>
      <c r="Z325" s="219">
        <v>0.25</v>
      </c>
      <c r="AA325" s="219" t="s">
        <v>5060</v>
      </c>
      <c r="AB325" s="212"/>
      <c r="AC325" s="212"/>
      <c r="AD325" s="213">
        <v>44295</v>
      </c>
      <c r="AE325" s="213">
        <v>44379</v>
      </c>
      <c r="AF325" s="213">
        <v>44482</v>
      </c>
      <c r="AG325" s="213"/>
      <c r="AH325" s="75">
        <f t="shared" si="22"/>
        <v>0.75</v>
      </c>
      <c r="AI325" s="75">
        <f t="shared" si="23"/>
        <v>1</v>
      </c>
      <c r="AJ325" s="75">
        <f t="shared" si="24"/>
        <v>1</v>
      </c>
      <c r="AK325" s="75">
        <f t="shared" si="25"/>
        <v>1</v>
      </c>
      <c r="AL325" s="75" t="s">
        <v>2467</v>
      </c>
      <c r="AM325" s="214" t="s">
        <v>739</v>
      </c>
      <c r="AN325" s="214" t="s">
        <v>739</v>
      </c>
      <c r="AO325" s="214" t="s">
        <v>739</v>
      </c>
      <c r="AP325" s="214"/>
      <c r="AQ325" s="214" t="s">
        <v>5010</v>
      </c>
      <c r="AR325" s="214" t="s">
        <v>1060</v>
      </c>
      <c r="AS325" s="214" t="s">
        <v>5061</v>
      </c>
      <c r="AT325" s="214"/>
      <c r="AU325" s="214" t="s">
        <v>739</v>
      </c>
      <c r="AV325" s="214" t="s">
        <v>739</v>
      </c>
      <c r="AW325" s="214" t="s">
        <v>739</v>
      </c>
      <c r="AX325" s="214"/>
      <c r="AY325" s="214" t="s">
        <v>5062</v>
      </c>
      <c r="AZ325" s="214" t="s">
        <v>5063</v>
      </c>
      <c r="BA325" s="214" t="s">
        <v>5064</v>
      </c>
      <c r="BB325" s="214"/>
      <c r="BC325" s="143" t="s">
        <v>727</v>
      </c>
    </row>
    <row r="326" spans="1:55" ht="15" customHeight="1" x14ac:dyDescent="0.25">
      <c r="A326" s="210">
        <v>9</v>
      </c>
      <c r="B326" s="143" t="s">
        <v>4983</v>
      </c>
      <c r="C326" s="143" t="s">
        <v>5004</v>
      </c>
      <c r="D326" s="143" t="s">
        <v>5046</v>
      </c>
      <c r="E326" s="143" t="s">
        <v>792</v>
      </c>
      <c r="F326" s="143" t="s">
        <v>793</v>
      </c>
      <c r="G326" s="143" t="s">
        <v>2458</v>
      </c>
      <c r="H326" s="143" t="s">
        <v>2486</v>
      </c>
      <c r="I326" s="143" t="s">
        <v>5065</v>
      </c>
      <c r="J326" s="217">
        <v>44197</v>
      </c>
      <c r="K326" s="217">
        <v>44561</v>
      </c>
      <c r="L326" s="143" t="s">
        <v>5066</v>
      </c>
      <c r="M326" s="143" t="s">
        <v>2718</v>
      </c>
      <c r="N326" s="143" t="s">
        <v>30</v>
      </c>
      <c r="O326" s="143" t="s">
        <v>5049</v>
      </c>
      <c r="P326" s="143" t="s">
        <v>735</v>
      </c>
      <c r="Q326" s="223">
        <v>4</v>
      </c>
      <c r="R326" s="223">
        <v>1</v>
      </c>
      <c r="S326" s="223">
        <v>1</v>
      </c>
      <c r="T326" s="223">
        <v>1</v>
      </c>
      <c r="U326" s="223">
        <v>1</v>
      </c>
      <c r="V326" s="223">
        <v>0</v>
      </c>
      <c r="W326" s="223" t="s">
        <v>5067</v>
      </c>
      <c r="X326" s="223">
        <v>1</v>
      </c>
      <c r="Y326" s="223" t="s">
        <v>5068</v>
      </c>
      <c r="Z326" s="223">
        <v>1</v>
      </c>
      <c r="AA326" s="223" t="s">
        <v>5069</v>
      </c>
      <c r="AB326" s="215"/>
      <c r="AC326" s="215"/>
      <c r="AD326" s="213">
        <v>44295</v>
      </c>
      <c r="AE326" s="213">
        <v>44379</v>
      </c>
      <c r="AF326" s="213">
        <v>44482</v>
      </c>
      <c r="AG326" s="213"/>
      <c r="AH326" s="75">
        <f t="shared" si="22"/>
        <v>0.5</v>
      </c>
      <c r="AI326" s="75">
        <f t="shared" si="23"/>
        <v>0</v>
      </c>
      <c r="AJ326" s="75">
        <f t="shared" si="24"/>
        <v>1</v>
      </c>
      <c r="AK326" s="75">
        <f t="shared" si="25"/>
        <v>1</v>
      </c>
      <c r="AL326" s="75" t="s">
        <v>2467</v>
      </c>
      <c r="AM326" s="214" t="s">
        <v>739</v>
      </c>
      <c r="AN326" s="214" t="s">
        <v>739</v>
      </c>
      <c r="AO326" s="214" t="s">
        <v>739</v>
      </c>
      <c r="AP326" s="214"/>
      <c r="AQ326" s="214" t="s">
        <v>5070</v>
      </c>
      <c r="AR326" s="214" t="s">
        <v>1060</v>
      </c>
      <c r="AS326" s="214" t="s">
        <v>5071</v>
      </c>
      <c r="AT326" s="214"/>
      <c r="AU326" s="214" t="s">
        <v>739</v>
      </c>
      <c r="AV326" s="214" t="s">
        <v>739</v>
      </c>
      <c r="AW326" s="214" t="s">
        <v>828</v>
      </c>
      <c r="AX326" s="214"/>
      <c r="AY326" s="214" t="s">
        <v>5070</v>
      </c>
      <c r="AZ326" s="214" t="s">
        <v>5072</v>
      </c>
      <c r="BA326" s="214" t="s">
        <v>5073</v>
      </c>
      <c r="BB326" s="214"/>
      <c r="BC326" s="143" t="s">
        <v>727</v>
      </c>
    </row>
    <row r="327" spans="1:55" ht="15" customHeight="1" x14ac:dyDescent="0.25">
      <c r="A327" s="210">
        <v>10</v>
      </c>
      <c r="B327" s="143" t="s">
        <v>4983</v>
      </c>
      <c r="C327" s="143" t="s">
        <v>5015</v>
      </c>
      <c r="D327" s="143" t="s">
        <v>5046</v>
      </c>
      <c r="E327" s="143" t="s">
        <v>792</v>
      </c>
      <c r="F327" s="143" t="s">
        <v>793</v>
      </c>
      <c r="G327" s="143" t="s">
        <v>2458</v>
      </c>
      <c r="H327" s="143" t="s">
        <v>2486</v>
      </c>
      <c r="I327" s="143" t="s">
        <v>5074</v>
      </c>
      <c r="J327" s="217">
        <v>44197</v>
      </c>
      <c r="K327" s="217">
        <v>44561</v>
      </c>
      <c r="L327" s="143" t="s">
        <v>5075</v>
      </c>
      <c r="M327" s="143" t="s">
        <v>2718</v>
      </c>
      <c r="N327" s="143" t="s">
        <v>60</v>
      </c>
      <c r="O327" s="143" t="s">
        <v>5049</v>
      </c>
      <c r="P327" s="143" t="s">
        <v>735</v>
      </c>
      <c r="Q327" s="219">
        <v>1</v>
      </c>
      <c r="R327" s="219">
        <v>0.25</v>
      </c>
      <c r="S327" s="219">
        <v>0.25</v>
      </c>
      <c r="T327" s="219">
        <v>0.25</v>
      </c>
      <c r="U327" s="219">
        <v>0.25</v>
      </c>
      <c r="V327" s="219">
        <v>0.25</v>
      </c>
      <c r="W327" s="219" t="s">
        <v>5076</v>
      </c>
      <c r="X327" s="219">
        <v>0.25</v>
      </c>
      <c r="Y327" s="219" t="s">
        <v>5077</v>
      </c>
      <c r="Z327" s="219">
        <v>0.25</v>
      </c>
      <c r="AA327" s="219" t="s">
        <v>5078</v>
      </c>
      <c r="AB327" s="215"/>
      <c r="AC327" s="215"/>
      <c r="AD327" s="213">
        <v>44295</v>
      </c>
      <c r="AE327" s="213">
        <v>44379</v>
      </c>
      <c r="AF327" s="213">
        <v>44482</v>
      </c>
      <c r="AG327" s="213"/>
      <c r="AH327" s="75">
        <f t="shared" si="22"/>
        <v>0.75</v>
      </c>
      <c r="AI327" s="75">
        <f t="shared" si="23"/>
        <v>1</v>
      </c>
      <c r="AJ327" s="75">
        <f t="shared" si="24"/>
        <v>1</v>
      </c>
      <c r="AK327" s="75">
        <f t="shared" si="25"/>
        <v>1</v>
      </c>
      <c r="AL327" s="75" t="s">
        <v>2467</v>
      </c>
      <c r="AM327" s="214" t="s">
        <v>739</v>
      </c>
      <c r="AN327" s="214" t="s">
        <v>739</v>
      </c>
      <c r="AO327" s="214" t="s">
        <v>739</v>
      </c>
      <c r="AP327" s="214"/>
      <c r="AQ327" s="214" t="s">
        <v>5010</v>
      </c>
      <c r="AR327" s="214" t="s">
        <v>1060</v>
      </c>
      <c r="AS327" s="214" t="s">
        <v>5079</v>
      </c>
      <c r="AT327" s="214"/>
      <c r="AU327" s="214" t="s">
        <v>739</v>
      </c>
      <c r="AV327" s="214" t="s">
        <v>739</v>
      </c>
      <c r="AW327" s="214" t="s">
        <v>739</v>
      </c>
      <c r="AX327" s="214"/>
      <c r="AY327" s="214" t="s">
        <v>5080</v>
      </c>
      <c r="AZ327" s="214" t="s">
        <v>5081</v>
      </c>
      <c r="BA327" s="214" t="s">
        <v>5082</v>
      </c>
      <c r="BB327" s="214"/>
      <c r="BC327" s="143" t="s">
        <v>727</v>
      </c>
    </row>
    <row r="328" spans="1:55" ht="15" customHeight="1" x14ac:dyDescent="0.25">
      <c r="A328" s="210">
        <v>11</v>
      </c>
      <c r="B328" s="143" t="s">
        <v>4983</v>
      </c>
      <c r="C328" s="143" t="s">
        <v>5015</v>
      </c>
      <c r="D328" s="143" t="s">
        <v>5046</v>
      </c>
      <c r="E328" s="143" t="s">
        <v>792</v>
      </c>
      <c r="F328" s="143" t="s">
        <v>793</v>
      </c>
      <c r="G328" s="143" t="s">
        <v>2458</v>
      </c>
      <c r="H328" s="143" t="s">
        <v>2486</v>
      </c>
      <c r="I328" s="143" t="s">
        <v>5083</v>
      </c>
      <c r="J328" s="217">
        <v>44197</v>
      </c>
      <c r="K328" s="217">
        <v>44561</v>
      </c>
      <c r="L328" s="143" t="s">
        <v>5084</v>
      </c>
      <c r="M328" s="143" t="s">
        <v>2718</v>
      </c>
      <c r="N328" s="143" t="s">
        <v>60</v>
      </c>
      <c r="O328" s="143" t="s">
        <v>5049</v>
      </c>
      <c r="P328" s="143" t="s">
        <v>735</v>
      </c>
      <c r="Q328" s="219">
        <v>1</v>
      </c>
      <c r="R328" s="219">
        <v>0.25</v>
      </c>
      <c r="S328" s="219">
        <v>0.25</v>
      </c>
      <c r="T328" s="219">
        <v>0.25</v>
      </c>
      <c r="U328" s="219">
        <v>0.25</v>
      </c>
      <c r="V328" s="219">
        <v>0.25</v>
      </c>
      <c r="W328" s="219" t="s">
        <v>5085</v>
      </c>
      <c r="X328" s="219">
        <v>0.25</v>
      </c>
      <c r="Y328" s="219" t="s">
        <v>5085</v>
      </c>
      <c r="Z328" s="219">
        <v>0.25</v>
      </c>
      <c r="AA328" s="219" t="s">
        <v>5086</v>
      </c>
      <c r="AB328" s="215"/>
      <c r="AC328" s="215"/>
      <c r="AD328" s="213">
        <v>44295</v>
      </c>
      <c r="AE328" s="213">
        <v>44379</v>
      </c>
      <c r="AF328" s="213">
        <v>44482</v>
      </c>
      <c r="AG328" s="213"/>
      <c r="AH328" s="75">
        <f t="shared" si="22"/>
        <v>0.75</v>
      </c>
      <c r="AI328" s="75">
        <f t="shared" si="23"/>
        <v>1</v>
      </c>
      <c r="AJ328" s="75">
        <f t="shared" si="24"/>
        <v>1</v>
      </c>
      <c r="AK328" s="75">
        <f t="shared" si="25"/>
        <v>1</v>
      </c>
      <c r="AL328" s="75" t="s">
        <v>2467</v>
      </c>
      <c r="AM328" s="214" t="s">
        <v>739</v>
      </c>
      <c r="AN328" s="214" t="s">
        <v>739</v>
      </c>
      <c r="AO328" s="214" t="s">
        <v>739</v>
      </c>
      <c r="AP328" s="214"/>
      <c r="AQ328" s="214" t="s">
        <v>5010</v>
      </c>
      <c r="AR328" s="214" t="s">
        <v>1060</v>
      </c>
      <c r="AS328" s="214" t="s">
        <v>3198</v>
      </c>
      <c r="AT328" s="214"/>
      <c r="AU328" s="214" t="s">
        <v>739</v>
      </c>
      <c r="AV328" s="214" t="s">
        <v>739</v>
      </c>
      <c r="AW328" s="214" t="s">
        <v>739</v>
      </c>
      <c r="AX328" s="214"/>
      <c r="AY328" s="214" t="s">
        <v>5087</v>
      </c>
      <c r="AZ328" s="214" t="s">
        <v>5088</v>
      </c>
      <c r="BA328" s="214" t="s">
        <v>5089</v>
      </c>
      <c r="BB328" s="214"/>
      <c r="BC328" s="143" t="s">
        <v>727</v>
      </c>
    </row>
    <row r="329" spans="1:55" ht="15" customHeight="1" x14ac:dyDescent="0.25">
      <c r="A329" s="210">
        <v>12</v>
      </c>
      <c r="B329" s="143" t="s">
        <v>4983</v>
      </c>
      <c r="C329" s="143" t="s">
        <v>5015</v>
      </c>
      <c r="D329" s="143" t="s">
        <v>5046</v>
      </c>
      <c r="E329" s="143" t="s">
        <v>792</v>
      </c>
      <c r="F329" s="143" t="s">
        <v>793</v>
      </c>
      <c r="G329" s="143" t="s">
        <v>2458</v>
      </c>
      <c r="H329" s="143" t="s">
        <v>2486</v>
      </c>
      <c r="I329" s="143" t="s">
        <v>5090</v>
      </c>
      <c r="J329" s="217">
        <v>44197</v>
      </c>
      <c r="K329" s="217">
        <v>44561</v>
      </c>
      <c r="L329" s="143" t="s">
        <v>5091</v>
      </c>
      <c r="M329" s="143" t="s">
        <v>2718</v>
      </c>
      <c r="N329" s="143" t="s">
        <v>60</v>
      </c>
      <c r="O329" s="143" t="s">
        <v>5049</v>
      </c>
      <c r="P329" s="143" t="s">
        <v>735</v>
      </c>
      <c r="Q329" s="219">
        <v>1</v>
      </c>
      <c r="R329" s="219">
        <v>0.25</v>
      </c>
      <c r="S329" s="219">
        <v>0.25</v>
      </c>
      <c r="T329" s="219">
        <v>0.25</v>
      </c>
      <c r="U329" s="219">
        <v>0.25</v>
      </c>
      <c r="V329" s="219">
        <v>0.25</v>
      </c>
      <c r="W329" s="219" t="s">
        <v>5092</v>
      </c>
      <c r="X329" s="219">
        <v>0.25</v>
      </c>
      <c r="Y329" s="219" t="s">
        <v>5093</v>
      </c>
      <c r="Z329" s="219">
        <v>0.25</v>
      </c>
      <c r="AA329" s="219" t="s">
        <v>5094</v>
      </c>
      <c r="AB329" s="215"/>
      <c r="AC329" s="215"/>
      <c r="AD329" s="213">
        <v>44295</v>
      </c>
      <c r="AE329" s="213">
        <v>44379</v>
      </c>
      <c r="AF329" s="213">
        <v>44482</v>
      </c>
      <c r="AG329" s="213"/>
      <c r="AH329" s="75">
        <f t="shared" si="22"/>
        <v>0.75</v>
      </c>
      <c r="AI329" s="75">
        <f t="shared" si="23"/>
        <v>1</v>
      </c>
      <c r="AJ329" s="75">
        <f t="shared" si="24"/>
        <v>1</v>
      </c>
      <c r="AK329" s="75">
        <f t="shared" si="25"/>
        <v>1</v>
      </c>
      <c r="AL329" s="75" t="s">
        <v>2467</v>
      </c>
      <c r="AM329" s="214" t="s">
        <v>739</v>
      </c>
      <c r="AN329" s="214" t="s">
        <v>739</v>
      </c>
      <c r="AO329" s="214" t="s">
        <v>739</v>
      </c>
      <c r="AP329" s="214"/>
      <c r="AQ329" s="214" t="s">
        <v>5010</v>
      </c>
      <c r="AR329" s="214" t="s">
        <v>1060</v>
      </c>
      <c r="AS329" s="214" t="s">
        <v>5095</v>
      </c>
      <c r="AT329" s="214"/>
      <c r="AU329" s="214" t="s">
        <v>739</v>
      </c>
      <c r="AV329" s="214" t="s">
        <v>739</v>
      </c>
      <c r="AW329" s="214" t="s">
        <v>739</v>
      </c>
      <c r="AX329" s="214"/>
      <c r="AY329" s="214" t="s">
        <v>5096</v>
      </c>
      <c r="AZ329" s="214" t="s">
        <v>5097</v>
      </c>
      <c r="BA329" s="214" t="s">
        <v>5098</v>
      </c>
      <c r="BB329" s="214"/>
      <c r="BC329" s="143" t="s">
        <v>727</v>
      </c>
    </row>
    <row r="330" spans="1:55" ht="15" customHeight="1" x14ac:dyDescent="0.25">
      <c r="A330" s="210">
        <v>13</v>
      </c>
      <c r="B330" s="143" t="s">
        <v>4983</v>
      </c>
      <c r="C330" s="143" t="s">
        <v>5015</v>
      </c>
      <c r="D330" s="143" t="s">
        <v>5046</v>
      </c>
      <c r="E330" s="143" t="s">
        <v>792</v>
      </c>
      <c r="F330" s="143" t="s">
        <v>793</v>
      </c>
      <c r="G330" s="143" t="s">
        <v>2458</v>
      </c>
      <c r="H330" s="143" t="s">
        <v>2486</v>
      </c>
      <c r="I330" s="143" t="s">
        <v>5099</v>
      </c>
      <c r="J330" s="217">
        <v>44197</v>
      </c>
      <c r="K330" s="217">
        <v>44561</v>
      </c>
      <c r="L330" s="143" t="s">
        <v>5100</v>
      </c>
      <c r="M330" s="143" t="s">
        <v>2718</v>
      </c>
      <c r="N330" s="143" t="s">
        <v>30</v>
      </c>
      <c r="O330" s="143" t="s">
        <v>5049</v>
      </c>
      <c r="P330" s="143" t="s">
        <v>735</v>
      </c>
      <c r="Q330" s="223">
        <v>12</v>
      </c>
      <c r="R330" s="223">
        <v>3</v>
      </c>
      <c r="S330" s="223">
        <v>3</v>
      </c>
      <c r="T330" s="223">
        <v>3</v>
      </c>
      <c r="U330" s="223">
        <v>3</v>
      </c>
      <c r="V330" s="223">
        <v>3</v>
      </c>
      <c r="W330" s="223" t="s">
        <v>5101</v>
      </c>
      <c r="X330" s="223">
        <v>3</v>
      </c>
      <c r="Y330" s="223" t="s">
        <v>5102</v>
      </c>
      <c r="Z330" s="223">
        <v>3</v>
      </c>
      <c r="AA330" s="223" t="s">
        <v>5103</v>
      </c>
      <c r="AB330" s="215"/>
      <c r="AC330" s="215"/>
      <c r="AD330" s="213">
        <v>44295</v>
      </c>
      <c r="AE330" s="213">
        <v>44379</v>
      </c>
      <c r="AF330" s="213">
        <v>44482</v>
      </c>
      <c r="AG330" s="213"/>
      <c r="AH330" s="75">
        <f t="shared" si="22"/>
        <v>0.75</v>
      </c>
      <c r="AI330" s="75">
        <f t="shared" si="23"/>
        <v>1</v>
      </c>
      <c r="AJ330" s="75">
        <f t="shared" si="24"/>
        <v>1</v>
      </c>
      <c r="AK330" s="75">
        <f t="shared" si="25"/>
        <v>1</v>
      </c>
      <c r="AL330" s="75" t="s">
        <v>2467</v>
      </c>
      <c r="AM330" s="214" t="s">
        <v>739</v>
      </c>
      <c r="AN330" s="214" t="s">
        <v>739</v>
      </c>
      <c r="AO330" s="214" t="s">
        <v>739</v>
      </c>
      <c r="AP330" s="214"/>
      <c r="AQ330" s="214" t="s">
        <v>5010</v>
      </c>
      <c r="AR330" s="214" t="s">
        <v>1060</v>
      </c>
      <c r="AS330" s="214" t="s">
        <v>5104</v>
      </c>
      <c r="AT330" s="214"/>
      <c r="AU330" s="214" t="s">
        <v>739</v>
      </c>
      <c r="AV330" s="214" t="s">
        <v>739</v>
      </c>
      <c r="AW330" s="214" t="s">
        <v>739</v>
      </c>
      <c r="AX330" s="214"/>
      <c r="AY330" s="214" t="s">
        <v>5105</v>
      </c>
      <c r="AZ330" s="214" t="s">
        <v>5106</v>
      </c>
      <c r="BA330" s="214" t="s">
        <v>5107</v>
      </c>
      <c r="BB330" s="214"/>
      <c r="BC330" s="143" t="s">
        <v>727</v>
      </c>
    </row>
    <row r="331" spans="1:55" ht="15" customHeight="1" x14ac:dyDescent="0.25">
      <c r="A331" s="210">
        <v>14</v>
      </c>
      <c r="B331" s="143" t="s">
        <v>4983</v>
      </c>
      <c r="C331" s="143" t="s">
        <v>5015</v>
      </c>
      <c r="D331" s="143" t="s">
        <v>5108</v>
      </c>
      <c r="E331" s="143" t="s">
        <v>792</v>
      </c>
      <c r="F331" s="143" t="s">
        <v>793</v>
      </c>
      <c r="G331" s="143" t="s">
        <v>2458</v>
      </c>
      <c r="H331" s="143" t="s">
        <v>2486</v>
      </c>
      <c r="I331" s="143" t="s">
        <v>5109</v>
      </c>
      <c r="J331" s="217">
        <v>44197</v>
      </c>
      <c r="K331" s="217">
        <v>44561</v>
      </c>
      <c r="L331" s="143" t="s">
        <v>5110</v>
      </c>
      <c r="M331" s="143" t="s">
        <v>2718</v>
      </c>
      <c r="N331" s="143" t="s">
        <v>60</v>
      </c>
      <c r="O331" s="143" t="s">
        <v>5111</v>
      </c>
      <c r="P331" s="143" t="s">
        <v>735</v>
      </c>
      <c r="Q331" s="219">
        <v>1</v>
      </c>
      <c r="R331" s="219">
        <v>0.25</v>
      </c>
      <c r="S331" s="219">
        <v>0.25</v>
      </c>
      <c r="T331" s="219">
        <v>0.25</v>
      </c>
      <c r="U331" s="219">
        <v>0.25</v>
      </c>
      <c r="V331" s="219">
        <v>0.25</v>
      </c>
      <c r="W331" s="219" t="s">
        <v>5112</v>
      </c>
      <c r="X331" s="219">
        <v>0.25</v>
      </c>
      <c r="Y331" s="219" t="s">
        <v>5113</v>
      </c>
      <c r="Z331" s="219">
        <v>0.25</v>
      </c>
      <c r="AA331" s="219" t="s">
        <v>5114</v>
      </c>
      <c r="AB331" s="215"/>
      <c r="AC331" s="215"/>
      <c r="AD331" s="213">
        <v>44295</v>
      </c>
      <c r="AE331" s="213">
        <v>44379</v>
      </c>
      <c r="AF331" s="213">
        <v>44482</v>
      </c>
      <c r="AG331" s="213"/>
      <c r="AH331" s="75">
        <f t="shared" si="22"/>
        <v>0.75</v>
      </c>
      <c r="AI331" s="75">
        <f t="shared" si="23"/>
        <v>1</v>
      </c>
      <c r="AJ331" s="75">
        <f t="shared" si="24"/>
        <v>1</v>
      </c>
      <c r="AK331" s="75">
        <f t="shared" si="25"/>
        <v>1</v>
      </c>
      <c r="AL331" s="75" t="s">
        <v>2467</v>
      </c>
      <c r="AM331" s="214" t="s">
        <v>739</v>
      </c>
      <c r="AN331" s="214" t="s">
        <v>739</v>
      </c>
      <c r="AO331" s="214" t="s">
        <v>739</v>
      </c>
      <c r="AP331" s="214"/>
      <c r="AQ331" s="214" t="s">
        <v>5010</v>
      </c>
      <c r="AR331" s="214" t="s">
        <v>1060</v>
      </c>
      <c r="AS331" s="214" t="s">
        <v>5115</v>
      </c>
      <c r="AT331" s="214"/>
      <c r="AU331" s="214" t="s">
        <v>739</v>
      </c>
      <c r="AV331" s="214" t="s">
        <v>739</v>
      </c>
      <c r="AW331" s="214" t="s">
        <v>739</v>
      </c>
      <c r="AX331" s="214"/>
      <c r="AY331" s="214" t="s">
        <v>5116</v>
      </c>
      <c r="AZ331" s="214" t="s">
        <v>5117</v>
      </c>
      <c r="BA331" s="214" t="s">
        <v>5118</v>
      </c>
      <c r="BB331" s="214"/>
      <c r="BC331" s="143" t="s">
        <v>727</v>
      </c>
    </row>
    <row r="332" spans="1:55" ht="15" customHeight="1" x14ac:dyDescent="0.25">
      <c r="A332" s="210">
        <v>15</v>
      </c>
      <c r="B332" s="143" t="s">
        <v>4983</v>
      </c>
      <c r="C332" s="143" t="s">
        <v>5015</v>
      </c>
      <c r="D332" s="143" t="s">
        <v>5108</v>
      </c>
      <c r="E332" s="143" t="s">
        <v>792</v>
      </c>
      <c r="F332" s="143" t="s">
        <v>793</v>
      </c>
      <c r="G332" s="143" t="s">
        <v>2458</v>
      </c>
      <c r="H332" s="143" t="s">
        <v>2486</v>
      </c>
      <c r="I332" s="143" t="s">
        <v>5119</v>
      </c>
      <c r="J332" s="217">
        <v>44197</v>
      </c>
      <c r="K332" s="217">
        <v>44561</v>
      </c>
      <c r="L332" s="143" t="s">
        <v>5120</v>
      </c>
      <c r="M332" s="143" t="s">
        <v>2718</v>
      </c>
      <c r="N332" s="143" t="s">
        <v>60</v>
      </c>
      <c r="O332" s="143" t="s">
        <v>5111</v>
      </c>
      <c r="P332" s="143" t="s">
        <v>735</v>
      </c>
      <c r="Q332" s="219">
        <v>1</v>
      </c>
      <c r="R332" s="219">
        <v>0.25</v>
      </c>
      <c r="S332" s="219">
        <v>0.25</v>
      </c>
      <c r="T332" s="219">
        <v>0.25</v>
      </c>
      <c r="U332" s="219">
        <v>0.25</v>
      </c>
      <c r="V332" s="219">
        <v>0.25</v>
      </c>
      <c r="W332" s="219" t="s">
        <v>5121</v>
      </c>
      <c r="X332" s="219">
        <v>0.25</v>
      </c>
      <c r="Y332" s="219" t="s">
        <v>5121</v>
      </c>
      <c r="Z332" s="219">
        <v>0.25</v>
      </c>
      <c r="AA332" s="219" t="s">
        <v>5121</v>
      </c>
      <c r="AB332" s="215"/>
      <c r="AC332" s="215"/>
      <c r="AD332" s="213">
        <v>44295</v>
      </c>
      <c r="AE332" s="213">
        <v>44379</v>
      </c>
      <c r="AF332" s="213">
        <v>44482</v>
      </c>
      <c r="AG332" s="213"/>
      <c r="AH332" s="75">
        <f t="shared" si="22"/>
        <v>0.75</v>
      </c>
      <c r="AI332" s="75">
        <f t="shared" si="23"/>
        <v>1</v>
      </c>
      <c r="AJ332" s="75">
        <f t="shared" si="24"/>
        <v>1</v>
      </c>
      <c r="AK332" s="75">
        <f t="shared" si="25"/>
        <v>1</v>
      </c>
      <c r="AL332" s="75" t="s">
        <v>2467</v>
      </c>
      <c r="AM332" s="214" t="s">
        <v>739</v>
      </c>
      <c r="AN332" s="214" t="s">
        <v>739</v>
      </c>
      <c r="AO332" s="214" t="s">
        <v>739</v>
      </c>
      <c r="AP332" s="214"/>
      <c r="AQ332" s="214" t="s">
        <v>5010</v>
      </c>
      <c r="AR332" s="214" t="s">
        <v>1060</v>
      </c>
      <c r="AS332" s="214" t="s">
        <v>5122</v>
      </c>
      <c r="AT332" s="214"/>
      <c r="AU332" s="214" t="s">
        <v>739</v>
      </c>
      <c r="AV332" s="214" t="s">
        <v>739</v>
      </c>
      <c r="AW332" s="214" t="s">
        <v>739</v>
      </c>
      <c r="AX332" s="214"/>
      <c r="AY332" s="214" t="s">
        <v>5123</v>
      </c>
      <c r="AZ332" s="214" t="s">
        <v>5124</v>
      </c>
      <c r="BA332" s="214" t="s">
        <v>5125</v>
      </c>
      <c r="BB332" s="214"/>
      <c r="BC332" s="143" t="s">
        <v>727</v>
      </c>
    </row>
    <row r="333" spans="1:55" ht="15" customHeight="1" x14ac:dyDescent="0.25">
      <c r="A333" s="210">
        <v>16</v>
      </c>
      <c r="B333" s="143" t="s">
        <v>4983</v>
      </c>
      <c r="C333" s="143" t="s">
        <v>5015</v>
      </c>
      <c r="D333" s="143" t="s">
        <v>5108</v>
      </c>
      <c r="E333" s="143" t="s">
        <v>792</v>
      </c>
      <c r="F333" s="143" t="s">
        <v>793</v>
      </c>
      <c r="G333" s="143" t="s">
        <v>2458</v>
      </c>
      <c r="H333" s="143" t="s">
        <v>2486</v>
      </c>
      <c r="I333" s="143" t="s">
        <v>5126</v>
      </c>
      <c r="J333" s="217">
        <v>44197</v>
      </c>
      <c r="K333" s="217">
        <v>44561</v>
      </c>
      <c r="L333" s="143" t="s">
        <v>5127</v>
      </c>
      <c r="M333" s="143" t="s">
        <v>2718</v>
      </c>
      <c r="N333" s="143" t="s">
        <v>30</v>
      </c>
      <c r="O333" s="143" t="s">
        <v>5111</v>
      </c>
      <c r="P333" s="143" t="s">
        <v>735</v>
      </c>
      <c r="Q333" s="223">
        <f>SUM(R333:U333)</f>
        <v>24</v>
      </c>
      <c r="R333" s="223">
        <v>6</v>
      </c>
      <c r="S333" s="223">
        <v>6</v>
      </c>
      <c r="T333" s="223">
        <v>6</v>
      </c>
      <c r="U333" s="223">
        <v>6</v>
      </c>
      <c r="V333" s="223">
        <v>6</v>
      </c>
      <c r="W333" s="223" t="s">
        <v>5128</v>
      </c>
      <c r="X333" s="223">
        <v>6</v>
      </c>
      <c r="Y333" s="223" t="s">
        <v>5129</v>
      </c>
      <c r="Z333" s="223">
        <v>6</v>
      </c>
      <c r="AA333" s="223" t="s">
        <v>5130</v>
      </c>
      <c r="AB333" s="219"/>
      <c r="AC333" s="219"/>
      <c r="AD333" s="213">
        <v>44295</v>
      </c>
      <c r="AE333" s="213">
        <v>44379</v>
      </c>
      <c r="AF333" s="213">
        <v>44482</v>
      </c>
      <c r="AG333" s="213"/>
      <c r="AH333" s="75">
        <f t="shared" si="22"/>
        <v>0.75</v>
      </c>
      <c r="AI333" s="75">
        <f t="shared" si="23"/>
        <v>1</v>
      </c>
      <c r="AJ333" s="75">
        <f t="shared" si="24"/>
        <v>1</v>
      </c>
      <c r="AK333" s="75">
        <f t="shared" si="25"/>
        <v>1</v>
      </c>
      <c r="AL333" s="75" t="s">
        <v>2467</v>
      </c>
      <c r="AM333" s="214" t="s">
        <v>739</v>
      </c>
      <c r="AN333" s="214" t="s">
        <v>739</v>
      </c>
      <c r="AO333" s="214" t="s">
        <v>739</v>
      </c>
      <c r="AP333" s="214"/>
      <c r="AQ333" s="214" t="s">
        <v>5131</v>
      </c>
      <c r="AR333" s="214" t="s">
        <v>1060</v>
      </c>
      <c r="AS333" s="214" t="s">
        <v>5132</v>
      </c>
      <c r="AT333" s="214"/>
      <c r="AU333" s="214" t="s">
        <v>739</v>
      </c>
      <c r="AV333" s="214" t="s">
        <v>739</v>
      </c>
      <c r="AW333" s="214" t="s">
        <v>739</v>
      </c>
      <c r="AX333" s="214"/>
      <c r="AY333" s="214" t="s">
        <v>5133</v>
      </c>
      <c r="AZ333" s="214" t="s">
        <v>5134</v>
      </c>
      <c r="BA333" s="214" t="s">
        <v>5135</v>
      </c>
      <c r="BB333" s="214"/>
      <c r="BC333" s="143" t="s">
        <v>727</v>
      </c>
    </row>
    <row r="334" spans="1:55" ht="15" customHeight="1" x14ac:dyDescent="0.25">
      <c r="A334" s="210">
        <v>17</v>
      </c>
      <c r="B334" s="143" t="s">
        <v>4983</v>
      </c>
      <c r="C334" s="143" t="s">
        <v>5004</v>
      </c>
      <c r="D334" s="143" t="s">
        <v>5136</v>
      </c>
      <c r="E334" s="143" t="s">
        <v>792</v>
      </c>
      <c r="F334" s="143" t="s">
        <v>793</v>
      </c>
      <c r="G334" s="143" t="s">
        <v>2458</v>
      </c>
      <c r="H334" s="143" t="s">
        <v>2486</v>
      </c>
      <c r="I334" s="143" t="s">
        <v>5137</v>
      </c>
      <c r="J334" s="217">
        <v>44197</v>
      </c>
      <c r="K334" s="217">
        <v>44561</v>
      </c>
      <c r="L334" s="143" t="s">
        <v>5138</v>
      </c>
      <c r="M334" s="143" t="s">
        <v>2718</v>
      </c>
      <c r="N334" s="143" t="s">
        <v>30</v>
      </c>
      <c r="O334" s="143" t="s">
        <v>5139</v>
      </c>
      <c r="P334" s="143" t="s">
        <v>735</v>
      </c>
      <c r="Q334" s="223">
        <v>10</v>
      </c>
      <c r="R334" s="223">
        <v>1</v>
      </c>
      <c r="S334" s="223">
        <v>3</v>
      </c>
      <c r="T334" s="223">
        <v>3</v>
      </c>
      <c r="U334" s="223">
        <v>3</v>
      </c>
      <c r="V334" s="223">
        <v>0</v>
      </c>
      <c r="W334" s="223" t="s">
        <v>5140</v>
      </c>
      <c r="X334" s="223">
        <v>4</v>
      </c>
      <c r="Y334" s="223" t="s">
        <v>5141</v>
      </c>
      <c r="Z334" s="223">
        <v>3</v>
      </c>
      <c r="AA334" s="223" t="s">
        <v>5142</v>
      </c>
      <c r="AB334" s="223"/>
      <c r="AC334" s="223"/>
      <c r="AD334" s="213">
        <v>44295</v>
      </c>
      <c r="AE334" s="213">
        <v>44379</v>
      </c>
      <c r="AF334" s="213">
        <v>44482</v>
      </c>
      <c r="AG334" s="213"/>
      <c r="AH334" s="75">
        <f t="shared" si="22"/>
        <v>0.7</v>
      </c>
      <c r="AI334" s="75">
        <f t="shared" si="23"/>
        <v>0</v>
      </c>
      <c r="AJ334" s="75">
        <f t="shared" si="24"/>
        <v>1</v>
      </c>
      <c r="AK334" s="75">
        <f t="shared" si="25"/>
        <v>1</v>
      </c>
      <c r="AL334" s="75" t="s">
        <v>2467</v>
      </c>
      <c r="AM334" s="214" t="s">
        <v>828</v>
      </c>
      <c r="AN334" s="214" t="s">
        <v>739</v>
      </c>
      <c r="AO334" s="214" t="s">
        <v>739</v>
      </c>
      <c r="AP334" s="214"/>
      <c r="AQ334" s="214" t="s">
        <v>5143</v>
      </c>
      <c r="AR334" s="214" t="s">
        <v>1060</v>
      </c>
      <c r="AS334" s="214" t="s">
        <v>5144</v>
      </c>
      <c r="AT334" s="214"/>
      <c r="AU334" s="214" t="s">
        <v>739</v>
      </c>
      <c r="AV334" s="214" t="s">
        <v>739</v>
      </c>
      <c r="AW334" s="214" t="s">
        <v>739</v>
      </c>
      <c r="AX334" s="214"/>
      <c r="AY334" s="214" t="s">
        <v>5145</v>
      </c>
      <c r="AZ334" s="214" t="s">
        <v>5146</v>
      </c>
      <c r="BA334" s="214" t="s">
        <v>5147</v>
      </c>
      <c r="BB334" s="214"/>
      <c r="BC334" s="143" t="s">
        <v>727</v>
      </c>
    </row>
    <row r="335" spans="1:55" ht="15" customHeight="1" x14ac:dyDescent="0.25">
      <c r="A335" s="210">
        <v>18</v>
      </c>
      <c r="B335" s="143" t="s">
        <v>4983</v>
      </c>
      <c r="C335" s="143" t="s">
        <v>5004</v>
      </c>
      <c r="D335" s="143" t="s">
        <v>5136</v>
      </c>
      <c r="E335" s="143" t="s">
        <v>792</v>
      </c>
      <c r="F335" s="143" t="s">
        <v>793</v>
      </c>
      <c r="G335" s="143" t="s">
        <v>2458</v>
      </c>
      <c r="H335" s="143" t="s">
        <v>2486</v>
      </c>
      <c r="I335" s="143" t="s">
        <v>5148</v>
      </c>
      <c r="J335" s="217">
        <v>44197</v>
      </c>
      <c r="K335" s="217">
        <v>44500</v>
      </c>
      <c r="L335" s="143" t="s">
        <v>5149</v>
      </c>
      <c r="M335" s="143" t="s">
        <v>2718</v>
      </c>
      <c r="N335" s="143" t="s">
        <v>30</v>
      </c>
      <c r="O335" s="143" t="s">
        <v>5139</v>
      </c>
      <c r="P335" s="143" t="s">
        <v>735</v>
      </c>
      <c r="Q335" s="223">
        <v>4</v>
      </c>
      <c r="R335" s="223">
        <v>0</v>
      </c>
      <c r="S335" s="223">
        <v>1</v>
      </c>
      <c r="T335" s="223">
        <v>1</v>
      </c>
      <c r="U335" s="223">
        <v>2</v>
      </c>
      <c r="V335" s="223">
        <v>0</v>
      </c>
      <c r="W335" s="223" t="s">
        <v>5150</v>
      </c>
      <c r="X335" s="223">
        <v>1</v>
      </c>
      <c r="Y335" s="223" t="s">
        <v>5151</v>
      </c>
      <c r="Z335" s="223">
        <v>1</v>
      </c>
      <c r="AA335" s="223" t="s">
        <v>5152</v>
      </c>
      <c r="AB335" s="223"/>
      <c r="AC335" s="223"/>
      <c r="AD335" s="213">
        <v>44295</v>
      </c>
      <c r="AE335" s="213">
        <v>44379</v>
      </c>
      <c r="AF335" s="213">
        <v>44482</v>
      </c>
      <c r="AG335" s="213"/>
      <c r="AH335" s="75">
        <f t="shared" si="22"/>
        <v>0.5</v>
      </c>
      <c r="AI335" s="75" t="str">
        <f t="shared" si="23"/>
        <v/>
      </c>
      <c r="AJ335" s="75">
        <f t="shared" si="24"/>
        <v>1</v>
      </c>
      <c r="AK335" s="75">
        <f t="shared" si="25"/>
        <v>1</v>
      </c>
      <c r="AL335" s="75" t="s">
        <v>2467</v>
      </c>
      <c r="AM335" s="214" t="s">
        <v>739</v>
      </c>
      <c r="AN335" s="214" t="s">
        <v>739</v>
      </c>
      <c r="AO335" s="214" t="s">
        <v>739</v>
      </c>
      <c r="AP335" s="214"/>
      <c r="AQ335" s="214" t="s">
        <v>5153</v>
      </c>
      <c r="AR335" s="214" t="s">
        <v>1060</v>
      </c>
      <c r="AS335" s="214" t="s">
        <v>3170</v>
      </c>
      <c r="AT335" s="214"/>
      <c r="AU335" s="214" t="s">
        <v>838</v>
      </c>
      <c r="AV335" s="214" t="s">
        <v>739</v>
      </c>
      <c r="AW335" s="214" t="s">
        <v>739</v>
      </c>
      <c r="AX335" s="214"/>
      <c r="AY335" s="214" t="s">
        <v>5153</v>
      </c>
      <c r="AZ335" s="214" t="s">
        <v>5154</v>
      </c>
      <c r="BA335" s="214" t="s">
        <v>5155</v>
      </c>
      <c r="BB335" s="214"/>
      <c r="BC335" s="143" t="s">
        <v>727</v>
      </c>
    </row>
    <row r="336" spans="1:55" ht="15" customHeight="1" x14ac:dyDescent="0.25">
      <c r="A336" s="210">
        <v>19</v>
      </c>
      <c r="B336" s="143" t="s">
        <v>4983</v>
      </c>
      <c r="C336" s="143" t="s">
        <v>5004</v>
      </c>
      <c r="D336" s="143" t="s">
        <v>5136</v>
      </c>
      <c r="E336" s="143" t="s">
        <v>792</v>
      </c>
      <c r="F336" s="143" t="s">
        <v>793</v>
      </c>
      <c r="G336" s="143" t="s">
        <v>2458</v>
      </c>
      <c r="H336" s="143" t="s">
        <v>2486</v>
      </c>
      <c r="I336" s="143" t="s">
        <v>5156</v>
      </c>
      <c r="J336" s="217">
        <v>44197</v>
      </c>
      <c r="K336" s="217">
        <v>44561</v>
      </c>
      <c r="L336" s="143" t="s">
        <v>5157</v>
      </c>
      <c r="M336" s="143" t="s">
        <v>2718</v>
      </c>
      <c r="N336" s="143" t="s">
        <v>60</v>
      </c>
      <c r="O336" s="143" t="s">
        <v>5139</v>
      </c>
      <c r="P336" s="143" t="s">
        <v>735</v>
      </c>
      <c r="Q336" s="219">
        <v>1</v>
      </c>
      <c r="R336" s="219">
        <v>0.25</v>
      </c>
      <c r="S336" s="219">
        <v>0.25</v>
      </c>
      <c r="T336" s="219">
        <v>0.25</v>
      </c>
      <c r="U336" s="219">
        <v>0.25</v>
      </c>
      <c r="V336" s="219">
        <v>0.25</v>
      </c>
      <c r="W336" s="219" t="s">
        <v>5158</v>
      </c>
      <c r="X336" s="219">
        <v>0.25</v>
      </c>
      <c r="Y336" s="219" t="s">
        <v>5158</v>
      </c>
      <c r="Z336" s="219">
        <v>0.25</v>
      </c>
      <c r="AA336" s="219" t="s">
        <v>5159</v>
      </c>
      <c r="AB336" s="223"/>
      <c r="AC336" s="223"/>
      <c r="AD336" s="213">
        <v>44295</v>
      </c>
      <c r="AE336" s="213">
        <v>44379</v>
      </c>
      <c r="AF336" s="213">
        <v>44482</v>
      </c>
      <c r="AG336" s="213"/>
      <c r="AH336" s="75">
        <f t="shared" si="22"/>
        <v>0.75</v>
      </c>
      <c r="AI336" s="75">
        <f t="shared" si="23"/>
        <v>1</v>
      </c>
      <c r="AJ336" s="75">
        <f t="shared" si="24"/>
        <v>1</v>
      </c>
      <c r="AK336" s="75">
        <f t="shared" si="25"/>
        <v>1</v>
      </c>
      <c r="AL336" s="75" t="s">
        <v>2467</v>
      </c>
      <c r="AM336" s="214" t="s">
        <v>739</v>
      </c>
      <c r="AN336" s="214" t="s">
        <v>739</v>
      </c>
      <c r="AO336" s="214" t="s">
        <v>739</v>
      </c>
      <c r="AP336" s="214"/>
      <c r="AQ336" s="214" t="s">
        <v>5010</v>
      </c>
      <c r="AR336" s="214" t="s">
        <v>1060</v>
      </c>
      <c r="AS336" s="214" t="s">
        <v>5160</v>
      </c>
      <c r="AT336" s="214"/>
      <c r="AU336" s="214" t="s">
        <v>739</v>
      </c>
      <c r="AV336" s="214" t="s">
        <v>739</v>
      </c>
      <c r="AW336" s="214" t="s">
        <v>739</v>
      </c>
      <c r="AX336" s="214"/>
      <c r="AY336" s="214" t="s">
        <v>5161</v>
      </c>
      <c r="AZ336" s="214" t="s">
        <v>5162</v>
      </c>
      <c r="BA336" s="214" t="s">
        <v>5163</v>
      </c>
      <c r="BB336" s="214"/>
      <c r="BC336" s="143" t="s">
        <v>727</v>
      </c>
    </row>
    <row r="337" spans="1:55" ht="15" customHeight="1" x14ac:dyDescent="0.25">
      <c r="A337" s="210">
        <v>20</v>
      </c>
      <c r="B337" s="143" t="s">
        <v>4983</v>
      </c>
      <c r="C337" s="143" t="s">
        <v>5004</v>
      </c>
      <c r="D337" s="143" t="s">
        <v>5136</v>
      </c>
      <c r="E337" s="143" t="s">
        <v>792</v>
      </c>
      <c r="F337" s="143" t="s">
        <v>793</v>
      </c>
      <c r="G337" s="143" t="s">
        <v>2458</v>
      </c>
      <c r="H337" s="143" t="s">
        <v>2486</v>
      </c>
      <c r="I337" s="143" t="s">
        <v>5164</v>
      </c>
      <c r="J337" s="217">
        <v>44197</v>
      </c>
      <c r="K337" s="217">
        <v>44561</v>
      </c>
      <c r="L337" s="143" t="s">
        <v>5165</v>
      </c>
      <c r="M337" s="143" t="s">
        <v>2718</v>
      </c>
      <c r="N337" s="143" t="s">
        <v>30</v>
      </c>
      <c r="O337" s="143" t="s">
        <v>5139</v>
      </c>
      <c r="P337" s="143" t="s">
        <v>735</v>
      </c>
      <c r="Q337" s="223">
        <v>12</v>
      </c>
      <c r="R337" s="223">
        <v>3</v>
      </c>
      <c r="S337" s="223">
        <v>3</v>
      </c>
      <c r="T337" s="223">
        <v>3</v>
      </c>
      <c r="U337" s="223">
        <v>3</v>
      </c>
      <c r="V337" s="223">
        <v>3</v>
      </c>
      <c r="W337" s="223" t="s">
        <v>5166</v>
      </c>
      <c r="X337" s="223">
        <v>3</v>
      </c>
      <c r="Y337" s="223" t="s">
        <v>5166</v>
      </c>
      <c r="Z337" s="223">
        <v>2</v>
      </c>
      <c r="AA337" s="223" t="s">
        <v>5167</v>
      </c>
      <c r="AB337" s="223"/>
      <c r="AC337" s="223"/>
      <c r="AD337" s="213">
        <v>44295</v>
      </c>
      <c r="AE337" s="213">
        <v>44379</v>
      </c>
      <c r="AF337" s="213">
        <v>44482</v>
      </c>
      <c r="AG337" s="213"/>
      <c r="AH337" s="75">
        <f t="shared" si="22"/>
        <v>0.66666666666666663</v>
      </c>
      <c r="AI337" s="75">
        <f t="shared" si="23"/>
        <v>1</v>
      </c>
      <c r="AJ337" s="75">
        <f t="shared" si="24"/>
        <v>1</v>
      </c>
      <c r="AK337" s="75">
        <f t="shared" si="25"/>
        <v>1</v>
      </c>
      <c r="AL337" s="75" t="s">
        <v>2467</v>
      </c>
      <c r="AM337" s="214" t="s">
        <v>739</v>
      </c>
      <c r="AN337" s="214" t="s">
        <v>739</v>
      </c>
      <c r="AO337" s="214" t="s">
        <v>739</v>
      </c>
      <c r="AP337" s="214"/>
      <c r="AQ337" s="214" t="s">
        <v>5010</v>
      </c>
      <c r="AR337" s="214" t="s">
        <v>1060</v>
      </c>
      <c r="AS337" s="214" t="s">
        <v>5168</v>
      </c>
      <c r="AT337" s="214"/>
      <c r="AU337" s="214" t="s">
        <v>739</v>
      </c>
      <c r="AV337" s="214" t="s">
        <v>739</v>
      </c>
      <c r="AW337" s="214" t="s">
        <v>739</v>
      </c>
      <c r="AX337" s="214"/>
      <c r="AY337" s="214" t="s">
        <v>5169</v>
      </c>
      <c r="AZ337" s="214" t="s">
        <v>5170</v>
      </c>
      <c r="BA337" s="214" t="s">
        <v>5171</v>
      </c>
      <c r="BB337" s="214"/>
      <c r="BC337" s="143" t="s">
        <v>727</v>
      </c>
    </row>
    <row r="338" spans="1:55" ht="15" customHeight="1" x14ac:dyDescent="0.25">
      <c r="A338" s="210">
        <v>21</v>
      </c>
      <c r="B338" s="143" t="s">
        <v>4983</v>
      </c>
      <c r="C338" s="143" t="s">
        <v>5004</v>
      </c>
      <c r="D338" s="143" t="s">
        <v>5136</v>
      </c>
      <c r="E338" s="143" t="s">
        <v>792</v>
      </c>
      <c r="F338" s="143" t="s">
        <v>793</v>
      </c>
      <c r="G338" s="143" t="s">
        <v>2458</v>
      </c>
      <c r="H338" s="143" t="s">
        <v>2486</v>
      </c>
      <c r="I338" s="143" t="s">
        <v>5172</v>
      </c>
      <c r="J338" s="217">
        <v>44197</v>
      </c>
      <c r="K338" s="217">
        <v>44530</v>
      </c>
      <c r="L338" s="143" t="s">
        <v>5165</v>
      </c>
      <c r="M338" s="143" t="s">
        <v>2718</v>
      </c>
      <c r="N338" s="143" t="s">
        <v>30</v>
      </c>
      <c r="O338" s="143" t="s">
        <v>5139</v>
      </c>
      <c r="P338" s="143" t="s">
        <v>735</v>
      </c>
      <c r="Q338" s="223">
        <v>5</v>
      </c>
      <c r="R338" s="223">
        <v>1</v>
      </c>
      <c r="S338" s="223">
        <v>1</v>
      </c>
      <c r="T338" s="223">
        <v>2</v>
      </c>
      <c r="U338" s="223">
        <v>1</v>
      </c>
      <c r="V338" s="223">
        <v>1</v>
      </c>
      <c r="W338" s="223" t="s">
        <v>5173</v>
      </c>
      <c r="X338" s="223">
        <v>1</v>
      </c>
      <c r="Y338" s="223" t="s">
        <v>5173</v>
      </c>
      <c r="Z338" s="223">
        <v>2</v>
      </c>
      <c r="AA338" s="223" t="s">
        <v>5174</v>
      </c>
      <c r="AB338" s="223"/>
      <c r="AC338" s="223"/>
      <c r="AD338" s="213">
        <v>44295</v>
      </c>
      <c r="AE338" s="213">
        <v>44379</v>
      </c>
      <c r="AF338" s="213">
        <v>44482</v>
      </c>
      <c r="AG338" s="213"/>
      <c r="AH338" s="75">
        <f t="shared" si="22"/>
        <v>0.8</v>
      </c>
      <c r="AI338" s="75">
        <f t="shared" si="23"/>
        <v>1</v>
      </c>
      <c r="AJ338" s="75">
        <f t="shared" si="24"/>
        <v>1</v>
      </c>
      <c r="AK338" s="75">
        <f t="shared" si="25"/>
        <v>1</v>
      </c>
      <c r="AL338" s="75" t="s">
        <v>2467</v>
      </c>
      <c r="AM338" s="214" t="s">
        <v>739</v>
      </c>
      <c r="AN338" s="214" t="s">
        <v>739</v>
      </c>
      <c r="AO338" s="214" t="s">
        <v>739</v>
      </c>
      <c r="AP338" s="214"/>
      <c r="AQ338" s="214" t="s">
        <v>5010</v>
      </c>
      <c r="AR338" s="214" t="s">
        <v>1060</v>
      </c>
      <c r="AS338" s="214" t="s">
        <v>5175</v>
      </c>
      <c r="AT338" s="214"/>
      <c r="AU338" s="214" t="s">
        <v>739</v>
      </c>
      <c r="AV338" s="214" t="s">
        <v>739</v>
      </c>
      <c r="AW338" s="214" t="s">
        <v>739</v>
      </c>
      <c r="AX338" s="214"/>
      <c r="AY338" s="214" t="s">
        <v>5176</v>
      </c>
      <c r="AZ338" s="214" t="s">
        <v>5177</v>
      </c>
      <c r="BA338" s="214" t="s">
        <v>5178</v>
      </c>
      <c r="BB338" s="214"/>
      <c r="BC338" s="143" t="s">
        <v>727</v>
      </c>
    </row>
    <row r="339" spans="1:55" ht="15" customHeight="1" x14ac:dyDescent="0.25">
      <c r="A339" s="210">
        <v>22</v>
      </c>
      <c r="B339" s="143" t="s">
        <v>4983</v>
      </c>
      <c r="C339" s="143" t="s">
        <v>5004</v>
      </c>
      <c r="D339" s="143" t="s">
        <v>5136</v>
      </c>
      <c r="E339" s="143" t="s">
        <v>792</v>
      </c>
      <c r="F339" s="143" t="s">
        <v>793</v>
      </c>
      <c r="G339" s="143" t="s">
        <v>2458</v>
      </c>
      <c r="H339" s="143" t="s">
        <v>2486</v>
      </c>
      <c r="I339" s="143" t="s">
        <v>5179</v>
      </c>
      <c r="J339" s="217">
        <v>44317</v>
      </c>
      <c r="K339" s="217">
        <v>44561</v>
      </c>
      <c r="L339" s="143" t="s">
        <v>5180</v>
      </c>
      <c r="M339" s="143" t="s">
        <v>2718</v>
      </c>
      <c r="N339" s="143" t="s">
        <v>30</v>
      </c>
      <c r="O339" s="143" t="s">
        <v>5139</v>
      </c>
      <c r="P339" s="143" t="s">
        <v>735</v>
      </c>
      <c r="Q339" s="223">
        <v>11</v>
      </c>
      <c r="R339" s="223">
        <v>0</v>
      </c>
      <c r="S339" s="223">
        <v>5</v>
      </c>
      <c r="T339" s="223">
        <v>3</v>
      </c>
      <c r="U339" s="223">
        <v>3</v>
      </c>
      <c r="V339" s="223">
        <v>0</v>
      </c>
      <c r="W339" s="223" t="s">
        <v>5181</v>
      </c>
      <c r="X339" s="223">
        <v>5</v>
      </c>
      <c r="Y339" s="223" t="s">
        <v>5182</v>
      </c>
      <c r="Z339" s="223">
        <v>2</v>
      </c>
      <c r="AA339" s="223" t="s">
        <v>5183</v>
      </c>
      <c r="AB339" s="227"/>
      <c r="AC339" s="227"/>
      <c r="AD339" s="213">
        <v>44295</v>
      </c>
      <c r="AE339" s="213">
        <v>44379</v>
      </c>
      <c r="AF339" s="213">
        <v>44482</v>
      </c>
      <c r="AG339" s="213"/>
      <c r="AH339" s="75">
        <f t="shared" si="22"/>
        <v>0.63636363636363635</v>
      </c>
      <c r="AI339" s="75" t="str">
        <f t="shared" si="23"/>
        <v/>
      </c>
      <c r="AJ339" s="75">
        <f t="shared" si="24"/>
        <v>1</v>
      </c>
      <c r="AK339" s="75">
        <f t="shared" si="25"/>
        <v>1</v>
      </c>
      <c r="AL339" s="75" t="s">
        <v>2467</v>
      </c>
      <c r="AM339" s="214" t="s">
        <v>739</v>
      </c>
      <c r="AN339" s="214" t="s">
        <v>739</v>
      </c>
      <c r="AO339" s="214" t="s">
        <v>739</v>
      </c>
      <c r="AP339" s="214"/>
      <c r="AQ339" s="214" t="s">
        <v>5184</v>
      </c>
      <c r="AR339" s="214" t="s">
        <v>1060</v>
      </c>
      <c r="AS339" s="214" t="s">
        <v>5185</v>
      </c>
      <c r="AT339" s="214"/>
      <c r="AU339" s="214" t="s">
        <v>739</v>
      </c>
      <c r="AV339" s="214" t="s">
        <v>739</v>
      </c>
      <c r="AW339" s="214" t="s">
        <v>828</v>
      </c>
      <c r="AX339" s="214"/>
      <c r="AY339" s="214" t="s">
        <v>5186</v>
      </c>
      <c r="AZ339" s="214" t="s">
        <v>5187</v>
      </c>
      <c r="BA339" s="214" t="s">
        <v>5188</v>
      </c>
      <c r="BB339" s="214"/>
      <c r="BC339" s="143" t="s">
        <v>727</v>
      </c>
    </row>
    <row r="340" spans="1:55" ht="15" customHeight="1" x14ac:dyDescent="0.25">
      <c r="A340" s="210">
        <v>23</v>
      </c>
      <c r="B340" s="143" t="s">
        <v>4983</v>
      </c>
      <c r="C340" s="143" t="s">
        <v>2552</v>
      </c>
      <c r="D340" s="143" t="s">
        <v>2583</v>
      </c>
      <c r="E340" s="143" t="s">
        <v>2584</v>
      </c>
      <c r="F340" s="143" t="s">
        <v>793</v>
      </c>
      <c r="G340" s="143" t="s">
        <v>2458</v>
      </c>
      <c r="H340" s="143" t="s">
        <v>731</v>
      </c>
      <c r="I340" s="143" t="s">
        <v>2595</v>
      </c>
      <c r="J340" s="217">
        <v>44197</v>
      </c>
      <c r="K340" s="217">
        <v>44561</v>
      </c>
      <c r="L340" s="143" t="s">
        <v>2596</v>
      </c>
      <c r="M340" s="143" t="s">
        <v>2718</v>
      </c>
      <c r="N340" s="143" t="s">
        <v>60</v>
      </c>
      <c r="O340" s="143" t="s">
        <v>2587</v>
      </c>
      <c r="P340" s="143" t="s">
        <v>11</v>
      </c>
      <c r="Q340" s="219">
        <v>1</v>
      </c>
      <c r="R340" s="219">
        <v>0</v>
      </c>
      <c r="S340" s="219">
        <v>0</v>
      </c>
      <c r="T340" s="219">
        <v>0.5</v>
      </c>
      <c r="U340" s="219">
        <v>0.5</v>
      </c>
      <c r="V340" s="219">
        <v>0</v>
      </c>
      <c r="W340" s="219" t="s">
        <v>5189</v>
      </c>
      <c r="X340" s="219">
        <v>0</v>
      </c>
      <c r="Y340" s="219" t="s">
        <v>5190</v>
      </c>
      <c r="Z340" s="219">
        <v>0</v>
      </c>
      <c r="AA340" s="219" t="s">
        <v>5191</v>
      </c>
      <c r="AB340" s="227"/>
      <c r="AC340" s="227"/>
      <c r="AD340" s="213">
        <v>44295</v>
      </c>
      <c r="AE340" s="213">
        <v>44379</v>
      </c>
      <c r="AF340" s="213">
        <v>44482</v>
      </c>
      <c r="AG340" s="213"/>
      <c r="AH340" s="75">
        <f t="shared" si="22"/>
        <v>0</v>
      </c>
      <c r="AI340" s="75" t="str">
        <f t="shared" si="23"/>
        <v/>
      </c>
      <c r="AJ340" s="75" t="str">
        <f t="shared" si="24"/>
        <v/>
      </c>
      <c r="AK340" s="75">
        <f t="shared" si="25"/>
        <v>0</v>
      </c>
      <c r="AL340" s="75" t="s">
        <v>2467</v>
      </c>
      <c r="AM340" s="214" t="s">
        <v>739</v>
      </c>
      <c r="AN340" s="214" t="s">
        <v>838</v>
      </c>
      <c r="AO340" s="214" t="s">
        <v>828</v>
      </c>
      <c r="AP340" s="214"/>
      <c r="AQ340" s="214" t="s">
        <v>5153</v>
      </c>
      <c r="AR340" s="214" t="s">
        <v>5192</v>
      </c>
      <c r="AS340" s="214" t="s">
        <v>5193</v>
      </c>
      <c r="AT340" s="214"/>
      <c r="AU340" s="214" t="s">
        <v>838</v>
      </c>
      <c r="AV340" s="214" t="s">
        <v>838</v>
      </c>
      <c r="AW340" s="214" t="s">
        <v>828</v>
      </c>
      <c r="AX340" s="214"/>
      <c r="AY340" s="214" t="s">
        <v>5153</v>
      </c>
      <c r="AZ340" s="214" t="s">
        <v>838</v>
      </c>
      <c r="BA340" s="214" t="s">
        <v>5194</v>
      </c>
      <c r="BB340" s="214"/>
      <c r="BC340" s="143" t="s">
        <v>727</v>
      </c>
    </row>
    <row r="341" spans="1:55" ht="15" customHeight="1" x14ac:dyDescent="0.25">
      <c r="A341" s="210">
        <v>24</v>
      </c>
      <c r="B341" s="143" t="s">
        <v>4983</v>
      </c>
      <c r="C341" s="143" t="s">
        <v>2601</v>
      </c>
      <c r="D341" s="143" t="s">
        <v>2583</v>
      </c>
      <c r="E341" s="143" t="s">
        <v>2584</v>
      </c>
      <c r="F341" s="143" t="s">
        <v>793</v>
      </c>
      <c r="G341" s="143" t="s">
        <v>2458</v>
      </c>
      <c r="H341" s="143" t="s">
        <v>731</v>
      </c>
      <c r="I341" s="143" t="s">
        <v>2602</v>
      </c>
      <c r="J341" s="217">
        <v>44197</v>
      </c>
      <c r="K341" s="217">
        <v>44561</v>
      </c>
      <c r="L341" s="143" t="s">
        <v>2603</v>
      </c>
      <c r="M341" s="143" t="s">
        <v>2718</v>
      </c>
      <c r="N341" s="143" t="s">
        <v>30</v>
      </c>
      <c r="O341" s="143" t="s">
        <v>2587</v>
      </c>
      <c r="P341" s="143" t="s">
        <v>11</v>
      </c>
      <c r="Q341" s="223">
        <v>4</v>
      </c>
      <c r="R341" s="223">
        <v>1</v>
      </c>
      <c r="S341" s="223">
        <v>1</v>
      </c>
      <c r="T341" s="223">
        <v>1</v>
      </c>
      <c r="U341" s="223">
        <v>1</v>
      </c>
      <c r="V341" s="223">
        <v>1</v>
      </c>
      <c r="W341" s="223" t="s">
        <v>5195</v>
      </c>
      <c r="X341" s="223">
        <v>1</v>
      </c>
      <c r="Y341" s="223" t="s">
        <v>5195</v>
      </c>
      <c r="Z341" s="223">
        <v>1</v>
      </c>
      <c r="AA341" s="223" t="s">
        <v>5195</v>
      </c>
      <c r="AB341" s="227"/>
      <c r="AC341" s="227"/>
      <c r="AD341" s="213">
        <v>44295</v>
      </c>
      <c r="AE341" s="213">
        <v>44379</v>
      </c>
      <c r="AF341" s="213">
        <v>44482</v>
      </c>
      <c r="AG341" s="213"/>
      <c r="AH341" s="75">
        <f t="shared" si="22"/>
        <v>0.75</v>
      </c>
      <c r="AI341" s="75">
        <f t="shared" si="23"/>
        <v>1</v>
      </c>
      <c r="AJ341" s="75">
        <f t="shared" si="24"/>
        <v>1</v>
      </c>
      <c r="AK341" s="75">
        <f t="shared" si="25"/>
        <v>1</v>
      </c>
      <c r="AL341" s="75" t="s">
        <v>2467</v>
      </c>
      <c r="AM341" s="214" t="s">
        <v>739</v>
      </c>
      <c r="AN341" s="214" t="s">
        <v>739</v>
      </c>
      <c r="AO341" s="214" t="s">
        <v>739</v>
      </c>
      <c r="AP341" s="214"/>
      <c r="AQ341" s="214" t="s">
        <v>5010</v>
      </c>
      <c r="AR341" s="214" t="s">
        <v>1060</v>
      </c>
      <c r="AS341" s="214" t="s">
        <v>5196</v>
      </c>
      <c r="AT341" s="214"/>
      <c r="AU341" s="214" t="s">
        <v>739</v>
      </c>
      <c r="AV341" s="214" t="s">
        <v>739</v>
      </c>
      <c r="AW341" s="214" t="s">
        <v>739</v>
      </c>
      <c r="AX341" s="214"/>
      <c r="AY341" s="214" t="s">
        <v>5197</v>
      </c>
      <c r="AZ341" s="214" t="s">
        <v>5198</v>
      </c>
      <c r="BA341" s="214" t="s">
        <v>5199</v>
      </c>
      <c r="BB341" s="214"/>
      <c r="BC341" s="143" t="s">
        <v>727</v>
      </c>
    </row>
    <row r="342" spans="1:55" ht="15" customHeight="1" x14ac:dyDescent="0.25">
      <c r="A342" s="210">
        <v>25</v>
      </c>
      <c r="B342" s="143" t="s">
        <v>4983</v>
      </c>
      <c r="C342" s="143" t="s">
        <v>2601</v>
      </c>
      <c r="D342" s="143" t="s">
        <v>2583</v>
      </c>
      <c r="E342" s="143" t="s">
        <v>2584</v>
      </c>
      <c r="F342" s="143" t="s">
        <v>793</v>
      </c>
      <c r="G342" s="143" t="s">
        <v>2458</v>
      </c>
      <c r="H342" s="143" t="s">
        <v>731</v>
      </c>
      <c r="I342" s="143" t="s">
        <v>2825</v>
      </c>
      <c r="J342" s="217">
        <v>44470</v>
      </c>
      <c r="K342" s="217">
        <v>44561</v>
      </c>
      <c r="L342" s="143" t="s">
        <v>2603</v>
      </c>
      <c r="M342" s="143" t="s">
        <v>2718</v>
      </c>
      <c r="N342" s="143" t="s">
        <v>30</v>
      </c>
      <c r="O342" s="143" t="s">
        <v>2587</v>
      </c>
      <c r="P342" s="143" t="s">
        <v>11</v>
      </c>
      <c r="Q342" s="223">
        <v>1</v>
      </c>
      <c r="R342" s="223">
        <v>0</v>
      </c>
      <c r="S342" s="223">
        <v>0</v>
      </c>
      <c r="T342" s="223">
        <v>0</v>
      </c>
      <c r="U342" s="223">
        <v>1</v>
      </c>
      <c r="V342" s="223">
        <v>0</v>
      </c>
      <c r="W342" s="223" t="s">
        <v>5200</v>
      </c>
      <c r="X342" s="223">
        <v>0</v>
      </c>
      <c r="Y342" s="223" t="s">
        <v>5200</v>
      </c>
      <c r="Z342" s="223">
        <v>0</v>
      </c>
      <c r="AA342" s="223" t="s">
        <v>5200</v>
      </c>
      <c r="AB342" s="227"/>
      <c r="AC342" s="227"/>
      <c r="AD342" s="213">
        <v>44295</v>
      </c>
      <c r="AE342" s="213">
        <v>44379</v>
      </c>
      <c r="AF342" s="213">
        <v>44482</v>
      </c>
      <c r="AG342" s="213"/>
      <c r="AH342" s="75">
        <f t="shared" si="22"/>
        <v>0</v>
      </c>
      <c r="AI342" s="75" t="str">
        <f t="shared" si="23"/>
        <v/>
      </c>
      <c r="AJ342" s="75" t="str">
        <f t="shared" si="24"/>
        <v/>
      </c>
      <c r="AK342" s="75" t="str">
        <f t="shared" si="25"/>
        <v/>
      </c>
      <c r="AL342" s="75" t="s">
        <v>2467</v>
      </c>
      <c r="AM342" s="214" t="s">
        <v>739</v>
      </c>
      <c r="AN342" s="214" t="s">
        <v>838</v>
      </c>
      <c r="AO342" s="214" t="s">
        <v>838</v>
      </c>
      <c r="AP342" s="214"/>
      <c r="AQ342" s="214" t="s">
        <v>5153</v>
      </c>
      <c r="AR342" s="214" t="s">
        <v>5201</v>
      </c>
      <c r="AS342" s="214" t="s">
        <v>842</v>
      </c>
      <c r="AT342" s="214"/>
      <c r="AU342" s="214" t="s">
        <v>838</v>
      </c>
      <c r="AV342" s="214" t="s">
        <v>838</v>
      </c>
      <c r="AW342" s="214" t="s">
        <v>838</v>
      </c>
      <c r="AX342" s="214"/>
      <c r="AY342" s="214" t="s">
        <v>5202</v>
      </c>
      <c r="AZ342" s="214" t="s">
        <v>838</v>
      </c>
      <c r="BA342" s="214" t="s">
        <v>5203</v>
      </c>
      <c r="BB342" s="214"/>
      <c r="BC342" s="143" t="s">
        <v>727</v>
      </c>
    </row>
    <row r="343" spans="1:55" ht="15" customHeight="1" x14ac:dyDescent="0.25">
      <c r="A343" s="210">
        <v>26</v>
      </c>
      <c r="B343" s="143" t="s">
        <v>4983</v>
      </c>
      <c r="C343" s="143" t="s">
        <v>2459</v>
      </c>
      <c r="D343" s="143" t="s">
        <v>2583</v>
      </c>
      <c r="E343" s="143" t="s">
        <v>2584</v>
      </c>
      <c r="F343" s="143" t="s">
        <v>793</v>
      </c>
      <c r="G343" s="143" t="s">
        <v>2458</v>
      </c>
      <c r="H343" s="143" t="s">
        <v>731</v>
      </c>
      <c r="I343" s="143" t="s">
        <v>2829</v>
      </c>
      <c r="J343" s="217">
        <v>44197</v>
      </c>
      <c r="K343" s="217">
        <v>44561</v>
      </c>
      <c r="L343" s="143" t="s">
        <v>2616</v>
      </c>
      <c r="M343" s="143" t="s">
        <v>2718</v>
      </c>
      <c r="N343" s="143" t="s">
        <v>30</v>
      </c>
      <c r="O343" s="143" t="s">
        <v>2587</v>
      </c>
      <c r="P343" s="143" t="s">
        <v>11</v>
      </c>
      <c r="Q343" s="223">
        <v>4</v>
      </c>
      <c r="R343" s="223">
        <v>1</v>
      </c>
      <c r="S343" s="223">
        <v>1</v>
      </c>
      <c r="T343" s="223">
        <v>1</v>
      </c>
      <c r="U343" s="223">
        <v>1</v>
      </c>
      <c r="V343" s="223">
        <v>1</v>
      </c>
      <c r="W343" s="223" t="s">
        <v>5204</v>
      </c>
      <c r="X343" s="223">
        <v>1</v>
      </c>
      <c r="Y343" s="223" t="s">
        <v>5205</v>
      </c>
      <c r="Z343" s="223">
        <v>1</v>
      </c>
      <c r="AA343" s="223" t="s">
        <v>5206</v>
      </c>
      <c r="AB343" s="227"/>
      <c r="AC343" s="227"/>
      <c r="AD343" s="213">
        <v>44295</v>
      </c>
      <c r="AE343" s="213">
        <v>44379</v>
      </c>
      <c r="AF343" s="213">
        <v>44482</v>
      </c>
      <c r="AG343" s="213"/>
      <c r="AH343" s="75">
        <f t="shared" si="22"/>
        <v>0.75</v>
      </c>
      <c r="AI343" s="75">
        <f t="shared" si="23"/>
        <v>1</v>
      </c>
      <c r="AJ343" s="75">
        <f t="shared" si="24"/>
        <v>1</v>
      </c>
      <c r="AK343" s="75">
        <f t="shared" si="25"/>
        <v>1</v>
      </c>
      <c r="AL343" s="75" t="s">
        <v>2467</v>
      </c>
      <c r="AM343" s="214" t="s">
        <v>739</v>
      </c>
      <c r="AN343" s="214" t="s">
        <v>739</v>
      </c>
      <c r="AO343" s="214" t="s">
        <v>739</v>
      </c>
      <c r="AP343" s="214"/>
      <c r="AQ343" s="214" t="s">
        <v>5010</v>
      </c>
      <c r="AR343" s="214" t="s">
        <v>1060</v>
      </c>
      <c r="AS343" s="214" t="s">
        <v>5207</v>
      </c>
      <c r="AT343" s="214"/>
      <c r="AU343" s="214" t="s">
        <v>739</v>
      </c>
      <c r="AV343" s="214" t="s">
        <v>739</v>
      </c>
      <c r="AW343" s="214" t="s">
        <v>739</v>
      </c>
      <c r="AX343" s="214"/>
      <c r="AY343" s="214" t="s">
        <v>5208</v>
      </c>
      <c r="AZ343" s="214" t="s">
        <v>5209</v>
      </c>
      <c r="BA343" s="214" t="s">
        <v>5210</v>
      </c>
      <c r="BB343" s="214"/>
      <c r="BC343" s="143" t="s">
        <v>727</v>
      </c>
    </row>
    <row r="344" spans="1:55" ht="15" customHeight="1" x14ac:dyDescent="0.25">
      <c r="A344" s="210">
        <v>27</v>
      </c>
      <c r="B344" s="143" t="s">
        <v>4983</v>
      </c>
      <c r="C344" s="143" t="s">
        <v>2459</v>
      </c>
      <c r="D344" s="143" t="s">
        <v>2583</v>
      </c>
      <c r="E344" s="143" t="s">
        <v>2584</v>
      </c>
      <c r="F344" s="143" t="s">
        <v>793</v>
      </c>
      <c r="G344" s="143" t="s">
        <v>2458</v>
      </c>
      <c r="H344" s="143" t="s">
        <v>731</v>
      </c>
      <c r="I344" s="143" t="s">
        <v>2834</v>
      </c>
      <c r="J344" s="217">
        <v>44470</v>
      </c>
      <c r="K344" s="217">
        <v>44561</v>
      </c>
      <c r="L344" s="143" t="s">
        <v>2616</v>
      </c>
      <c r="M344" s="143" t="s">
        <v>2718</v>
      </c>
      <c r="N344" s="143" t="s">
        <v>30</v>
      </c>
      <c r="O344" s="143" t="s">
        <v>2587</v>
      </c>
      <c r="P344" s="143" t="s">
        <v>11</v>
      </c>
      <c r="Q344" s="223">
        <v>2</v>
      </c>
      <c r="R344" s="223">
        <v>0</v>
      </c>
      <c r="S344" s="223">
        <v>0</v>
      </c>
      <c r="T344" s="223">
        <v>0</v>
      </c>
      <c r="U344" s="223">
        <v>2</v>
      </c>
      <c r="V344" s="223">
        <v>0</v>
      </c>
      <c r="W344" s="223" t="s">
        <v>5200</v>
      </c>
      <c r="X344" s="223">
        <v>0</v>
      </c>
      <c r="Y344" s="223" t="s">
        <v>5200</v>
      </c>
      <c r="Z344" s="223">
        <v>0</v>
      </c>
      <c r="AA344" s="223" t="s">
        <v>5200</v>
      </c>
      <c r="AB344" s="227"/>
      <c r="AC344" s="227"/>
      <c r="AD344" s="213">
        <v>44295</v>
      </c>
      <c r="AE344" s="213">
        <v>44379</v>
      </c>
      <c r="AF344" s="213">
        <v>44482</v>
      </c>
      <c r="AG344" s="213"/>
      <c r="AH344" s="75">
        <f t="shared" si="22"/>
        <v>0</v>
      </c>
      <c r="AI344" s="75" t="str">
        <f t="shared" si="23"/>
        <v/>
      </c>
      <c r="AJ344" s="75" t="str">
        <f t="shared" si="24"/>
        <v/>
      </c>
      <c r="AK344" s="75" t="str">
        <f t="shared" si="25"/>
        <v/>
      </c>
      <c r="AL344" s="75" t="s">
        <v>2467</v>
      </c>
      <c r="AM344" s="214" t="s">
        <v>739</v>
      </c>
      <c r="AN344" s="214" t="s">
        <v>838</v>
      </c>
      <c r="AO344" s="214" t="s">
        <v>838</v>
      </c>
      <c r="AP344" s="214"/>
      <c r="AQ344" s="214" t="s">
        <v>5153</v>
      </c>
      <c r="AR344" s="214" t="s">
        <v>5211</v>
      </c>
      <c r="AS344" s="214" t="s">
        <v>3234</v>
      </c>
      <c r="AT344" s="214"/>
      <c r="AU344" s="214" t="s">
        <v>838</v>
      </c>
      <c r="AV344" s="214" t="s">
        <v>838</v>
      </c>
      <c r="AW344" s="214" t="s">
        <v>838</v>
      </c>
      <c r="AX344" s="214"/>
      <c r="AY344" s="214" t="s">
        <v>5212</v>
      </c>
      <c r="AZ344" s="214" t="s">
        <v>838</v>
      </c>
      <c r="BA344" s="214" t="s">
        <v>3075</v>
      </c>
      <c r="BB344" s="214"/>
      <c r="BC344" s="143" t="s">
        <v>727</v>
      </c>
    </row>
    <row r="345" spans="1:55" ht="15" customHeight="1" x14ac:dyDescent="0.25">
      <c r="A345" s="210">
        <v>28</v>
      </c>
      <c r="B345" s="143" t="s">
        <v>4983</v>
      </c>
      <c r="C345" s="143" t="s">
        <v>2552</v>
      </c>
      <c r="D345" s="143" t="s">
        <v>2583</v>
      </c>
      <c r="E345" s="143" t="s">
        <v>2584</v>
      </c>
      <c r="F345" s="143" t="s">
        <v>793</v>
      </c>
      <c r="G345" s="143" t="s">
        <v>2458</v>
      </c>
      <c r="H345" s="143" t="s">
        <v>731</v>
      </c>
      <c r="I345" s="143" t="s">
        <v>2837</v>
      </c>
      <c r="J345" s="217">
        <v>44317</v>
      </c>
      <c r="K345" s="217">
        <v>44561</v>
      </c>
      <c r="L345" s="143" t="s">
        <v>2649</v>
      </c>
      <c r="M345" s="143" t="s">
        <v>2718</v>
      </c>
      <c r="N345" s="143" t="s">
        <v>30</v>
      </c>
      <c r="O345" s="143" t="s">
        <v>2587</v>
      </c>
      <c r="P345" s="143" t="s">
        <v>11</v>
      </c>
      <c r="Q345" s="223">
        <v>4</v>
      </c>
      <c r="R345" s="223">
        <v>0</v>
      </c>
      <c r="S345" s="223">
        <v>2</v>
      </c>
      <c r="T345" s="223">
        <v>1</v>
      </c>
      <c r="U345" s="223">
        <v>1</v>
      </c>
      <c r="V345" s="223">
        <v>0</v>
      </c>
      <c r="W345" s="223" t="s">
        <v>5213</v>
      </c>
      <c r="X345" s="223">
        <v>0</v>
      </c>
      <c r="Y345" s="223" t="s">
        <v>2816</v>
      </c>
      <c r="Z345" s="223">
        <v>0</v>
      </c>
      <c r="AA345" s="223" t="s">
        <v>5214</v>
      </c>
      <c r="AB345" s="227"/>
      <c r="AC345" s="227"/>
      <c r="AD345" s="213">
        <v>44295</v>
      </c>
      <c r="AE345" s="213">
        <v>44379</v>
      </c>
      <c r="AF345" s="213">
        <v>44482</v>
      </c>
      <c r="AG345" s="213"/>
      <c r="AH345" s="75">
        <f t="shared" si="22"/>
        <v>0</v>
      </c>
      <c r="AI345" s="75" t="str">
        <f t="shared" si="23"/>
        <v/>
      </c>
      <c r="AJ345" s="75">
        <f t="shared" si="24"/>
        <v>0</v>
      </c>
      <c r="AK345" s="75">
        <f t="shared" si="25"/>
        <v>0</v>
      </c>
      <c r="AL345" s="75" t="s">
        <v>2467</v>
      </c>
      <c r="AM345" s="214" t="s">
        <v>739</v>
      </c>
      <c r="AN345" s="214" t="s">
        <v>828</v>
      </c>
      <c r="AO345" s="214" t="s">
        <v>828</v>
      </c>
      <c r="AP345" s="214"/>
      <c r="AQ345" s="214" t="s">
        <v>5153</v>
      </c>
      <c r="AR345" s="214" t="s">
        <v>5215</v>
      </c>
      <c r="AS345" s="214" t="s">
        <v>5193</v>
      </c>
      <c r="AT345" s="214"/>
      <c r="AU345" s="214" t="s">
        <v>838</v>
      </c>
      <c r="AV345" s="214" t="s">
        <v>828</v>
      </c>
      <c r="AW345" s="214" t="s">
        <v>828</v>
      </c>
      <c r="AX345" s="214"/>
      <c r="AY345" s="214" t="s">
        <v>5216</v>
      </c>
      <c r="AZ345" s="214" t="s">
        <v>5215</v>
      </c>
      <c r="BA345" s="214" t="s">
        <v>5217</v>
      </c>
      <c r="BB345" s="214"/>
      <c r="BC345" s="143" t="s">
        <v>727</v>
      </c>
    </row>
    <row r="346" spans="1:55" ht="15" customHeight="1" x14ac:dyDescent="0.25">
      <c r="A346" s="210">
        <v>1</v>
      </c>
      <c r="B346" s="143" t="s">
        <v>5218</v>
      </c>
      <c r="C346" s="143" t="s">
        <v>5219</v>
      </c>
      <c r="D346" s="143" t="s">
        <v>5220</v>
      </c>
      <c r="E346" s="143" t="s">
        <v>2584</v>
      </c>
      <c r="F346" s="143" t="s">
        <v>793</v>
      </c>
      <c r="G346" s="143" t="s">
        <v>730</v>
      </c>
      <c r="H346" s="143" t="s">
        <v>5221</v>
      </c>
      <c r="I346" s="143" t="s">
        <v>5222</v>
      </c>
      <c r="J346" s="217">
        <v>44228</v>
      </c>
      <c r="K346" s="217">
        <v>44561</v>
      </c>
      <c r="L346" s="143" t="s">
        <v>733</v>
      </c>
      <c r="M346" s="143" t="s">
        <v>5223</v>
      </c>
      <c r="N346" s="143" t="s">
        <v>60</v>
      </c>
      <c r="O346" s="143" t="s">
        <v>5224</v>
      </c>
      <c r="P346" s="143" t="s">
        <v>735</v>
      </c>
      <c r="Q346" s="215">
        <v>1</v>
      </c>
      <c r="R346" s="215">
        <v>0.2</v>
      </c>
      <c r="S346" s="215">
        <v>0.3</v>
      </c>
      <c r="T346" s="215">
        <v>0.3</v>
      </c>
      <c r="U346" s="215">
        <v>0.2</v>
      </c>
      <c r="V346" s="215">
        <v>0.2</v>
      </c>
      <c r="W346" s="215" t="s">
        <v>5225</v>
      </c>
      <c r="X346" s="215">
        <v>0.3</v>
      </c>
      <c r="Y346" s="215" t="s">
        <v>5226</v>
      </c>
      <c r="Z346" s="215">
        <v>0.3</v>
      </c>
      <c r="AA346" s="215" t="s">
        <v>5227</v>
      </c>
      <c r="AB346" s="227"/>
      <c r="AC346" s="227"/>
      <c r="AD346" s="213">
        <v>44295</v>
      </c>
      <c r="AE346" s="213">
        <v>44379</v>
      </c>
      <c r="AF346" s="213">
        <v>44482</v>
      </c>
      <c r="AG346" s="213"/>
      <c r="AH346" s="75">
        <f t="shared" si="22"/>
        <v>0.8</v>
      </c>
      <c r="AI346" s="75">
        <f t="shared" si="23"/>
        <v>1</v>
      </c>
      <c r="AJ346" s="75">
        <f t="shared" si="24"/>
        <v>1</v>
      </c>
      <c r="AK346" s="75">
        <f t="shared" si="25"/>
        <v>1</v>
      </c>
      <c r="AL346" s="75" t="s">
        <v>2467</v>
      </c>
      <c r="AM346" s="214" t="s">
        <v>739</v>
      </c>
      <c r="AN346" s="214" t="s">
        <v>739</v>
      </c>
      <c r="AO346" s="214" t="s">
        <v>739</v>
      </c>
      <c r="AP346" s="214"/>
      <c r="AQ346" s="214" t="s">
        <v>5228</v>
      </c>
      <c r="AR346" s="214" t="s">
        <v>5229</v>
      </c>
      <c r="AS346" s="214" t="s">
        <v>5230</v>
      </c>
      <c r="AT346" s="214"/>
      <c r="AU346" s="214" t="s">
        <v>739</v>
      </c>
      <c r="AV346" s="214" t="s">
        <v>739</v>
      </c>
      <c r="AW346" s="214" t="s">
        <v>739</v>
      </c>
      <c r="AX346" s="214"/>
      <c r="AY346" s="214" t="s">
        <v>5231</v>
      </c>
      <c r="AZ346" s="214" t="s">
        <v>5232</v>
      </c>
      <c r="BA346" s="214" t="s">
        <v>5233</v>
      </c>
      <c r="BB346" s="214"/>
      <c r="BC346" s="143" t="s">
        <v>1710</v>
      </c>
    </row>
    <row r="347" spans="1:55" ht="15" customHeight="1" x14ac:dyDescent="0.25">
      <c r="A347" s="210">
        <v>2</v>
      </c>
      <c r="B347" s="143" t="s">
        <v>5218</v>
      </c>
      <c r="C347" s="143" t="s">
        <v>5234</v>
      </c>
      <c r="D347" s="143" t="s">
        <v>5220</v>
      </c>
      <c r="E347" s="143" t="s">
        <v>2584</v>
      </c>
      <c r="F347" s="143" t="s">
        <v>793</v>
      </c>
      <c r="G347" s="143" t="s">
        <v>730</v>
      </c>
      <c r="H347" s="143" t="s">
        <v>5221</v>
      </c>
      <c r="I347" s="143" t="s">
        <v>5235</v>
      </c>
      <c r="J347" s="217">
        <v>44228</v>
      </c>
      <c r="K347" s="217">
        <v>44561</v>
      </c>
      <c r="L347" s="143" t="s">
        <v>733</v>
      </c>
      <c r="M347" s="143" t="s">
        <v>5223</v>
      </c>
      <c r="N347" s="143" t="s">
        <v>60</v>
      </c>
      <c r="O347" s="143" t="s">
        <v>5224</v>
      </c>
      <c r="P347" s="143" t="s">
        <v>735</v>
      </c>
      <c r="Q347" s="215">
        <v>1</v>
      </c>
      <c r="R347" s="215">
        <v>0.2</v>
      </c>
      <c r="S347" s="215">
        <v>0.3</v>
      </c>
      <c r="T347" s="215">
        <v>0.3</v>
      </c>
      <c r="U347" s="215">
        <v>0.2</v>
      </c>
      <c r="V347" s="215">
        <v>0.2</v>
      </c>
      <c r="W347" s="215" t="s">
        <v>5236</v>
      </c>
      <c r="X347" s="215">
        <v>0.3</v>
      </c>
      <c r="Y347" s="215" t="s">
        <v>5237</v>
      </c>
      <c r="Z347" s="215">
        <v>0.3</v>
      </c>
      <c r="AA347" s="215" t="s">
        <v>5238</v>
      </c>
      <c r="AB347" s="222"/>
      <c r="AC347" s="222"/>
      <c r="AD347" s="213">
        <v>44295</v>
      </c>
      <c r="AE347" s="213">
        <v>44379</v>
      </c>
      <c r="AF347" s="213">
        <v>44480</v>
      </c>
      <c r="AG347" s="213"/>
      <c r="AH347" s="75">
        <f t="shared" si="22"/>
        <v>0.8</v>
      </c>
      <c r="AI347" s="75">
        <f t="shared" si="23"/>
        <v>1</v>
      </c>
      <c r="AJ347" s="75">
        <f t="shared" si="24"/>
        <v>1</v>
      </c>
      <c r="AK347" s="75">
        <f t="shared" si="25"/>
        <v>1</v>
      </c>
      <c r="AL347" s="75" t="s">
        <v>2467</v>
      </c>
      <c r="AM347" s="214" t="s">
        <v>739</v>
      </c>
      <c r="AN347" s="214" t="s">
        <v>739</v>
      </c>
      <c r="AO347" s="214" t="s">
        <v>739</v>
      </c>
      <c r="AP347" s="214"/>
      <c r="AQ347" s="214" t="s">
        <v>5239</v>
      </c>
      <c r="AR347" s="214" t="s">
        <v>5240</v>
      </c>
      <c r="AS347" s="214" t="s">
        <v>5241</v>
      </c>
      <c r="AT347" s="214"/>
      <c r="AU347" s="214" t="s">
        <v>739</v>
      </c>
      <c r="AV347" s="214" t="s">
        <v>739</v>
      </c>
      <c r="AW347" s="214" t="s">
        <v>739</v>
      </c>
      <c r="AX347" s="214"/>
      <c r="AY347" s="214" t="s">
        <v>5242</v>
      </c>
      <c r="AZ347" s="214" t="s">
        <v>5243</v>
      </c>
      <c r="BA347" s="214" t="s">
        <v>5244</v>
      </c>
      <c r="BB347" s="214"/>
      <c r="BC347" s="143" t="s">
        <v>1710</v>
      </c>
    </row>
    <row r="348" spans="1:55" ht="15" customHeight="1" x14ac:dyDescent="0.25">
      <c r="A348" s="210">
        <v>3</v>
      </c>
      <c r="B348" s="143" t="s">
        <v>5218</v>
      </c>
      <c r="C348" s="143" t="s">
        <v>5234</v>
      </c>
      <c r="D348" s="143" t="s">
        <v>5220</v>
      </c>
      <c r="E348" s="143" t="s">
        <v>2584</v>
      </c>
      <c r="F348" s="143" t="s">
        <v>793</v>
      </c>
      <c r="G348" s="143" t="s">
        <v>730</v>
      </c>
      <c r="H348" s="143" t="s">
        <v>5221</v>
      </c>
      <c r="I348" s="143" t="s">
        <v>5245</v>
      </c>
      <c r="J348" s="217">
        <v>44228</v>
      </c>
      <c r="K348" s="217">
        <v>44561</v>
      </c>
      <c r="L348" s="143" t="s">
        <v>733</v>
      </c>
      <c r="M348" s="143" t="s">
        <v>5223</v>
      </c>
      <c r="N348" s="143" t="s">
        <v>30</v>
      </c>
      <c r="O348" s="143" t="s">
        <v>5224</v>
      </c>
      <c r="P348" s="143" t="s">
        <v>735</v>
      </c>
      <c r="Q348" s="212">
        <v>4</v>
      </c>
      <c r="R348" s="212">
        <v>1</v>
      </c>
      <c r="S348" s="212">
        <v>1</v>
      </c>
      <c r="T348" s="212">
        <v>1</v>
      </c>
      <c r="U348" s="212">
        <v>1</v>
      </c>
      <c r="V348" s="212">
        <v>1</v>
      </c>
      <c r="W348" s="212" t="s">
        <v>5246</v>
      </c>
      <c r="X348" s="212">
        <v>1</v>
      </c>
      <c r="Y348" s="212" t="s">
        <v>5247</v>
      </c>
      <c r="Z348" s="212">
        <v>1</v>
      </c>
      <c r="AA348" s="212" t="s">
        <v>5248</v>
      </c>
      <c r="AB348" s="222"/>
      <c r="AC348" s="222"/>
      <c r="AD348" s="213">
        <v>44295</v>
      </c>
      <c r="AE348" s="213">
        <v>44379</v>
      </c>
      <c r="AF348" s="213">
        <v>44480</v>
      </c>
      <c r="AG348" s="213"/>
      <c r="AH348" s="75">
        <f t="shared" si="22"/>
        <v>0.75</v>
      </c>
      <c r="AI348" s="75">
        <f t="shared" si="23"/>
        <v>1</v>
      </c>
      <c r="AJ348" s="75">
        <f t="shared" si="24"/>
        <v>1</v>
      </c>
      <c r="AK348" s="75">
        <f t="shared" si="25"/>
        <v>1</v>
      </c>
      <c r="AL348" s="75" t="s">
        <v>2467</v>
      </c>
      <c r="AM348" s="214" t="s">
        <v>739</v>
      </c>
      <c r="AN348" s="214" t="s">
        <v>739</v>
      </c>
      <c r="AO348" s="214" t="s">
        <v>739</v>
      </c>
      <c r="AP348" s="214"/>
      <c r="AQ348" s="214" t="s">
        <v>5249</v>
      </c>
      <c r="AR348" s="214" t="s">
        <v>5250</v>
      </c>
      <c r="AS348" s="214" t="s">
        <v>4799</v>
      </c>
      <c r="AT348" s="214"/>
      <c r="AU348" s="214" t="s">
        <v>739</v>
      </c>
      <c r="AV348" s="214" t="s">
        <v>739</v>
      </c>
      <c r="AW348" s="214" t="s">
        <v>739</v>
      </c>
      <c r="AX348" s="214"/>
      <c r="AY348" s="214" t="s">
        <v>5251</v>
      </c>
      <c r="AZ348" s="214" t="s">
        <v>5252</v>
      </c>
      <c r="BA348" s="214" t="s">
        <v>5253</v>
      </c>
      <c r="BB348" s="214"/>
      <c r="BC348" s="143" t="s">
        <v>1710</v>
      </c>
    </row>
    <row r="349" spans="1:55" ht="15" customHeight="1" x14ac:dyDescent="0.25">
      <c r="A349" s="210">
        <v>4</v>
      </c>
      <c r="B349" s="143" t="s">
        <v>5218</v>
      </c>
      <c r="C349" s="143" t="s">
        <v>5219</v>
      </c>
      <c r="D349" s="143" t="s">
        <v>5254</v>
      </c>
      <c r="E349" s="143" t="s">
        <v>2584</v>
      </c>
      <c r="F349" s="143" t="s">
        <v>793</v>
      </c>
      <c r="G349" s="143" t="s">
        <v>730</v>
      </c>
      <c r="H349" s="143" t="s">
        <v>2688</v>
      </c>
      <c r="I349" s="143" t="s">
        <v>5255</v>
      </c>
      <c r="J349" s="217">
        <v>44228</v>
      </c>
      <c r="K349" s="217">
        <v>44561</v>
      </c>
      <c r="L349" s="143" t="s">
        <v>733</v>
      </c>
      <c r="M349" s="143" t="s">
        <v>5223</v>
      </c>
      <c r="N349" s="143" t="s">
        <v>60</v>
      </c>
      <c r="O349" s="143" t="s">
        <v>4033</v>
      </c>
      <c r="P349" s="143" t="s">
        <v>735</v>
      </c>
      <c r="Q349" s="215">
        <v>1</v>
      </c>
      <c r="R349" s="215">
        <v>0.2</v>
      </c>
      <c r="S349" s="215">
        <v>0.3</v>
      </c>
      <c r="T349" s="215">
        <v>0.3</v>
      </c>
      <c r="U349" s="215">
        <v>0.2</v>
      </c>
      <c r="V349" s="215">
        <v>0.2</v>
      </c>
      <c r="W349" s="215" t="s">
        <v>5256</v>
      </c>
      <c r="X349" s="215">
        <v>0.3</v>
      </c>
      <c r="Y349" s="215" t="s">
        <v>5257</v>
      </c>
      <c r="Z349" s="215">
        <v>0.3</v>
      </c>
      <c r="AA349" s="215" t="s">
        <v>5258</v>
      </c>
      <c r="AB349" s="222"/>
      <c r="AC349" s="222"/>
      <c r="AD349" s="213">
        <v>44295</v>
      </c>
      <c r="AE349" s="213">
        <v>44379</v>
      </c>
      <c r="AF349" s="213">
        <v>44480</v>
      </c>
      <c r="AG349" s="213"/>
      <c r="AH349" s="75">
        <f t="shared" si="22"/>
        <v>0.8</v>
      </c>
      <c r="AI349" s="75">
        <f t="shared" si="23"/>
        <v>1</v>
      </c>
      <c r="AJ349" s="75">
        <f t="shared" si="24"/>
        <v>1</v>
      </c>
      <c r="AK349" s="75">
        <f t="shared" si="25"/>
        <v>1</v>
      </c>
      <c r="AL349" s="75" t="s">
        <v>2467</v>
      </c>
      <c r="AM349" s="214" t="s">
        <v>739</v>
      </c>
      <c r="AN349" s="214" t="s">
        <v>739</v>
      </c>
      <c r="AO349" s="214" t="s">
        <v>739</v>
      </c>
      <c r="AP349" s="214"/>
      <c r="AQ349" s="214" t="s">
        <v>5259</v>
      </c>
      <c r="AR349" s="214" t="s">
        <v>5260</v>
      </c>
      <c r="AS349" s="214" t="s">
        <v>5261</v>
      </c>
      <c r="AT349" s="214"/>
      <c r="AU349" s="214" t="s">
        <v>739</v>
      </c>
      <c r="AV349" s="214" t="s">
        <v>739</v>
      </c>
      <c r="AW349" s="214" t="s">
        <v>739</v>
      </c>
      <c r="AX349" s="214"/>
      <c r="AY349" s="214" t="s">
        <v>5262</v>
      </c>
      <c r="AZ349" s="214" t="s">
        <v>5263</v>
      </c>
      <c r="BA349" s="214" t="s">
        <v>5264</v>
      </c>
      <c r="BB349" s="214"/>
      <c r="BC349" s="143" t="s">
        <v>1710</v>
      </c>
    </row>
    <row r="350" spans="1:55" ht="15" customHeight="1" x14ac:dyDescent="0.25">
      <c r="A350" s="210">
        <v>5</v>
      </c>
      <c r="B350" s="143" t="s">
        <v>5218</v>
      </c>
      <c r="C350" s="143" t="s">
        <v>5219</v>
      </c>
      <c r="D350" s="143" t="s">
        <v>5254</v>
      </c>
      <c r="E350" s="143" t="s">
        <v>2584</v>
      </c>
      <c r="F350" s="143" t="s">
        <v>793</v>
      </c>
      <c r="G350" s="143" t="s">
        <v>730</v>
      </c>
      <c r="H350" s="143" t="s">
        <v>2688</v>
      </c>
      <c r="I350" s="143" t="s">
        <v>5265</v>
      </c>
      <c r="J350" s="217">
        <v>44228</v>
      </c>
      <c r="K350" s="217">
        <v>44561</v>
      </c>
      <c r="L350" s="143" t="s">
        <v>733</v>
      </c>
      <c r="M350" s="143" t="s">
        <v>5223</v>
      </c>
      <c r="N350" s="143" t="s">
        <v>60</v>
      </c>
      <c r="O350" s="143" t="s">
        <v>4033</v>
      </c>
      <c r="P350" s="143" t="s">
        <v>735</v>
      </c>
      <c r="Q350" s="215">
        <v>1</v>
      </c>
      <c r="R350" s="215">
        <v>0.2</v>
      </c>
      <c r="S350" s="215">
        <v>0.3</v>
      </c>
      <c r="T350" s="215">
        <v>0.3</v>
      </c>
      <c r="U350" s="215">
        <v>0.2</v>
      </c>
      <c r="V350" s="215">
        <v>0.2</v>
      </c>
      <c r="W350" s="215" t="s">
        <v>5266</v>
      </c>
      <c r="X350" s="215">
        <v>0.3</v>
      </c>
      <c r="Y350" s="215" t="s">
        <v>5267</v>
      </c>
      <c r="Z350" s="215">
        <v>0.3</v>
      </c>
      <c r="AA350" s="215" t="s">
        <v>5268</v>
      </c>
      <c r="AB350" s="222"/>
      <c r="AC350" s="222"/>
      <c r="AD350" s="213">
        <v>44295</v>
      </c>
      <c r="AE350" s="213">
        <v>44379</v>
      </c>
      <c r="AF350" s="213">
        <v>44480</v>
      </c>
      <c r="AG350" s="213"/>
      <c r="AH350" s="75">
        <f t="shared" si="22"/>
        <v>0.8</v>
      </c>
      <c r="AI350" s="75">
        <f t="shared" si="23"/>
        <v>1</v>
      </c>
      <c r="AJ350" s="75">
        <f t="shared" si="24"/>
        <v>1</v>
      </c>
      <c r="AK350" s="75">
        <f t="shared" si="25"/>
        <v>1</v>
      </c>
      <c r="AL350" s="75" t="s">
        <v>2467</v>
      </c>
      <c r="AM350" s="214" t="s">
        <v>739</v>
      </c>
      <c r="AN350" s="214" t="s">
        <v>739</v>
      </c>
      <c r="AO350" s="214" t="s">
        <v>739</v>
      </c>
      <c r="AP350" s="214"/>
      <c r="AQ350" s="214" t="s">
        <v>5269</v>
      </c>
      <c r="AR350" s="214" t="s">
        <v>5270</v>
      </c>
      <c r="AS350" s="214" t="s">
        <v>5261</v>
      </c>
      <c r="AT350" s="214"/>
      <c r="AU350" s="214" t="s">
        <v>739</v>
      </c>
      <c r="AV350" s="214" t="s">
        <v>739</v>
      </c>
      <c r="AW350" s="214" t="s">
        <v>739</v>
      </c>
      <c r="AX350" s="214"/>
      <c r="AY350" s="214" t="s">
        <v>5271</v>
      </c>
      <c r="AZ350" s="214" t="s">
        <v>5272</v>
      </c>
      <c r="BA350" s="214" t="s">
        <v>5273</v>
      </c>
      <c r="BB350" s="214"/>
      <c r="BC350" s="143" t="s">
        <v>1710</v>
      </c>
    </row>
    <row r="351" spans="1:55" ht="15" customHeight="1" x14ac:dyDescent="0.25">
      <c r="A351" s="210">
        <v>6</v>
      </c>
      <c r="B351" s="143" t="s">
        <v>5218</v>
      </c>
      <c r="C351" s="143" t="s">
        <v>5234</v>
      </c>
      <c r="D351" s="143" t="s">
        <v>5254</v>
      </c>
      <c r="E351" s="143" t="s">
        <v>2584</v>
      </c>
      <c r="F351" s="143" t="s">
        <v>793</v>
      </c>
      <c r="G351" s="143" t="s">
        <v>730</v>
      </c>
      <c r="H351" s="143" t="s">
        <v>2688</v>
      </c>
      <c r="I351" s="143" t="s">
        <v>5274</v>
      </c>
      <c r="J351" s="217">
        <v>44228</v>
      </c>
      <c r="K351" s="217">
        <v>44561</v>
      </c>
      <c r="L351" s="143" t="s">
        <v>733</v>
      </c>
      <c r="M351" s="143" t="s">
        <v>5223</v>
      </c>
      <c r="N351" s="143" t="s">
        <v>60</v>
      </c>
      <c r="O351" s="143" t="s">
        <v>4033</v>
      </c>
      <c r="P351" s="143" t="s">
        <v>735</v>
      </c>
      <c r="Q351" s="215">
        <v>1</v>
      </c>
      <c r="R351" s="215">
        <v>0.2</v>
      </c>
      <c r="S351" s="215">
        <v>0.3</v>
      </c>
      <c r="T351" s="215">
        <v>0.3</v>
      </c>
      <c r="U351" s="215">
        <v>0.2</v>
      </c>
      <c r="V351" s="215">
        <v>0.2</v>
      </c>
      <c r="W351" s="215" t="s">
        <v>5275</v>
      </c>
      <c r="X351" s="215">
        <v>0.3</v>
      </c>
      <c r="Y351" s="215" t="s">
        <v>5276</v>
      </c>
      <c r="Z351" s="215">
        <v>0.3</v>
      </c>
      <c r="AA351" s="215" t="s">
        <v>5277</v>
      </c>
      <c r="AB351" s="222"/>
      <c r="AC351" s="222"/>
      <c r="AD351" s="213">
        <v>44295</v>
      </c>
      <c r="AE351" s="213">
        <v>44379</v>
      </c>
      <c r="AF351" s="213">
        <v>44481</v>
      </c>
      <c r="AG351" s="213"/>
      <c r="AH351" s="75">
        <f t="shared" si="22"/>
        <v>0.8</v>
      </c>
      <c r="AI351" s="75">
        <f t="shared" si="23"/>
        <v>1</v>
      </c>
      <c r="AJ351" s="75">
        <f t="shared" si="24"/>
        <v>1</v>
      </c>
      <c r="AK351" s="75">
        <f t="shared" si="25"/>
        <v>1</v>
      </c>
      <c r="AL351" s="75" t="s">
        <v>2467</v>
      </c>
      <c r="AM351" s="214" t="s">
        <v>739</v>
      </c>
      <c r="AN351" s="214" t="s">
        <v>739</v>
      </c>
      <c r="AO351" s="214" t="s">
        <v>739</v>
      </c>
      <c r="AP351" s="214"/>
      <c r="AQ351" s="214" t="s">
        <v>5278</v>
      </c>
      <c r="AR351" s="214" t="s">
        <v>5279</v>
      </c>
      <c r="AS351" s="214" t="s">
        <v>4683</v>
      </c>
      <c r="AT351" s="214"/>
      <c r="AU351" s="214" t="s">
        <v>739</v>
      </c>
      <c r="AV351" s="214" t="s">
        <v>739</v>
      </c>
      <c r="AW351" s="214" t="s">
        <v>739</v>
      </c>
      <c r="AX351" s="214"/>
      <c r="AY351" s="214" t="s">
        <v>5279</v>
      </c>
      <c r="AZ351" s="214" t="s">
        <v>5280</v>
      </c>
      <c r="BA351" s="214" t="s">
        <v>5281</v>
      </c>
      <c r="BB351" s="214"/>
      <c r="BC351" s="143" t="s">
        <v>1710</v>
      </c>
    </row>
    <row r="352" spans="1:55" ht="15" customHeight="1" x14ac:dyDescent="0.25">
      <c r="A352" s="210">
        <v>7</v>
      </c>
      <c r="B352" s="143" t="s">
        <v>5218</v>
      </c>
      <c r="C352" s="143" t="s">
        <v>5234</v>
      </c>
      <c r="D352" s="143" t="s">
        <v>5254</v>
      </c>
      <c r="E352" s="143" t="s">
        <v>2584</v>
      </c>
      <c r="F352" s="143" t="s">
        <v>793</v>
      </c>
      <c r="G352" s="143" t="s">
        <v>730</v>
      </c>
      <c r="H352" s="143" t="s">
        <v>2688</v>
      </c>
      <c r="I352" s="143" t="s">
        <v>5282</v>
      </c>
      <c r="J352" s="217">
        <v>44228</v>
      </c>
      <c r="K352" s="217">
        <v>44561</v>
      </c>
      <c r="L352" s="143" t="s">
        <v>733</v>
      </c>
      <c r="M352" s="143" t="s">
        <v>5223</v>
      </c>
      <c r="N352" s="143" t="s">
        <v>60</v>
      </c>
      <c r="O352" s="143" t="s">
        <v>4033</v>
      </c>
      <c r="P352" s="143" t="s">
        <v>735</v>
      </c>
      <c r="Q352" s="215">
        <v>1</v>
      </c>
      <c r="R352" s="215">
        <v>0.2</v>
      </c>
      <c r="S352" s="215">
        <v>0.3</v>
      </c>
      <c r="T352" s="215">
        <v>0.3</v>
      </c>
      <c r="U352" s="215">
        <v>0.2</v>
      </c>
      <c r="V352" s="215">
        <v>0.2</v>
      </c>
      <c r="W352" s="215" t="s">
        <v>5283</v>
      </c>
      <c r="X352" s="215">
        <v>0.3</v>
      </c>
      <c r="Y352" s="215" t="s">
        <v>5284</v>
      </c>
      <c r="Z352" s="215">
        <v>0.3</v>
      </c>
      <c r="AA352" s="215" t="s">
        <v>5285</v>
      </c>
      <c r="AB352" s="222"/>
      <c r="AC352" s="222"/>
      <c r="AD352" s="213">
        <v>44295</v>
      </c>
      <c r="AE352" s="213">
        <v>44379</v>
      </c>
      <c r="AF352" s="213">
        <v>44480</v>
      </c>
      <c r="AG352" s="213"/>
      <c r="AH352" s="75">
        <f t="shared" si="22"/>
        <v>0.8</v>
      </c>
      <c r="AI352" s="75">
        <f t="shared" si="23"/>
        <v>1</v>
      </c>
      <c r="AJ352" s="75">
        <f t="shared" si="24"/>
        <v>1</v>
      </c>
      <c r="AK352" s="75">
        <f t="shared" si="25"/>
        <v>1</v>
      </c>
      <c r="AL352" s="75" t="s">
        <v>2467</v>
      </c>
      <c r="AM352" s="214" t="s">
        <v>739</v>
      </c>
      <c r="AN352" s="214" t="s">
        <v>739</v>
      </c>
      <c r="AO352" s="214" t="s">
        <v>739</v>
      </c>
      <c r="AP352" s="214"/>
      <c r="AQ352" s="214" t="s">
        <v>5286</v>
      </c>
      <c r="AR352" s="214" t="s">
        <v>5287</v>
      </c>
      <c r="AS352" s="214" t="s">
        <v>4683</v>
      </c>
      <c r="AT352" s="214"/>
      <c r="AU352" s="214" t="s">
        <v>739</v>
      </c>
      <c r="AV352" s="214" t="s">
        <v>739</v>
      </c>
      <c r="AW352" s="214" t="s">
        <v>739</v>
      </c>
      <c r="AX352" s="214"/>
      <c r="AY352" s="214" t="s">
        <v>5288</v>
      </c>
      <c r="AZ352" s="214" t="s">
        <v>5289</v>
      </c>
      <c r="BA352" s="214" t="s">
        <v>5290</v>
      </c>
      <c r="BB352" s="214"/>
      <c r="BC352" s="143" t="s">
        <v>1710</v>
      </c>
    </row>
    <row r="353" spans="1:55" ht="15" customHeight="1" x14ac:dyDescent="0.25">
      <c r="A353" s="210">
        <v>8</v>
      </c>
      <c r="B353" s="143" t="s">
        <v>5218</v>
      </c>
      <c r="C353" s="143" t="s">
        <v>5234</v>
      </c>
      <c r="D353" s="143" t="s">
        <v>5254</v>
      </c>
      <c r="E353" s="143" t="s">
        <v>2584</v>
      </c>
      <c r="F353" s="143" t="s">
        <v>793</v>
      </c>
      <c r="G353" s="143" t="s">
        <v>730</v>
      </c>
      <c r="H353" s="143" t="s">
        <v>2688</v>
      </c>
      <c r="I353" s="143" t="s">
        <v>5291</v>
      </c>
      <c r="J353" s="217">
        <v>44228</v>
      </c>
      <c r="K353" s="217">
        <v>44561</v>
      </c>
      <c r="L353" s="143" t="s">
        <v>733</v>
      </c>
      <c r="M353" s="143" t="s">
        <v>5223</v>
      </c>
      <c r="N353" s="143" t="s">
        <v>60</v>
      </c>
      <c r="O353" s="143" t="s">
        <v>4033</v>
      </c>
      <c r="P353" s="143" t="s">
        <v>735</v>
      </c>
      <c r="Q353" s="215">
        <v>1</v>
      </c>
      <c r="R353" s="215">
        <v>0.2</v>
      </c>
      <c r="S353" s="215">
        <v>0.3</v>
      </c>
      <c r="T353" s="215">
        <v>0.3</v>
      </c>
      <c r="U353" s="215">
        <v>0.2</v>
      </c>
      <c r="V353" s="215">
        <v>0.2</v>
      </c>
      <c r="W353" s="215" t="s">
        <v>5292</v>
      </c>
      <c r="X353" s="215">
        <v>0.3</v>
      </c>
      <c r="Y353" s="215" t="s">
        <v>5293</v>
      </c>
      <c r="Z353" s="215">
        <v>0.3</v>
      </c>
      <c r="AA353" s="215" t="s">
        <v>5294</v>
      </c>
      <c r="AB353" s="222"/>
      <c r="AC353" s="222"/>
      <c r="AD353" s="213">
        <v>44295</v>
      </c>
      <c r="AE353" s="213">
        <v>44379</v>
      </c>
      <c r="AF353" s="213">
        <v>44480</v>
      </c>
      <c r="AG353" s="213"/>
      <c r="AH353" s="75">
        <f t="shared" si="22"/>
        <v>0.8</v>
      </c>
      <c r="AI353" s="75">
        <f t="shared" si="23"/>
        <v>1</v>
      </c>
      <c r="AJ353" s="75">
        <f t="shared" si="24"/>
        <v>1</v>
      </c>
      <c r="AK353" s="75">
        <f t="shared" si="25"/>
        <v>1</v>
      </c>
      <c r="AL353" s="75" t="s">
        <v>2467</v>
      </c>
      <c r="AM353" s="214" t="s">
        <v>739</v>
      </c>
      <c r="AN353" s="214" t="s">
        <v>739</v>
      </c>
      <c r="AO353" s="214" t="s">
        <v>739</v>
      </c>
      <c r="AP353" s="214"/>
      <c r="AQ353" s="214" t="s">
        <v>5295</v>
      </c>
      <c r="AR353" s="214" t="s">
        <v>5296</v>
      </c>
      <c r="AS353" s="214" t="s">
        <v>5297</v>
      </c>
      <c r="AT353" s="214"/>
      <c r="AU353" s="214" t="s">
        <v>739</v>
      </c>
      <c r="AV353" s="214" t="s">
        <v>739</v>
      </c>
      <c r="AW353" s="214" t="s">
        <v>739</v>
      </c>
      <c r="AX353" s="214"/>
      <c r="AY353" s="214" t="s">
        <v>5298</v>
      </c>
      <c r="AZ353" s="214" t="s">
        <v>5299</v>
      </c>
      <c r="BA353" s="214" t="s">
        <v>5300</v>
      </c>
      <c r="BB353" s="214"/>
      <c r="BC353" s="143" t="s">
        <v>1710</v>
      </c>
    </row>
    <row r="354" spans="1:55" ht="15" customHeight="1" x14ac:dyDescent="0.25">
      <c r="A354" s="210">
        <v>9</v>
      </c>
      <c r="B354" s="143" t="s">
        <v>5218</v>
      </c>
      <c r="C354" s="143" t="s">
        <v>5234</v>
      </c>
      <c r="D354" s="143" t="s">
        <v>5254</v>
      </c>
      <c r="E354" s="143" t="s">
        <v>2584</v>
      </c>
      <c r="F354" s="143" t="s">
        <v>793</v>
      </c>
      <c r="G354" s="143" t="s">
        <v>730</v>
      </c>
      <c r="H354" s="143" t="s">
        <v>2688</v>
      </c>
      <c r="I354" s="143" t="s">
        <v>5301</v>
      </c>
      <c r="J354" s="217">
        <v>44228</v>
      </c>
      <c r="K354" s="217">
        <v>44561</v>
      </c>
      <c r="L354" s="143" t="s">
        <v>733</v>
      </c>
      <c r="M354" s="143" t="s">
        <v>5223</v>
      </c>
      <c r="N354" s="143" t="s">
        <v>60</v>
      </c>
      <c r="O354" s="143" t="s">
        <v>4033</v>
      </c>
      <c r="P354" s="143" t="s">
        <v>735</v>
      </c>
      <c r="Q354" s="215">
        <v>1</v>
      </c>
      <c r="R354" s="215">
        <v>0.2</v>
      </c>
      <c r="S354" s="215">
        <v>0.3</v>
      </c>
      <c r="T354" s="215">
        <v>0.3</v>
      </c>
      <c r="U354" s="215">
        <v>0.2</v>
      </c>
      <c r="V354" s="215">
        <v>0.2</v>
      </c>
      <c r="W354" s="215" t="s">
        <v>5302</v>
      </c>
      <c r="X354" s="215">
        <v>0.3</v>
      </c>
      <c r="Y354" s="215" t="s">
        <v>5303</v>
      </c>
      <c r="Z354" s="215">
        <v>0.3</v>
      </c>
      <c r="AA354" s="215" t="s">
        <v>5304</v>
      </c>
      <c r="AB354" s="215"/>
      <c r="AC354" s="215"/>
      <c r="AD354" s="213">
        <v>44295</v>
      </c>
      <c r="AE354" s="213">
        <v>44379</v>
      </c>
      <c r="AF354" s="213">
        <v>44480</v>
      </c>
      <c r="AG354" s="213"/>
      <c r="AH354" s="75">
        <f t="shared" si="22"/>
        <v>0.8</v>
      </c>
      <c r="AI354" s="75">
        <f t="shared" si="23"/>
        <v>1</v>
      </c>
      <c r="AJ354" s="75">
        <f t="shared" si="24"/>
        <v>1</v>
      </c>
      <c r="AK354" s="75">
        <f t="shared" si="25"/>
        <v>1</v>
      </c>
      <c r="AL354" s="75" t="s">
        <v>2467</v>
      </c>
      <c r="AM354" s="214" t="s">
        <v>739</v>
      </c>
      <c r="AN354" s="214" t="s">
        <v>739</v>
      </c>
      <c r="AO354" s="214" t="s">
        <v>739</v>
      </c>
      <c r="AP354" s="214"/>
      <c r="AQ354" s="214" t="s">
        <v>5305</v>
      </c>
      <c r="AR354" s="214" t="s">
        <v>5306</v>
      </c>
      <c r="AS354" s="214" t="s">
        <v>5307</v>
      </c>
      <c r="AT354" s="214"/>
      <c r="AU354" s="214" t="s">
        <v>739</v>
      </c>
      <c r="AV354" s="214" t="s">
        <v>739</v>
      </c>
      <c r="AW354" s="214" t="s">
        <v>739</v>
      </c>
      <c r="AX354" s="214"/>
      <c r="AY354" s="214" t="s">
        <v>5308</v>
      </c>
      <c r="AZ354" s="214" t="s">
        <v>5309</v>
      </c>
      <c r="BA354" s="214" t="s">
        <v>5310</v>
      </c>
      <c r="BB354" s="214"/>
      <c r="BC354" s="143" t="s">
        <v>1710</v>
      </c>
    </row>
    <row r="355" spans="1:55" ht="15" customHeight="1" x14ac:dyDescent="0.25">
      <c r="A355" s="210">
        <v>10</v>
      </c>
      <c r="B355" s="143" t="s">
        <v>5218</v>
      </c>
      <c r="C355" s="143" t="s">
        <v>5234</v>
      </c>
      <c r="D355" s="143" t="s">
        <v>5254</v>
      </c>
      <c r="E355" s="143" t="s">
        <v>2584</v>
      </c>
      <c r="F355" s="143" t="s">
        <v>793</v>
      </c>
      <c r="G355" s="143" t="s">
        <v>730</v>
      </c>
      <c r="H355" s="143" t="s">
        <v>2688</v>
      </c>
      <c r="I355" s="143" t="s">
        <v>5311</v>
      </c>
      <c r="J355" s="217">
        <v>44228</v>
      </c>
      <c r="K355" s="217">
        <v>44561</v>
      </c>
      <c r="L355" s="143" t="s">
        <v>733</v>
      </c>
      <c r="M355" s="143" t="s">
        <v>5223</v>
      </c>
      <c r="N355" s="143" t="s">
        <v>60</v>
      </c>
      <c r="O355" s="143" t="s">
        <v>4033</v>
      </c>
      <c r="P355" s="143" t="s">
        <v>735</v>
      </c>
      <c r="Q355" s="215">
        <v>1</v>
      </c>
      <c r="R355" s="215">
        <v>0.2</v>
      </c>
      <c r="S355" s="215">
        <v>0.3</v>
      </c>
      <c r="T355" s="215">
        <v>0.3</v>
      </c>
      <c r="U355" s="215">
        <v>0.2</v>
      </c>
      <c r="V355" s="215">
        <v>0.2</v>
      </c>
      <c r="W355" s="215" t="s">
        <v>5312</v>
      </c>
      <c r="X355" s="215">
        <v>0.3</v>
      </c>
      <c r="Y355" s="215" t="s">
        <v>5313</v>
      </c>
      <c r="Z355" s="215">
        <v>0.3</v>
      </c>
      <c r="AA355" s="215" t="s">
        <v>5314</v>
      </c>
      <c r="AB355" s="223"/>
      <c r="AC355" s="223"/>
      <c r="AD355" s="213">
        <v>44295</v>
      </c>
      <c r="AE355" s="213">
        <v>44379</v>
      </c>
      <c r="AF355" s="213">
        <v>44480</v>
      </c>
      <c r="AG355" s="213"/>
      <c r="AH355" s="75">
        <f t="shared" si="22"/>
        <v>0.8</v>
      </c>
      <c r="AI355" s="75">
        <f t="shared" si="23"/>
        <v>1</v>
      </c>
      <c r="AJ355" s="75">
        <f t="shared" si="24"/>
        <v>1</v>
      </c>
      <c r="AK355" s="75">
        <f t="shared" si="25"/>
        <v>1</v>
      </c>
      <c r="AL355" s="75" t="s">
        <v>2467</v>
      </c>
      <c r="AM355" s="214" t="s">
        <v>739</v>
      </c>
      <c r="AN355" s="214" t="s">
        <v>739</v>
      </c>
      <c r="AO355" s="214" t="s">
        <v>739</v>
      </c>
      <c r="AP355" s="214"/>
      <c r="AQ355" s="214" t="s">
        <v>5315</v>
      </c>
      <c r="AR355" s="214" t="s">
        <v>5316</v>
      </c>
      <c r="AS355" s="214" t="s">
        <v>5317</v>
      </c>
      <c r="AT355" s="214"/>
      <c r="AU355" s="214" t="s">
        <v>739</v>
      </c>
      <c r="AV355" s="214" t="s">
        <v>739</v>
      </c>
      <c r="AW355" s="214" t="s">
        <v>739</v>
      </c>
      <c r="AX355" s="214"/>
      <c r="AY355" s="214" t="s">
        <v>5318</v>
      </c>
      <c r="AZ355" s="214" t="s">
        <v>5319</v>
      </c>
      <c r="BA355" s="214" t="s">
        <v>5320</v>
      </c>
      <c r="BB355" s="214"/>
      <c r="BC355" s="143" t="s">
        <v>1710</v>
      </c>
    </row>
    <row r="356" spans="1:55" ht="15" customHeight="1" x14ac:dyDescent="0.25">
      <c r="A356" s="210">
        <v>11</v>
      </c>
      <c r="B356" s="143" t="s">
        <v>5218</v>
      </c>
      <c r="C356" s="143" t="s">
        <v>2552</v>
      </c>
      <c r="D356" s="143" t="s">
        <v>2583</v>
      </c>
      <c r="E356" s="143" t="s">
        <v>2584</v>
      </c>
      <c r="F356" s="143" t="s">
        <v>793</v>
      </c>
      <c r="G356" s="143" t="s">
        <v>2458</v>
      </c>
      <c r="H356" s="143" t="s">
        <v>731</v>
      </c>
      <c r="I356" s="143" t="s">
        <v>2595</v>
      </c>
      <c r="J356" s="217">
        <v>44197</v>
      </c>
      <c r="K356" s="217">
        <v>44561</v>
      </c>
      <c r="L356" s="143" t="s">
        <v>2596</v>
      </c>
      <c r="M356" s="143" t="s">
        <v>5223</v>
      </c>
      <c r="N356" s="143" t="s">
        <v>60</v>
      </c>
      <c r="O356" s="143" t="s">
        <v>2587</v>
      </c>
      <c r="P356" s="143" t="s">
        <v>11</v>
      </c>
      <c r="Q356" s="219">
        <v>1</v>
      </c>
      <c r="R356" s="219">
        <v>0</v>
      </c>
      <c r="S356" s="219">
        <v>0</v>
      </c>
      <c r="T356" s="219">
        <v>0.5</v>
      </c>
      <c r="U356" s="219">
        <v>0.5</v>
      </c>
      <c r="V356" s="219">
        <v>0</v>
      </c>
      <c r="W356" s="219" t="s">
        <v>5321</v>
      </c>
      <c r="X356" s="219">
        <v>0.5</v>
      </c>
      <c r="Y356" s="219" t="s">
        <v>5322</v>
      </c>
      <c r="Z356" s="219">
        <v>0.5</v>
      </c>
      <c r="AA356" s="219" t="s">
        <v>5323</v>
      </c>
      <c r="AB356" s="223"/>
      <c r="AC356" s="223"/>
      <c r="AD356" s="213">
        <v>44295</v>
      </c>
      <c r="AE356" s="213">
        <v>44379</v>
      </c>
      <c r="AF356" s="213">
        <v>44480</v>
      </c>
      <c r="AG356" s="213"/>
      <c r="AH356" s="75">
        <f t="shared" si="22"/>
        <v>1</v>
      </c>
      <c r="AI356" s="75" t="str">
        <f t="shared" si="23"/>
        <v/>
      </c>
      <c r="AJ356" s="75" t="str">
        <f t="shared" si="24"/>
        <v/>
      </c>
      <c r="AK356" s="75">
        <f t="shared" si="25"/>
        <v>1</v>
      </c>
      <c r="AL356" s="75" t="s">
        <v>2467</v>
      </c>
      <c r="AM356" s="214" t="s">
        <v>739</v>
      </c>
      <c r="AN356" s="214" t="s">
        <v>739</v>
      </c>
      <c r="AO356" s="214" t="s">
        <v>739</v>
      </c>
      <c r="AP356" s="214"/>
      <c r="AQ356" s="214" t="s">
        <v>5324</v>
      </c>
      <c r="AR356" s="214" t="s">
        <v>5325</v>
      </c>
      <c r="AS356" s="214" t="s">
        <v>5326</v>
      </c>
      <c r="AT356" s="214"/>
      <c r="AU356" s="214" t="s">
        <v>739</v>
      </c>
      <c r="AV356" s="214" t="s">
        <v>739</v>
      </c>
      <c r="AW356" s="214" t="s">
        <v>739</v>
      </c>
      <c r="AX356" s="214"/>
      <c r="AY356" s="214" t="s">
        <v>5327</v>
      </c>
      <c r="AZ356" s="214" t="s">
        <v>5328</v>
      </c>
      <c r="BA356" s="214" t="s">
        <v>5329</v>
      </c>
      <c r="BB356" s="214"/>
      <c r="BC356" s="143" t="s">
        <v>727</v>
      </c>
    </row>
    <row r="357" spans="1:55" ht="15" customHeight="1" x14ac:dyDescent="0.25">
      <c r="A357" s="210">
        <v>12</v>
      </c>
      <c r="B357" s="143" t="s">
        <v>5218</v>
      </c>
      <c r="C357" s="143" t="s">
        <v>2601</v>
      </c>
      <c r="D357" s="143" t="s">
        <v>2583</v>
      </c>
      <c r="E357" s="143" t="s">
        <v>2584</v>
      </c>
      <c r="F357" s="143" t="s">
        <v>793</v>
      </c>
      <c r="G357" s="143" t="s">
        <v>2458</v>
      </c>
      <c r="H357" s="143" t="s">
        <v>731</v>
      </c>
      <c r="I357" s="143" t="s">
        <v>2602</v>
      </c>
      <c r="J357" s="217">
        <v>44197</v>
      </c>
      <c r="K357" s="217">
        <v>44561</v>
      </c>
      <c r="L357" s="143" t="s">
        <v>2603</v>
      </c>
      <c r="M357" s="143" t="s">
        <v>5223</v>
      </c>
      <c r="N357" s="143" t="s">
        <v>30</v>
      </c>
      <c r="O357" s="143" t="s">
        <v>2587</v>
      </c>
      <c r="P357" s="143" t="s">
        <v>11</v>
      </c>
      <c r="Q357" s="223">
        <v>4</v>
      </c>
      <c r="R357" s="223">
        <v>1</v>
      </c>
      <c r="S357" s="223">
        <v>1</v>
      </c>
      <c r="T357" s="223">
        <v>1</v>
      </c>
      <c r="U357" s="223">
        <v>1</v>
      </c>
      <c r="V357" s="223">
        <v>1</v>
      </c>
      <c r="W357" s="223" t="s">
        <v>5330</v>
      </c>
      <c r="X357" s="223">
        <v>1</v>
      </c>
      <c r="Y357" s="223" t="s">
        <v>5331</v>
      </c>
      <c r="Z357" s="223">
        <v>1</v>
      </c>
      <c r="AA357" s="223" t="s">
        <v>5332</v>
      </c>
      <c r="AB357" s="241"/>
      <c r="AC357" s="241"/>
      <c r="AD357" s="213">
        <v>44295</v>
      </c>
      <c r="AE357" s="213">
        <v>44379</v>
      </c>
      <c r="AF357" s="213">
        <v>44480</v>
      </c>
      <c r="AG357" s="213"/>
      <c r="AH357" s="75">
        <f t="shared" si="22"/>
        <v>0.75</v>
      </c>
      <c r="AI357" s="75">
        <f t="shared" si="23"/>
        <v>1</v>
      </c>
      <c r="AJ357" s="75">
        <f t="shared" si="24"/>
        <v>1</v>
      </c>
      <c r="AK357" s="75">
        <f t="shared" si="25"/>
        <v>1</v>
      </c>
      <c r="AL357" s="75" t="s">
        <v>2467</v>
      </c>
      <c r="AM357" s="214" t="s">
        <v>739</v>
      </c>
      <c r="AN357" s="214" t="s">
        <v>739</v>
      </c>
      <c r="AO357" s="214" t="s">
        <v>739</v>
      </c>
      <c r="AP357" s="214"/>
      <c r="AQ357" s="214" t="s">
        <v>5333</v>
      </c>
      <c r="AR357" s="214" t="s">
        <v>5334</v>
      </c>
      <c r="AS357" s="214" t="s">
        <v>5335</v>
      </c>
      <c r="AT357" s="214"/>
      <c r="AU357" s="214" t="s">
        <v>739</v>
      </c>
      <c r="AV357" s="214" t="s">
        <v>739</v>
      </c>
      <c r="AW357" s="214" t="s">
        <v>739</v>
      </c>
      <c r="AX357" s="214"/>
      <c r="AY357" s="214" t="s">
        <v>5336</v>
      </c>
      <c r="AZ357" s="214" t="s">
        <v>5337</v>
      </c>
      <c r="BA357" s="214" t="s">
        <v>5338</v>
      </c>
      <c r="BB357" s="214"/>
      <c r="BC357" s="143" t="s">
        <v>727</v>
      </c>
    </row>
    <row r="358" spans="1:55" ht="15" customHeight="1" x14ac:dyDescent="0.25">
      <c r="A358" s="210">
        <v>13</v>
      </c>
      <c r="B358" s="143" t="s">
        <v>5218</v>
      </c>
      <c r="C358" s="143" t="s">
        <v>2601</v>
      </c>
      <c r="D358" s="143" t="s">
        <v>2583</v>
      </c>
      <c r="E358" s="143" t="s">
        <v>2584</v>
      </c>
      <c r="F358" s="143" t="s">
        <v>793</v>
      </c>
      <c r="G358" s="143" t="s">
        <v>2458</v>
      </c>
      <c r="H358" s="143" t="s">
        <v>731</v>
      </c>
      <c r="I358" s="143" t="s">
        <v>2825</v>
      </c>
      <c r="J358" s="217">
        <v>44470</v>
      </c>
      <c r="K358" s="217">
        <v>44561</v>
      </c>
      <c r="L358" s="143" t="s">
        <v>2603</v>
      </c>
      <c r="M358" s="143" t="s">
        <v>5223</v>
      </c>
      <c r="N358" s="143" t="s">
        <v>30</v>
      </c>
      <c r="O358" s="143" t="s">
        <v>2587</v>
      </c>
      <c r="P358" s="143" t="s">
        <v>11</v>
      </c>
      <c r="Q358" s="223">
        <v>1</v>
      </c>
      <c r="R358" s="223">
        <v>0</v>
      </c>
      <c r="S358" s="223">
        <v>0</v>
      </c>
      <c r="T358" s="223">
        <v>0</v>
      </c>
      <c r="U358" s="223">
        <v>1</v>
      </c>
      <c r="V358" s="223">
        <v>0</v>
      </c>
      <c r="W358" s="223">
        <v>0</v>
      </c>
      <c r="X358" s="223">
        <v>0</v>
      </c>
      <c r="Y358" s="223" t="s">
        <v>5339</v>
      </c>
      <c r="Z358" s="223">
        <v>0</v>
      </c>
      <c r="AA358" s="223" t="s">
        <v>5340</v>
      </c>
      <c r="AB358" s="241"/>
      <c r="AC358" s="241"/>
      <c r="AD358" s="213">
        <v>44295</v>
      </c>
      <c r="AE358" s="213">
        <v>44379</v>
      </c>
      <c r="AF358" s="213">
        <v>44480</v>
      </c>
      <c r="AG358" s="213"/>
      <c r="AH358" s="75">
        <f t="shared" si="22"/>
        <v>0</v>
      </c>
      <c r="AI358" s="75" t="str">
        <f t="shared" si="23"/>
        <v/>
      </c>
      <c r="AJ358" s="75" t="str">
        <f t="shared" si="24"/>
        <v/>
      </c>
      <c r="AK358" s="75" t="str">
        <f t="shared" si="25"/>
        <v/>
      </c>
      <c r="AL358" s="75" t="s">
        <v>2467</v>
      </c>
      <c r="AM358" s="214" t="s">
        <v>838</v>
      </c>
      <c r="AN358" s="214" t="s">
        <v>838</v>
      </c>
      <c r="AO358" s="214" t="s">
        <v>838</v>
      </c>
      <c r="AP358" s="214"/>
      <c r="AQ358" s="214" t="s">
        <v>5339</v>
      </c>
      <c r="AR358" s="214" t="s">
        <v>5341</v>
      </c>
      <c r="AS358" s="214" t="s">
        <v>5340</v>
      </c>
      <c r="AT358" s="214"/>
      <c r="AU358" s="214" t="s">
        <v>838</v>
      </c>
      <c r="AV358" s="214" t="s">
        <v>838</v>
      </c>
      <c r="AW358" s="214" t="s">
        <v>838</v>
      </c>
      <c r="AX358" s="214"/>
      <c r="AY358" s="214" t="s">
        <v>5342</v>
      </c>
      <c r="AZ358" s="214" t="s">
        <v>2614</v>
      </c>
      <c r="BA358" s="214" t="s">
        <v>2614</v>
      </c>
      <c r="BB358" s="214"/>
      <c r="BC358" s="143" t="s">
        <v>727</v>
      </c>
    </row>
    <row r="359" spans="1:55" ht="15" customHeight="1" x14ac:dyDescent="0.25">
      <c r="A359" s="210">
        <v>14</v>
      </c>
      <c r="B359" s="143" t="s">
        <v>5218</v>
      </c>
      <c r="C359" s="143" t="s">
        <v>2459</v>
      </c>
      <c r="D359" s="143" t="s">
        <v>2583</v>
      </c>
      <c r="E359" s="143" t="s">
        <v>2584</v>
      </c>
      <c r="F359" s="143" t="s">
        <v>793</v>
      </c>
      <c r="G359" s="143" t="s">
        <v>2458</v>
      </c>
      <c r="H359" s="143" t="s">
        <v>731</v>
      </c>
      <c r="I359" s="143" t="s">
        <v>2829</v>
      </c>
      <c r="J359" s="217">
        <v>44197</v>
      </c>
      <c r="K359" s="217">
        <v>44561</v>
      </c>
      <c r="L359" s="143" t="s">
        <v>2616</v>
      </c>
      <c r="M359" s="143" t="s">
        <v>5223</v>
      </c>
      <c r="N359" s="143" t="s">
        <v>30</v>
      </c>
      <c r="O359" s="143" t="s">
        <v>2587</v>
      </c>
      <c r="P359" s="143" t="s">
        <v>11</v>
      </c>
      <c r="Q359" s="223">
        <v>4</v>
      </c>
      <c r="R359" s="223">
        <v>1</v>
      </c>
      <c r="S359" s="223">
        <v>1</v>
      </c>
      <c r="T359" s="223">
        <v>1</v>
      </c>
      <c r="U359" s="223">
        <v>1</v>
      </c>
      <c r="V359" s="223">
        <v>1</v>
      </c>
      <c r="W359" s="223" t="s">
        <v>5343</v>
      </c>
      <c r="X359" s="223">
        <v>1</v>
      </c>
      <c r="Y359" s="223" t="s">
        <v>5344</v>
      </c>
      <c r="Z359" s="223">
        <v>1</v>
      </c>
      <c r="AA359" s="223" t="s">
        <v>5345</v>
      </c>
      <c r="AB359" s="247"/>
      <c r="AC359" s="247"/>
      <c r="AD359" s="213">
        <v>44295</v>
      </c>
      <c r="AE359" s="213">
        <v>44379</v>
      </c>
      <c r="AF359" s="213">
        <v>44480</v>
      </c>
      <c r="AG359" s="213"/>
      <c r="AH359" s="75">
        <f t="shared" si="22"/>
        <v>0.75</v>
      </c>
      <c r="AI359" s="75">
        <f t="shared" si="23"/>
        <v>1</v>
      </c>
      <c r="AJ359" s="75">
        <f t="shared" si="24"/>
        <v>1</v>
      </c>
      <c r="AK359" s="75">
        <f t="shared" si="25"/>
        <v>1</v>
      </c>
      <c r="AL359" s="75" t="s">
        <v>2467</v>
      </c>
      <c r="AM359" s="214" t="s">
        <v>739</v>
      </c>
      <c r="AN359" s="214" t="s">
        <v>739</v>
      </c>
      <c r="AO359" s="214" t="s">
        <v>739</v>
      </c>
      <c r="AP359" s="214"/>
      <c r="AQ359" s="214" t="s">
        <v>5346</v>
      </c>
      <c r="AR359" s="214" t="s">
        <v>5347</v>
      </c>
      <c r="AS359" s="214" t="s">
        <v>5348</v>
      </c>
      <c r="AT359" s="214"/>
      <c r="AU359" s="214" t="s">
        <v>739</v>
      </c>
      <c r="AV359" s="214" t="s">
        <v>739</v>
      </c>
      <c r="AW359" s="214" t="s">
        <v>739</v>
      </c>
      <c r="AX359" s="214"/>
      <c r="AY359" s="214" t="s">
        <v>5349</v>
      </c>
      <c r="AZ359" s="214" t="s">
        <v>5350</v>
      </c>
      <c r="BA359" s="214" t="s">
        <v>5351</v>
      </c>
      <c r="BB359" s="214"/>
      <c r="BC359" s="143" t="s">
        <v>727</v>
      </c>
    </row>
    <row r="360" spans="1:55" ht="15" customHeight="1" x14ac:dyDescent="0.25">
      <c r="A360" s="210">
        <v>15</v>
      </c>
      <c r="B360" s="143" t="s">
        <v>5218</v>
      </c>
      <c r="C360" s="143" t="s">
        <v>2459</v>
      </c>
      <c r="D360" s="143" t="s">
        <v>2583</v>
      </c>
      <c r="E360" s="143" t="s">
        <v>2584</v>
      </c>
      <c r="F360" s="143" t="s">
        <v>793</v>
      </c>
      <c r="G360" s="143" t="s">
        <v>2458</v>
      </c>
      <c r="H360" s="143" t="s">
        <v>731</v>
      </c>
      <c r="I360" s="143" t="s">
        <v>2834</v>
      </c>
      <c r="J360" s="217">
        <v>44470</v>
      </c>
      <c r="K360" s="217">
        <v>44561</v>
      </c>
      <c r="L360" s="143" t="s">
        <v>2616</v>
      </c>
      <c r="M360" s="143" t="s">
        <v>5223</v>
      </c>
      <c r="N360" s="143" t="s">
        <v>30</v>
      </c>
      <c r="O360" s="143" t="s">
        <v>2587</v>
      </c>
      <c r="P360" s="143" t="s">
        <v>11</v>
      </c>
      <c r="Q360" s="223">
        <v>2</v>
      </c>
      <c r="R360" s="223">
        <v>0</v>
      </c>
      <c r="S360" s="223">
        <v>0</v>
      </c>
      <c r="T360" s="223">
        <v>0</v>
      </c>
      <c r="U360" s="223">
        <v>2</v>
      </c>
      <c r="V360" s="223">
        <v>0</v>
      </c>
      <c r="W360" s="223">
        <v>0</v>
      </c>
      <c r="X360" s="223">
        <v>0</v>
      </c>
      <c r="Y360" s="223" t="s">
        <v>5352</v>
      </c>
      <c r="Z360" s="223">
        <v>0</v>
      </c>
      <c r="AA360" s="223" t="s">
        <v>5353</v>
      </c>
      <c r="AB360" s="247"/>
      <c r="AC360" s="247"/>
      <c r="AD360" s="213">
        <v>44295</v>
      </c>
      <c r="AE360" s="213">
        <v>44379</v>
      </c>
      <c r="AF360" s="213">
        <v>44480</v>
      </c>
      <c r="AG360" s="213"/>
      <c r="AH360" s="75">
        <f t="shared" si="22"/>
        <v>0</v>
      </c>
      <c r="AI360" s="75" t="str">
        <f t="shared" si="23"/>
        <v/>
      </c>
      <c r="AJ360" s="75" t="str">
        <f t="shared" si="24"/>
        <v/>
      </c>
      <c r="AK360" s="75" t="str">
        <f t="shared" si="25"/>
        <v/>
      </c>
      <c r="AL360" s="75" t="s">
        <v>2467</v>
      </c>
      <c r="AM360" s="214" t="s">
        <v>838</v>
      </c>
      <c r="AN360" s="214" t="s">
        <v>838</v>
      </c>
      <c r="AO360" s="214" t="s">
        <v>838</v>
      </c>
      <c r="AP360" s="214"/>
      <c r="AQ360" s="214" t="s">
        <v>5354</v>
      </c>
      <c r="AR360" s="214" t="s">
        <v>5355</v>
      </c>
      <c r="AS360" s="214" t="s">
        <v>5353</v>
      </c>
      <c r="AT360" s="214"/>
      <c r="AU360" s="214" t="s">
        <v>838</v>
      </c>
      <c r="AV360" s="214" t="s">
        <v>838</v>
      </c>
      <c r="AW360" s="214" t="s">
        <v>838</v>
      </c>
      <c r="AX360" s="214"/>
      <c r="AY360" s="214" t="s">
        <v>5342</v>
      </c>
      <c r="AZ360" s="214" t="s">
        <v>5356</v>
      </c>
      <c r="BA360" s="214" t="s">
        <v>5357</v>
      </c>
      <c r="BB360" s="214"/>
      <c r="BC360" s="143" t="s">
        <v>727</v>
      </c>
    </row>
    <row r="361" spans="1:55" ht="15" customHeight="1" x14ac:dyDescent="0.25">
      <c r="A361" s="210">
        <v>16</v>
      </c>
      <c r="B361" s="143" t="s">
        <v>5218</v>
      </c>
      <c r="C361" s="143" t="s">
        <v>2552</v>
      </c>
      <c r="D361" s="143" t="s">
        <v>2583</v>
      </c>
      <c r="E361" s="143" t="s">
        <v>2584</v>
      </c>
      <c r="F361" s="143" t="s">
        <v>793</v>
      </c>
      <c r="G361" s="143" t="s">
        <v>2458</v>
      </c>
      <c r="H361" s="143" t="s">
        <v>731</v>
      </c>
      <c r="I361" s="143" t="s">
        <v>2837</v>
      </c>
      <c r="J361" s="217">
        <v>44317</v>
      </c>
      <c r="K361" s="217">
        <v>44561</v>
      </c>
      <c r="L361" s="143" t="s">
        <v>2649</v>
      </c>
      <c r="M361" s="143" t="s">
        <v>5223</v>
      </c>
      <c r="N361" s="143" t="s">
        <v>30</v>
      </c>
      <c r="O361" s="143" t="s">
        <v>2587</v>
      </c>
      <c r="P361" s="143" t="s">
        <v>11</v>
      </c>
      <c r="Q361" s="223">
        <v>4</v>
      </c>
      <c r="R361" s="223">
        <v>0</v>
      </c>
      <c r="S361" s="223">
        <v>2</v>
      </c>
      <c r="T361" s="223">
        <v>1</v>
      </c>
      <c r="U361" s="223">
        <v>1</v>
      </c>
      <c r="V361" s="223">
        <v>0</v>
      </c>
      <c r="W361" s="223">
        <v>0</v>
      </c>
      <c r="X361" s="223">
        <v>2</v>
      </c>
      <c r="Y361" s="223" t="s">
        <v>5358</v>
      </c>
      <c r="Z361" s="223">
        <v>1</v>
      </c>
      <c r="AA361" s="223" t="s">
        <v>5359</v>
      </c>
      <c r="AB361" s="212"/>
      <c r="AC361" s="212"/>
      <c r="AD361" s="213">
        <v>44295</v>
      </c>
      <c r="AE361" s="213">
        <v>44379</v>
      </c>
      <c r="AF361" s="213">
        <v>44480</v>
      </c>
      <c r="AG361" s="213"/>
      <c r="AH361" s="75">
        <f t="shared" si="22"/>
        <v>0.75</v>
      </c>
      <c r="AI361" s="75" t="str">
        <f t="shared" si="23"/>
        <v/>
      </c>
      <c r="AJ361" s="75">
        <f t="shared" si="24"/>
        <v>1</v>
      </c>
      <c r="AK361" s="75">
        <f t="shared" si="25"/>
        <v>1</v>
      </c>
      <c r="AL361" s="75" t="s">
        <v>2467</v>
      </c>
      <c r="AM361" s="214" t="s">
        <v>838</v>
      </c>
      <c r="AN361" s="214" t="s">
        <v>739</v>
      </c>
      <c r="AO361" s="214" t="s">
        <v>739</v>
      </c>
      <c r="AP361" s="214"/>
      <c r="AQ361" s="214" t="s">
        <v>5360</v>
      </c>
      <c r="AR361" s="214" t="s">
        <v>5361</v>
      </c>
      <c r="AS361" s="214" t="s">
        <v>5362</v>
      </c>
      <c r="AT361" s="214"/>
      <c r="AU361" s="214" t="s">
        <v>838</v>
      </c>
      <c r="AV361" s="214" t="s">
        <v>739</v>
      </c>
      <c r="AW361" s="214" t="s">
        <v>739</v>
      </c>
      <c r="AX361" s="214"/>
      <c r="AY361" s="214" t="s">
        <v>5342</v>
      </c>
      <c r="AZ361" s="214" t="s">
        <v>5363</v>
      </c>
      <c r="BA361" s="214" t="s">
        <v>5364</v>
      </c>
      <c r="BB361" s="214"/>
      <c r="BC361" s="143" t="s">
        <v>727</v>
      </c>
    </row>
    <row r="362" spans="1:55" ht="15" customHeight="1" x14ac:dyDescent="0.25">
      <c r="A362" s="210">
        <v>1</v>
      </c>
      <c r="B362" s="143" t="s">
        <v>5365</v>
      </c>
      <c r="C362" s="143" t="s">
        <v>5366</v>
      </c>
      <c r="D362" s="143" t="s">
        <v>141</v>
      </c>
      <c r="E362" s="143" t="s">
        <v>728</v>
      </c>
      <c r="F362" s="143" t="s">
        <v>3442</v>
      </c>
      <c r="G362" s="143" t="s">
        <v>730</v>
      </c>
      <c r="H362" s="143" t="s">
        <v>731</v>
      </c>
      <c r="I362" s="143" t="s">
        <v>5367</v>
      </c>
      <c r="J362" s="217">
        <v>44197</v>
      </c>
      <c r="K362" s="217">
        <v>44561</v>
      </c>
      <c r="L362" s="143" t="s">
        <v>5368</v>
      </c>
      <c r="M362" s="143" t="s">
        <v>517</v>
      </c>
      <c r="N362" s="143" t="s">
        <v>30</v>
      </c>
      <c r="O362" s="143" t="s">
        <v>5369</v>
      </c>
      <c r="P362" s="143" t="s">
        <v>3403</v>
      </c>
      <c r="Q362" s="227">
        <v>28000</v>
      </c>
      <c r="R362" s="227">
        <v>3900</v>
      </c>
      <c r="S362" s="227">
        <v>9000</v>
      </c>
      <c r="T362" s="227">
        <v>8800</v>
      </c>
      <c r="U362" s="227">
        <v>6300</v>
      </c>
      <c r="V362" s="227">
        <v>7947</v>
      </c>
      <c r="W362" s="227" t="s">
        <v>5370</v>
      </c>
      <c r="X362" s="227">
        <v>534</v>
      </c>
      <c r="Y362" s="227" t="s">
        <v>5371</v>
      </c>
      <c r="Z362" s="227">
        <v>3996</v>
      </c>
      <c r="AA362" s="227" t="s">
        <v>5372</v>
      </c>
      <c r="AB362" s="212"/>
      <c r="AC362" s="212"/>
      <c r="AD362" s="213">
        <v>44295</v>
      </c>
      <c r="AE362" s="213">
        <v>44379</v>
      </c>
      <c r="AF362" s="213">
        <v>44481</v>
      </c>
      <c r="AG362" s="213"/>
      <c r="AH362" s="75">
        <f t="shared" si="22"/>
        <v>0.44560714285714287</v>
      </c>
      <c r="AI362" s="75">
        <f t="shared" si="23"/>
        <v>1</v>
      </c>
      <c r="AJ362" s="75">
        <f t="shared" si="24"/>
        <v>1</v>
      </c>
      <c r="AK362" s="75">
        <f t="shared" si="25"/>
        <v>1</v>
      </c>
      <c r="AL362" s="75" t="s">
        <v>2467</v>
      </c>
      <c r="AM362" s="214" t="s">
        <v>739</v>
      </c>
      <c r="AN362" s="214" t="s">
        <v>828</v>
      </c>
      <c r="AO362" s="214" t="s">
        <v>828</v>
      </c>
      <c r="AP362" s="214"/>
      <c r="AQ362" s="214" t="s">
        <v>5373</v>
      </c>
      <c r="AR362" s="214" t="s">
        <v>5374</v>
      </c>
      <c r="AS362" s="214" t="s">
        <v>5375</v>
      </c>
      <c r="AT362" s="214"/>
      <c r="AU362" s="214" t="s">
        <v>739</v>
      </c>
      <c r="AV362" s="214" t="s">
        <v>828</v>
      </c>
      <c r="AW362" s="214" t="s">
        <v>828</v>
      </c>
      <c r="AX362" s="214"/>
      <c r="AY362" s="214" t="s">
        <v>5376</v>
      </c>
      <c r="AZ362" s="214" t="s">
        <v>5377</v>
      </c>
      <c r="BA362" s="214" t="s">
        <v>5378</v>
      </c>
      <c r="BB362" s="214"/>
      <c r="BC362" s="143" t="s">
        <v>727</v>
      </c>
    </row>
    <row r="363" spans="1:55" ht="15" customHeight="1" x14ac:dyDescent="0.25">
      <c r="A363" s="210">
        <v>2</v>
      </c>
      <c r="B363" s="143" t="s">
        <v>5365</v>
      </c>
      <c r="C363" s="143" t="s">
        <v>5366</v>
      </c>
      <c r="D363" s="143" t="s">
        <v>141</v>
      </c>
      <c r="E363" s="143" t="s">
        <v>728</v>
      </c>
      <c r="F363" s="143" t="s">
        <v>3442</v>
      </c>
      <c r="G363" s="143" t="s">
        <v>730</v>
      </c>
      <c r="H363" s="143" t="s">
        <v>731</v>
      </c>
      <c r="I363" s="143" t="s">
        <v>5379</v>
      </c>
      <c r="J363" s="217">
        <v>44197</v>
      </c>
      <c r="K363" s="217">
        <v>44561</v>
      </c>
      <c r="L363" s="143" t="s">
        <v>5368</v>
      </c>
      <c r="M363" s="143" t="s">
        <v>517</v>
      </c>
      <c r="N363" s="143" t="s">
        <v>30</v>
      </c>
      <c r="O363" s="143" t="s">
        <v>5369</v>
      </c>
      <c r="P363" s="143" t="s">
        <v>3403</v>
      </c>
      <c r="Q363" s="227">
        <v>6400</v>
      </c>
      <c r="R363" s="227">
        <v>1510</v>
      </c>
      <c r="S363" s="227">
        <v>1760</v>
      </c>
      <c r="T363" s="227">
        <v>1580</v>
      </c>
      <c r="U363" s="227">
        <v>1550</v>
      </c>
      <c r="V363" s="227">
        <v>1245</v>
      </c>
      <c r="W363" s="227" t="s">
        <v>5380</v>
      </c>
      <c r="X363" s="227">
        <v>7</v>
      </c>
      <c r="Y363" s="227" t="s">
        <v>5371</v>
      </c>
      <c r="Z363" s="227">
        <v>1073</v>
      </c>
      <c r="AA363" s="227" t="s">
        <v>5381</v>
      </c>
      <c r="AB363" s="241"/>
      <c r="AC363" s="241"/>
      <c r="AD363" s="213">
        <v>44295</v>
      </c>
      <c r="AE363" s="213">
        <v>44379</v>
      </c>
      <c r="AF363" s="213">
        <v>44481</v>
      </c>
      <c r="AG363" s="213"/>
      <c r="AH363" s="75">
        <f t="shared" si="22"/>
        <v>0.36328125</v>
      </c>
      <c r="AI363" s="75">
        <f t="shared" si="23"/>
        <v>0.82450331125827814</v>
      </c>
      <c r="AJ363" s="75">
        <f t="shared" si="24"/>
        <v>1</v>
      </c>
      <c r="AK363" s="75">
        <f t="shared" si="25"/>
        <v>1</v>
      </c>
      <c r="AL363" s="75" t="s">
        <v>2467</v>
      </c>
      <c r="AM363" s="214" t="s">
        <v>828</v>
      </c>
      <c r="AN363" s="214" t="s">
        <v>828</v>
      </c>
      <c r="AO363" s="214" t="s">
        <v>828</v>
      </c>
      <c r="AP363" s="214"/>
      <c r="AQ363" s="214" t="s">
        <v>3407</v>
      </c>
      <c r="AR363" s="214" t="s">
        <v>5374</v>
      </c>
      <c r="AS363" s="214" t="s">
        <v>5382</v>
      </c>
      <c r="AT363" s="214"/>
      <c r="AU363" s="214" t="s">
        <v>828</v>
      </c>
      <c r="AV363" s="214" t="s">
        <v>828</v>
      </c>
      <c r="AW363" s="214" t="s">
        <v>828</v>
      </c>
      <c r="AX363" s="214"/>
      <c r="AY363" s="214" t="s">
        <v>5383</v>
      </c>
      <c r="AZ363" s="214" t="s">
        <v>5384</v>
      </c>
      <c r="BA363" s="214" t="s">
        <v>5385</v>
      </c>
      <c r="BB363" s="214"/>
      <c r="BC363" s="143" t="s">
        <v>727</v>
      </c>
    </row>
    <row r="364" spans="1:55" ht="15" customHeight="1" x14ac:dyDescent="0.25">
      <c r="A364" s="210">
        <v>3</v>
      </c>
      <c r="B364" s="143" t="s">
        <v>5365</v>
      </c>
      <c r="C364" s="143" t="s">
        <v>5366</v>
      </c>
      <c r="D364" s="143" t="s">
        <v>141</v>
      </c>
      <c r="E364" s="143" t="s">
        <v>728</v>
      </c>
      <c r="F364" s="143" t="s">
        <v>3442</v>
      </c>
      <c r="G364" s="143" t="s">
        <v>730</v>
      </c>
      <c r="H364" s="143" t="s">
        <v>731</v>
      </c>
      <c r="I364" s="143" t="s">
        <v>5386</v>
      </c>
      <c r="J364" s="217">
        <v>44197</v>
      </c>
      <c r="K364" s="217">
        <v>44561</v>
      </c>
      <c r="L364" s="143" t="s">
        <v>5368</v>
      </c>
      <c r="M364" s="143" t="s">
        <v>517</v>
      </c>
      <c r="N364" s="143" t="s">
        <v>30</v>
      </c>
      <c r="O364" s="143" t="s">
        <v>5369</v>
      </c>
      <c r="P364" s="143" t="s">
        <v>3403</v>
      </c>
      <c r="Q364" s="227">
        <v>1600</v>
      </c>
      <c r="R364" s="227">
        <v>280</v>
      </c>
      <c r="S364" s="227">
        <v>385</v>
      </c>
      <c r="T364" s="227">
        <v>505</v>
      </c>
      <c r="U364" s="227">
        <v>430</v>
      </c>
      <c r="V364" s="227">
        <v>402</v>
      </c>
      <c r="W364" s="227" t="s">
        <v>5380</v>
      </c>
      <c r="X364" s="227">
        <v>68</v>
      </c>
      <c r="Y364" s="227" t="s">
        <v>5371</v>
      </c>
      <c r="Z364" s="227">
        <v>243</v>
      </c>
      <c r="AA364" s="227" t="s">
        <v>5387</v>
      </c>
      <c r="AB364" s="223"/>
      <c r="AC364" s="223"/>
      <c r="AD364" s="213">
        <v>44295</v>
      </c>
      <c r="AE364" s="213">
        <v>44379</v>
      </c>
      <c r="AF364" s="213">
        <v>44481</v>
      </c>
      <c r="AG364" s="213"/>
      <c r="AH364" s="75">
        <f t="shared" si="22"/>
        <v>0.44562499999999999</v>
      </c>
      <c r="AI364" s="75">
        <f t="shared" si="23"/>
        <v>1</v>
      </c>
      <c r="AJ364" s="75">
        <f t="shared" si="24"/>
        <v>1</v>
      </c>
      <c r="AK364" s="75">
        <f t="shared" si="25"/>
        <v>1</v>
      </c>
      <c r="AL364" s="75" t="s">
        <v>2467</v>
      </c>
      <c r="AM364" s="214" t="s">
        <v>739</v>
      </c>
      <c r="AN364" s="214" t="s">
        <v>828</v>
      </c>
      <c r="AO364" s="214" t="s">
        <v>828</v>
      </c>
      <c r="AP364" s="214"/>
      <c r="AQ364" s="214" t="s">
        <v>5388</v>
      </c>
      <c r="AR364" s="214" t="s">
        <v>5389</v>
      </c>
      <c r="AS364" s="214" t="s">
        <v>5390</v>
      </c>
      <c r="AT364" s="214"/>
      <c r="AU364" s="214" t="s">
        <v>739</v>
      </c>
      <c r="AV364" s="214" t="s">
        <v>828</v>
      </c>
      <c r="AW364" s="214" t="s">
        <v>828</v>
      </c>
      <c r="AX364" s="214"/>
      <c r="AY364" s="214" t="s">
        <v>5391</v>
      </c>
      <c r="AZ364" s="214" t="s">
        <v>5392</v>
      </c>
      <c r="BA364" s="214" t="s">
        <v>5393</v>
      </c>
      <c r="BB364" s="214"/>
      <c r="BC364" s="143" t="s">
        <v>727</v>
      </c>
    </row>
    <row r="365" spans="1:55" ht="15" customHeight="1" x14ac:dyDescent="0.25">
      <c r="A365" s="210">
        <v>4</v>
      </c>
      <c r="B365" s="143" t="s">
        <v>5365</v>
      </c>
      <c r="C365" s="143" t="s">
        <v>5366</v>
      </c>
      <c r="D365" s="143" t="s">
        <v>141</v>
      </c>
      <c r="E365" s="143" t="s">
        <v>728</v>
      </c>
      <c r="F365" s="143" t="s">
        <v>3442</v>
      </c>
      <c r="G365" s="143" t="s">
        <v>730</v>
      </c>
      <c r="H365" s="143" t="s">
        <v>731</v>
      </c>
      <c r="I365" s="143" t="s">
        <v>5394</v>
      </c>
      <c r="J365" s="217">
        <v>44197</v>
      </c>
      <c r="K365" s="217">
        <v>44561</v>
      </c>
      <c r="L365" s="143" t="s">
        <v>5368</v>
      </c>
      <c r="M365" s="143" t="s">
        <v>517</v>
      </c>
      <c r="N365" s="143" t="s">
        <v>30</v>
      </c>
      <c r="O365" s="143" t="s">
        <v>5395</v>
      </c>
      <c r="P365" s="143" t="s">
        <v>3403</v>
      </c>
      <c r="Q365" s="227">
        <v>800</v>
      </c>
      <c r="R365" s="227">
        <v>175</v>
      </c>
      <c r="S365" s="227">
        <v>230</v>
      </c>
      <c r="T365" s="227">
        <v>245</v>
      </c>
      <c r="U365" s="227">
        <v>150</v>
      </c>
      <c r="V365" s="227">
        <v>343</v>
      </c>
      <c r="W365" s="227" t="s">
        <v>5380</v>
      </c>
      <c r="X365" s="227">
        <v>374</v>
      </c>
      <c r="Y365" s="227" t="s">
        <v>5396</v>
      </c>
      <c r="Z365" s="227">
        <v>0</v>
      </c>
      <c r="AA365" s="227" t="s">
        <v>5397</v>
      </c>
      <c r="AB365" s="212"/>
      <c r="AC365" s="212"/>
      <c r="AD365" s="213">
        <v>44295</v>
      </c>
      <c r="AE365" s="213">
        <v>44379</v>
      </c>
      <c r="AF365" s="213">
        <v>44481</v>
      </c>
      <c r="AG365" s="213"/>
      <c r="AH365" s="75">
        <f t="shared" si="22"/>
        <v>0.89624999999999999</v>
      </c>
      <c r="AI365" s="75">
        <f t="shared" si="23"/>
        <v>1</v>
      </c>
      <c r="AJ365" s="75">
        <f t="shared" si="24"/>
        <v>1</v>
      </c>
      <c r="AK365" s="75">
        <f t="shared" si="25"/>
        <v>1</v>
      </c>
      <c r="AL365" s="75" t="s">
        <v>2467</v>
      </c>
      <c r="AM365" s="214" t="s">
        <v>739</v>
      </c>
      <c r="AN365" s="214" t="s">
        <v>739</v>
      </c>
      <c r="AO365" s="214" t="s">
        <v>828</v>
      </c>
      <c r="AP365" s="214"/>
      <c r="AQ365" s="214" t="s">
        <v>5373</v>
      </c>
      <c r="AR365" s="214" t="s">
        <v>5398</v>
      </c>
      <c r="AS365" s="214" t="s">
        <v>5399</v>
      </c>
      <c r="AT365" s="214"/>
      <c r="AU365" s="214" t="s">
        <v>739</v>
      </c>
      <c r="AV365" s="214" t="s">
        <v>739</v>
      </c>
      <c r="AW365" s="214" t="s">
        <v>828</v>
      </c>
      <c r="AX365" s="214"/>
      <c r="AY365" s="214" t="s">
        <v>5400</v>
      </c>
      <c r="AZ365" s="214" t="s">
        <v>5401</v>
      </c>
      <c r="BA365" s="214" t="s">
        <v>5402</v>
      </c>
      <c r="BB365" s="214"/>
      <c r="BC365" s="143" t="s">
        <v>727</v>
      </c>
    </row>
    <row r="366" spans="1:55" ht="15" customHeight="1" x14ac:dyDescent="0.25">
      <c r="A366" s="210">
        <v>5</v>
      </c>
      <c r="B366" s="143" t="s">
        <v>5365</v>
      </c>
      <c r="C366" s="143" t="s">
        <v>5366</v>
      </c>
      <c r="D366" s="143" t="s">
        <v>141</v>
      </c>
      <c r="E366" s="143" t="s">
        <v>728</v>
      </c>
      <c r="F366" s="143" t="s">
        <v>3442</v>
      </c>
      <c r="G366" s="143" t="s">
        <v>730</v>
      </c>
      <c r="H366" s="143" t="s">
        <v>731</v>
      </c>
      <c r="I366" s="143" t="s">
        <v>5403</v>
      </c>
      <c r="J366" s="217">
        <v>44197</v>
      </c>
      <c r="K366" s="217">
        <v>44561</v>
      </c>
      <c r="L366" s="143" t="s">
        <v>5368</v>
      </c>
      <c r="M366" s="143" t="s">
        <v>517</v>
      </c>
      <c r="N366" s="143" t="s">
        <v>30</v>
      </c>
      <c r="O366" s="143" t="s">
        <v>5395</v>
      </c>
      <c r="P366" s="143" t="s">
        <v>3403</v>
      </c>
      <c r="Q366" s="227">
        <v>32000</v>
      </c>
      <c r="R366" s="227">
        <v>5000</v>
      </c>
      <c r="S366" s="227">
        <v>10100</v>
      </c>
      <c r="T366" s="227">
        <v>15000</v>
      </c>
      <c r="U366" s="227">
        <v>1900</v>
      </c>
      <c r="V366" s="227">
        <v>9295</v>
      </c>
      <c r="W366" s="227" t="s">
        <v>5404</v>
      </c>
      <c r="X366" s="227">
        <v>19875</v>
      </c>
      <c r="Y366" s="227" t="s">
        <v>5405</v>
      </c>
      <c r="Z366" s="227">
        <v>4480</v>
      </c>
      <c r="AA366" s="227" t="s">
        <v>5406</v>
      </c>
      <c r="AB366" s="223"/>
      <c r="AC366" s="223"/>
      <c r="AD366" s="213">
        <v>44295</v>
      </c>
      <c r="AE366" s="213">
        <v>44379</v>
      </c>
      <c r="AF366" s="213">
        <v>44481</v>
      </c>
      <c r="AG366" s="213"/>
      <c r="AH366" s="75">
        <f t="shared" si="22"/>
        <v>1</v>
      </c>
      <c r="AI366" s="75">
        <f t="shared" si="23"/>
        <v>1</v>
      </c>
      <c r="AJ366" s="75">
        <f t="shared" si="24"/>
        <v>1</v>
      </c>
      <c r="AK366" s="75">
        <f t="shared" si="25"/>
        <v>1</v>
      </c>
      <c r="AL366" s="75" t="s">
        <v>2467</v>
      </c>
      <c r="AM366" s="214" t="s">
        <v>739</v>
      </c>
      <c r="AN366" s="214" t="s">
        <v>739</v>
      </c>
      <c r="AO366" s="214" t="s">
        <v>739</v>
      </c>
      <c r="AP366" s="214"/>
      <c r="AQ366" s="214" t="s">
        <v>5373</v>
      </c>
      <c r="AR366" s="214" t="s">
        <v>5407</v>
      </c>
      <c r="AS366" s="214" t="s">
        <v>5408</v>
      </c>
      <c r="AT366" s="214"/>
      <c r="AU366" s="214" t="s">
        <v>739</v>
      </c>
      <c r="AV366" s="214" t="s">
        <v>739</v>
      </c>
      <c r="AW366" s="214" t="s">
        <v>739</v>
      </c>
      <c r="AX366" s="214"/>
      <c r="AY366" s="214" t="s">
        <v>5409</v>
      </c>
      <c r="AZ366" s="214" t="s">
        <v>5410</v>
      </c>
      <c r="BA366" s="214" t="s">
        <v>5411</v>
      </c>
      <c r="BB366" s="214"/>
      <c r="BC366" s="143" t="s">
        <v>727</v>
      </c>
    </row>
    <row r="367" spans="1:55" ht="15" customHeight="1" x14ac:dyDescent="0.25">
      <c r="A367" s="210">
        <v>6</v>
      </c>
      <c r="B367" s="143" t="s">
        <v>5365</v>
      </c>
      <c r="C367" s="143" t="s">
        <v>5366</v>
      </c>
      <c r="D367" s="143" t="s">
        <v>141</v>
      </c>
      <c r="E367" s="143" t="s">
        <v>728</v>
      </c>
      <c r="F367" s="143" t="s">
        <v>3442</v>
      </c>
      <c r="G367" s="143" t="s">
        <v>730</v>
      </c>
      <c r="H367" s="143" t="s">
        <v>731</v>
      </c>
      <c r="I367" s="143" t="s">
        <v>5412</v>
      </c>
      <c r="J367" s="217">
        <v>44197</v>
      </c>
      <c r="K367" s="217">
        <v>44561</v>
      </c>
      <c r="L367" s="143" t="s">
        <v>5368</v>
      </c>
      <c r="M367" s="143" t="s">
        <v>517</v>
      </c>
      <c r="N367" s="143" t="s">
        <v>30</v>
      </c>
      <c r="O367" s="143" t="s">
        <v>5395</v>
      </c>
      <c r="P367" s="143" t="s">
        <v>3403</v>
      </c>
      <c r="Q367" s="227">
        <v>6400</v>
      </c>
      <c r="R367" s="227">
        <v>1450</v>
      </c>
      <c r="S367" s="227">
        <v>2200</v>
      </c>
      <c r="T367" s="227">
        <v>2100</v>
      </c>
      <c r="U367" s="227">
        <v>650</v>
      </c>
      <c r="V367" s="227">
        <v>1315</v>
      </c>
      <c r="W367" s="227" t="s">
        <v>5404</v>
      </c>
      <c r="X367" s="227">
        <v>1512</v>
      </c>
      <c r="Y367" s="227" t="s">
        <v>5413</v>
      </c>
      <c r="Z367" s="227">
        <v>410</v>
      </c>
      <c r="AA367" s="227" t="s">
        <v>5414</v>
      </c>
      <c r="AB367" s="212"/>
      <c r="AC367" s="212"/>
      <c r="AD367" s="213">
        <v>44295</v>
      </c>
      <c r="AE367" s="213">
        <v>44379</v>
      </c>
      <c r="AF367" s="213">
        <v>44481</v>
      </c>
      <c r="AG367" s="213"/>
      <c r="AH367" s="75">
        <f t="shared" si="22"/>
        <v>0.50578124999999996</v>
      </c>
      <c r="AI367" s="75">
        <f t="shared" si="23"/>
        <v>0.90689655172413797</v>
      </c>
      <c r="AJ367" s="75">
        <f t="shared" si="24"/>
        <v>1</v>
      </c>
      <c r="AK367" s="75">
        <f t="shared" si="25"/>
        <v>1</v>
      </c>
      <c r="AL367" s="75" t="s">
        <v>2467</v>
      </c>
      <c r="AM367" s="214" t="s">
        <v>828</v>
      </c>
      <c r="AN367" s="214" t="s">
        <v>828</v>
      </c>
      <c r="AO367" s="214" t="s">
        <v>828</v>
      </c>
      <c r="AP367" s="214"/>
      <c r="AQ367" s="214" t="s">
        <v>3407</v>
      </c>
      <c r="AR367" s="214" t="s">
        <v>5415</v>
      </c>
      <c r="AS367" s="214" t="s">
        <v>5416</v>
      </c>
      <c r="AT367" s="214"/>
      <c r="AU367" s="214" t="s">
        <v>828</v>
      </c>
      <c r="AV367" s="214" t="s">
        <v>828</v>
      </c>
      <c r="AW367" s="214" t="s">
        <v>828</v>
      </c>
      <c r="AX367" s="214"/>
      <c r="AY367" s="214" t="s">
        <v>5417</v>
      </c>
      <c r="AZ367" s="214" t="s">
        <v>5418</v>
      </c>
      <c r="BA367" s="214" t="s">
        <v>5419</v>
      </c>
      <c r="BB367" s="214"/>
      <c r="BC367" s="143" t="s">
        <v>727</v>
      </c>
    </row>
    <row r="368" spans="1:55" ht="15" customHeight="1" x14ac:dyDescent="0.25">
      <c r="A368" s="210">
        <v>7</v>
      </c>
      <c r="B368" s="143" t="s">
        <v>5365</v>
      </c>
      <c r="C368" s="143" t="s">
        <v>5366</v>
      </c>
      <c r="D368" s="143" t="s">
        <v>141</v>
      </c>
      <c r="E368" s="143" t="s">
        <v>728</v>
      </c>
      <c r="F368" s="143" t="s">
        <v>3442</v>
      </c>
      <c r="G368" s="143" t="s">
        <v>730</v>
      </c>
      <c r="H368" s="143" t="s">
        <v>731</v>
      </c>
      <c r="I368" s="143" t="s">
        <v>5420</v>
      </c>
      <c r="J368" s="217">
        <v>44197</v>
      </c>
      <c r="K368" s="217">
        <v>44561</v>
      </c>
      <c r="L368" s="143" t="s">
        <v>5368</v>
      </c>
      <c r="M368" s="143" t="s">
        <v>517</v>
      </c>
      <c r="N368" s="143" t="s">
        <v>30</v>
      </c>
      <c r="O368" s="143" t="s">
        <v>5395</v>
      </c>
      <c r="P368" s="143" t="s">
        <v>3403</v>
      </c>
      <c r="Q368" s="227">
        <v>3200</v>
      </c>
      <c r="R368" s="227">
        <v>490</v>
      </c>
      <c r="S368" s="227">
        <v>1160</v>
      </c>
      <c r="T368" s="227">
        <v>1510</v>
      </c>
      <c r="U368" s="227">
        <v>40</v>
      </c>
      <c r="V368" s="227">
        <v>653</v>
      </c>
      <c r="W368" s="227" t="s">
        <v>5404</v>
      </c>
      <c r="X368" s="227">
        <v>134</v>
      </c>
      <c r="Y368" s="227" t="s">
        <v>5421</v>
      </c>
      <c r="Z368" s="227">
        <v>95</v>
      </c>
      <c r="AA368" s="227" t="s">
        <v>5422</v>
      </c>
      <c r="AB368" s="212"/>
      <c r="AC368" s="212"/>
      <c r="AD368" s="213">
        <v>44295</v>
      </c>
      <c r="AE368" s="213">
        <v>44379</v>
      </c>
      <c r="AF368" s="213">
        <v>44481</v>
      </c>
      <c r="AG368" s="213"/>
      <c r="AH368" s="75">
        <f t="shared" si="22"/>
        <v>0.27562500000000001</v>
      </c>
      <c r="AI368" s="75">
        <f t="shared" si="23"/>
        <v>1</v>
      </c>
      <c r="AJ368" s="75">
        <f t="shared" si="24"/>
        <v>1</v>
      </c>
      <c r="AK368" s="75">
        <f t="shared" si="25"/>
        <v>1</v>
      </c>
      <c r="AL368" s="75" t="s">
        <v>2467</v>
      </c>
      <c r="AM368" s="214" t="s">
        <v>739</v>
      </c>
      <c r="AN368" s="214" t="s">
        <v>828</v>
      </c>
      <c r="AO368" s="214" t="s">
        <v>828</v>
      </c>
      <c r="AP368" s="214"/>
      <c r="AQ368" s="214" t="s">
        <v>5373</v>
      </c>
      <c r="AR368" s="214" t="s">
        <v>5423</v>
      </c>
      <c r="AS368" s="214" t="s">
        <v>5424</v>
      </c>
      <c r="AT368" s="214"/>
      <c r="AU368" s="214" t="s">
        <v>739</v>
      </c>
      <c r="AV368" s="214" t="s">
        <v>828</v>
      </c>
      <c r="AW368" s="214" t="s">
        <v>828</v>
      </c>
      <c r="AX368" s="214"/>
      <c r="AY368" s="214" t="s">
        <v>5409</v>
      </c>
      <c r="AZ368" s="214" t="s">
        <v>5425</v>
      </c>
      <c r="BA368" s="214" t="s">
        <v>5426</v>
      </c>
      <c r="BB368" s="214"/>
      <c r="BC368" s="143" t="s">
        <v>727</v>
      </c>
    </row>
    <row r="369" spans="1:55" ht="15" customHeight="1" x14ac:dyDescent="0.25">
      <c r="A369" s="210">
        <v>8</v>
      </c>
      <c r="B369" s="143" t="s">
        <v>5365</v>
      </c>
      <c r="C369" s="143" t="s">
        <v>5366</v>
      </c>
      <c r="D369" s="143" t="s">
        <v>141</v>
      </c>
      <c r="E369" s="143" t="s">
        <v>728</v>
      </c>
      <c r="F369" s="143" t="s">
        <v>3442</v>
      </c>
      <c r="G369" s="143" t="s">
        <v>730</v>
      </c>
      <c r="H369" s="143" t="s">
        <v>731</v>
      </c>
      <c r="I369" s="143" t="s">
        <v>5427</v>
      </c>
      <c r="J369" s="217">
        <v>44197</v>
      </c>
      <c r="K369" s="217">
        <v>44561</v>
      </c>
      <c r="L369" s="143" t="s">
        <v>5368</v>
      </c>
      <c r="M369" s="143" t="s">
        <v>517</v>
      </c>
      <c r="N369" s="143" t="s">
        <v>30</v>
      </c>
      <c r="O369" s="143" t="s">
        <v>5395</v>
      </c>
      <c r="P369" s="143" t="s">
        <v>3403</v>
      </c>
      <c r="Q369" s="227">
        <v>1600</v>
      </c>
      <c r="R369" s="227">
        <v>140</v>
      </c>
      <c r="S369" s="227">
        <v>940</v>
      </c>
      <c r="T369" s="227">
        <v>280</v>
      </c>
      <c r="U369" s="227">
        <v>240</v>
      </c>
      <c r="V369" s="227">
        <v>1072</v>
      </c>
      <c r="W369" s="227" t="s">
        <v>5404</v>
      </c>
      <c r="X369" s="227">
        <v>960</v>
      </c>
      <c r="Y369" s="227" t="s">
        <v>5428</v>
      </c>
      <c r="Z369" s="227">
        <v>921</v>
      </c>
      <c r="AA369" s="227" t="s">
        <v>5429</v>
      </c>
      <c r="AB369" s="241"/>
      <c r="AC369" s="241"/>
      <c r="AD369" s="213">
        <v>44295</v>
      </c>
      <c r="AE369" s="213">
        <v>44379</v>
      </c>
      <c r="AF369" s="213">
        <v>44481</v>
      </c>
      <c r="AG369" s="213"/>
      <c r="AH369" s="75">
        <f t="shared" si="22"/>
        <v>1</v>
      </c>
      <c r="AI369" s="75">
        <f t="shared" si="23"/>
        <v>1</v>
      </c>
      <c r="AJ369" s="75">
        <f t="shared" si="24"/>
        <v>1</v>
      </c>
      <c r="AK369" s="75">
        <f t="shared" si="25"/>
        <v>1</v>
      </c>
      <c r="AL369" s="75" t="s">
        <v>2467</v>
      </c>
      <c r="AM369" s="214" t="s">
        <v>739</v>
      </c>
      <c r="AN369" s="214" t="s">
        <v>739</v>
      </c>
      <c r="AO369" s="214" t="s">
        <v>739</v>
      </c>
      <c r="AP369" s="214"/>
      <c r="AQ369" s="214" t="s">
        <v>5430</v>
      </c>
      <c r="AR369" s="214" t="s">
        <v>5431</v>
      </c>
      <c r="AS369" s="214" t="s">
        <v>5432</v>
      </c>
      <c r="AT369" s="214"/>
      <c r="AU369" s="214" t="s">
        <v>739</v>
      </c>
      <c r="AV369" s="214" t="s">
        <v>739</v>
      </c>
      <c r="AW369" s="214" t="s">
        <v>739</v>
      </c>
      <c r="AX369" s="214"/>
      <c r="AY369" s="214" t="s">
        <v>5409</v>
      </c>
      <c r="AZ369" s="214" t="s">
        <v>5433</v>
      </c>
      <c r="BA369" s="214" t="s">
        <v>5434</v>
      </c>
      <c r="BB369" s="214"/>
      <c r="BC369" s="143" t="s">
        <v>727</v>
      </c>
    </row>
    <row r="370" spans="1:55" ht="15" customHeight="1" x14ac:dyDescent="0.25">
      <c r="A370" s="210">
        <v>9</v>
      </c>
      <c r="B370" s="143" t="s">
        <v>5365</v>
      </c>
      <c r="C370" s="143" t="s">
        <v>5366</v>
      </c>
      <c r="D370" s="143" t="s">
        <v>5435</v>
      </c>
      <c r="E370" s="143" t="s">
        <v>728</v>
      </c>
      <c r="F370" s="143" t="s">
        <v>5436</v>
      </c>
      <c r="G370" s="143" t="s">
        <v>730</v>
      </c>
      <c r="H370" s="143" t="s">
        <v>3400</v>
      </c>
      <c r="I370" s="143" t="s">
        <v>5437</v>
      </c>
      <c r="J370" s="217">
        <v>44228</v>
      </c>
      <c r="K370" s="217">
        <v>44561</v>
      </c>
      <c r="L370" s="143" t="s">
        <v>733</v>
      </c>
      <c r="M370" s="143" t="s">
        <v>517</v>
      </c>
      <c r="N370" s="143" t="s">
        <v>60</v>
      </c>
      <c r="O370" s="143" t="s">
        <v>5438</v>
      </c>
      <c r="P370" s="143" t="s">
        <v>3403</v>
      </c>
      <c r="Q370" s="222">
        <v>1</v>
      </c>
      <c r="R370" s="222">
        <v>0.1</v>
      </c>
      <c r="S370" s="222">
        <v>0.65</v>
      </c>
      <c r="T370" s="222">
        <v>0.25</v>
      </c>
      <c r="U370" s="222">
        <v>0</v>
      </c>
      <c r="V370" s="222">
        <v>0.1</v>
      </c>
      <c r="W370" s="222" t="s">
        <v>5439</v>
      </c>
      <c r="X370" s="222">
        <v>0.65</v>
      </c>
      <c r="Y370" s="222" t="s">
        <v>5440</v>
      </c>
      <c r="Z370" s="222">
        <v>0.25</v>
      </c>
      <c r="AA370" s="222" t="s">
        <v>5441</v>
      </c>
      <c r="AB370" s="212"/>
      <c r="AC370" s="212"/>
      <c r="AD370" s="213">
        <v>44295</v>
      </c>
      <c r="AE370" s="213">
        <v>44379</v>
      </c>
      <c r="AF370" s="213">
        <v>44481</v>
      </c>
      <c r="AG370" s="213"/>
      <c r="AH370" s="75">
        <f t="shared" si="22"/>
        <v>1</v>
      </c>
      <c r="AI370" s="75">
        <f t="shared" si="23"/>
        <v>1</v>
      </c>
      <c r="AJ370" s="75">
        <f t="shared" si="24"/>
        <v>1</v>
      </c>
      <c r="AK370" s="75">
        <f t="shared" si="25"/>
        <v>1</v>
      </c>
      <c r="AL370" s="75" t="s">
        <v>2467</v>
      </c>
      <c r="AM370" s="214" t="s">
        <v>739</v>
      </c>
      <c r="AN370" s="214" t="s">
        <v>739</v>
      </c>
      <c r="AO370" s="214" t="s">
        <v>739</v>
      </c>
      <c r="AP370" s="214"/>
      <c r="AQ370" s="214" t="s">
        <v>5442</v>
      </c>
      <c r="AR370" s="214" t="s">
        <v>5443</v>
      </c>
      <c r="AS370" s="214" t="s">
        <v>5444</v>
      </c>
      <c r="AT370" s="214"/>
      <c r="AU370" s="214" t="s">
        <v>739</v>
      </c>
      <c r="AV370" s="214" t="s">
        <v>739</v>
      </c>
      <c r="AW370" s="214" t="s">
        <v>739</v>
      </c>
      <c r="AX370" s="214"/>
      <c r="AY370" s="214" t="s">
        <v>5445</v>
      </c>
      <c r="AZ370" s="214" t="s">
        <v>5446</v>
      </c>
      <c r="BA370" s="214" t="s">
        <v>5447</v>
      </c>
      <c r="BB370" s="214"/>
      <c r="BC370" s="143" t="s">
        <v>727</v>
      </c>
    </row>
    <row r="371" spans="1:55" ht="15" customHeight="1" x14ac:dyDescent="0.25">
      <c r="A371" s="210">
        <v>10</v>
      </c>
      <c r="B371" s="143" t="s">
        <v>5365</v>
      </c>
      <c r="C371" s="143" t="s">
        <v>5366</v>
      </c>
      <c r="D371" s="143" t="s">
        <v>5435</v>
      </c>
      <c r="E371" s="143" t="s">
        <v>728</v>
      </c>
      <c r="F371" s="143" t="s">
        <v>5436</v>
      </c>
      <c r="G371" s="143" t="s">
        <v>730</v>
      </c>
      <c r="H371" s="143" t="s">
        <v>3400</v>
      </c>
      <c r="I371" s="143" t="s">
        <v>5448</v>
      </c>
      <c r="J371" s="217">
        <v>44228</v>
      </c>
      <c r="K371" s="217">
        <v>44561</v>
      </c>
      <c r="L371" s="143" t="s">
        <v>733</v>
      </c>
      <c r="M371" s="143" t="s">
        <v>517</v>
      </c>
      <c r="N371" s="143" t="s">
        <v>60</v>
      </c>
      <c r="O371" s="143" t="s">
        <v>5438</v>
      </c>
      <c r="P371" s="143" t="s">
        <v>3403</v>
      </c>
      <c r="Q371" s="222">
        <v>1</v>
      </c>
      <c r="R371" s="222">
        <v>0.24</v>
      </c>
      <c r="S371" s="222">
        <v>0.28000000000000003</v>
      </c>
      <c r="T371" s="222">
        <v>0.24</v>
      </c>
      <c r="U371" s="222">
        <v>0.24</v>
      </c>
      <c r="V371" s="222">
        <v>0.24</v>
      </c>
      <c r="W371" s="222" t="s">
        <v>5449</v>
      </c>
      <c r="X371" s="222">
        <v>0.28000000000000003</v>
      </c>
      <c r="Y371" s="222" t="s">
        <v>5450</v>
      </c>
      <c r="Z371" s="222">
        <v>0.36</v>
      </c>
      <c r="AA371" s="222" t="s">
        <v>5451</v>
      </c>
      <c r="AB371" s="212"/>
      <c r="AC371" s="212"/>
      <c r="AD371" s="213">
        <v>44295</v>
      </c>
      <c r="AE371" s="213">
        <v>44379</v>
      </c>
      <c r="AF371" s="213">
        <v>44481</v>
      </c>
      <c r="AG371" s="213"/>
      <c r="AH371" s="75">
        <f t="shared" si="22"/>
        <v>0.88</v>
      </c>
      <c r="AI371" s="75">
        <f t="shared" si="23"/>
        <v>1</v>
      </c>
      <c r="AJ371" s="75">
        <f t="shared" si="24"/>
        <v>1</v>
      </c>
      <c r="AK371" s="75">
        <f t="shared" si="25"/>
        <v>1</v>
      </c>
      <c r="AL371" s="75" t="s">
        <v>2467</v>
      </c>
      <c r="AM371" s="214" t="s">
        <v>739</v>
      </c>
      <c r="AN371" s="214" t="s">
        <v>739</v>
      </c>
      <c r="AO371" s="214" t="s">
        <v>739</v>
      </c>
      <c r="AP371" s="214"/>
      <c r="AQ371" s="214" t="s">
        <v>5442</v>
      </c>
      <c r="AR371" s="214" t="s">
        <v>5452</v>
      </c>
      <c r="AS371" s="214" t="s">
        <v>5453</v>
      </c>
      <c r="AT371" s="214"/>
      <c r="AU371" s="214" t="s">
        <v>739</v>
      </c>
      <c r="AV371" s="214" t="s">
        <v>739</v>
      </c>
      <c r="AW371" s="214" t="s">
        <v>739</v>
      </c>
      <c r="AX371" s="214"/>
      <c r="AY371" s="214" t="s">
        <v>5445</v>
      </c>
      <c r="AZ371" s="214" t="s">
        <v>5446</v>
      </c>
      <c r="BA371" s="214" t="s">
        <v>5454</v>
      </c>
      <c r="BB371" s="214"/>
      <c r="BC371" s="143" t="s">
        <v>727</v>
      </c>
    </row>
    <row r="372" spans="1:55" ht="15" customHeight="1" x14ac:dyDescent="0.25">
      <c r="A372" s="210">
        <v>11</v>
      </c>
      <c r="B372" s="143" t="s">
        <v>5365</v>
      </c>
      <c r="C372" s="143" t="s">
        <v>5366</v>
      </c>
      <c r="D372" s="143" t="s">
        <v>5435</v>
      </c>
      <c r="E372" s="143" t="s">
        <v>728</v>
      </c>
      <c r="F372" s="143" t="s">
        <v>5436</v>
      </c>
      <c r="G372" s="143" t="s">
        <v>730</v>
      </c>
      <c r="H372" s="143" t="s">
        <v>3400</v>
      </c>
      <c r="I372" s="143" t="s">
        <v>5455</v>
      </c>
      <c r="J372" s="217">
        <v>44228</v>
      </c>
      <c r="K372" s="217">
        <v>44561</v>
      </c>
      <c r="L372" s="143" t="s">
        <v>733</v>
      </c>
      <c r="M372" s="143" t="s">
        <v>517</v>
      </c>
      <c r="N372" s="143" t="s">
        <v>60</v>
      </c>
      <c r="O372" s="143" t="s">
        <v>5438</v>
      </c>
      <c r="P372" s="143" t="s">
        <v>3403</v>
      </c>
      <c r="Q372" s="222">
        <v>1</v>
      </c>
      <c r="R372" s="222">
        <v>0.45</v>
      </c>
      <c r="S372" s="222">
        <v>0.55000000000000004</v>
      </c>
      <c r="T372" s="222">
        <v>0</v>
      </c>
      <c r="U372" s="222">
        <v>0</v>
      </c>
      <c r="V372" s="222">
        <v>0.04</v>
      </c>
      <c r="W372" s="222" t="s">
        <v>5456</v>
      </c>
      <c r="X372" s="222">
        <v>0.55000000000000004</v>
      </c>
      <c r="Y372" s="222" t="s">
        <v>5457</v>
      </c>
      <c r="Z372" s="222">
        <v>0.2</v>
      </c>
      <c r="AA372" s="222" t="s">
        <v>5458</v>
      </c>
      <c r="AB372" s="212"/>
      <c r="AC372" s="212"/>
      <c r="AD372" s="213">
        <v>44295</v>
      </c>
      <c r="AE372" s="213">
        <v>44379</v>
      </c>
      <c r="AF372" s="213">
        <v>44481</v>
      </c>
      <c r="AG372" s="213"/>
      <c r="AH372" s="75">
        <f t="shared" si="22"/>
        <v>0.79</v>
      </c>
      <c r="AI372" s="75">
        <f t="shared" si="23"/>
        <v>8.8888888888888892E-2</v>
      </c>
      <c r="AJ372" s="75">
        <f t="shared" si="24"/>
        <v>1</v>
      </c>
      <c r="AK372" s="75" t="str">
        <f t="shared" si="25"/>
        <v/>
      </c>
      <c r="AL372" s="75" t="s">
        <v>2467</v>
      </c>
      <c r="AM372" s="214" t="s">
        <v>828</v>
      </c>
      <c r="AN372" s="214" t="s">
        <v>739</v>
      </c>
      <c r="AO372" s="214" t="s">
        <v>739</v>
      </c>
      <c r="AP372" s="214"/>
      <c r="AQ372" s="214" t="s">
        <v>5459</v>
      </c>
      <c r="AR372" s="214" t="s">
        <v>5460</v>
      </c>
      <c r="AS372" s="214" t="s">
        <v>5461</v>
      </c>
      <c r="AT372" s="214"/>
      <c r="AU372" s="214" t="s">
        <v>828</v>
      </c>
      <c r="AV372" s="214" t="s">
        <v>739</v>
      </c>
      <c r="AW372" s="214" t="s">
        <v>739</v>
      </c>
      <c r="AX372" s="214"/>
      <c r="AY372" s="214" t="s">
        <v>5462</v>
      </c>
      <c r="AZ372" s="214" t="s">
        <v>5463</v>
      </c>
      <c r="BA372" s="214" t="s">
        <v>5464</v>
      </c>
      <c r="BB372" s="214"/>
      <c r="BC372" s="143" t="s">
        <v>727</v>
      </c>
    </row>
    <row r="373" spans="1:55" ht="15" customHeight="1" x14ac:dyDescent="0.25">
      <c r="A373" s="210">
        <v>12</v>
      </c>
      <c r="B373" s="143" t="s">
        <v>5365</v>
      </c>
      <c r="C373" s="143" t="s">
        <v>5366</v>
      </c>
      <c r="D373" s="143" t="s">
        <v>5435</v>
      </c>
      <c r="E373" s="143" t="s">
        <v>728</v>
      </c>
      <c r="F373" s="143" t="s">
        <v>5436</v>
      </c>
      <c r="G373" s="143" t="s">
        <v>730</v>
      </c>
      <c r="H373" s="143" t="s">
        <v>3400</v>
      </c>
      <c r="I373" s="143" t="s">
        <v>5465</v>
      </c>
      <c r="J373" s="217">
        <v>44228</v>
      </c>
      <c r="K373" s="217">
        <v>44561</v>
      </c>
      <c r="L373" s="143" t="s">
        <v>733</v>
      </c>
      <c r="M373" s="143" t="s">
        <v>517</v>
      </c>
      <c r="N373" s="143" t="s">
        <v>60</v>
      </c>
      <c r="O373" s="143" t="s">
        <v>5438</v>
      </c>
      <c r="P373" s="143" t="s">
        <v>3403</v>
      </c>
      <c r="Q373" s="222">
        <v>1</v>
      </c>
      <c r="R373" s="222">
        <v>0.1</v>
      </c>
      <c r="S373" s="222">
        <v>0.55000000000000004</v>
      </c>
      <c r="T373" s="222">
        <v>0.35</v>
      </c>
      <c r="U373" s="222">
        <v>0</v>
      </c>
      <c r="V373" s="222">
        <v>0</v>
      </c>
      <c r="W373" s="222">
        <v>0</v>
      </c>
      <c r="X373" s="222">
        <v>0.55000000000000004</v>
      </c>
      <c r="Y373" s="222" t="s">
        <v>5466</v>
      </c>
      <c r="Z373" s="222">
        <v>0.35</v>
      </c>
      <c r="AA373" s="222" t="s">
        <v>5467</v>
      </c>
      <c r="AB373" s="219"/>
      <c r="AC373" s="219"/>
      <c r="AD373" s="213">
        <v>44295</v>
      </c>
      <c r="AE373" s="213">
        <v>44379</v>
      </c>
      <c r="AF373" s="213">
        <v>44481</v>
      </c>
      <c r="AG373" s="213"/>
      <c r="AH373" s="75">
        <f t="shared" si="22"/>
        <v>0.9</v>
      </c>
      <c r="AI373" s="75">
        <f t="shared" si="23"/>
        <v>0</v>
      </c>
      <c r="AJ373" s="75">
        <f t="shared" si="24"/>
        <v>1</v>
      </c>
      <c r="AK373" s="75">
        <f t="shared" si="25"/>
        <v>1</v>
      </c>
      <c r="AL373" s="75" t="s">
        <v>2467</v>
      </c>
      <c r="AM373" s="214" t="s">
        <v>828</v>
      </c>
      <c r="AN373" s="214" t="s">
        <v>739</v>
      </c>
      <c r="AO373" s="214" t="s">
        <v>739</v>
      </c>
      <c r="AP373" s="214"/>
      <c r="AQ373" s="214" t="s">
        <v>5462</v>
      </c>
      <c r="AR373" s="214" t="s">
        <v>3489</v>
      </c>
      <c r="AS373" s="214" t="s">
        <v>5468</v>
      </c>
      <c r="AT373" s="214"/>
      <c r="AU373" s="214" t="s">
        <v>828</v>
      </c>
      <c r="AV373" s="214" t="s">
        <v>739</v>
      </c>
      <c r="AW373" s="214" t="s">
        <v>739</v>
      </c>
      <c r="AX373" s="214"/>
      <c r="AY373" s="214" t="s">
        <v>5462</v>
      </c>
      <c r="AZ373" s="214" t="s">
        <v>5469</v>
      </c>
      <c r="BA373" s="214" t="s">
        <v>5470</v>
      </c>
      <c r="BB373" s="214"/>
      <c r="BC373" s="143" t="s">
        <v>727</v>
      </c>
    </row>
    <row r="374" spans="1:55" ht="15" customHeight="1" x14ac:dyDescent="0.25">
      <c r="A374" s="210">
        <v>13</v>
      </c>
      <c r="B374" s="143" t="s">
        <v>5365</v>
      </c>
      <c r="C374" s="143" t="s">
        <v>5366</v>
      </c>
      <c r="D374" s="143" t="s">
        <v>5435</v>
      </c>
      <c r="E374" s="143" t="s">
        <v>728</v>
      </c>
      <c r="F374" s="143" t="s">
        <v>5436</v>
      </c>
      <c r="G374" s="143" t="s">
        <v>730</v>
      </c>
      <c r="H374" s="143" t="s">
        <v>3400</v>
      </c>
      <c r="I374" s="143" t="s">
        <v>5471</v>
      </c>
      <c r="J374" s="217">
        <v>44228</v>
      </c>
      <c r="K374" s="217">
        <v>44561</v>
      </c>
      <c r="L374" s="143" t="s">
        <v>733</v>
      </c>
      <c r="M374" s="143" t="s">
        <v>517</v>
      </c>
      <c r="N374" s="143" t="s">
        <v>60</v>
      </c>
      <c r="O374" s="143" t="s">
        <v>5438</v>
      </c>
      <c r="P374" s="143" t="s">
        <v>3403</v>
      </c>
      <c r="Q374" s="222">
        <v>1</v>
      </c>
      <c r="R374" s="222">
        <v>0.1</v>
      </c>
      <c r="S374" s="222">
        <v>0.55000000000000004</v>
      </c>
      <c r="T374" s="222">
        <v>0.35</v>
      </c>
      <c r="U374" s="222">
        <v>0</v>
      </c>
      <c r="V374" s="222">
        <v>0</v>
      </c>
      <c r="W374" s="222">
        <v>0</v>
      </c>
      <c r="X374" s="222">
        <v>0.55000000000000004</v>
      </c>
      <c r="Y374" s="222" t="s">
        <v>5472</v>
      </c>
      <c r="Z374" s="222">
        <v>0.35</v>
      </c>
      <c r="AA374" s="222" t="s">
        <v>5473</v>
      </c>
      <c r="AB374" s="223"/>
      <c r="AC374" s="223"/>
      <c r="AD374" s="213">
        <v>44295</v>
      </c>
      <c r="AE374" s="213">
        <v>44379</v>
      </c>
      <c r="AF374" s="213">
        <v>44481</v>
      </c>
      <c r="AG374" s="213"/>
      <c r="AH374" s="75">
        <f t="shared" si="22"/>
        <v>0.9</v>
      </c>
      <c r="AI374" s="75">
        <f t="shared" si="23"/>
        <v>0</v>
      </c>
      <c r="AJ374" s="75">
        <f t="shared" si="24"/>
        <v>1</v>
      </c>
      <c r="AK374" s="75">
        <f t="shared" si="25"/>
        <v>1</v>
      </c>
      <c r="AL374" s="75" t="s">
        <v>2467</v>
      </c>
      <c r="AM374" s="214" t="s">
        <v>828</v>
      </c>
      <c r="AN374" s="214" t="s">
        <v>739</v>
      </c>
      <c r="AO374" s="214" t="s">
        <v>739</v>
      </c>
      <c r="AP374" s="214"/>
      <c r="AQ374" s="214" t="s">
        <v>5462</v>
      </c>
      <c r="AR374" s="214" t="s">
        <v>3489</v>
      </c>
      <c r="AS374" s="214" t="s">
        <v>5474</v>
      </c>
      <c r="AT374" s="214"/>
      <c r="AU374" s="214" t="s">
        <v>828</v>
      </c>
      <c r="AV374" s="214" t="s">
        <v>739</v>
      </c>
      <c r="AW374" s="214" t="s">
        <v>739</v>
      </c>
      <c r="AX374" s="214"/>
      <c r="AY374" s="214" t="s">
        <v>5462</v>
      </c>
      <c r="AZ374" s="214" t="s">
        <v>5469</v>
      </c>
      <c r="BA374" s="214" t="s">
        <v>5475</v>
      </c>
      <c r="BB374" s="214"/>
      <c r="BC374" s="143" t="s">
        <v>727</v>
      </c>
    </row>
    <row r="375" spans="1:55" ht="15" customHeight="1" x14ac:dyDescent="0.25">
      <c r="A375" s="210">
        <v>14</v>
      </c>
      <c r="B375" s="143" t="s">
        <v>5365</v>
      </c>
      <c r="C375" s="143" t="s">
        <v>5366</v>
      </c>
      <c r="D375" s="143" t="s">
        <v>5435</v>
      </c>
      <c r="E375" s="143" t="s">
        <v>728</v>
      </c>
      <c r="F375" s="143" t="s">
        <v>5436</v>
      </c>
      <c r="G375" s="143" t="s">
        <v>730</v>
      </c>
      <c r="H375" s="143" t="s">
        <v>3400</v>
      </c>
      <c r="I375" s="143" t="s">
        <v>5476</v>
      </c>
      <c r="J375" s="217">
        <v>44228</v>
      </c>
      <c r="K375" s="217">
        <v>44561</v>
      </c>
      <c r="L375" s="143" t="s">
        <v>733</v>
      </c>
      <c r="M375" s="143" t="s">
        <v>517</v>
      </c>
      <c r="N375" s="143" t="s">
        <v>60</v>
      </c>
      <c r="O375" s="143" t="s">
        <v>5438</v>
      </c>
      <c r="P375" s="143" t="s">
        <v>3403</v>
      </c>
      <c r="Q375" s="222">
        <v>1</v>
      </c>
      <c r="R375" s="222">
        <v>0</v>
      </c>
      <c r="S375" s="222">
        <v>0.3</v>
      </c>
      <c r="T375" s="222">
        <v>0</v>
      </c>
      <c r="U375" s="222">
        <v>0.7</v>
      </c>
      <c r="V375" s="222">
        <v>0</v>
      </c>
      <c r="W375" s="222">
        <v>0</v>
      </c>
      <c r="X375" s="222">
        <v>0.6</v>
      </c>
      <c r="Y375" s="222" t="s">
        <v>5477</v>
      </c>
      <c r="Z375" s="222">
        <v>0</v>
      </c>
      <c r="AA375" s="222" t="s">
        <v>5478</v>
      </c>
      <c r="AB375" s="223"/>
      <c r="AC375" s="223"/>
      <c r="AD375" s="213">
        <v>44295</v>
      </c>
      <c r="AE375" s="213">
        <v>44379</v>
      </c>
      <c r="AF375" s="213">
        <v>44481</v>
      </c>
      <c r="AG375" s="213"/>
      <c r="AH375" s="75">
        <f t="shared" si="22"/>
        <v>0.6</v>
      </c>
      <c r="AI375" s="75" t="str">
        <f t="shared" si="23"/>
        <v/>
      </c>
      <c r="AJ375" s="75">
        <f t="shared" si="24"/>
        <v>1</v>
      </c>
      <c r="AK375" s="75" t="str">
        <f t="shared" si="25"/>
        <v/>
      </c>
      <c r="AL375" s="75" t="s">
        <v>2467</v>
      </c>
      <c r="AM375" s="214" t="s">
        <v>838</v>
      </c>
      <c r="AN375" s="214" t="s">
        <v>739</v>
      </c>
      <c r="AO375" s="214" t="s">
        <v>739</v>
      </c>
      <c r="AP375" s="214"/>
      <c r="AQ375" s="214" t="s">
        <v>5479</v>
      </c>
      <c r="AR375" s="214" t="s">
        <v>5480</v>
      </c>
      <c r="AS375" s="214" t="s">
        <v>5481</v>
      </c>
      <c r="AT375" s="214"/>
      <c r="AU375" s="214" t="s">
        <v>838</v>
      </c>
      <c r="AV375" s="214" t="s">
        <v>739</v>
      </c>
      <c r="AW375" s="214" t="s">
        <v>838</v>
      </c>
      <c r="AX375" s="214"/>
      <c r="AY375" s="214" t="s">
        <v>5479</v>
      </c>
      <c r="AZ375" s="214" t="s">
        <v>5469</v>
      </c>
      <c r="BA375" s="214" t="s">
        <v>5479</v>
      </c>
      <c r="BB375" s="214"/>
      <c r="BC375" s="143" t="s">
        <v>727</v>
      </c>
    </row>
    <row r="376" spans="1:55" ht="15" customHeight="1" x14ac:dyDescent="0.25">
      <c r="A376" s="210">
        <v>15</v>
      </c>
      <c r="B376" s="143" t="s">
        <v>5365</v>
      </c>
      <c r="C376" s="143" t="s">
        <v>5366</v>
      </c>
      <c r="D376" s="143" t="s">
        <v>5435</v>
      </c>
      <c r="E376" s="143" t="s">
        <v>728</v>
      </c>
      <c r="F376" s="143" t="s">
        <v>5436</v>
      </c>
      <c r="G376" s="143" t="s">
        <v>730</v>
      </c>
      <c r="H376" s="143" t="s">
        <v>3400</v>
      </c>
      <c r="I376" s="143" t="s">
        <v>5482</v>
      </c>
      <c r="J376" s="217">
        <v>44197</v>
      </c>
      <c r="K376" s="217">
        <v>44561</v>
      </c>
      <c r="L376" s="143" t="s">
        <v>733</v>
      </c>
      <c r="M376" s="143" t="s">
        <v>517</v>
      </c>
      <c r="N376" s="143" t="s">
        <v>60</v>
      </c>
      <c r="O376" s="143" t="s">
        <v>5438</v>
      </c>
      <c r="P376" s="143" t="s">
        <v>3403</v>
      </c>
      <c r="Q376" s="222">
        <v>1</v>
      </c>
      <c r="R376" s="222">
        <v>0.19</v>
      </c>
      <c r="S376" s="222">
        <v>0.27</v>
      </c>
      <c r="T376" s="222">
        <v>0.27</v>
      </c>
      <c r="U376" s="222">
        <v>0.27</v>
      </c>
      <c r="V376" s="222">
        <v>0.19</v>
      </c>
      <c r="W376" s="222" t="s">
        <v>5483</v>
      </c>
      <c r="X376" s="222">
        <v>0.27</v>
      </c>
      <c r="Y376" s="222" t="s">
        <v>5484</v>
      </c>
      <c r="Z376" s="222">
        <v>0.27</v>
      </c>
      <c r="AA376" s="222" t="s">
        <v>5485</v>
      </c>
      <c r="AB376" s="215"/>
      <c r="AC376" s="215"/>
      <c r="AD376" s="213">
        <v>44295</v>
      </c>
      <c r="AE376" s="213">
        <v>44379</v>
      </c>
      <c r="AF376" s="213">
        <v>44481</v>
      </c>
      <c r="AG376" s="213"/>
      <c r="AH376" s="75">
        <f t="shared" si="22"/>
        <v>0.73</v>
      </c>
      <c r="AI376" s="75">
        <f t="shared" si="23"/>
        <v>1</v>
      </c>
      <c r="AJ376" s="75">
        <f t="shared" si="24"/>
        <v>1</v>
      </c>
      <c r="AK376" s="75">
        <f t="shared" si="25"/>
        <v>1</v>
      </c>
      <c r="AL376" s="75" t="s">
        <v>2467</v>
      </c>
      <c r="AM376" s="214" t="s">
        <v>739</v>
      </c>
      <c r="AN376" s="214" t="s">
        <v>739</v>
      </c>
      <c r="AO376" s="214" t="s">
        <v>739</v>
      </c>
      <c r="AP376" s="214"/>
      <c r="AQ376" s="214" t="s">
        <v>5442</v>
      </c>
      <c r="AR376" s="214" t="s">
        <v>5486</v>
      </c>
      <c r="AS376" s="214" t="s">
        <v>5444</v>
      </c>
      <c r="AT376" s="214"/>
      <c r="AU376" s="214" t="s">
        <v>739</v>
      </c>
      <c r="AV376" s="214" t="s">
        <v>739</v>
      </c>
      <c r="AW376" s="214" t="s">
        <v>739</v>
      </c>
      <c r="AX376" s="214"/>
      <c r="AY376" s="214" t="s">
        <v>5487</v>
      </c>
      <c r="AZ376" s="214" t="s">
        <v>5469</v>
      </c>
      <c r="BA376" s="214" t="s">
        <v>5488</v>
      </c>
      <c r="BB376" s="214"/>
      <c r="BC376" s="143" t="s">
        <v>727</v>
      </c>
    </row>
    <row r="377" spans="1:55" ht="15" customHeight="1" x14ac:dyDescent="0.25">
      <c r="A377" s="210">
        <v>16</v>
      </c>
      <c r="B377" s="143" t="s">
        <v>5365</v>
      </c>
      <c r="C377" s="143" t="s">
        <v>5489</v>
      </c>
      <c r="D377" s="143" t="s">
        <v>5490</v>
      </c>
      <c r="E377" s="143" t="s">
        <v>728</v>
      </c>
      <c r="F377" s="143" t="s">
        <v>729</v>
      </c>
      <c r="G377" s="143" t="s">
        <v>730</v>
      </c>
      <c r="H377" s="143" t="s">
        <v>731</v>
      </c>
      <c r="I377" s="143" t="s">
        <v>5491</v>
      </c>
      <c r="J377" s="217">
        <v>44228</v>
      </c>
      <c r="K377" s="217">
        <v>44561</v>
      </c>
      <c r="L377" s="143" t="s">
        <v>5492</v>
      </c>
      <c r="M377" s="143" t="s">
        <v>5493</v>
      </c>
      <c r="N377" s="143" t="s">
        <v>60</v>
      </c>
      <c r="O377" s="143" t="s">
        <v>5494</v>
      </c>
      <c r="P377" s="143" t="s">
        <v>11</v>
      </c>
      <c r="Q377" s="215">
        <f>SUM(R377:U377)</f>
        <v>1</v>
      </c>
      <c r="R377" s="215">
        <v>0</v>
      </c>
      <c r="S377" s="215">
        <v>0.33</v>
      </c>
      <c r="T377" s="215">
        <v>0.33</v>
      </c>
      <c r="U377" s="215">
        <v>0.34</v>
      </c>
      <c r="V377" s="215">
        <v>0</v>
      </c>
      <c r="W377" s="215" t="s">
        <v>1710</v>
      </c>
      <c r="X377" s="215">
        <v>0.3</v>
      </c>
      <c r="Y377" s="215" t="s">
        <v>5495</v>
      </c>
      <c r="Z377" s="215">
        <v>0.36</v>
      </c>
      <c r="AA377" s="215" t="s">
        <v>5496</v>
      </c>
      <c r="AB377" s="212"/>
      <c r="AC377" s="212"/>
      <c r="AD377" s="213">
        <v>44295</v>
      </c>
      <c r="AE377" s="213">
        <v>44379</v>
      </c>
      <c r="AF377" s="213">
        <v>44481</v>
      </c>
      <c r="AG377" s="213"/>
      <c r="AH377" s="75">
        <f t="shared" si="22"/>
        <v>0.65999999999999992</v>
      </c>
      <c r="AI377" s="75" t="str">
        <f t="shared" si="23"/>
        <v/>
      </c>
      <c r="AJ377" s="75">
        <f t="shared" si="24"/>
        <v>0.90909090909090906</v>
      </c>
      <c r="AK377" s="75">
        <f t="shared" si="25"/>
        <v>1</v>
      </c>
      <c r="AL377" s="75" t="s">
        <v>2467</v>
      </c>
      <c r="AM377" s="214" t="s">
        <v>838</v>
      </c>
      <c r="AN377" s="214" t="s">
        <v>739</v>
      </c>
      <c r="AO377" s="214" t="s">
        <v>739</v>
      </c>
      <c r="AP377" s="214"/>
      <c r="AQ377" s="214" t="s">
        <v>5497</v>
      </c>
      <c r="AR377" s="214" t="s">
        <v>5498</v>
      </c>
      <c r="AS377" s="214" t="s">
        <v>5499</v>
      </c>
      <c r="AT377" s="214"/>
      <c r="AU377" s="214" t="s">
        <v>838</v>
      </c>
      <c r="AV377" s="214" t="s">
        <v>739</v>
      </c>
      <c r="AW377" s="214" t="s">
        <v>739</v>
      </c>
      <c r="AX377" s="214"/>
      <c r="AY377" s="214" t="s">
        <v>1712</v>
      </c>
      <c r="AZ377" s="214" t="s">
        <v>5500</v>
      </c>
      <c r="BA377" s="214" t="s">
        <v>5501</v>
      </c>
      <c r="BB377" s="214"/>
      <c r="BC377" s="143" t="s">
        <v>727</v>
      </c>
    </row>
    <row r="378" spans="1:55" ht="15" customHeight="1" x14ac:dyDescent="0.25">
      <c r="A378" s="210">
        <v>17</v>
      </c>
      <c r="B378" s="143" t="s">
        <v>5365</v>
      </c>
      <c r="C378" s="143" t="s">
        <v>5502</v>
      </c>
      <c r="D378" s="143" t="s">
        <v>5503</v>
      </c>
      <c r="E378" s="143" t="s">
        <v>3606</v>
      </c>
      <c r="F378" s="143" t="s">
        <v>5504</v>
      </c>
      <c r="G378" s="143" t="s">
        <v>4473</v>
      </c>
      <c r="H378" s="143" t="s">
        <v>4474</v>
      </c>
      <c r="I378" s="143" t="s">
        <v>5505</v>
      </c>
      <c r="J378" s="217">
        <v>44228</v>
      </c>
      <c r="K378" s="217">
        <v>44545</v>
      </c>
      <c r="L378" s="143" t="s">
        <v>5506</v>
      </c>
      <c r="M378" s="143" t="s">
        <v>5507</v>
      </c>
      <c r="N378" s="143" t="s">
        <v>30</v>
      </c>
      <c r="O378" s="143" t="s">
        <v>5508</v>
      </c>
      <c r="P378" s="143" t="s">
        <v>735</v>
      </c>
      <c r="Q378" s="223">
        <v>6</v>
      </c>
      <c r="R378" s="223">
        <v>0</v>
      </c>
      <c r="S378" s="223">
        <v>2</v>
      </c>
      <c r="T378" s="223">
        <v>2</v>
      </c>
      <c r="U378" s="223">
        <v>2</v>
      </c>
      <c r="V378" s="223">
        <v>0</v>
      </c>
      <c r="W378" s="223" t="s">
        <v>5509</v>
      </c>
      <c r="X378" s="223">
        <v>4</v>
      </c>
      <c r="Y378" s="223" t="s">
        <v>5510</v>
      </c>
      <c r="Z378" s="223">
        <v>2</v>
      </c>
      <c r="AA378" s="223" t="s">
        <v>5511</v>
      </c>
      <c r="AB378" s="212"/>
      <c r="AC378" s="212"/>
      <c r="AD378" s="213">
        <v>44295</v>
      </c>
      <c r="AE378" s="213">
        <v>44379</v>
      </c>
      <c r="AF378" s="213">
        <v>44481</v>
      </c>
      <c r="AG378" s="213"/>
      <c r="AH378" s="75">
        <f t="shared" si="22"/>
        <v>1</v>
      </c>
      <c r="AI378" s="75" t="str">
        <f t="shared" si="23"/>
        <v/>
      </c>
      <c r="AJ378" s="75">
        <f t="shared" si="24"/>
        <v>1</v>
      </c>
      <c r="AK378" s="75">
        <f t="shared" si="25"/>
        <v>1</v>
      </c>
      <c r="AL378" s="75" t="s">
        <v>2467</v>
      </c>
      <c r="AM378" s="143" t="s">
        <v>739</v>
      </c>
      <c r="AN378" s="143" t="s">
        <v>739</v>
      </c>
      <c r="AO378" s="143" t="s">
        <v>739</v>
      </c>
      <c r="AP378" s="143"/>
      <c r="AQ378" s="143" t="s">
        <v>4300</v>
      </c>
      <c r="AR378" s="143" t="s">
        <v>5512</v>
      </c>
      <c r="AS378" s="143" t="s">
        <v>5513</v>
      </c>
      <c r="AT378" s="143"/>
      <c r="AU378" s="143" t="s">
        <v>838</v>
      </c>
      <c r="AV378" s="143" t="s">
        <v>739</v>
      </c>
      <c r="AW378" s="143" t="s">
        <v>739</v>
      </c>
      <c r="AX378" s="143"/>
      <c r="AY378" s="143" t="s">
        <v>5514</v>
      </c>
      <c r="AZ378" s="143" t="s">
        <v>5515</v>
      </c>
      <c r="BA378" s="143" t="s">
        <v>5516</v>
      </c>
      <c r="BB378" s="143"/>
      <c r="BC378" s="143" t="s">
        <v>727</v>
      </c>
    </row>
    <row r="379" spans="1:55" ht="15" customHeight="1" x14ac:dyDescent="0.25">
      <c r="A379" s="210">
        <v>18</v>
      </c>
      <c r="B379" s="143" t="s">
        <v>5365</v>
      </c>
      <c r="C379" s="143" t="s">
        <v>5489</v>
      </c>
      <c r="D379" s="143" t="s">
        <v>5517</v>
      </c>
      <c r="E379" s="143" t="s">
        <v>3606</v>
      </c>
      <c r="F379" s="143" t="s">
        <v>5504</v>
      </c>
      <c r="G379" s="143" t="s">
        <v>4473</v>
      </c>
      <c r="H379" s="143" t="s">
        <v>4474</v>
      </c>
      <c r="I379" s="143" t="s">
        <v>5518</v>
      </c>
      <c r="J379" s="217">
        <v>44247</v>
      </c>
      <c r="K379" s="217">
        <v>44545</v>
      </c>
      <c r="L379" s="143" t="s">
        <v>5519</v>
      </c>
      <c r="M379" s="143" t="s">
        <v>5507</v>
      </c>
      <c r="N379" s="143" t="s">
        <v>30</v>
      </c>
      <c r="O379" s="143" t="s">
        <v>5520</v>
      </c>
      <c r="P379" s="143" t="s">
        <v>735</v>
      </c>
      <c r="Q379" s="223">
        <v>2</v>
      </c>
      <c r="R379" s="223">
        <v>0</v>
      </c>
      <c r="S379" s="223">
        <v>0</v>
      </c>
      <c r="T379" s="223">
        <v>0</v>
      </c>
      <c r="U379" s="223">
        <v>2</v>
      </c>
      <c r="V379" s="223">
        <v>0</v>
      </c>
      <c r="W379" s="223" t="s">
        <v>5521</v>
      </c>
      <c r="X379" s="223">
        <v>0</v>
      </c>
      <c r="Y379" s="223" t="s">
        <v>5522</v>
      </c>
      <c r="Z379" s="223">
        <v>1</v>
      </c>
      <c r="AA379" s="223" t="s">
        <v>5523</v>
      </c>
      <c r="AB379" s="212"/>
      <c r="AC379" s="212"/>
      <c r="AD379" s="213">
        <v>44295</v>
      </c>
      <c r="AE379" s="213">
        <v>44379</v>
      </c>
      <c r="AF379" s="213">
        <v>44481</v>
      </c>
      <c r="AG379" s="213"/>
      <c r="AH379" s="75">
        <f t="shared" si="22"/>
        <v>0.5</v>
      </c>
      <c r="AI379" s="75" t="str">
        <f t="shared" si="23"/>
        <v/>
      </c>
      <c r="AJ379" s="75" t="str">
        <f t="shared" si="24"/>
        <v/>
      </c>
      <c r="AK379" s="75" t="str">
        <f t="shared" si="25"/>
        <v/>
      </c>
      <c r="AL379" s="75" t="s">
        <v>2467</v>
      </c>
      <c r="AM379" s="143" t="s">
        <v>739</v>
      </c>
      <c r="AN379" s="143" t="s">
        <v>739</v>
      </c>
      <c r="AO379" s="143" t="s">
        <v>739</v>
      </c>
      <c r="AP379" s="143"/>
      <c r="AQ379" s="143" t="s">
        <v>4300</v>
      </c>
      <c r="AR379" s="143" t="s">
        <v>5524</v>
      </c>
      <c r="AS379" s="143" t="s">
        <v>5525</v>
      </c>
      <c r="AT379" s="143"/>
      <c r="AU379" s="143" t="s">
        <v>838</v>
      </c>
      <c r="AV379" s="143" t="s">
        <v>739</v>
      </c>
      <c r="AW379" s="143" t="s">
        <v>739</v>
      </c>
      <c r="AX379" s="143"/>
      <c r="AY379" s="143" t="s">
        <v>5526</v>
      </c>
      <c r="AZ379" s="143" t="s">
        <v>5527</v>
      </c>
      <c r="BA379" s="143" t="s">
        <v>5528</v>
      </c>
      <c r="BB379" s="143"/>
      <c r="BC379" s="143" t="s">
        <v>727</v>
      </c>
    </row>
    <row r="380" spans="1:55" ht="15" customHeight="1" x14ac:dyDescent="0.25">
      <c r="A380" s="210">
        <v>19</v>
      </c>
      <c r="B380" s="143" t="s">
        <v>5365</v>
      </c>
      <c r="C380" s="143" t="s">
        <v>5489</v>
      </c>
      <c r="D380" s="143" t="s">
        <v>5529</v>
      </c>
      <c r="E380" s="143" t="s">
        <v>3606</v>
      </c>
      <c r="F380" s="143" t="s">
        <v>5504</v>
      </c>
      <c r="G380" s="143" t="s">
        <v>4473</v>
      </c>
      <c r="H380" s="143" t="s">
        <v>4474</v>
      </c>
      <c r="I380" s="143" t="s">
        <v>5530</v>
      </c>
      <c r="J380" s="217">
        <v>44228</v>
      </c>
      <c r="K380" s="217">
        <v>44560</v>
      </c>
      <c r="L380" s="143" t="s">
        <v>5531</v>
      </c>
      <c r="M380" s="143" t="s">
        <v>5507</v>
      </c>
      <c r="N380" s="143" t="s">
        <v>60</v>
      </c>
      <c r="O380" s="143" t="s">
        <v>5532</v>
      </c>
      <c r="P380" s="143" t="s">
        <v>735</v>
      </c>
      <c r="Q380" s="241">
        <v>1</v>
      </c>
      <c r="R380" s="241">
        <v>0.2</v>
      </c>
      <c r="S380" s="241">
        <v>0.4</v>
      </c>
      <c r="T380" s="241">
        <v>0.3</v>
      </c>
      <c r="U380" s="241">
        <v>0.1</v>
      </c>
      <c r="V380" s="241">
        <v>0.1</v>
      </c>
      <c r="W380" s="241" t="s">
        <v>5533</v>
      </c>
      <c r="X380" s="241">
        <v>0.7</v>
      </c>
      <c r="Y380" s="241" t="s">
        <v>5534</v>
      </c>
      <c r="Z380" s="241">
        <v>0.2</v>
      </c>
      <c r="AA380" s="241" t="s">
        <v>5535</v>
      </c>
      <c r="AB380" s="212"/>
      <c r="AC380" s="212"/>
      <c r="AD380" s="213">
        <v>44295</v>
      </c>
      <c r="AE380" s="213">
        <v>44379</v>
      </c>
      <c r="AF380" s="213">
        <v>44481</v>
      </c>
      <c r="AG380" s="213"/>
      <c r="AH380" s="75">
        <f t="shared" si="22"/>
        <v>1</v>
      </c>
      <c r="AI380" s="75">
        <f t="shared" si="23"/>
        <v>0.5</v>
      </c>
      <c r="AJ380" s="75">
        <f t="shared" si="24"/>
        <v>1</v>
      </c>
      <c r="AK380" s="75">
        <f t="shared" si="25"/>
        <v>1</v>
      </c>
      <c r="AL380" s="75" t="s">
        <v>2467</v>
      </c>
      <c r="AM380" s="143" t="s">
        <v>739</v>
      </c>
      <c r="AN380" s="143" t="s">
        <v>739</v>
      </c>
      <c r="AO380" s="143" t="s">
        <v>739</v>
      </c>
      <c r="AP380" s="143"/>
      <c r="AQ380" s="143" t="s">
        <v>4300</v>
      </c>
      <c r="AR380" s="143" t="s">
        <v>5536</v>
      </c>
      <c r="AS380" s="143" t="s">
        <v>5537</v>
      </c>
      <c r="AT380" s="143"/>
      <c r="AU380" s="143" t="s">
        <v>739</v>
      </c>
      <c r="AV380" s="143" t="s">
        <v>739</v>
      </c>
      <c r="AW380" s="143" t="s">
        <v>739</v>
      </c>
      <c r="AX380" s="143"/>
      <c r="AY380" s="143" t="s">
        <v>5538</v>
      </c>
      <c r="AZ380" s="143" t="s">
        <v>5539</v>
      </c>
      <c r="BA380" s="143" t="s">
        <v>5540</v>
      </c>
      <c r="BB380" s="143"/>
      <c r="BC380" s="143" t="s">
        <v>727</v>
      </c>
    </row>
    <row r="381" spans="1:55" ht="15" customHeight="1" x14ac:dyDescent="0.25">
      <c r="A381" s="210">
        <v>20</v>
      </c>
      <c r="B381" s="143" t="s">
        <v>5365</v>
      </c>
      <c r="C381" s="143" t="s">
        <v>5502</v>
      </c>
      <c r="D381" s="143" t="s">
        <v>5541</v>
      </c>
      <c r="E381" s="143" t="s">
        <v>5542</v>
      </c>
      <c r="F381" s="143" t="s">
        <v>5543</v>
      </c>
      <c r="G381" s="143" t="s">
        <v>4473</v>
      </c>
      <c r="H381" s="143" t="s">
        <v>4474</v>
      </c>
      <c r="I381" s="143" t="s">
        <v>5544</v>
      </c>
      <c r="J381" s="217">
        <v>44242</v>
      </c>
      <c r="K381" s="217">
        <v>44560</v>
      </c>
      <c r="L381" s="143" t="s">
        <v>5545</v>
      </c>
      <c r="M381" s="143" t="s">
        <v>5507</v>
      </c>
      <c r="N381" s="143" t="s">
        <v>60</v>
      </c>
      <c r="O381" s="143" t="s">
        <v>5546</v>
      </c>
      <c r="P381" s="143" t="s">
        <v>735</v>
      </c>
      <c r="Q381" s="241">
        <v>1</v>
      </c>
      <c r="R381" s="241">
        <v>0.15</v>
      </c>
      <c r="S381" s="241">
        <v>0.25</v>
      </c>
      <c r="T381" s="241">
        <v>0.4</v>
      </c>
      <c r="U381" s="241">
        <v>0.2</v>
      </c>
      <c r="V381" s="241">
        <v>0.15</v>
      </c>
      <c r="W381" s="241" t="s">
        <v>5547</v>
      </c>
      <c r="X381" s="241">
        <v>0.25</v>
      </c>
      <c r="Y381" s="241" t="s">
        <v>5548</v>
      </c>
      <c r="Z381" s="241">
        <v>0.4</v>
      </c>
      <c r="AA381" s="241" t="s">
        <v>5549</v>
      </c>
      <c r="AB381" s="212"/>
      <c r="AC381" s="212"/>
      <c r="AD381" s="213">
        <v>44295</v>
      </c>
      <c r="AE381" s="213">
        <v>44379</v>
      </c>
      <c r="AF381" s="213">
        <v>44481</v>
      </c>
      <c r="AG381" s="213"/>
      <c r="AH381" s="75">
        <f t="shared" si="22"/>
        <v>0.8</v>
      </c>
      <c r="AI381" s="75">
        <f t="shared" si="23"/>
        <v>1</v>
      </c>
      <c r="AJ381" s="75">
        <f t="shared" si="24"/>
        <v>1</v>
      </c>
      <c r="AK381" s="75">
        <f t="shared" si="25"/>
        <v>1</v>
      </c>
      <c r="AL381" s="75" t="s">
        <v>2467</v>
      </c>
      <c r="AM381" s="143" t="s">
        <v>739</v>
      </c>
      <c r="AN381" s="143" t="s">
        <v>739</v>
      </c>
      <c r="AO381" s="143" t="s">
        <v>739</v>
      </c>
      <c r="AP381" s="143"/>
      <c r="AQ381" s="143" t="s">
        <v>4300</v>
      </c>
      <c r="AR381" s="143" t="s">
        <v>5550</v>
      </c>
      <c r="AS381" s="143" t="s">
        <v>5551</v>
      </c>
      <c r="AT381" s="143"/>
      <c r="AU381" s="143" t="s">
        <v>739</v>
      </c>
      <c r="AV381" s="143" t="s">
        <v>739</v>
      </c>
      <c r="AW381" s="143" t="s">
        <v>739</v>
      </c>
      <c r="AX381" s="143"/>
      <c r="AY381" s="143" t="s">
        <v>5552</v>
      </c>
      <c r="AZ381" s="143" t="s">
        <v>5553</v>
      </c>
      <c r="BA381" s="143" t="s">
        <v>5554</v>
      </c>
      <c r="BB381" s="143"/>
      <c r="BC381" s="143" t="s">
        <v>727</v>
      </c>
    </row>
    <row r="382" spans="1:55" ht="15" customHeight="1" x14ac:dyDescent="0.25">
      <c r="A382" s="210">
        <v>21</v>
      </c>
      <c r="B382" s="143" t="s">
        <v>5365</v>
      </c>
      <c r="C382" s="143" t="s">
        <v>5502</v>
      </c>
      <c r="D382" s="143" t="s">
        <v>5541</v>
      </c>
      <c r="E382" s="143" t="s">
        <v>5542</v>
      </c>
      <c r="F382" s="143" t="s">
        <v>5543</v>
      </c>
      <c r="G382" s="143" t="s">
        <v>4473</v>
      </c>
      <c r="H382" s="143" t="s">
        <v>4474</v>
      </c>
      <c r="I382" s="143" t="s">
        <v>5555</v>
      </c>
      <c r="J382" s="217">
        <v>44287</v>
      </c>
      <c r="K382" s="217">
        <v>44560</v>
      </c>
      <c r="L382" s="143" t="s">
        <v>5556</v>
      </c>
      <c r="M382" s="143" t="s">
        <v>5507</v>
      </c>
      <c r="N382" s="143" t="s">
        <v>30</v>
      </c>
      <c r="O382" s="143" t="s">
        <v>5546</v>
      </c>
      <c r="P382" s="143" t="s">
        <v>735</v>
      </c>
      <c r="Q382" s="247">
        <v>2</v>
      </c>
      <c r="R382" s="247">
        <v>0</v>
      </c>
      <c r="S382" s="247">
        <v>1</v>
      </c>
      <c r="T382" s="247">
        <v>0</v>
      </c>
      <c r="U382" s="247">
        <v>1</v>
      </c>
      <c r="V382" s="247">
        <v>0</v>
      </c>
      <c r="W382" s="247" t="s">
        <v>4503</v>
      </c>
      <c r="X382" s="247">
        <v>1</v>
      </c>
      <c r="Y382" s="247" t="s">
        <v>5557</v>
      </c>
      <c r="Z382" s="247">
        <v>2</v>
      </c>
      <c r="AA382" s="247" t="s">
        <v>5558</v>
      </c>
      <c r="AB382" s="212"/>
      <c r="AC382" s="212"/>
      <c r="AD382" s="213">
        <v>44295</v>
      </c>
      <c r="AE382" s="213">
        <v>44379</v>
      </c>
      <c r="AF382" s="213">
        <v>44481</v>
      </c>
      <c r="AG382" s="213"/>
      <c r="AH382" s="75">
        <f t="shared" si="22"/>
        <v>1</v>
      </c>
      <c r="AI382" s="75" t="str">
        <f t="shared" si="23"/>
        <v/>
      </c>
      <c r="AJ382" s="75">
        <f t="shared" si="24"/>
        <v>1</v>
      </c>
      <c r="AK382" s="75" t="str">
        <f t="shared" si="25"/>
        <v/>
      </c>
      <c r="AL382" s="75" t="s">
        <v>2467</v>
      </c>
      <c r="AM382" s="143" t="s">
        <v>838</v>
      </c>
      <c r="AN382" s="143" t="s">
        <v>739</v>
      </c>
      <c r="AO382" s="143" t="s">
        <v>739</v>
      </c>
      <c r="AP382" s="143"/>
      <c r="AQ382" s="143" t="s">
        <v>4535</v>
      </c>
      <c r="AR382" s="143" t="s">
        <v>5559</v>
      </c>
      <c r="AS382" s="143" t="s">
        <v>5560</v>
      </c>
      <c r="AT382" s="143"/>
      <c r="AU382" s="143" t="s">
        <v>838</v>
      </c>
      <c r="AV382" s="143" t="s">
        <v>739</v>
      </c>
      <c r="AW382" s="143" t="s">
        <v>739</v>
      </c>
      <c r="AX382" s="143"/>
      <c r="AY382" s="143" t="s">
        <v>4336</v>
      </c>
      <c r="AZ382" s="143" t="s">
        <v>5561</v>
      </c>
      <c r="BA382" s="143" t="s">
        <v>5562</v>
      </c>
      <c r="BB382" s="143"/>
      <c r="BC382" s="143" t="s">
        <v>727</v>
      </c>
    </row>
    <row r="383" spans="1:55" ht="15" customHeight="1" x14ac:dyDescent="0.25">
      <c r="A383" s="210">
        <v>22</v>
      </c>
      <c r="B383" s="143" t="s">
        <v>5365</v>
      </c>
      <c r="C383" s="143" t="s">
        <v>5502</v>
      </c>
      <c r="D383" s="143" t="s">
        <v>5541</v>
      </c>
      <c r="E383" s="143" t="s">
        <v>5542</v>
      </c>
      <c r="F383" s="143" t="s">
        <v>5543</v>
      </c>
      <c r="G383" s="143" t="s">
        <v>4473</v>
      </c>
      <c r="H383" s="143" t="s">
        <v>4474</v>
      </c>
      <c r="I383" s="143" t="s">
        <v>5563</v>
      </c>
      <c r="J383" s="217">
        <v>44242</v>
      </c>
      <c r="K383" s="217">
        <v>44560</v>
      </c>
      <c r="L383" s="143" t="s">
        <v>5564</v>
      </c>
      <c r="M383" s="143" t="s">
        <v>5507</v>
      </c>
      <c r="N383" s="143" t="s">
        <v>30</v>
      </c>
      <c r="O383" s="143" t="s">
        <v>5546</v>
      </c>
      <c r="P383" s="143" t="s">
        <v>735</v>
      </c>
      <c r="Q383" s="247">
        <v>4</v>
      </c>
      <c r="R383" s="247">
        <v>1</v>
      </c>
      <c r="S383" s="247">
        <v>1</v>
      </c>
      <c r="T383" s="247">
        <v>1</v>
      </c>
      <c r="U383" s="247">
        <v>1</v>
      </c>
      <c r="V383" s="247">
        <v>1</v>
      </c>
      <c r="W383" s="247" t="s">
        <v>5565</v>
      </c>
      <c r="X383" s="247">
        <v>1</v>
      </c>
      <c r="Y383" s="247" t="s">
        <v>5566</v>
      </c>
      <c r="Z383" s="247">
        <v>1</v>
      </c>
      <c r="AA383" s="247" t="s">
        <v>5567</v>
      </c>
      <c r="AB383" s="212"/>
      <c r="AC383" s="212"/>
      <c r="AD383" s="213">
        <v>44295</v>
      </c>
      <c r="AE383" s="213">
        <v>44379</v>
      </c>
      <c r="AF383" s="213">
        <v>44481</v>
      </c>
      <c r="AG383" s="213"/>
      <c r="AH383" s="75">
        <f t="shared" si="22"/>
        <v>0.75</v>
      </c>
      <c r="AI383" s="75">
        <f t="shared" si="23"/>
        <v>1</v>
      </c>
      <c r="AJ383" s="75">
        <f t="shared" si="24"/>
        <v>1</v>
      </c>
      <c r="AK383" s="75">
        <f t="shared" si="25"/>
        <v>1</v>
      </c>
      <c r="AL383" s="75" t="s">
        <v>2467</v>
      </c>
      <c r="AM383" s="143" t="s">
        <v>739</v>
      </c>
      <c r="AN383" s="143" t="s">
        <v>739</v>
      </c>
      <c r="AO383" s="143" t="s">
        <v>739</v>
      </c>
      <c r="AP383" s="143"/>
      <c r="AQ383" s="143" t="s">
        <v>4300</v>
      </c>
      <c r="AR383" s="143" t="s">
        <v>5568</v>
      </c>
      <c r="AS383" s="143" t="s">
        <v>5569</v>
      </c>
      <c r="AT383" s="143"/>
      <c r="AU383" s="143" t="s">
        <v>739</v>
      </c>
      <c r="AV383" s="143" t="s">
        <v>739</v>
      </c>
      <c r="AW383" s="143" t="s">
        <v>739</v>
      </c>
      <c r="AX383" s="143"/>
      <c r="AY383" s="143" t="s">
        <v>5570</v>
      </c>
      <c r="AZ383" s="143" t="s">
        <v>5571</v>
      </c>
      <c r="BA383" s="143" t="s">
        <v>5572</v>
      </c>
      <c r="BB383" s="143"/>
      <c r="BC383" s="143" t="s">
        <v>727</v>
      </c>
    </row>
    <row r="384" spans="1:55" ht="15" customHeight="1" x14ac:dyDescent="0.25">
      <c r="A384" s="210">
        <v>23</v>
      </c>
      <c r="B384" s="143" t="s">
        <v>5365</v>
      </c>
      <c r="C384" s="143" t="s">
        <v>5502</v>
      </c>
      <c r="D384" s="143" t="s">
        <v>5573</v>
      </c>
      <c r="E384" s="143" t="s">
        <v>5542</v>
      </c>
      <c r="F384" s="143" t="s">
        <v>5543</v>
      </c>
      <c r="G384" s="143" t="s">
        <v>4473</v>
      </c>
      <c r="H384" s="143" t="s">
        <v>4474</v>
      </c>
      <c r="I384" s="143" t="s">
        <v>5574</v>
      </c>
      <c r="J384" s="217">
        <v>44201</v>
      </c>
      <c r="K384" s="217">
        <v>44515</v>
      </c>
      <c r="L384" s="143" t="s">
        <v>5575</v>
      </c>
      <c r="M384" s="143" t="s">
        <v>5507</v>
      </c>
      <c r="N384" s="143" t="s">
        <v>30</v>
      </c>
      <c r="O384" s="143" t="s">
        <v>5576</v>
      </c>
      <c r="P384" s="143" t="s">
        <v>735</v>
      </c>
      <c r="Q384" s="212">
        <v>10</v>
      </c>
      <c r="R384" s="212">
        <v>2</v>
      </c>
      <c r="S384" s="212">
        <v>3</v>
      </c>
      <c r="T384" s="212">
        <v>4</v>
      </c>
      <c r="U384" s="212">
        <v>1</v>
      </c>
      <c r="V384" s="212">
        <v>6</v>
      </c>
      <c r="W384" s="212" t="s">
        <v>5577</v>
      </c>
      <c r="X384" s="212">
        <v>4</v>
      </c>
      <c r="Y384" s="212" t="s">
        <v>5578</v>
      </c>
      <c r="Z384" s="212">
        <v>2</v>
      </c>
      <c r="AA384" s="212" t="s">
        <v>5579</v>
      </c>
      <c r="AB384" s="240"/>
      <c r="AC384" s="240"/>
      <c r="AD384" s="213">
        <v>44295</v>
      </c>
      <c r="AE384" s="213">
        <v>44379</v>
      </c>
      <c r="AF384" s="213">
        <v>44481</v>
      </c>
      <c r="AG384" s="213"/>
      <c r="AH384" s="75">
        <f t="shared" si="22"/>
        <v>1</v>
      </c>
      <c r="AI384" s="75">
        <f t="shared" si="23"/>
        <v>1</v>
      </c>
      <c r="AJ384" s="75">
        <f t="shared" si="24"/>
        <v>1</v>
      </c>
      <c r="AK384" s="75">
        <f t="shared" si="25"/>
        <v>1</v>
      </c>
      <c r="AL384" s="75" t="s">
        <v>2467</v>
      </c>
      <c r="AM384" s="143" t="s">
        <v>739</v>
      </c>
      <c r="AN384" s="143" t="s">
        <v>739</v>
      </c>
      <c r="AO384" s="143" t="s">
        <v>739</v>
      </c>
      <c r="AP384" s="143"/>
      <c r="AQ384" s="143" t="s">
        <v>4300</v>
      </c>
      <c r="AR384" s="143" t="s">
        <v>5580</v>
      </c>
      <c r="AS384" s="143" t="s">
        <v>5581</v>
      </c>
      <c r="AT384" s="143"/>
      <c r="AU384" s="143" t="s">
        <v>739</v>
      </c>
      <c r="AV384" s="143" t="s">
        <v>739</v>
      </c>
      <c r="AW384" s="143" t="s">
        <v>739</v>
      </c>
      <c r="AX384" s="143"/>
      <c r="AY384" s="143" t="s">
        <v>5582</v>
      </c>
      <c r="AZ384" s="143" t="s">
        <v>5583</v>
      </c>
      <c r="BA384" s="143" t="s">
        <v>5584</v>
      </c>
      <c r="BB384" s="143"/>
      <c r="BC384" s="143" t="s">
        <v>727</v>
      </c>
    </row>
    <row r="385" spans="1:55" ht="15" customHeight="1" x14ac:dyDescent="0.25">
      <c r="A385" s="210">
        <v>24</v>
      </c>
      <c r="B385" s="143" t="s">
        <v>5365</v>
      </c>
      <c r="C385" s="143" t="s">
        <v>5502</v>
      </c>
      <c r="D385" s="143" t="s">
        <v>5573</v>
      </c>
      <c r="E385" s="143" t="s">
        <v>5542</v>
      </c>
      <c r="F385" s="143" t="s">
        <v>5543</v>
      </c>
      <c r="G385" s="143" t="s">
        <v>4473</v>
      </c>
      <c r="H385" s="143" t="s">
        <v>4474</v>
      </c>
      <c r="I385" s="143" t="s">
        <v>5585</v>
      </c>
      <c r="J385" s="217">
        <v>44201</v>
      </c>
      <c r="K385" s="217">
        <v>44560</v>
      </c>
      <c r="L385" s="143" t="s">
        <v>5586</v>
      </c>
      <c r="M385" s="143" t="s">
        <v>5507</v>
      </c>
      <c r="N385" s="143" t="s">
        <v>30</v>
      </c>
      <c r="O385" s="143" t="s">
        <v>5576</v>
      </c>
      <c r="P385" s="143" t="s">
        <v>735</v>
      </c>
      <c r="Q385" s="212">
        <v>4</v>
      </c>
      <c r="R385" s="212">
        <v>0</v>
      </c>
      <c r="S385" s="212">
        <v>0</v>
      </c>
      <c r="T385" s="212">
        <v>1</v>
      </c>
      <c r="U385" s="212">
        <v>3</v>
      </c>
      <c r="V385" s="212">
        <v>0</v>
      </c>
      <c r="W385" s="212" t="s">
        <v>5587</v>
      </c>
      <c r="X385" s="212">
        <v>0</v>
      </c>
      <c r="Y385" s="212" t="s">
        <v>5588</v>
      </c>
      <c r="Z385" s="212">
        <v>1</v>
      </c>
      <c r="AA385" s="212" t="s">
        <v>5589</v>
      </c>
      <c r="AB385" s="212"/>
      <c r="AC385" s="212"/>
      <c r="AD385" s="213">
        <v>44295</v>
      </c>
      <c r="AE385" s="213">
        <v>44379</v>
      </c>
      <c r="AF385" s="213">
        <v>44481</v>
      </c>
      <c r="AG385" s="213"/>
      <c r="AH385" s="75">
        <f t="shared" si="22"/>
        <v>0.25</v>
      </c>
      <c r="AI385" s="75" t="str">
        <f t="shared" si="23"/>
        <v/>
      </c>
      <c r="AJ385" s="75" t="str">
        <f t="shared" si="24"/>
        <v/>
      </c>
      <c r="AK385" s="75">
        <f t="shared" si="25"/>
        <v>1</v>
      </c>
      <c r="AL385" s="75" t="s">
        <v>2467</v>
      </c>
      <c r="AM385" s="143" t="s">
        <v>739</v>
      </c>
      <c r="AN385" s="143" t="s">
        <v>739</v>
      </c>
      <c r="AO385" s="143" t="s">
        <v>739</v>
      </c>
      <c r="AP385" s="143"/>
      <c r="AQ385" s="143" t="s">
        <v>4300</v>
      </c>
      <c r="AR385" s="143" t="s">
        <v>5590</v>
      </c>
      <c r="AS385" s="143" t="s">
        <v>5591</v>
      </c>
      <c r="AT385" s="143"/>
      <c r="AU385" s="143" t="s">
        <v>838</v>
      </c>
      <c r="AV385" s="143" t="s">
        <v>739</v>
      </c>
      <c r="AW385" s="143" t="s">
        <v>739</v>
      </c>
      <c r="AX385" s="143"/>
      <c r="AY385" s="143" t="s">
        <v>5592</v>
      </c>
      <c r="AZ385" s="143" t="s">
        <v>5593</v>
      </c>
      <c r="BA385" s="143" t="s">
        <v>5594</v>
      </c>
      <c r="BB385" s="143"/>
      <c r="BC385" s="143" t="s">
        <v>727</v>
      </c>
    </row>
    <row r="386" spans="1:55" ht="15" customHeight="1" x14ac:dyDescent="0.25">
      <c r="A386" s="210">
        <v>25</v>
      </c>
      <c r="B386" s="143" t="s">
        <v>5365</v>
      </c>
      <c r="C386" s="143" t="s">
        <v>2552</v>
      </c>
      <c r="D386" s="143" t="s">
        <v>2583</v>
      </c>
      <c r="E386" s="143" t="s">
        <v>2584</v>
      </c>
      <c r="F386" s="143" t="s">
        <v>793</v>
      </c>
      <c r="G386" s="143" t="s">
        <v>2458</v>
      </c>
      <c r="H386" s="143" t="s">
        <v>731</v>
      </c>
      <c r="I386" s="143" t="s">
        <v>2595</v>
      </c>
      <c r="J386" s="217">
        <v>44197</v>
      </c>
      <c r="K386" s="217">
        <v>44560</v>
      </c>
      <c r="L386" s="143" t="s">
        <v>5595</v>
      </c>
      <c r="M386" s="143" t="s">
        <v>5507</v>
      </c>
      <c r="N386" s="143" t="s">
        <v>60</v>
      </c>
      <c r="O386" s="143" t="s">
        <v>3058</v>
      </c>
      <c r="P386" s="143" t="s">
        <v>11</v>
      </c>
      <c r="Q386" s="241">
        <v>1</v>
      </c>
      <c r="R386" s="241">
        <v>0.2</v>
      </c>
      <c r="S386" s="241">
        <v>0.3</v>
      </c>
      <c r="T386" s="241">
        <v>0</v>
      </c>
      <c r="U386" s="241">
        <v>0.5</v>
      </c>
      <c r="V386" s="241">
        <v>0.2</v>
      </c>
      <c r="W386" s="241" t="s">
        <v>5596</v>
      </c>
      <c r="X386" s="241">
        <v>0.3</v>
      </c>
      <c r="Y386" s="241" t="s">
        <v>5597</v>
      </c>
      <c r="Z386" s="241">
        <v>0</v>
      </c>
      <c r="AA386" s="241" t="s">
        <v>5598</v>
      </c>
      <c r="AB386" s="212"/>
      <c r="AC386" s="212"/>
      <c r="AD386" s="213">
        <v>44295</v>
      </c>
      <c r="AE386" s="213">
        <v>44379</v>
      </c>
      <c r="AF386" s="213">
        <v>44481</v>
      </c>
      <c r="AG386" s="213"/>
      <c r="AH386" s="75">
        <f t="shared" si="22"/>
        <v>0.5</v>
      </c>
      <c r="AI386" s="75">
        <f t="shared" si="23"/>
        <v>1</v>
      </c>
      <c r="AJ386" s="75">
        <f t="shared" si="24"/>
        <v>1</v>
      </c>
      <c r="AK386" s="75" t="str">
        <f t="shared" si="25"/>
        <v/>
      </c>
      <c r="AL386" s="75" t="s">
        <v>2467</v>
      </c>
      <c r="AM386" s="143" t="s">
        <v>739</v>
      </c>
      <c r="AN386" s="143" t="s">
        <v>739</v>
      </c>
      <c r="AO386" s="143" t="s">
        <v>838</v>
      </c>
      <c r="AP386" s="143"/>
      <c r="AQ386" s="143" t="s">
        <v>4300</v>
      </c>
      <c r="AR386" s="143" t="s">
        <v>5599</v>
      </c>
      <c r="AS386" s="143" t="s">
        <v>4336</v>
      </c>
      <c r="AT386" s="143"/>
      <c r="AU386" s="143" t="s">
        <v>739</v>
      </c>
      <c r="AV386" s="143" t="s">
        <v>739</v>
      </c>
      <c r="AW386" s="143" t="s">
        <v>838</v>
      </c>
      <c r="AX386" s="143"/>
      <c r="AY386" s="143" t="s">
        <v>5600</v>
      </c>
      <c r="AZ386" s="143" t="s">
        <v>5601</v>
      </c>
      <c r="BA386" s="143" t="s">
        <v>4368</v>
      </c>
      <c r="BB386" s="143"/>
      <c r="BC386" s="143" t="s">
        <v>727</v>
      </c>
    </row>
    <row r="387" spans="1:55" ht="15" customHeight="1" x14ac:dyDescent="0.25">
      <c r="A387" s="210">
        <v>26</v>
      </c>
      <c r="B387" s="143" t="s">
        <v>5365</v>
      </c>
      <c r="C387" s="143" t="s">
        <v>2601</v>
      </c>
      <c r="D387" s="143" t="s">
        <v>2583</v>
      </c>
      <c r="E387" s="143" t="s">
        <v>2584</v>
      </c>
      <c r="F387" s="143" t="s">
        <v>793</v>
      </c>
      <c r="G387" s="143" t="s">
        <v>2458</v>
      </c>
      <c r="H387" s="143" t="s">
        <v>731</v>
      </c>
      <c r="I387" s="143" t="s">
        <v>2602</v>
      </c>
      <c r="J387" s="217">
        <v>44197</v>
      </c>
      <c r="K387" s="217">
        <v>44560</v>
      </c>
      <c r="L387" s="143" t="s">
        <v>5602</v>
      </c>
      <c r="M387" s="143" t="s">
        <v>5507</v>
      </c>
      <c r="N387" s="143" t="s">
        <v>30</v>
      </c>
      <c r="O387" s="143" t="s">
        <v>3058</v>
      </c>
      <c r="P387" s="143" t="s">
        <v>11</v>
      </c>
      <c r="Q387" s="223">
        <v>4</v>
      </c>
      <c r="R387" s="223">
        <v>1</v>
      </c>
      <c r="S387" s="223">
        <v>1</v>
      </c>
      <c r="T387" s="223">
        <v>1</v>
      </c>
      <c r="U387" s="223">
        <v>1</v>
      </c>
      <c r="V387" s="223">
        <v>1</v>
      </c>
      <c r="W387" s="223" t="s">
        <v>5603</v>
      </c>
      <c r="X387" s="223">
        <v>1</v>
      </c>
      <c r="Y387" s="223" t="s">
        <v>5604</v>
      </c>
      <c r="Z387" s="223">
        <v>1</v>
      </c>
      <c r="AA387" s="223" t="s">
        <v>5605</v>
      </c>
      <c r="AB387" s="212"/>
      <c r="AC387" s="212"/>
      <c r="AD387" s="213">
        <v>44295</v>
      </c>
      <c r="AE387" s="213">
        <v>44379</v>
      </c>
      <c r="AF387" s="213">
        <v>44481</v>
      </c>
      <c r="AG387" s="213"/>
      <c r="AH387" s="75">
        <f t="shared" ref="AH387:AH398" si="26">IFERROR(IF((V387+X387+Z387+AB387)/Q387&gt;1,1,(V387+X387+Z387+AB387)/Q387),0)</f>
        <v>0.75</v>
      </c>
      <c r="AI387" s="75">
        <f t="shared" ref="AI387:AI398" si="27">IFERROR(IF(R387=0,"",IF((V387/R387)&gt;1,1,(V387/R387))),"")</f>
        <v>1</v>
      </c>
      <c r="AJ387" s="75">
        <f t="shared" ref="AJ387:AJ398" si="28">IFERROR(IF(S387=0,"",IF((V387+X387/S387)&gt;1,1,(V387+X387/S387))),"")</f>
        <v>1</v>
      </c>
      <c r="AK387" s="75">
        <f t="shared" ref="AK387:AK398" si="29">IFERROR(IF(T387=0,"",IF((V387+X387+Z387/T387)&gt;1,1,(V387+X387+Z387/T387))),"")</f>
        <v>1</v>
      </c>
      <c r="AL387" s="75" t="s">
        <v>2467</v>
      </c>
      <c r="AM387" s="143" t="s">
        <v>739</v>
      </c>
      <c r="AN387" s="143" t="s">
        <v>739</v>
      </c>
      <c r="AO387" s="143" t="s">
        <v>739</v>
      </c>
      <c r="AP387" s="143"/>
      <c r="AQ387" s="143" t="s">
        <v>4300</v>
      </c>
      <c r="AR387" s="143" t="s">
        <v>5606</v>
      </c>
      <c r="AS387" s="143" t="s">
        <v>5607</v>
      </c>
      <c r="AT387" s="143"/>
      <c r="AU387" s="143" t="s">
        <v>739</v>
      </c>
      <c r="AV387" s="143" t="s">
        <v>739</v>
      </c>
      <c r="AW387" s="143" t="s">
        <v>739</v>
      </c>
      <c r="AX387" s="143"/>
      <c r="AY387" s="143" t="s">
        <v>5608</v>
      </c>
      <c r="AZ387" s="143" t="s">
        <v>5609</v>
      </c>
      <c r="BA387" s="143" t="s">
        <v>5609</v>
      </c>
      <c r="BB387" s="143"/>
      <c r="BC387" s="143" t="s">
        <v>727</v>
      </c>
    </row>
    <row r="388" spans="1:55" ht="15" customHeight="1" x14ac:dyDescent="0.25">
      <c r="A388" s="210">
        <v>27</v>
      </c>
      <c r="B388" s="143" t="s">
        <v>5365</v>
      </c>
      <c r="C388" s="143" t="s">
        <v>2601</v>
      </c>
      <c r="D388" s="143" t="s">
        <v>2583</v>
      </c>
      <c r="E388" s="143" t="s">
        <v>2584</v>
      </c>
      <c r="F388" s="143" t="s">
        <v>793</v>
      </c>
      <c r="G388" s="143" t="s">
        <v>2458</v>
      </c>
      <c r="H388" s="143" t="s">
        <v>731</v>
      </c>
      <c r="I388" s="143" t="s">
        <v>2825</v>
      </c>
      <c r="J388" s="217">
        <v>44470</v>
      </c>
      <c r="K388" s="217">
        <v>44560</v>
      </c>
      <c r="L388" s="143" t="s">
        <v>5602</v>
      </c>
      <c r="M388" s="143" t="s">
        <v>5507</v>
      </c>
      <c r="N388" s="143" t="s">
        <v>30</v>
      </c>
      <c r="O388" s="143" t="s">
        <v>3058</v>
      </c>
      <c r="P388" s="143" t="s">
        <v>11</v>
      </c>
      <c r="Q388" s="212">
        <v>1</v>
      </c>
      <c r="R388" s="212">
        <v>0</v>
      </c>
      <c r="S388" s="212">
        <v>0</v>
      </c>
      <c r="T388" s="212">
        <v>0</v>
      </c>
      <c r="U388" s="212">
        <v>1</v>
      </c>
      <c r="V388" s="212">
        <v>0</v>
      </c>
      <c r="W388" s="212" t="s">
        <v>5610</v>
      </c>
      <c r="X388" s="212">
        <v>0</v>
      </c>
      <c r="Y388" s="212" t="s">
        <v>5610</v>
      </c>
      <c r="Z388" s="212">
        <v>0</v>
      </c>
      <c r="AA388" s="212" t="s">
        <v>5610</v>
      </c>
      <c r="AB388" s="212"/>
      <c r="AC388" s="212"/>
      <c r="AD388" s="213">
        <v>44295</v>
      </c>
      <c r="AE388" s="213">
        <v>44379</v>
      </c>
      <c r="AF388" s="213">
        <v>44481</v>
      </c>
      <c r="AG388" s="213"/>
      <c r="AH388" s="75">
        <f t="shared" si="26"/>
        <v>0</v>
      </c>
      <c r="AI388" s="75" t="str">
        <f t="shared" si="27"/>
        <v/>
      </c>
      <c r="AJ388" s="75" t="str">
        <f t="shared" si="28"/>
        <v/>
      </c>
      <c r="AK388" s="75" t="str">
        <f t="shared" si="29"/>
        <v/>
      </c>
      <c r="AL388" s="75" t="s">
        <v>2467</v>
      </c>
      <c r="AM388" s="143" t="s">
        <v>739</v>
      </c>
      <c r="AN388" s="143" t="s">
        <v>838</v>
      </c>
      <c r="AO388" s="143" t="s">
        <v>838</v>
      </c>
      <c r="AP388" s="143"/>
      <c r="AQ388" s="143" t="s">
        <v>5611</v>
      </c>
      <c r="AR388" s="143" t="s">
        <v>4312</v>
      </c>
      <c r="AS388" s="143" t="s">
        <v>842</v>
      </c>
      <c r="AT388" s="143"/>
      <c r="AU388" s="143" t="s">
        <v>838</v>
      </c>
      <c r="AV388" s="143" t="s">
        <v>838</v>
      </c>
      <c r="AW388" s="143" t="s">
        <v>838</v>
      </c>
      <c r="AX388" s="143"/>
      <c r="AY388" s="143" t="s">
        <v>4336</v>
      </c>
      <c r="AZ388" s="143" t="s">
        <v>5612</v>
      </c>
      <c r="BA388" s="143" t="s">
        <v>850</v>
      </c>
      <c r="BB388" s="143"/>
      <c r="BC388" s="143" t="s">
        <v>727</v>
      </c>
    </row>
    <row r="389" spans="1:55" ht="15" customHeight="1" x14ac:dyDescent="0.25">
      <c r="A389" s="210">
        <v>28</v>
      </c>
      <c r="B389" s="143" t="s">
        <v>5365</v>
      </c>
      <c r="C389" s="143" t="s">
        <v>2459</v>
      </c>
      <c r="D389" s="143" t="s">
        <v>2583</v>
      </c>
      <c r="E389" s="143" t="s">
        <v>2584</v>
      </c>
      <c r="F389" s="143" t="s">
        <v>793</v>
      </c>
      <c r="G389" s="143" t="s">
        <v>2458</v>
      </c>
      <c r="H389" s="143" t="s">
        <v>731</v>
      </c>
      <c r="I389" s="143" t="s">
        <v>2829</v>
      </c>
      <c r="J389" s="217">
        <v>44197</v>
      </c>
      <c r="K389" s="217">
        <v>44560</v>
      </c>
      <c r="L389" s="143" t="s">
        <v>5602</v>
      </c>
      <c r="M389" s="143" t="s">
        <v>5507</v>
      </c>
      <c r="N389" s="143" t="s">
        <v>30</v>
      </c>
      <c r="O389" s="143" t="s">
        <v>3058</v>
      </c>
      <c r="P389" s="143" t="s">
        <v>11</v>
      </c>
      <c r="Q389" s="223">
        <v>4</v>
      </c>
      <c r="R389" s="223">
        <v>1</v>
      </c>
      <c r="S389" s="223">
        <v>1</v>
      </c>
      <c r="T389" s="223">
        <v>1</v>
      </c>
      <c r="U389" s="223">
        <v>1</v>
      </c>
      <c r="V389" s="223">
        <v>1</v>
      </c>
      <c r="W389" s="223" t="s">
        <v>5613</v>
      </c>
      <c r="X389" s="223">
        <v>1</v>
      </c>
      <c r="Y389" s="223" t="s">
        <v>5614</v>
      </c>
      <c r="Z389" s="223">
        <v>1</v>
      </c>
      <c r="AA389" s="223" t="s">
        <v>5615</v>
      </c>
      <c r="AB389" s="212"/>
      <c r="AC389" s="212"/>
      <c r="AD389" s="213">
        <v>44295</v>
      </c>
      <c r="AE389" s="213">
        <v>44379</v>
      </c>
      <c r="AF389" s="213">
        <v>44481</v>
      </c>
      <c r="AG389" s="213"/>
      <c r="AH389" s="75">
        <f t="shared" si="26"/>
        <v>0.75</v>
      </c>
      <c r="AI389" s="75">
        <f t="shared" si="27"/>
        <v>1</v>
      </c>
      <c r="AJ389" s="75">
        <f t="shared" si="28"/>
        <v>1</v>
      </c>
      <c r="AK389" s="75">
        <f t="shared" si="29"/>
        <v>1</v>
      </c>
      <c r="AL389" s="75" t="s">
        <v>2467</v>
      </c>
      <c r="AM389" s="143" t="s">
        <v>739</v>
      </c>
      <c r="AN389" s="143" t="s">
        <v>739</v>
      </c>
      <c r="AO389" s="143" t="s">
        <v>739</v>
      </c>
      <c r="AP389" s="143"/>
      <c r="AQ389" s="143" t="s">
        <v>4300</v>
      </c>
      <c r="AR389" s="143" t="s">
        <v>5616</v>
      </c>
      <c r="AS389" s="143" t="s">
        <v>5617</v>
      </c>
      <c r="AT389" s="143"/>
      <c r="AU389" s="143" t="s">
        <v>739</v>
      </c>
      <c r="AV389" s="143" t="s">
        <v>739</v>
      </c>
      <c r="AW389" s="143" t="s">
        <v>739</v>
      </c>
      <c r="AX389" s="143"/>
      <c r="AY389" s="143" t="s">
        <v>5618</v>
      </c>
      <c r="AZ389" s="143" t="s">
        <v>5619</v>
      </c>
      <c r="BA389" s="143" t="s">
        <v>5620</v>
      </c>
      <c r="BB389" s="143"/>
      <c r="BC389" s="143" t="s">
        <v>727</v>
      </c>
    </row>
    <row r="390" spans="1:55" ht="15" customHeight="1" x14ac:dyDescent="0.25">
      <c r="A390" s="210">
        <v>29</v>
      </c>
      <c r="B390" s="143" t="s">
        <v>5365</v>
      </c>
      <c r="C390" s="143" t="s">
        <v>2459</v>
      </c>
      <c r="D390" s="143" t="s">
        <v>2583</v>
      </c>
      <c r="E390" s="143" t="s">
        <v>2584</v>
      </c>
      <c r="F390" s="143" t="s">
        <v>793</v>
      </c>
      <c r="G390" s="143" t="s">
        <v>2458</v>
      </c>
      <c r="H390" s="143" t="s">
        <v>731</v>
      </c>
      <c r="I390" s="143" t="s">
        <v>2834</v>
      </c>
      <c r="J390" s="217">
        <v>44470</v>
      </c>
      <c r="K390" s="217">
        <v>44560</v>
      </c>
      <c r="L390" s="143" t="s">
        <v>2616</v>
      </c>
      <c r="M390" s="143" t="s">
        <v>5507</v>
      </c>
      <c r="N390" s="143" t="s">
        <v>30</v>
      </c>
      <c r="O390" s="143" t="s">
        <v>3058</v>
      </c>
      <c r="P390" s="143" t="s">
        <v>11</v>
      </c>
      <c r="Q390" s="212">
        <v>2</v>
      </c>
      <c r="R390" s="212">
        <v>0</v>
      </c>
      <c r="S390" s="212">
        <v>0</v>
      </c>
      <c r="T390" s="212">
        <v>0</v>
      </c>
      <c r="U390" s="212">
        <v>2</v>
      </c>
      <c r="V390" s="212">
        <v>0</v>
      </c>
      <c r="W390" s="212" t="s">
        <v>5621</v>
      </c>
      <c r="X390" s="212">
        <v>0</v>
      </c>
      <c r="Y390" s="212" t="s">
        <v>5621</v>
      </c>
      <c r="Z390" s="212">
        <v>0</v>
      </c>
      <c r="AA390" s="212" t="s">
        <v>5621</v>
      </c>
      <c r="AB390" s="212"/>
      <c r="AC390" s="212"/>
      <c r="AD390" s="213">
        <v>44295</v>
      </c>
      <c r="AE390" s="213">
        <v>44379</v>
      </c>
      <c r="AF390" s="213">
        <v>44481</v>
      </c>
      <c r="AG390" s="213"/>
      <c r="AH390" s="75">
        <f t="shared" si="26"/>
        <v>0</v>
      </c>
      <c r="AI390" s="75" t="str">
        <f t="shared" si="27"/>
        <v/>
      </c>
      <c r="AJ390" s="75" t="str">
        <f t="shared" si="28"/>
        <v/>
      </c>
      <c r="AK390" s="75" t="str">
        <f t="shared" si="29"/>
        <v/>
      </c>
      <c r="AL390" s="75" t="s">
        <v>2467</v>
      </c>
      <c r="AM390" s="143" t="s">
        <v>739</v>
      </c>
      <c r="AN390" s="143" t="s">
        <v>838</v>
      </c>
      <c r="AO390" s="143" t="s">
        <v>838</v>
      </c>
      <c r="AP390" s="143"/>
      <c r="AQ390" s="143" t="s">
        <v>5611</v>
      </c>
      <c r="AR390" s="143" t="s">
        <v>4312</v>
      </c>
      <c r="AS390" s="143" t="s">
        <v>842</v>
      </c>
      <c r="AT390" s="143"/>
      <c r="AU390" s="143" t="s">
        <v>838</v>
      </c>
      <c r="AV390" s="143" t="s">
        <v>838</v>
      </c>
      <c r="AW390" s="143" t="s">
        <v>838</v>
      </c>
      <c r="AX390" s="143"/>
      <c r="AY390" s="143" t="s">
        <v>4336</v>
      </c>
      <c r="AZ390" s="143" t="s">
        <v>5622</v>
      </c>
      <c r="BA390" s="143" t="s">
        <v>842</v>
      </c>
      <c r="BB390" s="143"/>
      <c r="BC390" s="143" t="s">
        <v>727</v>
      </c>
    </row>
    <row r="391" spans="1:55" ht="15" customHeight="1" x14ac:dyDescent="0.25">
      <c r="A391" s="210">
        <v>30</v>
      </c>
      <c r="B391" s="143" t="s">
        <v>5365</v>
      </c>
      <c r="C391" s="143" t="s">
        <v>2552</v>
      </c>
      <c r="D391" s="143" t="s">
        <v>2583</v>
      </c>
      <c r="E391" s="143" t="s">
        <v>2584</v>
      </c>
      <c r="F391" s="143" t="s">
        <v>793</v>
      </c>
      <c r="G391" s="143" t="s">
        <v>2458</v>
      </c>
      <c r="H391" s="143" t="s">
        <v>731</v>
      </c>
      <c r="I391" s="143" t="s">
        <v>3056</v>
      </c>
      <c r="J391" s="217">
        <v>44197</v>
      </c>
      <c r="K391" s="217">
        <v>44560</v>
      </c>
      <c r="L391" s="143" t="s">
        <v>3057</v>
      </c>
      <c r="M391" s="143" t="s">
        <v>5507</v>
      </c>
      <c r="N391" s="143" t="s">
        <v>30</v>
      </c>
      <c r="O391" s="143" t="s">
        <v>3058</v>
      </c>
      <c r="P391" s="143" t="s">
        <v>11</v>
      </c>
      <c r="Q391" s="212">
        <v>12</v>
      </c>
      <c r="R391" s="212">
        <v>3</v>
      </c>
      <c r="S391" s="212">
        <v>3</v>
      </c>
      <c r="T391" s="212">
        <v>3</v>
      </c>
      <c r="U391" s="212">
        <v>3</v>
      </c>
      <c r="V391" s="212">
        <v>3</v>
      </c>
      <c r="W391" s="212" t="s">
        <v>5623</v>
      </c>
      <c r="X391" s="212">
        <v>3</v>
      </c>
      <c r="Y391" s="212" t="s">
        <v>5624</v>
      </c>
      <c r="Z391" s="212">
        <v>3</v>
      </c>
      <c r="AA391" s="212" t="s">
        <v>5625</v>
      </c>
      <c r="AB391" s="212"/>
      <c r="AC391" s="212"/>
      <c r="AD391" s="213">
        <v>44295</v>
      </c>
      <c r="AE391" s="213">
        <v>44379</v>
      </c>
      <c r="AF391" s="213">
        <v>44481</v>
      </c>
      <c r="AG391" s="213"/>
      <c r="AH391" s="75">
        <f t="shared" si="26"/>
        <v>0.75</v>
      </c>
      <c r="AI391" s="75">
        <f t="shared" si="27"/>
        <v>1</v>
      </c>
      <c r="AJ391" s="75">
        <f t="shared" si="28"/>
        <v>1</v>
      </c>
      <c r="AK391" s="75">
        <f t="shared" si="29"/>
        <v>1</v>
      </c>
      <c r="AL391" s="75" t="s">
        <v>2467</v>
      </c>
      <c r="AM391" s="143" t="s">
        <v>739</v>
      </c>
      <c r="AN391" s="143" t="s">
        <v>739</v>
      </c>
      <c r="AO391" s="143" t="s">
        <v>739</v>
      </c>
      <c r="AP391" s="143"/>
      <c r="AQ391" s="143" t="s">
        <v>4300</v>
      </c>
      <c r="AR391" s="143" t="s">
        <v>5626</v>
      </c>
      <c r="AS391" s="143" t="s">
        <v>5627</v>
      </c>
      <c r="AT391" s="143"/>
      <c r="AU391" s="143" t="s">
        <v>739</v>
      </c>
      <c r="AV391" s="143" t="s">
        <v>739</v>
      </c>
      <c r="AW391" s="143" t="s">
        <v>739</v>
      </c>
      <c r="AX391" s="143"/>
      <c r="AY391" s="143" t="s">
        <v>5628</v>
      </c>
      <c r="AZ391" s="143" t="s">
        <v>5629</v>
      </c>
      <c r="BA391" s="143" t="s">
        <v>5629</v>
      </c>
      <c r="BB391" s="143"/>
      <c r="BC391" s="143" t="s">
        <v>727</v>
      </c>
    </row>
    <row r="392" spans="1:55" ht="15" customHeight="1" x14ac:dyDescent="0.25">
      <c r="A392" s="210">
        <v>31</v>
      </c>
      <c r="B392" s="143" t="s">
        <v>5365</v>
      </c>
      <c r="C392" s="143" t="s">
        <v>2552</v>
      </c>
      <c r="D392" s="143" t="s">
        <v>2583</v>
      </c>
      <c r="E392" s="143" t="s">
        <v>2584</v>
      </c>
      <c r="F392" s="143" t="s">
        <v>793</v>
      </c>
      <c r="G392" s="143" t="s">
        <v>2458</v>
      </c>
      <c r="H392" s="143" t="s">
        <v>731</v>
      </c>
      <c r="I392" s="143" t="s">
        <v>2837</v>
      </c>
      <c r="J392" s="217">
        <v>44348</v>
      </c>
      <c r="K392" s="217">
        <v>44560</v>
      </c>
      <c r="L392" s="143" t="s">
        <v>5630</v>
      </c>
      <c r="M392" s="143" t="s">
        <v>5507</v>
      </c>
      <c r="N392" s="143" t="s">
        <v>60</v>
      </c>
      <c r="O392" s="143" t="s">
        <v>3058</v>
      </c>
      <c r="P392" s="143" t="s">
        <v>11</v>
      </c>
      <c r="Q392" s="241">
        <v>1</v>
      </c>
      <c r="R392" s="241">
        <v>0</v>
      </c>
      <c r="S392" s="241">
        <v>0</v>
      </c>
      <c r="T392" s="241">
        <v>0</v>
      </c>
      <c r="U392" s="241">
        <v>1</v>
      </c>
      <c r="V392" s="241">
        <v>0</v>
      </c>
      <c r="W392" s="241" t="s">
        <v>5631</v>
      </c>
      <c r="X392" s="241">
        <v>0</v>
      </c>
      <c r="Y392" s="241" t="s">
        <v>5632</v>
      </c>
      <c r="Z392" s="241">
        <v>0</v>
      </c>
      <c r="AA392" s="241" t="s">
        <v>5633</v>
      </c>
      <c r="AB392" s="212"/>
      <c r="AC392" s="212"/>
      <c r="AD392" s="213">
        <v>44295</v>
      </c>
      <c r="AE392" s="213">
        <v>44379</v>
      </c>
      <c r="AF392" s="213">
        <v>44481</v>
      </c>
      <c r="AG392" s="213"/>
      <c r="AH392" s="75">
        <f t="shared" si="26"/>
        <v>0</v>
      </c>
      <c r="AI392" s="75" t="str">
        <f t="shared" si="27"/>
        <v/>
      </c>
      <c r="AJ392" s="75" t="str">
        <f t="shared" si="28"/>
        <v/>
      </c>
      <c r="AK392" s="75" t="str">
        <f t="shared" si="29"/>
        <v/>
      </c>
      <c r="AL392" s="75" t="s">
        <v>2467</v>
      </c>
      <c r="AM392" s="143" t="s">
        <v>838</v>
      </c>
      <c r="AN392" s="143" t="s">
        <v>739</v>
      </c>
      <c r="AO392" s="143" t="s">
        <v>838</v>
      </c>
      <c r="AP392" s="143"/>
      <c r="AQ392" s="143" t="s">
        <v>5634</v>
      </c>
      <c r="AR392" s="143" t="s">
        <v>5635</v>
      </c>
      <c r="AS392" s="143" t="s">
        <v>3234</v>
      </c>
      <c r="AT392" s="143"/>
      <c r="AU392" s="143" t="s">
        <v>838</v>
      </c>
      <c r="AV392" s="143" t="s">
        <v>739</v>
      </c>
      <c r="AW392" s="143" t="s">
        <v>838</v>
      </c>
      <c r="AX392" s="143"/>
      <c r="AY392" s="143" t="s">
        <v>4336</v>
      </c>
      <c r="AZ392" s="143" t="s">
        <v>5636</v>
      </c>
      <c r="BA392" s="143" t="s">
        <v>5637</v>
      </c>
      <c r="BB392" s="143"/>
      <c r="BC392" s="143" t="s">
        <v>727</v>
      </c>
    </row>
    <row r="393" spans="1:55" ht="15" customHeight="1" x14ac:dyDescent="0.25">
      <c r="A393" s="210">
        <v>1</v>
      </c>
      <c r="B393" s="143" t="s">
        <v>5638</v>
      </c>
      <c r="C393" s="143" t="s">
        <v>1710</v>
      </c>
      <c r="D393" s="143" t="s">
        <v>5639</v>
      </c>
      <c r="E393" s="143" t="s">
        <v>792</v>
      </c>
      <c r="F393" s="143" t="s">
        <v>793</v>
      </c>
      <c r="G393" s="143" t="s">
        <v>4834</v>
      </c>
      <c r="H393" s="143" t="s">
        <v>4834</v>
      </c>
      <c r="I393" s="143" t="s">
        <v>5640</v>
      </c>
      <c r="J393" s="217">
        <v>44256</v>
      </c>
      <c r="K393" s="217">
        <v>44560</v>
      </c>
      <c r="L393" s="143" t="s">
        <v>5641</v>
      </c>
      <c r="M393" s="143" t="s">
        <v>180</v>
      </c>
      <c r="N393" s="143" t="s">
        <v>30</v>
      </c>
      <c r="O393" s="143" t="s">
        <v>5642</v>
      </c>
      <c r="P393" s="143" t="s">
        <v>735</v>
      </c>
      <c r="Q393" s="212">
        <v>17</v>
      </c>
      <c r="R393" s="212">
        <v>3</v>
      </c>
      <c r="S393" s="212">
        <v>7</v>
      </c>
      <c r="T393" s="212">
        <v>4</v>
      </c>
      <c r="U393" s="212">
        <v>3</v>
      </c>
      <c r="V393" s="212">
        <v>2</v>
      </c>
      <c r="W393" s="212" t="s">
        <v>5643</v>
      </c>
      <c r="X393" s="212">
        <v>7</v>
      </c>
      <c r="Y393" s="212" t="s">
        <v>5644</v>
      </c>
      <c r="Z393" s="212">
        <v>5</v>
      </c>
      <c r="AA393" s="212" t="s">
        <v>5645</v>
      </c>
      <c r="AB393" s="212"/>
      <c r="AC393" s="212"/>
      <c r="AD393" s="213">
        <v>44295</v>
      </c>
      <c r="AE393" s="213">
        <v>44379</v>
      </c>
      <c r="AF393" s="213">
        <v>44481</v>
      </c>
      <c r="AG393" s="213"/>
      <c r="AH393" s="75">
        <f t="shared" si="26"/>
        <v>0.82352941176470584</v>
      </c>
      <c r="AI393" s="75">
        <f t="shared" si="27"/>
        <v>0.66666666666666663</v>
      </c>
      <c r="AJ393" s="75">
        <f t="shared" si="28"/>
        <v>1</v>
      </c>
      <c r="AK393" s="75">
        <f t="shared" si="29"/>
        <v>1</v>
      </c>
      <c r="AL393" s="75" t="s">
        <v>2467</v>
      </c>
      <c r="AM393" s="143" t="s">
        <v>739</v>
      </c>
      <c r="AN393" s="143" t="s">
        <v>739</v>
      </c>
      <c r="AO393" s="143" t="s">
        <v>739</v>
      </c>
      <c r="AP393" s="143"/>
      <c r="AQ393" s="143" t="s">
        <v>5646</v>
      </c>
      <c r="AR393" s="143" t="s">
        <v>1060</v>
      </c>
      <c r="AS393" s="143" t="s">
        <v>5647</v>
      </c>
      <c r="AT393" s="143"/>
      <c r="AU393" s="143" t="s">
        <v>739</v>
      </c>
      <c r="AV393" s="143" t="s">
        <v>739</v>
      </c>
      <c r="AW393" s="143" t="s">
        <v>739</v>
      </c>
      <c r="AX393" s="143"/>
      <c r="AY393" s="143" t="s">
        <v>5648</v>
      </c>
      <c r="AZ393" s="143" t="s">
        <v>5649</v>
      </c>
      <c r="BA393" s="143" t="s">
        <v>5650</v>
      </c>
      <c r="BB393" s="143"/>
      <c r="BC393" s="143" t="s">
        <v>727</v>
      </c>
    </row>
    <row r="394" spans="1:55" ht="15" customHeight="1" x14ac:dyDescent="0.25">
      <c r="A394" s="210">
        <v>2</v>
      </c>
      <c r="B394" s="143" t="s">
        <v>5638</v>
      </c>
      <c r="C394" s="143" t="s">
        <v>1710</v>
      </c>
      <c r="D394" s="143" t="s">
        <v>5639</v>
      </c>
      <c r="E394" s="143" t="s">
        <v>792</v>
      </c>
      <c r="F394" s="143" t="s">
        <v>793</v>
      </c>
      <c r="G394" s="143" t="s">
        <v>4834</v>
      </c>
      <c r="H394" s="143" t="s">
        <v>4834</v>
      </c>
      <c r="I394" s="143" t="s">
        <v>5651</v>
      </c>
      <c r="J394" s="217">
        <v>44197</v>
      </c>
      <c r="K394" s="217">
        <v>44560</v>
      </c>
      <c r="L394" s="143" t="s">
        <v>2586</v>
      </c>
      <c r="M394" s="143" t="s">
        <v>180</v>
      </c>
      <c r="N394" s="143" t="s">
        <v>30</v>
      </c>
      <c r="O394" s="143" t="s">
        <v>5642</v>
      </c>
      <c r="P394" s="143" t="s">
        <v>735</v>
      </c>
      <c r="Q394" s="212">
        <v>64</v>
      </c>
      <c r="R394" s="212">
        <v>19</v>
      </c>
      <c r="S394" s="212">
        <v>18</v>
      </c>
      <c r="T394" s="212">
        <v>16</v>
      </c>
      <c r="U394" s="212">
        <v>11</v>
      </c>
      <c r="V394" s="212">
        <v>19</v>
      </c>
      <c r="W394" s="212" t="s">
        <v>5652</v>
      </c>
      <c r="X394" s="212">
        <v>18</v>
      </c>
      <c r="Y394" s="212" t="s">
        <v>5653</v>
      </c>
      <c r="Z394" s="212">
        <v>16</v>
      </c>
      <c r="AA394" s="212" t="s">
        <v>5654</v>
      </c>
      <c r="AB394" s="215"/>
      <c r="AC394" s="215"/>
      <c r="AD394" s="213">
        <v>44295</v>
      </c>
      <c r="AE394" s="213">
        <v>44379</v>
      </c>
      <c r="AF394" s="213">
        <v>44482</v>
      </c>
      <c r="AG394" s="213"/>
      <c r="AH394" s="75">
        <f t="shared" si="26"/>
        <v>0.828125</v>
      </c>
      <c r="AI394" s="75">
        <f t="shared" si="27"/>
        <v>1</v>
      </c>
      <c r="AJ394" s="75">
        <f t="shared" si="28"/>
        <v>1</v>
      </c>
      <c r="AK394" s="75">
        <f t="shared" si="29"/>
        <v>1</v>
      </c>
      <c r="AL394" s="75" t="s">
        <v>2467</v>
      </c>
      <c r="AM394" s="143" t="s">
        <v>739</v>
      </c>
      <c r="AN394" s="143" t="s">
        <v>739</v>
      </c>
      <c r="AO394" s="143" t="s">
        <v>739</v>
      </c>
      <c r="AP394" s="143"/>
      <c r="AQ394" s="143" t="s">
        <v>1060</v>
      </c>
      <c r="AR394" s="143" t="s">
        <v>1060</v>
      </c>
      <c r="AS394" s="143" t="s">
        <v>5655</v>
      </c>
      <c r="AT394" s="143"/>
      <c r="AU394" s="143" t="s">
        <v>739</v>
      </c>
      <c r="AV394" s="143" t="s">
        <v>739</v>
      </c>
      <c r="AW394" s="143" t="s">
        <v>739</v>
      </c>
      <c r="AX394" s="143"/>
      <c r="AY394" s="143" t="s">
        <v>5656</v>
      </c>
      <c r="AZ394" s="143" t="s">
        <v>5657</v>
      </c>
      <c r="BA394" s="143" t="s">
        <v>5658</v>
      </c>
      <c r="BB394" s="143"/>
      <c r="BC394" s="143" t="s">
        <v>727</v>
      </c>
    </row>
    <row r="395" spans="1:55" ht="15" customHeight="1" x14ac:dyDescent="0.25">
      <c r="A395" s="210">
        <v>3</v>
      </c>
      <c r="B395" s="143" t="s">
        <v>5638</v>
      </c>
      <c r="C395" s="143" t="s">
        <v>1710</v>
      </c>
      <c r="D395" s="143" t="s">
        <v>5659</v>
      </c>
      <c r="E395" s="143" t="s">
        <v>792</v>
      </c>
      <c r="F395" s="143" t="s">
        <v>793</v>
      </c>
      <c r="G395" s="143" t="s">
        <v>4834</v>
      </c>
      <c r="H395" s="143" t="s">
        <v>4834</v>
      </c>
      <c r="I395" s="143" t="s">
        <v>5660</v>
      </c>
      <c r="J395" s="217">
        <v>44316</v>
      </c>
      <c r="K395" s="217">
        <v>44560</v>
      </c>
      <c r="L395" s="143" t="s">
        <v>5661</v>
      </c>
      <c r="M395" s="143" t="s">
        <v>180</v>
      </c>
      <c r="N395" s="143" t="s">
        <v>30</v>
      </c>
      <c r="O395" s="143" t="s">
        <v>5662</v>
      </c>
      <c r="P395" s="143" t="s">
        <v>735</v>
      </c>
      <c r="Q395" s="212">
        <v>4</v>
      </c>
      <c r="R395" s="212">
        <v>1</v>
      </c>
      <c r="S395" s="212">
        <v>1</v>
      </c>
      <c r="T395" s="212">
        <v>1</v>
      </c>
      <c r="U395" s="212">
        <v>1</v>
      </c>
      <c r="V395" s="212">
        <v>1</v>
      </c>
      <c r="W395" s="212" t="s">
        <v>5663</v>
      </c>
      <c r="X395" s="212">
        <v>1</v>
      </c>
      <c r="Y395" s="212" t="s">
        <v>5664</v>
      </c>
      <c r="Z395" s="212">
        <v>1</v>
      </c>
      <c r="AA395" s="212" t="s">
        <v>5665</v>
      </c>
      <c r="AB395" s="215"/>
      <c r="AC395" s="215"/>
      <c r="AD395" s="213">
        <v>44295</v>
      </c>
      <c r="AE395" s="213">
        <v>44379</v>
      </c>
      <c r="AF395" s="213">
        <v>44482</v>
      </c>
      <c r="AG395" s="213"/>
      <c r="AH395" s="75">
        <f t="shared" si="26"/>
        <v>0.75</v>
      </c>
      <c r="AI395" s="75">
        <f t="shared" si="27"/>
        <v>1</v>
      </c>
      <c r="AJ395" s="75">
        <f t="shared" si="28"/>
        <v>1</v>
      </c>
      <c r="AK395" s="75">
        <f t="shared" si="29"/>
        <v>1</v>
      </c>
      <c r="AL395" s="75" t="s">
        <v>2467</v>
      </c>
      <c r="AM395" s="143" t="s">
        <v>739</v>
      </c>
      <c r="AN395" s="143" t="s">
        <v>739</v>
      </c>
      <c r="AO395" s="143" t="s">
        <v>739</v>
      </c>
      <c r="AP395" s="143"/>
      <c r="AQ395" s="143" t="s">
        <v>5666</v>
      </c>
      <c r="AR395" s="143" t="s">
        <v>1060</v>
      </c>
      <c r="AS395" s="143" t="s">
        <v>5667</v>
      </c>
      <c r="AT395" s="143"/>
      <c r="AU395" s="143" t="s">
        <v>828</v>
      </c>
      <c r="AV395" s="143" t="s">
        <v>739</v>
      </c>
      <c r="AW395" s="143" t="s">
        <v>739</v>
      </c>
      <c r="AX395" s="143"/>
      <c r="AY395" s="143" t="s">
        <v>5668</v>
      </c>
      <c r="AZ395" s="143" t="s">
        <v>5669</v>
      </c>
      <c r="BA395" s="143" t="s">
        <v>5670</v>
      </c>
      <c r="BB395" s="143"/>
      <c r="BC395" s="143" t="s">
        <v>727</v>
      </c>
    </row>
    <row r="396" spans="1:55" ht="15" customHeight="1" x14ac:dyDescent="0.25">
      <c r="A396" s="210">
        <v>4</v>
      </c>
      <c r="B396" s="143" t="s">
        <v>5638</v>
      </c>
      <c r="C396" s="143" t="s">
        <v>2552</v>
      </c>
      <c r="D396" s="143" t="s">
        <v>2583</v>
      </c>
      <c r="E396" s="143" t="s">
        <v>792</v>
      </c>
      <c r="F396" s="143" t="s">
        <v>793</v>
      </c>
      <c r="G396" s="143" t="s">
        <v>2458</v>
      </c>
      <c r="H396" s="143" t="s">
        <v>731</v>
      </c>
      <c r="I396" s="143" t="s">
        <v>2595</v>
      </c>
      <c r="J396" s="217">
        <v>44348</v>
      </c>
      <c r="K396" s="217">
        <v>44378</v>
      </c>
      <c r="L396" s="143" t="s">
        <v>5671</v>
      </c>
      <c r="M396" s="143" t="s">
        <v>180</v>
      </c>
      <c r="N396" s="143" t="s">
        <v>60</v>
      </c>
      <c r="O396" s="143" t="s">
        <v>5672</v>
      </c>
      <c r="P396" s="143" t="s">
        <v>11</v>
      </c>
      <c r="Q396" s="219">
        <v>1</v>
      </c>
      <c r="R396" s="219">
        <v>0</v>
      </c>
      <c r="S396" s="219">
        <v>0</v>
      </c>
      <c r="T396" s="219">
        <v>0.5</v>
      </c>
      <c r="U396" s="219">
        <v>0.5</v>
      </c>
      <c r="V396" s="219">
        <v>0</v>
      </c>
      <c r="W396" s="219" t="s">
        <v>5673</v>
      </c>
      <c r="X396" s="219">
        <v>0</v>
      </c>
      <c r="Y396" s="219" t="s">
        <v>5674</v>
      </c>
      <c r="Z396" s="219">
        <v>0.5</v>
      </c>
      <c r="AA396" s="219" t="s">
        <v>5675</v>
      </c>
      <c r="AB396" s="215"/>
      <c r="AC396" s="215"/>
      <c r="AD396" s="213">
        <v>44295</v>
      </c>
      <c r="AE396" s="213">
        <v>44379</v>
      </c>
      <c r="AF396" s="213">
        <v>44482</v>
      </c>
      <c r="AG396" s="213"/>
      <c r="AH396" s="75">
        <f t="shared" si="26"/>
        <v>0.5</v>
      </c>
      <c r="AI396" s="75" t="str">
        <f t="shared" si="27"/>
        <v/>
      </c>
      <c r="AJ396" s="75" t="str">
        <f t="shared" si="28"/>
        <v/>
      </c>
      <c r="AK396" s="75">
        <f t="shared" si="29"/>
        <v>1</v>
      </c>
      <c r="AL396" s="75" t="s">
        <v>2467</v>
      </c>
      <c r="AM396" s="143" t="s">
        <v>739</v>
      </c>
      <c r="AN396" s="143" t="s">
        <v>739</v>
      </c>
      <c r="AO396" s="143" t="s">
        <v>739</v>
      </c>
      <c r="AP396" s="143"/>
      <c r="AQ396" s="143" t="s">
        <v>5184</v>
      </c>
      <c r="AR396" s="143" t="s">
        <v>5676</v>
      </c>
      <c r="AS396" s="143" t="s">
        <v>5677</v>
      </c>
      <c r="AT396" s="143"/>
      <c r="AU396" s="143" t="s">
        <v>838</v>
      </c>
      <c r="AV396" s="143" t="s">
        <v>838</v>
      </c>
      <c r="AW396" s="143" t="s">
        <v>739</v>
      </c>
      <c r="AX396" s="143"/>
      <c r="AY396" s="143" t="s">
        <v>5678</v>
      </c>
      <c r="AZ396" s="143" t="s">
        <v>940</v>
      </c>
      <c r="BA396" s="143" t="s">
        <v>5679</v>
      </c>
      <c r="BB396" s="143"/>
      <c r="BC396" s="143" t="s">
        <v>1710</v>
      </c>
    </row>
    <row r="397" spans="1:55" ht="15" customHeight="1" x14ac:dyDescent="0.25">
      <c r="A397" s="210">
        <v>5</v>
      </c>
      <c r="B397" s="143" t="s">
        <v>5638</v>
      </c>
      <c r="C397" s="143" t="s">
        <v>2459</v>
      </c>
      <c r="D397" s="143" t="s">
        <v>2583</v>
      </c>
      <c r="E397" s="143" t="s">
        <v>792</v>
      </c>
      <c r="F397" s="143" t="s">
        <v>793</v>
      </c>
      <c r="G397" s="143" t="s">
        <v>2458</v>
      </c>
      <c r="H397" s="143" t="s">
        <v>731</v>
      </c>
      <c r="I397" s="143" t="s">
        <v>5680</v>
      </c>
      <c r="J397" s="217">
        <v>44317</v>
      </c>
      <c r="K397" s="217">
        <v>44440</v>
      </c>
      <c r="L397" s="143" t="s">
        <v>5681</v>
      </c>
      <c r="M397" s="143" t="s">
        <v>180</v>
      </c>
      <c r="N397" s="143" t="s">
        <v>30</v>
      </c>
      <c r="O397" s="143" t="s">
        <v>5682</v>
      </c>
      <c r="P397" s="143" t="s">
        <v>11</v>
      </c>
      <c r="Q397" s="223">
        <v>3</v>
      </c>
      <c r="R397" s="223">
        <v>1</v>
      </c>
      <c r="S397" s="223">
        <v>1</v>
      </c>
      <c r="T397" s="223">
        <v>1</v>
      </c>
      <c r="U397" s="223">
        <v>0</v>
      </c>
      <c r="V397" s="223">
        <v>1</v>
      </c>
      <c r="W397" s="223" t="s">
        <v>5683</v>
      </c>
      <c r="X397" s="223">
        <v>1</v>
      </c>
      <c r="Y397" s="223" t="s">
        <v>5684</v>
      </c>
      <c r="Z397" s="223">
        <v>1</v>
      </c>
      <c r="AA397" s="223" t="s">
        <v>5685</v>
      </c>
      <c r="AB397" s="215"/>
      <c r="AC397" s="215"/>
      <c r="AD397" s="213">
        <v>44295</v>
      </c>
      <c r="AE397" s="213">
        <v>44379</v>
      </c>
      <c r="AF397" s="213">
        <v>44482</v>
      </c>
      <c r="AG397" s="213"/>
      <c r="AH397" s="75">
        <f t="shared" si="26"/>
        <v>1</v>
      </c>
      <c r="AI397" s="75">
        <f t="shared" si="27"/>
        <v>1</v>
      </c>
      <c r="AJ397" s="75">
        <f t="shared" si="28"/>
        <v>1</v>
      </c>
      <c r="AK397" s="75">
        <f t="shared" si="29"/>
        <v>1</v>
      </c>
      <c r="AL397" s="75" t="s">
        <v>2467</v>
      </c>
      <c r="AM397" s="143" t="s">
        <v>739</v>
      </c>
      <c r="AN397" s="143" t="s">
        <v>739</v>
      </c>
      <c r="AO397" s="143" t="s">
        <v>739</v>
      </c>
      <c r="AP397" s="143"/>
      <c r="AQ397" s="143" t="s">
        <v>2107</v>
      </c>
      <c r="AR397" s="143" t="s">
        <v>1060</v>
      </c>
      <c r="AS397" s="143" t="s">
        <v>5686</v>
      </c>
      <c r="AT397" s="143"/>
      <c r="AU397" s="143" t="s">
        <v>828</v>
      </c>
      <c r="AV397" s="143" t="s">
        <v>739</v>
      </c>
      <c r="AW397" s="143" t="s">
        <v>739</v>
      </c>
      <c r="AX397" s="143"/>
      <c r="AY397" s="143" t="s">
        <v>5687</v>
      </c>
      <c r="AZ397" s="143" t="s">
        <v>5688</v>
      </c>
      <c r="BA397" s="143" t="s">
        <v>5689</v>
      </c>
      <c r="BB397" s="143"/>
      <c r="BC397" s="143" t="s">
        <v>1710</v>
      </c>
    </row>
    <row r="398" spans="1:55" ht="15" customHeight="1" x14ac:dyDescent="0.25">
      <c r="A398" s="210">
        <v>6</v>
      </c>
      <c r="B398" s="143" t="s">
        <v>5638</v>
      </c>
      <c r="C398" s="143" t="s">
        <v>2601</v>
      </c>
      <c r="D398" s="143" t="s">
        <v>2583</v>
      </c>
      <c r="E398" s="143" t="s">
        <v>792</v>
      </c>
      <c r="F398" s="143" t="s">
        <v>793</v>
      </c>
      <c r="G398" s="143" t="s">
        <v>2458</v>
      </c>
      <c r="H398" s="143" t="s">
        <v>731</v>
      </c>
      <c r="I398" s="143" t="s">
        <v>2825</v>
      </c>
      <c r="J398" s="217">
        <v>44501</v>
      </c>
      <c r="K398" s="217">
        <v>44530</v>
      </c>
      <c r="L398" s="143" t="s">
        <v>5671</v>
      </c>
      <c r="M398" s="143" t="s">
        <v>180</v>
      </c>
      <c r="N398" s="143" t="s">
        <v>30</v>
      </c>
      <c r="O398" s="143" t="s">
        <v>5690</v>
      </c>
      <c r="P398" s="143" t="s">
        <v>11</v>
      </c>
      <c r="Q398" s="223">
        <v>1</v>
      </c>
      <c r="R398" s="223">
        <v>0</v>
      </c>
      <c r="S398" s="223">
        <v>0</v>
      </c>
      <c r="T398" s="223">
        <v>0</v>
      </c>
      <c r="U398" s="223">
        <v>1</v>
      </c>
      <c r="V398" s="223">
        <v>0</v>
      </c>
      <c r="W398" s="223" t="s">
        <v>5673</v>
      </c>
      <c r="X398" s="223">
        <v>0</v>
      </c>
      <c r="Y398" s="223" t="s">
        <v>5691</v>
      </c>
      <c r="Z398" s="223">
        <v>0</v>
      </c>
      <c r="AA398" s="223" t="s">
        <v>5692</v>
      </c>
      <c r="AB398" s="215"/>
      <c r="AC398" s="215"/>
      <c r="AD398" s="213">
        <v>44295</v>
      </c>
      <c r="AE398" s="213">
        <v>44379</v>
      </c>
      <c r="AF398" s="213">
        <v>44482</v>
      </c>
      <c r="AG398" s="213"/>
      <c r="AH398" s="75">
        <f t="shared" si="26"/>
        <v>0</v>
      </c>
      <c r="AI398" s="75" t="str">
        <f t="shared" si="27"/>
        <v/>
      </c>
      <c r="AJ398" s="75" t="str">
        <f t="shared" si="28"/>
        <v/>
      </c>
      <c r="AK398" s="75" t="str">
        <f t="shared" si="29"/>
        <v/>
      </c>
      <c r="AL398" s="75" t="s">
        <v>2467</v>
      </c>
      <c r="AM398" s="143" t="s">
        <v>739</v>
      </c>
      <c r="AN398" s="143" t="s">
        <v>838</v>
      </c>
      <c r="AO398" s="143" t="s">
        <v>838</v>
      </c>
      <c r="AP398" s="143"/>
      <c r="AQ398" s="143" t="s">
        <v>5153</v>
      </c>
      <c r="AR398" s="143" t="s">
        <v>4330</v>
      </c>
      <c r="AS398" s="143" t="s">
        <v>2493</v>
      </c>
      <c r="AT398" s="143"/>
      <c r="AU398" s="143" t="s">
        <v>838</v>
      </c>
      <c r="AV398" s="143" t="s">
        <v>838</v>
      </c>
      <c r="AW398" s="143" t="s">
        <v>838</v>
      </c>
      <c r="AX398" s="143"/>
      <c r="AY398" s="143" t="s">
        <v>5678</v>
      </c>
      <c r="AZ398" s="143" t="s">
        <v>5693</v>
      </c>
      <c r="BA398" s="143" t="s">
        <v>2501</v>
      </c>
      <c r="BB398" s="143"/>
      <c r="BC398" s="143" t="s">
        <v>1710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945"/>
  <sheetViews>
    <sheetView topLeftCell="L920" workbookViewId="0">
      <selection activeCell="W944" sqref="W944"/>
    </sheetView>
  </sheetViews>
  <sheetFormatPr baseColWidth="10" defaultColWidth="11" defaultRowHeight="15.75" x14ac:dyDescent="0.25"/>
  <sheetData>
    <row r="1" spans="1:25" x14ac:dyDescent="0.25">
      <c r="A1" t="s">
        <v>5694</v>
      </c>
      <c r="B1" t="s">
        <v>5695</v>
      </c>
      <c r="C1" t="s">
        <v>5696</v>
      </c>
      <c r="D1" t="s">
        <v>5697</v>
      </c>
      <c r="E1" t="s">
        <v>5698</v>
      </c>
      <c r="F1" t="s">
        <v>5699</v>
      </c>
      <c r="G1" t="s">
        <v>5700</v>
      </c>
      <c r="H1" t="s">
        <v>5701</v>
      </c>
      <c r="I1" t="s">
        <v>5702</v>
      </c>
      <c r="J1" t="s">
        <v>5703</v>
      </c>
      <c r="K1" t="s">
        <v>5704</v>
      </c>
      <c r="L1" t="s">
        <v>5705</v>
      </c>
      <c r="M1" t="s">
        <v>5706</v>
      </c>
      <c r="N1" t="s">
        <v>5707</v>
      </c>
      <c r="O1" t="s">
        <v>5708</v>
      </c>
      <c r="P1" t="s">
        <v>5709</v>
      </c>
      <c r="Q1" t="s">
        <v>5710</v>
      </c>
      <c r="R1" t="s">
        <v>5711</v>
      </c>
      <c r="S1" t="s">
        <v>5</v>
      </c>
      <c r="T1" t="s">
        <v>5712</v>
      </c>
      <c r="U1" t="s">
        <v>7</v>
      </c>
      <c r="V1" t="s">
        <v>5713</v>
      </c>
      <c r="W1" t="s">
        <v>5714</v>
      </c>
      <c r="X1" t="s">
        <v>5715</v>
      </c>
      <c r="Y1" t="s">
        <v>5716</v>
      </c>
    </row>
    <row r="2" spans="1:25" x14ac:dyDescent="0.25">
      <c r="A2" t="s">
        <v>5717</v>
      </c>
      <c r="B2" t="s">
        <v>5718</v>
      </c>
      <c r="C2" t="s">
        <v>5719</v>
      </c>
      <c r="D2" t="s">
        <v>5720</v>
      </c>
      <c r="E2" t="s">
        <v>5721</v>
      </c>
      <c r="F2" t="s">
        <v>5722</v>
      </c>
      <c r="G2" t="s">
        <v>5723</v>
      </c>
      <c r="H2" t="s">
        <v>465</v>
      </c>
      <c r="I2" t="s">
        <v>661</v>
      </c>
      <c r="J2" t="s">
        <v>266</v>
      </c>
      <c r="K2" t="s">
        <v>5724</v>
      </c>
      <c r="L2" t="s">
        <v>267</v>
      </c>
      <c r="M2">
        <v>155531053.15000001</v>
      </c>
      <c r="N2">
        <v>69165777.890000001</v>
      </c>
      <c r="O2">
        <v>224696831.03999999</v>
      </c>
      <c r="P2">
        <v>0</v>
      </c>
      <c r="Q2" t="s">
        <v>5725</v>
      </c>
      <c r="R2" t="s">
        <v>5726</v>
      </c>
      <c r="S2" t="s">
        <v>5727</v>
      </c>
      <c r="T2" t="s">
        <v>5728</v>
      </c>
      <c r="U2" t="s">
        <v>5729</v>
      </c>
      <c r="V2" t="s">
        <v>5730</v>
      </c>
      <c r="W2" t="s">
        <v>5731</v>
      </c>
      <c r="X2" t="str">
        <f t="shared" ref="X2:X65" si="0">IF(LEFT(H2,1)="C","Inversión","Funcionamiento")</f>
        <v>Inversión</v>
      </c>
      <c r="Y2" t="s">
        <v>5732</v>
      </c>
    </row>
    <row r="3" spans="1:25" x14ac:dyDescent="0.25">
      <c r="A3" t="s">
        <v>5717</v>
      </c>
      <c r="B3" t="s">
        <v>5718</v>
      </c>
      <c r="C3" t="s">
        <v>5719</v>
      </c>
      <c r="D3" t="s">
        <v>5720</v>
      </c>
      <c r="E3" t="s">
        <v>5721</v>
      </c>
      <c r="F3" t="s">
        <v>5733</v>
      </c>
      <c r="G3" t="s">
        <v>5723</v>
      </c>
      <c r="H3" t="s">
        <v>461</v>
      </c>
      <c r="I3" t="s">
        <v>644</v>
      </c>
      <c r="J3" t="s">
        <v>273</v>
      </c>
      <c r="K3" t="s">
        <v>5734</v>
      </c>
      <c r="L3" t="s">
        <v>267</v>
      </c>
      <c r="M3">
        <v>0</v>
      </c>
      <c r="N3">
        <v>8246700</v>
      </c>
      <c r="O3">
        <v>8246700</v>
      </c>
      <c r="P3">
        <v>0</v>
      </c>
      <c r="Q3" t="s">
        <v>5725</v>
      </c>
      <c r="R3" t="s">
        <v>5726</v>
      </c>
      <c r="S3" t="s">
        <v>5727</v>
      </c>
      <c r="T3" t="s">
        <v>5728</v>
      </c>
      <c r="U3" t="s">
        <v>5729</v>
      </c>
      <c r="V3" t="s">
        <v>5730</v>
      </c>
      <c r="W3" t="s">
        <v>5731</v>
      </c>
      <c r="X3" t="str">
        <f t="shared" si="0"/>
        <v>Inversión</v>
      </c>
      <c r="Y3" t="s">
        <v>5735</v>
      </c>
    </row>
    <row r="4" spans="1:25" x14ac:dyDescent="0.25">
      <c r="A4" t="s">
        <v>5726</v>
      </c>
      <c r="B4" t="s">
        <v>5718</v>
      </c>
      <c r="C4" t="s">
        <v>5736</v>
      </c>
      <c r="D4" t="s">
        <v>5720</v>
      </c>
      <c r="E4" t="s">
        <v>5737</v>
      </c>
      <c r="F4" t="s">
        <v>5738</v>
      </c>
      <c r="G4" t="s">
        <v>5723</v>
      </c>
      <c r="H4" t="s">
        <v>526</v>
      </c>
      <c r="I4" t="s">
        <v>670</v>
      </c>
      <c r="J4" t="s">
        <v>273</v>
      </c>
      <c r="K4" t="s">
        <v>5734</v>
      </c>
      <c r="L4" t="s">
        <v>267</v>
      </c>
      <c r="M4">
        <v>71376690</v>
      </c>
      <c r="N4">
        <v>-71376690</v>
      </c>
      <c r="O4">
        <v>0</v>
      </c>
      <c r="P4">
        <v>0</v>
      </c>
      <c r="Q4" t="s">
        <v>5739</v>
      </c>
      <c r="R4" t="s">
        <v>5740</v>
      </c>
      <c r="S4" t="s">
        <v>5731</v>
      </c>
      <c r="T4" t="s">
        <v>5731</v>
      </c>
      <c r="U4" t="s">
        <v>5731</v>
      </c>
      <c r="V4" t="s">
        <v>5731</v>
      </c>
      <c r="W4" t="s">
        <v>5731</v>
      </c>
      <c r="X4" t="str">
        <f t="shared" si="0"/>
        <v>Inversión</v>
      </c>
      <c r="Y4" t="s">
        <v>5741</v>
      </c>
    </row>
    <row r="5" spans="1:25" x14ac:dyDescent="0.25">
      <c r="A5" t="s">
        <v>5742</v>
      </c>
      <c r="B5" t="s">
        <v>5718</v>
      </c>
      <c r="C5" t="s">
        <v>5743</v>
      </c>
      <c r="D5" t="s">
        <v>5720</v>
      </c>
      <c r="E5" t="s">
        <v>5721</v>
      </c>
      <c r="F5" t="s">
        <v>5738</v>
      </c>
      <c r="G5" t="s">
        <v>5723</v>
      </c>
      <c r="H5" t="s">
        <v>556</v>
      </c>
      <c r="I5" t="s">
        <v>671</v>
      </c>
      <c r="J5" t="s">
        <v>273</v>
      </c>
      <c r="K5" t="s">
        <v>5734</v>
      </c>
      <c r="L5" t="s">
        <v>267</v>
      </c>
      <c r="M5">
        <v>23343057</v>
      </c>
      <c r="N5">
        <v>0</v>
      </c>
      <c r="O5">
        <v>23343057</v>
      </c>
      <c r="P5">
        <v>0</v>
      </c>
      <c r="Q5" t="s">
        <v>5744</v>
      </c>
      <c r="R5" t="s">
        <v>5742</v>
      </c>
      <c r="S5" t="s">
        <v>5745</v>
      </c>
      <c r="T5" t="s">
        <v>5746</v>
      </c>
      <c r="U5" t="s">
        <v>5747</v>
      </c>
      <c r="V5" t="s">
        <v>5748</v>
      </c>
      <c r="W5" t="s">
        <v>5731</v>
      </c>
      <c r="X5" t="str">
        <f t="shared" si="0"/>
        <v>Inversión</v>
      </c>
      <c r="Y5" t="s">
        <v>5741</v>
      </c>
    </row>
    <row r="6" spans="1:25" x14ac:dyDescent="0.25">
      <c r="A6" t="s">
        <v>5749</v>
      </c>
      <c r="B6" t="s">
        <v>5718</v>
      </c>
      <c r="C6" t="s">
        <v>5750</v>
      </c>
      <c r="D6" t="s">
        <v>5720</v>
      </c>
      <c r="E6" t="s">
        <v>5721</v>
      </c>
      <c r="F6" t="s">
        <v>5738</v>
      </c>
      <c r="G6" t="s">
        <v>5723</v>
      </c>
      <c r="H6" t="s">
        <v>556</v>
      </c>
      <c r="I6" t="s">
        <v>671</v>
      </c>
      <c r="J6" t="s">
        <v>273</v>
      </c>
      <c r="K6" t="s">
        <v>5734</v>
      </c>
      <c r="L6" t="s">
        <v>267</v>
      </c>
      <c r="M6">
        <v>43463091</v>
      </c>
      <c r="N6">
        <v>0</v>
      </c>
      <c r="O6">
        <v>43463091</v>
      </c>
      <c r="P6">
        <v>0</v>
      </c>
      <c r="Q6" t="s">
        <v>5751</v>
      </c>
      <c r="R6" t="s">
        <v>5749</v>
      </c>
      <c r="S6" t="s">
        <v>5752</v>
      </c>
      <c r="T6" t="s">
        <v>5753</v>
      </c>
      <c r="U6" t="s">
        <v>5754</v>
      </c>
      <c r="V6" t="s">
        <v>5755</v>
      </c>
      <c r="W6" t="s">
        <v>5731</v>
      </c>
      <c r="X6" t="str">
        <f t="shared" si="0"/>
        <v>Inversión</v>
      </c>
      <c r="Y6" t="s">
        <v>5741</v>
      </c>
    </row>
    <row r="7" spans="1:25" x14ac:dyDescent="0.25">
      <c r="A7" t="s">
        <v>5756</v>
      </c>
      <c r="B7" t="s">
        <v>5718</v>
      </c>
      <c r="C7" t="s">
        <v>5757</v>
      </c>
      <c r="D7" t="s">
        <v>5720</v>
      </c>
      <c r="E7" t="s">
        <v>5721</v>
      </c>
      <c r="F7" t="s">
        <v>5738</v>
      </c>
      <c r="G7" t="s">
        <v>5723</v>
      </c>
      <c r="H7" t="s">
        <v>556</v>
      </c>
      <c r="I7" t="s">
        <v>671</v>
      </c>
      <c r="J7" t="s">
        <v>273</v>
      </c>
      <c r="K7" t="s">
        <v>5734</v>
      </c>
      <c r="L7" t="s">
        <v>267</v>
      </c>
      <c r="M7">
        <v>92997806</v>
      </c>
      <c r="N7">
        <v>0</v>
      </c>
      <c r="O7">
        <v>92997806</v>
      </c>
      <c r="P7">
        <v>0</v>
      </c>
      <c r="Q7" t="s">
        <v>5758</v>
      </c>
      <c r="R7" t="s">
        <v>5756</v>
      </c>
      <c r="S7" t="s">
        <v>5759</v>
      </c>
      <c r="T7" t="s">
        <v>5760</v>
      </c>
      <c r="U7" t="s">
        <v>5761</v>
      </c>
      <c r="V7" t="s">
        <v>5762</v>
      </c>
      <c r="W7" t="s">
        <v>5731</v>
      </c>
      <c r="X7" t="str">
        <f t="shared" si="0"/>
        <v>Inversión</v>
      </c>
      <c r="Y7" t="s">
        <v>5741</v>
      </c>
    </row>
    <row r="8" spans="1:25" x14ac:dyDescent="0.25">
      <c r="A8" t="s">
        <v>5763</v>
      </c>
      <c r="B8" t="s">
        <v>5718</v>
      </c>
      <c r="C8" t="s">
        <v>5764</v>
      </c>
      <c r="D8" t="s">
        <v>5720</v>
      </c>
      <c r="E8" t="s">
        <v>5721</v>
      </c>
      <c r="F8" t="s">
        <v>5738</v>
      </c>
      <c r="G8" t="s">
        <v>5723</v>
      </c>
      <c r="H8" t="s">
        <v>556</v>
      </c>
      <c r="I8" t="s">
        <v>671</v>
      </c>
      <c r="J8" t="s">
        <v>273</v>
      </c>
      <c r="K8" t="s">
        <v>5734</v>
      </c>
      <c r="L8" t="s">
        <v>267</v>
      </c>
      <c r="M8">
        <v>53146280</v>
      </c>
      <c r="N8">
        <v>0</v>
      </c>
      <c r="O8">
        <v>53146280</v>
      </c>
      <c r="P8">
        <v>0</v>
      </c>
      <c r="Q8" t="s">
        <v>5765</v>
      </c>
      <c r="R8" t="s">
        <v>5763</v>
      </c>
      <c r="S8" t="s">
        <v>5766</v>
      </c>
      <c r="T8" t="s">
        <v>5767</v>
      </c>
      <c r="U8" t="s">
        <v>5768</v>
      </c>
      <c r="V8" t="s">
        <v>5769</v>
      </c>
      <c r="W8" t="s">
        <v>5731</v>
      </c>
      <c r="X8" t="str">
        <f t="shared" si="0"/>
        <v>Inversión</v>
      </c>
      <c r="Y8" t="s">
        <v>5741</v>
      </c>
    </row>
    <row r="9" spans="1:25" x14ac:dyDescent="0.25">
      <c r="A9" t="s">
        <v>5770</v>
      </c>
      <c r="B9" t="s">
        <v>5718</v>
      </c>
      <c r="C9" t="s">
        <v>5771</v>
      </c>
      <c r="D9" t="s">
        <v>5720</v>
      </c>
      <c r="E9" t="s">
        <v>5721</v>
      </c>
      <c r="F9" t="s">
        <v>5738</v>
      </c>
      <c r="G9" t="s">
        <v>5723</v>
      </c>
      <c r="H9" t="s">
        <v>556</v>
      </c>
      <c r="I9" t="s">
        <v>671</v>
      </c>
      <c r="J9" t="s">
        <v>273</v>
      </c>
      <c r="K9" t="s">
        <v>5734</v>
      </c>
      <c r="L9" t="s">
        <v>267</v>
      </c>
      <c r="M9">
        <v>58695945</v>
      </c>
      <c r="N9">
        <v>0</v>
      </c>
      <c r="O9">
        <v>58695945</v>
      </c>
      <c r="P9">
        <v>0</v>
      </c>
      <c r="Q9" t="s">
        <v>5772</v>
      </c>
      <c r="R9" t="s">
        <v>5770</v>
      </c>
      <c r="S9" t="s">
        <v>5773</v>
      </c>
      <c r="T9" t="s">
        <v>5774</v>
      </c>
      <c r="U9" t="s">
        <v>5775</v>
      </c>
      <c r="V9" t="s">
        <v>5776</v>
      </c>
      <c r="W9" t="s">
        <v>5731</v>
      </c>
      <c r="X9" t="str">
        <f t="shared" si="0"/>
        <v>Inversión</v>
      </c>
      <c r="Y9" t="s">
        <v>5741</v>
      </c>
    </row>
    <row r="10" spans="1:25" x14ac:dyDescent="0.25">
      <c r="A10" t="s">
        <v>5777</v>
      </c>
      <c r="B10" t="s">
        <v>5718</v>
      </c>
      <c r="C10" t="s">
        <v>5778</v>
      </c>
      <c r="D10" t="s">
        <v>5720</v>
      </c>
      <c r="E10" t="s">
        <v>5721</v>
      </c>
      <c r="F10" t="s">
        <v>5738</v>
      </c>
      <c r="G10" t="s">
        <v>5723</v>
      </c>
      <c r="H10" t="s">
        <v>556</v>
      </c>
      <c r="I10" t="s">
        <v>671</v>
      </c>
      <c r="J10" t="s">
        <v>273</v>
      </c>
      <c r="K10" t="s">
        <v>5734</v>
      </c>
      <c r="L10" t="s">
        <v>267</v>
      </c>
      <c r="M10">
        <v>48314800</v>
      </c>
      <c r="N10">
        <v>0</v>
      </c>
      <c r="O10">
        <v>48314800</v>
      </c>
      <c r="P10">
        <v>0</v>
      </c>
      <c r="Q10" t="s">
        <v>5779</v>
      </c>
      <c r="R10" t="s">
        <v>5777</v>
      </c>
      <c r="S10" t="s">
        <v>5780</v>
      </c>
      <c r="T10" t="s">
        <v>5781</v>
      </c>
      <c r="U10" t="s">
        <v>5782</v>
      </c>
      <c r="V10" t="s">
        <v>5783</v>
      </c>
      <c r="W10" t="s">
        <v>5731</v>
      </c>
      <c r="X10" t="str">
        <f t="shared" si="0"/>
        <v>Inversión</v>
      </c>
      <c r="Y10" t="s">
        <v>5741</v>
      </c>
    </row>
    <row r="11" spans="1:25" x14ac:dyDescent="0.25">
      <c r="A11" t="s">
        <v>5784</v>
      </c>
      <c r="B11" t="s">
        <v>5718</v>
      </c>
      <c r="C11" t="s">
        <v>5785</v>
      </c>
      <c r="D11" t="s">
        <v>5720</v>
      </c>
      <c r="E11" t="s">
        <v>5721</v>
      </c>
      <c r="F11" t="s">
        <v>5738</v>
      </c>
      <c r="G11" t="s">
        <v>5723</v>
      </c>
      <c r="H11" t="s">
        <v>556</v>
      </c>
      <c r="I11" t="s">
        <v>671</v>
      </c>
      <c r="J11" t="s">
        <v>273</v>
      </c>
      <c r="K11" t="s">
        <v>5734</v>
      </c>
      <c r="L11" t="s">
        <v>267</v>
      </c>
      <c r="M11">
        <v>58695945</v>
      </c>
      <c r="N11">
        <v>0</v>
      </c>
      <c r="O11">
        <v>58695945</v>
      </c>
      <c r="P11">
        <v>0</v>
      </c>
      <c r="Q11" t="s">
        <v>5786</v>
      </c>
      <c r="R11" t="s">
        <v>5787</v>
      </c>
      <c r="S11" t="s">
        <v>5788</v>
      </c>
      <c r="T11" t="s">
        <v>5789</v>
      </c>
      <c r="U11" t="s">
        <v>5790</v>
      </c>
      <c r="V11" t="s">
        <v>5791</v>
      </c>
      <c r="W11" t="s">
        <v>5731</v>
      </c>
      <c r="X11" t="str">
        <f t="shared" si="0"/>
        <v>Inversión</v>
      </c>
      <c r="Y11" t="s">
        <v>5741</v>
      </c>
    </row>
    <row r="12" spans="1:25" x14ac:dyDescent="0.25">
      <c r="A12" t="s">
        <v>5787</v>
      </c>
      <c r="B12" t="s">
        <v>5718</v>
      </c>
      <c r="C12" t="s">
        <v>5792</v>
      </c>
      <c r="D12" t="s">
        <v>5720</v>
      </c>
      <c r="E12" t="s">
        <v>5721</v>
      </c>
      <c r="F12" t="s">
        <v>5738</v>
      </c>
      <c r="G12" t="s">
        <v>5723</v>
      </c>
      <c r="H12" t="s">
        <v>526</v>
      </c>
      <c r="I12" t="s">
        <v>670</v>
      </c>
      <c r="J12" t="s">
        <v>273</v>
      </c>
      <c r="K12" t="s">
        <v>5734</v>
      </c>
      <c r="L12" t="s">
        <v>267</v>
      </c>
      <c r="M12">
        <v>80634026</v>
      </c>
      <c r="N12">
        <v>0</v>
      </c>
      <c r="O12">
        <v>80634026</v>
      </c>
      <c r="P12">
        <v>0</v>
      </c>
      <c r="Q12" t="s">
        <v>5793</v>
      </c>
      <c r="R12" t="s">
        <v>5794</v>
      </c>
      <c r="S12" t="s">
        <v>5795</v>
      </c>
      <c r="T12" t="s">
        <v>5796</v>
      </c>
      <c r="U12" t="s">
        <v>5797</v>
      </c>
      <c r="V12" t="s">
        <v>5798</v>
      </c>
      <c r="W12" t="s">
        <v>5731</v>
      </c>
      <c r="X12" t="str">
        <f t="shared" si="0"/>
        <v>Inversión</v>
      </c>
      <c r="Y12" t="s">
        <v>5741</v>
      </c>
    </row>
    <row r="13" spans="1:25" x14ac:dyDescent="0.25">
      <c r="A13" t="s">
        <v>5799</v>
      </c>
      <c r="B13" t="s">
        <v>5800</v>
      </c>
      <c r="C13" t="s">
        <v>5801</v>
      </c>
      <c r="D13" t="s">
        <v>5720</v>
      </c>
      <c r="E13" t="s">
        <v>5721</v>
      </c>
      <c r="F13" t="s">
        <v>5802</v>
      </c>
      <c r="G13" t="s">
        <v>5723</v>
      </c>
      <c r="H13" t="s">
        <v>463</v>
      </c>
      <c r="I13" t="s">
        <v>639</v>
      </c>
      <c r="J13" t="s">
        <v>266</v>
      </c>
      <c r="K13" t="s">
        <v>5724</v>
      </c>
      <c r="L13" t="s">
        <v>267</v>
      </c>
      <c r="M13">
        <v>3673511</v>
      </c>
      <c r="N13">
        <v>-50000</v>
      </c>
      <c r="O13">
        <v>3623511</v>
      </c>
      <c r="P13">
        <v>0</v>
      </c>
      <c r="Q13" t="s">
        <v>5803</v>
      </c>
      <c r="R13" t="s">
        <v>5804</v>
      </c>
      <c r="S13" t="s">
        <v>5805</v>
      </c>
      <c r="T13" t="s">
        <v>5806</v>
      </c>
      <c r="U13" t="s">
        <v>5807</v>
      </c>
      <c r="V13" t="s">
        <v>5808</v>
      </c>
      <c r="W13" t="s">
        <v>5809</v>
      </c>
      <c r="X13" t="str">
        <f t="shared" si="0"/>
        <v>Inversión</v>
      </c>
      <c r="Y13" t="s">
        <v>5810</v>
      </c>
    </row>
    <row r="14" spans="1:25" x14ac:dyDescent="0.25">
      <c r="A14" t="s">
        <v>5811</v>
      </c>
      <c r="B14" t="s">
        <v>5800</v>
      </c>
      <c r="C14" t="s">
        <v>5812</v>
      </c>
      <c r="D14" t="s">
        <v>5720</v>
      </c>
      <c r="E14" t="s">
        <v>5721</v>
      </c>
      <c r="F14" t="s">
        <v>5802</v>
      </c>
      <c r="G14" t="s">
        <v>5723</v>
      </c>
      <c r="H14" t="s">
        <v>463</v>
      </c>
      <c r="I14" t="s">
        <v>639</v>
      </c>
      <c r="J14" t="s">
        <v>266</v>
      </c>
      <c r="K14" t="s">
        <v>5724</v>
      </c>
      <c r="L14" t="s">
        <v>267</v>
      </c>
      <c r="M14">
        <v>17123248</v>
      </c>
      <c r="N14">
        <v>-2229826</v>
      </c>
      <c r="O14">
        <v>14893422</v>
      </c>
      <c r="P14">
        <v>0</v>
      </c>
      <c r="Q14" t="s">
        <v>5813</v>
      </c>
      <c r="R14" t="s">
        <v>5814</v>
      </c>
      <c r="S14" t="s">
        <v>5815</v>
      </c>
      <c r="T14" t="s">
        <v>5816</v>
      </c>
      <c r="U14" t="s">
        <v>5817</v>
      </c>
      <c r="V14" t="s">
        <v>5818</v>
      </c>
      <c r="W14" t="s">
        <v>5819</v>
      </c>
      <c r="X14" t="str">
        <f t="shared" si="0"/>
        <v>Inversión</v>
      </c>
      <c r="Y14" t="s">
        <v>5810</v>
      </c>
    </row>
    <row r="15" spans="1:25" x14ac:dyDescent="0.25">
      <c r="A15" t="s">
        <v>5820</v>
      </c>
      <c r="B15" t="s">
        <v>5800</v>
      </c>
      <c r="C15" t="s">
        <v>5821</v>
      </c>
      <c r="D15" t="s">
        <v>5720</v>
      </c>
      <c r="E15" t="s">
        <v>5721</v>
      </c>
      <c r="F15" t="s">
        <v>5802</v>
      </c>
      <c r="G15" t="s">
        <v>5723</v>
      </c>
      <c r="H15" t="s">
        <v>463</v>
      </c>
      <c r="I15" t="s">
        <v>639</v>
      </c>
      <c r="J15" t="s">
        <v>266</v>
      </c>
      <c r="K15" t="s">
        <v>5724</v>
      </c>
      <c r="L15" t="s">
        <v>267</v>
      </c>
      <c r="M15">
        <v>16463248</v>
      </c>
      <c r="N15">
        <v>-1490779</v>
      </c>
      <c r="O15">
        <v>14972469</v>
      </c>
      <c r="P15">
        <v>0</v>
      </c>
      <c r="Q15" t="s">
        <v>5822</v>
      </c>
      <c r="R15" t="s">
        <v>5823</v>
      </c>
      <c r="S15" t="s">
        <v>5824</v>
      </c>
      <c r="T15" t="s">
        <v>5825</v>
      </c>
      <c r="U15" t="s">
        <v>5826</v>
      </c>
      <c r="V15" t="s">
        <v>5827</v>
      </c>
      <c r="W15" t="s">
        <v>5828</v>
      </c>
      <c r="X15" t="str">
        <f t="shared" si="0"/>
        <v>Inversión</v>
      </c>
      <c r="Y15" t="s">
        <v>5810</v>
      </c>
    </row>
    <row r="16" spans="1:25" x14ac:dyDescent="0.25">
      <c r="A16" t="s">
        <v>5829</v>
      </c>
      <c r="B16" t="s">
        <v>5800</v>
      </c>
      <c r="C16" t="s">
        <v>5830</v>
      </c>
      <c r="D16" t="s">
        <v>5720</v>
      </c>
      <c r="E16" t="s">
        <v>5721</v>
      </c>
      <c r="F16" t="s">
        <v>5802</v>
      </c>
      <c r="G16" t="s">
        <v>5723</v>
      </c>
      <c r="H16" t="s">
        <v>463</v>
      </c>
      <c r="I16" t="s">
        <v>639</v>
      </c>
      <c r="J16" t="s">
        <v>266</v>
      </c>
      <c r="K16" t="s">
        <v>5724</v>
      </c>
      <c r="L16" t="s">
        <v>267</v>
      </c>
      <c r="M16">
        <v>3920327</v>
      </c>
      <c r="N16">
        <v>-102338</v>
      </c>
      <c r="O16">
        <v>3817989</v>
      </c>
      <c r="P16">
        <v>0</v>
      </c>
      <c r="Q16" t="s">
        <v>5831</v>
      </c>
      <c r="R16" t="s">
        <v>5799</v>
      </c>
      <c r="S16" t="s">
        <v>5832</v>
      </c>
      <c r="T16" t="s">
        <v>5833</v>
      </c>
      <c r="U16" t="s">
        <v>5833</v>
      </c>
      <c r="V16" t="s">
        <v>5834</v>
      </c>
      <c r="W16" t="s">
        <v>5835</v>
      </c>
      <c r="X16" t="str">
        <f t="shared" si="0"/>
        <v>Inversión</v>
      </c>
      <c r="Y16" t="s">
        <v>5810</v>
      </c>
    </row>
    <row r="17" spans="1:25" x14ac:dyDescent="0.25">
      <c r="A17" t="s">
        <v>5836</v>
      </c>
      <c r="B17" t="s">
        <v>5800</v>
      </c>
      <c r="C17" t="s">
        <v>5837</v>
      </c>
      <c r="D17" t="s">
        <v>5720</v>
      </c>
      <c r="E17" t="s">
        <v>5721</v>
      </c>
      <c r="F17" t="s">
        <v>5802</v>
      </c>
      <c r="G17" t="s">
        <v>5723</v>
      </c>
      <c r="H17" t="s">
        <v>463</v>
      </c>
      <c r="I17" t="s">
        <v>639</v>
      </c>
      <c r="J17" t="s">
        <v>266</v>
      </c>
      <c r="K17" t="s">
        <v>5724</v>
      </c>
      <c r="L17" t="s">
        <v>267</v>
      </c>
      <c r="M17">
        <v>12216353</v>
      </c>
      <c r="N17">
        <v>-1344781</v>
      </c>
      <c r="O17">
        <v>10871572</v>
      </c>
      <c r="P17">
        <v>0</v>
      </c>
      <c r="Q17" t="s">
        <v>5838</v>
      </c>
      <c r="R17" t="s">
        <v>5839</v>
      </c>
      <c r="S17" t="s">
        <v>5840</v>
      </c>
      <c r="T17" t="s">
        <v>5841</v>
      </c>
      <c r="U17" t="s">
        <v>5842</v>
      </c>
      <c r="V17" t="s">
        <v>5843</v>
      </c>
      <c r="W17" t="s">
        <v>5844</v>
      </c>
      <c r="X17" t="str">
        <f t="shared" si="0"/>
        <v>Inversión</v>
      </c>
      <c r="Y17" t="s">
        <v>5810</v>
      </c>
    </row>
    <row r="18" spans="1:25" x14ac:dyDescent="0.25">
      <c r="A18" t="s">
        <v>5845</v>
      </c>
      <c r="B18" t="s">
        <v>5800</v>
      </c>
      <c r="C18" t="s">
        <v>5846</v>
      </c>
      <c r="D18" t="s">
        <v>5720</v>
      </c>
      <c r="E18" t="s">
        <v>5721</v>
      </c>
      <c r="F18" t="s">
        <v>5802</v>
      </c>
      <c r="G18" t="s">
        <v>5723</v>
      </c>
      <c r="H18" t="s">
        <v>463</v>
      </c>
      <c r="I18" t="s">
        <v>639</v>
      </c>
      <c r="J18" t="s">
        <v>266</v>
      </c>
      <c r="K18" t="s">
        <v>5724</v>
      </c>
      <c r="L18" t="s">
        <v>267</v>
      </c>
      <c r="M18">
        <v>6777730</v>
      </c>
      <c r="N18">
        <v>-296788</v>
      </c>
      <c r="O18">
        <v>6480942</v>
      </c>
      <c r="P18">
        <v>0</v>
      </c>
      <c r="Q18" t="s">
        <v>5847</v>
      </c>
      <c r="R18" t="s">
        <v>5848</v>
      </c>
      <c r="S18" t="s">
        <v>5849</v>
      </c>
      <c r="T18" t="s">
        <v>5850</v>
      </c>
      <c r="U18" t="s">
        <v>5850</v>
      </c>
      <c r="V18" t="s">
        <v>5851</v>
      </c>
      <c r="W18" t="s">
        <v>5731</v>
      </c>
      <c r="X18" t="str">
        <f t="shared" si="0"/>
        <v>Inversión</v>
      </c>
      <c r="Y18" t="s">
        <v>5810</v>
      </c>
    </row>
    <row r="19" spans="1:25" x14ac:dyDescent="0.25">
      <c r="A19" t="s">
        <v>5852</v>
      </c>
      <c r="B19" t="s">
        <v>5800</v>
      </c>
      <c r="C19" t="s">
        <v>5853</v>
      </c>
      <c r="D19" t="s">
        <v>5720</v>
      </c>
      <c r="E19" t="s">
        <v>5721</v>
      </c>
      <c r="F19" t="s">
        <v>5854</v>
      </c>
      <c r="G19" t="s">
        <v>5723</v>
      </c>
      <c r="H19" t="s">
        <v>539</v>
      </c>
      <c r="I19" t="s">
        <v>658</v>
      </c>
      <c r="J19" t="s">
        <v>266</v>
      </c>
      <c r="K19" t="s">
        <v>5724</v>
      </c>
      <c r="L19" t="s">
        <v>267</v>
      </c>
      <c r="M19">
        <v>17031787</v>
      </c>
      <c r="N19">
        <v>-23346</v>
      </c>
      <c r="O19">
        <v>17008441</v>
      </c>
      <c r="P19">
        <v>0</v>
      </c>
      <c r="Q19" t="s">
        <v>5855</v>
      </c>
      <c r="R19" t="s">
        <v>5856</v>
      </c>
      <c r="S19" t="s">
        <v>5857</v>
      </c>
      <c r="T19" t="s">
        <v>5858</v>
      </c>
      <c r="U19" t="s">
        <v>5859</v>
      </c>
      <c r="V19" t="s">
        <v>5860</v>
      </c>
      <c r="W19" t="s">
        <v>5731</v>
      </c>
      <c r="X19" t="str">
        <f t="shared" si="0"/>
        <v>Inversión</v>
      </c>
      <c r="Y19" t="s">
        <v>5861</v>
      </c>
    </row>
    <row r="20" spans="1:25" x14ac:dyDescent="0.25">
      <c r="A20" t="s">
        <v>5862</v>
      </c>
      <c r="B20" t="s">
        <v>5800</v>
      </c>
      <c r="C20" t="s">
        <v>5863</v>
      </c>
      <c r="D20" t="s">
        <v>5720</v>
      </c>
      <c r="E20" t="s">
        <v>5721</v>
      </c>
      <c r="F20" t="s">
        <v>5854</v>
      </c>
      <c r="G20" t="s">
        <v>5723</v>
      </c>
      <c r="H20" t="s">
        <v>539</v>
      </c>
      <c r="I20" t="s">
        <v>658</v>
      </c>
      <c r="J20" t="s">
        <v>266</v>
      </c>
      <c r="K20" t="s">
        <v>5724</v>
      </c>
      <c r="L20" t="s">
        <v>267</v>
      </c>
      <c r="M20">
        <v>21403092</v>
      </c>
      <c r="N20">
        <v>10701546</v>
      </c>
      <c r="O20">
        <v>32104638</v>
      </c>
      <c r="P20">
        <v>0</v>
      </c>
      <c r="Q20" t="s">
        <v>5864</v>
      </c>
      <c r="R20" t="s">
        <v>5865</v>
      </c>
      <c r="S20" t="s">
        <v>5866</v>
      </c>
      <c r="T20" t="s">
        <v>5867</v>
      </c>
      <c r="U20" t="s">
        <v>5868</v>
      </c>
      <c r="V20" t="s">
        <v>5869</v>
      </c>
      <c r="W20" t="s">
        <v>5731</v>
      </c>
      <c r="X20" t="str">
        <f t="shared" si="0"/>
        <v>Inversión</v>
      </c>
      <c r="Y20" t="s">
        <v>5861</v>
      </c>
    </row>
    <row r="21" spans="1:25" x14ac:dyDescent="0.25">
      <c r="A21" t="s">
        <v>5870</v>
      </c>
      <c r="B21" t="s">
        <v>5800</v>
      </c>
      <c r="C21" t="s">
        <v>5871</v>
      </c>
      <c r="D21" t="s">
        <v>5720</v>
      </c>
      <c r="E21" t="s">
        <v>5721</v>
      </c>
      <c r="F21" t="s">
        <v>5854</v>
      </c>
      <c r="G21" t="s">
        <v>5723</v>
      </c>
      <c r="H21" t="s">
        <v>539</v>
      </c>
      <c r="I21" t="s">
        <v>658</v>
      </c>
      <c r="J21" t="s">
        <v>273</v>
      </c>
      <c r="K21" t="s">
        <v>5734</v>
      </c>
      <c r="L21" t="s">
        <v>267</v>
      </c>
      <c r="M21">
        <v>57467676</v>
      </c>
      <c r="N21">
        <v>-4788973</v>
      </c>
      <c r="O21">
        <v>52678703</v>
      </c>
      <c r="P21">
        <v>0</v>
      </c>
      <c r="Q21" t="s">
        <v>5872</v>
      </c>
      <c r="R21" t="s">
        <v>5873</v>
      </c>
      <c r="S21" t="s">
        <v>5874</v>
      </c>
      <c r="T21" t="s">
        <v>5875</v>
      </c>
      <c r="U21" t="s">
        <v>5876</v>
      </c>
      <c r="V21" t="s">
        <v>5877</v>
      </c>
      <c r="W21" t="s">
        <v>5731</v>
      </c>
      <c r="X21" t="str">
        <f t="shared" si="0"/>
        <v>Inversión</v>
      </c>
      <c r="Y21" t="s">
        <v>5861</v>
      </c>
    </row>
    <row r="22" spans="1:25" x14ac:dyDescent="0.25">
      <c r="A22" t="s">
        <v>5878</v>
      </c>
      <c r="B22" t="s">
        <v>5800</v>
      </c>
      <c r="C22" t="s">
        <v>5879</v>
      </c>
      <c r="D22" t="s">
        <v>5720</v>
      </c>
      <c r="E22" t="s">
        <v>5721</v>
      </c>
      <c r="F22" t="s">
        <v>5854</v>
      </c>
      <c r="G22" t="s">
        <v>5723</v>
      </c>
      <c r="H22" t="s">
        <v>539</v>
      </c>
      <c r="I22" t="s">
        <v>658</v>
      </c>
      <c r="J22" t="s">
        <v>266</v>
      </c>
      <c r="K22" t="s">
        <v>5724</v>
      </c>
      <c r="L22" t="s">
        <v>267</v>
      </c>
      <c r="M22">
        <v>57152855</v>
      </c>
      <c r="N22">
        <v>11508240</v>
      </c>
      <c r="O22">
        <v>68661095</v>
      </c>
      <c r="P22">
        <v>11728586</v>
      </c>
      <c r="Q22" t="s">
        <v>5880</v>
      </c>
      <c r="R22" t="s">
        <v>5881</v>
      </c>
      <c r="S22" t="s">
        <v>5882</v>
      </c>
      <c r="T22" t="s">
        <v>5883</v>
      </c>
      <c r="U22" t="s">
        <v>5884</v>
      </c>
      <c r="V22" t="s">
        <v>5885</v>
      </c>
      <c r="W22" t="s">
        <v>5731</v>
      </c>
      <c r="X22" t="str">
        <f t="shared" si="0"/>
        <v>Inversión</v>
      </c>
      <c r="Y22" t="s">
        <v>5861</v>
      </c>
    </row>
    <row r="23" spans="1:25" x14ac:dyDescent="0.25">
      <c r="A23" t="s">
        <v>5886</v>
      </c>
      <c r="B23" t="s">
        <v>5800</v>
      </c>
      <c r="C23" t="s">
        <v>5887</v>
      </c>
      <c r="D23" t="s">
        <v>5720</v>
      </c>
      <c r="E23" t="s">
        <v>5721</v>
      </c>
      <c r="F23" t="s">
        <v>5722</v>
      </c>
      <c r="G23" t="s">
        <v>5723</v>
      </c>
      <c r="H23" t="s">
        <v>529</v>
      </c>
      <c r="I23" t="s">
        <v>659</v>
      </c>
      <c r="J23" t="s">
        <v>266</v>
      </c>
      <c r="K23" t="s">
        <v>5724</v>
      </c>
      <c r="L23" t="s">
        <v>267</v>
      </c>
      <c r="M23">
        <v>332212188</v>
      </c>
      <c r="N23">
        <v>0</v>
      </c>
      <c r="O23">
        <v>332212188</v>
      </c>
      <c r="P23">
        <v>0</v>
      </c>
      <c r="Q23" t="s">
        <v>5888</v>
      </c>
      <c r="R23" t="s">
        <v>5811</v>
      </c>
      <c r="S23" t="s">
        <v>5889</v>
      </c>
      <c r="T23" t="s">
        <v>5890</v>
      </c>
      <c r="U23" t="s">
        <v>5891</v>
      </c>
      <c r="V23" t="s">
        <v>5892</v>
      </c>
      <c r="W23" t="s">
        <v>5731</v>
      </c>
      <c r="X23" t="str">
        <f t="shared" si="0"/>
        <v>Inversión</v>
      </c>
      <c r="Y23" t="s">
        <v>5732</v>
      </c>
    </row>
    <row r="24" spans="1:25" x14ac:dyDescent="0.25">
      <c r="A24" t="s">
        <v>5893</v>
      </c>
      <c r="B24" t="s">
        <v>5800</v>
      </c>
      <c r="C24" t="s">
        <v>5894</v>
      </c>
      <c r="D24" t="s">
        <v>5720</v>
      </c>
      <c r="E24" t="s">
        <v>5721</v>
      </c>
      <c r="F24" t="s">
        <v>5722</v>
      </c>
      <c r="G24" t="s">
        <v>5723</v>
      </c>
      <c r="H24" t="s">
        <v>548</v>
      </c>
      <c r="I24" t="s">
        <v>662</v>
      </c>
      <c r="J24" t="s">
        <v>273</v>
      </c>
      <c r="K24" t="s">
        <v>5734</v>
      </c>
      <c r="L24" t="s">
        <v>267</v>
      </c>
      <c r="M24">
        <v>40042599</v>
      </c>
      <c r="N24">
        <v>6429791</v>
      </c>
      <c r="O24">
        <v>46472390</v>
      </c>
      <c r="P24">
        <v>0</v>
      </c>
      <c r="Q24" t="s">
        <v>5895</v>
      </c>
      <c r="R24" t="s">
        <v>5820</v>
      </c>
      <c r="S24" t="s">
        <v>5896</v>
      </c>
      <c r="T24" t="s">
        <v>5897</v>
      </c>
      <c r="U24" t="s">
        <v>5898</v>
      </c>
      <c r="V24" t="s">
        <v>5899</v>
      </c>
      <c r="W24" t="s">
        <v>5731</v>
      </c>
      <c r="X24" t="str">
        <f t="shared" si="0"/>
        <v>Inversión</v>
      </c>
      <c r="Y24" t="s">
        <v>5732</v>
      </c>
    </row>
    <row r="25" spans="1:25" x14ac:dyDescent="0.25">
      <c r="A25" t="s">
        <v>5900</v>
      </c>
      <c r="B25" t="s">
        <v>5800</v>
      </c>
      <c r="C25" t="s">
        <v>5901</v>
      </c>
      <c r="D25" t="s">
        <v>5720</v>
      </c>
      <c r="E25" t="s">
        <v>5721</v>
      </c>
      <c r="F25" t="s">
        <v>5722</v>
      </c>
      <c r="G25" t="s">
        <v>5723</v>
      </c>
      <c r="H25" t="s">
        <v>548</v>
      </c>
      <c r="I25" t="s">
        <v>662</v>
      </c>
      <c r="J25" t="s">
        <v>273</v>
      </c>
      <c r="K25" t="s">
        <v>5734</v>
      </c>
      <c r="L25" t="s">
        <v>267</v>
      </c>
      <c r="M25">
        <v>108518128</v>
      </c>
      <c r="N25">
        <v>-4</v>
      </c>
      <c r="O25">
        <v>108518124</v>
      </c>
      <c r="P25">
        <v>0</v>
      </c>
      <c r="Q25" t="s">
        <v>5902</v>
      </c>
      <c r="R25" t="s">
        <v>5829</v>
      </c>
      <c r="S25" t="s">
        <v>5903</v>
      </c>
      <c r="T25" t="s">
        <v>5904</v>
      </c>
      <c r="U25" t="s">
        <v>5905</v>
      </c>
      <c r="V25" t="s">
        <v>5906</v>
      </c>
      <c r="W25" t="s">
        <v>5731</v>
      </c>
      <c r="X25" t="str">
        <f t="shared" si="0"/>
        <v>Inversión</v>
      </c>
      <c r="Y25" t="s">
        <v>5732</v>
      </c>
    </row>
    <row r="26" spans="1:25" x14ac:dyDescent="0.25">
      <c r="A26" t="s">
        <v>5907</v>
      </c>
      <c r="B26" t="s">
        <v>5800</v>
      </c>
      <c r="C26" t="s">
        <v>5908</v>
      </c>
      <c r="D26" t="s">
        <v>5720</v>
      </c>
      <c r="E26" t="s">
        <v>5721</v>
      </c>
      <c r="F26" t="s">
        <v>5722</v>
      </c>
      <c r="G26" t="s">
        <v>5723</v>
      </c>
      <c r="H26" t="s">
        <v>529</v>
      </c>
      <c r="I26" t="s">
        <v>659</v>
      </c>
      <c r="J26" t="s">
        <v>273</v>
      </c>
      <c r="K26" t="s">
        <v>5734</v>
      </c>
      <c r="L26" t="s">
        <v>267</v>
      </c>
      <c r="M26">
        <v>54740668</v>
      </c>
      <c r="N26">
        <v>-4</v>
      </c>
      <c r="O26">
        <v>54740664</v>
      </c>
      <c r="P26">
        <v>0</v>
      </c>
      <c r="Q26" t="s">
        <v>5909</v>
      </c>
      <c r="R26" t="s">
        <v>5836</v>
      </c>
      <c r="S26" t="s">
        <v>5910</v>
      </c>
      <c r="T26" t="s">
        <v>5911</v>
      </c>
      <c r="U26" t="s">
        <v>5912</v>
      </c>
      <c r="V26" t="s">
        <v>5913</v>
      </c>
      <c r="W26" t="s">
        <v>5731</v>
      </c>
      <c r="X26" t="str">
        <f t="shared" si="0"/>
        <v>Inversión</v>
      </c>
      <c r="Y26" t="s">
        <v>5732</v>
      </c>
    </row>
    <row r="27" spans="1:25" x14ac:dyDescent="0.25">
      <c r="A27" t="s">
        <v>5914</v>
      </c>
      <c r="B27" t="s">
        <v>5800</v>
      </c>
      <c r="C27" t="s">
        <v>5915</v>
      </c>
      <c r="D27" t="s">
        <v>5720</v>
      </c>
      <c r="E27" t="s">
        <v>5721</v>
      </c>
      <c r="F27" t="s">
        <v>5722</v>
      </c>
      <c r="G27" t="s">
        <v>5723</v>
      </c>
      <c r="H27" t="s">
        <v>548</v>
      </c>
      <c r="I27" t="s">
        <v>662</v>
      </c>
      <c r="J27" t="s">
        <v>273</v>
      </c>
      <c r="K27" t="s">
        <v>5734</v>
      </c>
      <c r="L27" t="s">
        <v>267</v>
      </c>
      <c r="M27">
        <v>83053047</v>
      </c>
      <c r="N27">
        <v>0</v>
      </c>
      <c r="O27">
        <v>83053047</v>
      </c>
      <c r="P27">
        <v>0</v>
      </c>
      <c r="Q27" t="s">
        <v>5916</v>
      </c>
      <c r="R27" t="s">
        <v>5870</v>
      </c>
      <c r="S27" t="s">
        <v>5917</v>
      </c>
      <c r="T27" t="s">
        <v>5918</v>
      </c>
      <c r="U27" t="s">
        <v>5919</v>
      </c>
      <c r="V27" t="s">
        <v>5920</v>
      </c>
      <c r="W27" t="s">
        <v>5731</v>
      </c>
      <c r="X27" t="str">
        <f t="shared" si="0"/>
        <v>Inversión</v>
      </c>
      <c r="Y27" t="s">
        <v>5732</v>
      </c>
    </row>
    <row r="28" spans="1:25" x14ac:dyDescent="0.25">
      <c r="A28" t="s">
        <v>5921</v>
      </c>
      <c r="B28" t="s">
        <v>5800</v>
      </c>
      <c r="C28" t="s">
        <v>5922</v>
      </c>
      <c r="D28" t="s">
        <v>5720</v>
      </c>
      <c r="E28" t="s">
        <v>5721</v>
      </c>
      <c r="F28" t="s">
        <v>5722</v>
      </c>
      <c r="G28" t="s">
        <v>5723</v>
      </c>
      <c r="H28" t="s">
        <v>529</v>
      </c>
      <c r="I28" t="s">
        <v>659</v>
      </c>
      <c r="J28" t="s">
        <v>266</v>
      </c>
      <c r="K28" t="s">
        <v>5724</v>
      </c>
      <c r="L28" t="s">
        <v>267</v>
      </c>
      <c r="M28">
        <v>83053047</v>
      </c>
      <c r="N28">
        <v>-3775138</v>
      </c>
      <c r="O28">
        <v>79277909</v>
      </c>
      <c r="P28">
        <v>0</v>
      </c>
      <c r="Q28" t="s">
        <v>5923</v>
      </c>
      <c r="R28" t="s">
        <v>5886</v>
      </c>
      <c r="S28" t="s">
        <v>5924</v>
      </c>
      <c r="T28" t="s">
        <v>5925</v>
      </c>
      <c r="U28" t="s">
        <v>5926</v>
      </c>
      <c r="V28" t="s">
        <v>5927</v>
      </c>
      <c r="W28" t="s">
        <v>5731</v>
      </c>
      <c r="X28" t="str">
        <f t="shared" si="0"/>
        <v>Inversión</v>
      </c>
      <c r="Y28" t="s">
        <v>5732</v>
      </c>
    </row>
    <row r="29" spans="1:25" x14ac:dyDescent="0.25">
      <c r="A29" t="s">
        <v>5928</v>
      </c>
      <c r="B29" t="s">
        <v>5800</v>
      </c>
      <c r="C29" t="s">
        <v>5929</v>
      </c>
      <c r="D29" t="s">
        <v>5720</v>
      </c>
      <c r="E29" t="s">
        <v>5721</v>
      </c>
      <c r="F29" t="s">
        <v>5722</v>
      </c>
      <c r="G29" t="s">
        <v>5723</v>
      </c>
      <c r="H29" t="s">
        <v>529</v>
      </c>
      <c r="I29" t="s">
        <v>659</v>
      </c>
      <c r="J29" t="s">
        <v>273</v>
      </c>
      <c r="K29" t="s">
        <v>5734</v>
      </c>
      <c r="L29" t="s">
        <v>267</v>
      </c>
      <c r="M29">
        <v>249159141</v>
      </c>
      <c r="N29">
        <v>0</v>
      </c>
      <c r="O29">
        <v>249159141</v>
      </c>
      <c r="P29">
        <v>0</v>
      </c>
      <c r="Q29" t="s">
        <v>5930</v>
      </c>
      <c r="R29" t="s">
        <v>5893</v>
      </c>
      <c r="S29" t="s">
        <v>5931</v>
      </c>
      <c r="T29" t="s">
        <v>5932</v>
      </c>
      <c r="U29" t="s">
        <v>5933</v>
      </c>
      <c r="V29" t="s">
        <v>5934</v>
      </c>
      <c r="W29" t="s">
        <v>5731</v>
      </c>
      <c r="X29" t="str">
        <f t="shared" si="0"/>
        <v>Inversión</v>
      </c>
      <c r="Y29" t="s">
        <v>5732</v>
      </c>
    </row>
    <row r="30" spans="1:25" x14ac:dyDescent="0.25">
      <c r="A30" t="s">
        <v>5935</v>
      </c>
      <c r="B30" t="s">
        <v>5800</v>
      </c>
      <c r="C30" t="s">
        <v>5936</v>
      </c>
      <c r="D30" t="s">
        <v>5720</v>
      </c>
      <c r="E30" t="s">
        <v>5721</v>
      </c>
      <c r="F30" t="s">
        <v>5722</v>
      </c>
      <c r="G30" t="s">
        <v>5723</v>
      </c>
      <c r="H30" t="s">
        <v>548</v>
      </c>
      <c r="I30" t="s">
        <v>662</v>
      </c>
      <c r="J30" t="s">
        <v>273</v>
      </c>
      <c r="K30" t="s">
        <v>5734</v>
      </c>
      <c r="L30" t="s">
        <v>267</v>
      </c>
      <c r="M30">
        <v>73517991</v>
      </c>
      <c r="N30">
        <v>-8</v>
      </c>
      <c r="O30">
        <v>73517983</v>
      </c>
      <c r="P30">
        <v>0</v>
      </c>
      <c r="Q30" t="s">
        <v>5937</v>
      </c>
      <c r="R30" t="s">
        <v>5900</v>
      </c>
      <c r="S30" t="s">
        <v>5938</v>
      </c>
      <c r="T30" t="s">
        <v>5939</v>
      </c>
      <c r="U30" t="s">
        <v>5940</v>
      </c>
      <c r="V30" t="s">
        <v>5941</v>
      </c>
      <c r="W30" t="s">
        <v>5731</v>
      </c>
      <c r="X30" t="str">
        <f t="shared" si="0"/>
        <v>Inversión</v>
      </c>
      <c r="Y30" t="s">
        <v>5732</v>
      </c>
    </row>
    <row r="31" spans="1:25" x14ac:dyDescent="0.25">
      <c r="A31" t="s">
        <v>5942</v>
      </c>
      <c r="B31" t="s">
        <v>5800</v>
      </c>
      <c r="C31" t="s">
        <v>5943</v>
      </c>
      <c r="D31" t="s">
        <v>5720</v>
      </c>
      <c r="E31" t="s">
        <v>5721</v>
      </c>
      <c r="F31" t="s">
        <v>5722</v>
      </c>
      <c r="G31" t="s">
        <v>5723</v>
      </c>
      <c r="H31" t="s">
        <v>465</v>
      </c>
      <c r="I31" t="s">
        <v>661</v>
      </c>
      <c r="J31" t="s">
        <v>266</v>
      </c>
      <c r="K31" t="s">
        <v>5724</v>
      </c>
      <c r="L31" t="s">
        <v>267</v>
      </c>
      <c r="M31">
        <v>5709827</v>
      </c>
      <c r="N31">
        <v>7078213.96</v>
      </c>
      <c r="O31">
        <v>12788040.960000001</v>
      </c>
      <c r="P31">
        <v>2532503.96</v>
      </c>
      <c r="Q31" t="s">
        <v>5944</v>
      </c>
      <c r="R31" t="s">
        <v>5945</v>
      </c>
      <c r="S31" t="s">
        <v>5946</v>
      </c>
      <c r="T31" t="s">
        <v>5947</v>
      </c>
      <c r="U31" t="s">
        <v>5948</v>
      </c>
      <c r="V31" t="s">
        <v>5949</v>
      </c>
      <c r="W31" t="s">
        <v>5950</v>
      </c>
      <c r="X31" t="str">
        <f t="shared" si="0"/>
        <v>Inversión</v>
      </c>
      <c r="Y31" t="s">
        <v>5732</v>
      </c>
    </row>
    <row r="32" spans="1:25" x14ac:dyDescent="0.25">
      <c r="A32" t="s">
        <v>5951</v>
      </c>
      <c r="B32" t="s">
        <v>5952</v>
      </c>
      <c r="C32" t="s">
        <v>5953</v>
      </c>
      <c r="D32" t="s">
        <v>5720</v>
      </c>
      <c r="E32" t="s">
        <v>5721</v>
      </c>
      <c r="F32" t="s">
        <v>5722</v>
      </c>
      <c r="G32" t="s">
        <v>5723</v>
      </c>
      <c r="H32" t="s">
        <v>545</v>
      </c>
      <c r="I32" t="s">
        <v>668</v>
      </c>
      <c r="J32" t="s">
        <v>266</v>
      </c>
      <c r="K32" t="s">
        <v>5724</v>
      </c>
      <c r="L32" t="s">
        <v>267</v>
      </c>
      <c r="M32">
        <v>53527075</v>
      </c>
      <c r="N32">
        <v>-1559041</v>
      </c>
      <c r="O32">
        <v>51968034</v>
      </c>
      <c r="P32">
        <v>0</v>
      </c>
      <c r="Q32" t="s">
        <v>5954</v>
      </c>
      <c r="R32" t="s">
        <v>5955</v>
      </c>
      <c r="S32" t="s">
        <v>5956</v>
      </c>
      <c r="T32" t="s">
        <v>5957</v>
      </c>
      <c r="U32" t="s">
        <v>5958</v>
      </c>
      <c r="V32" t="s">
        <v>5959</v>
      </c>
      <c r="W32" t="s">
        <v>5731</v>
      </c>
      <c r="X32" t="str">
        <f t="shared" si="0"/>
        <v>Inversión</v>
      </c>
      <c r="Y32" t="s">
        <v>5732</v>
      </c>
    </row>
    <row r="33" spans="1:25" x14ac:dyDescent="0.25">
      <c r="A33" t="s">
        <v>5960</v>
      </c>
      <c r="B33" t="s">
        <v>5952</v>
      </c>
      <c r="C33" t="s">
        <v>5961</v>
      </c>
      <c r="D33" t="s">
        <v>5720</v>
      </c>
      <c r="E33" t="s">
        <v>5721</v>
      </c>
      <c r="F33" t="s">
        <v>5722</v>
      </c>
      <c r="G33" t="s">
        <v>5723</v>
      </c>
      <c r="H33" t="s">
        <v>545</v>
      </c>
      <c r="I33" t="s">
        <v>668</v>
      </c>
      <c r="J33" t="s">
        <v>266</v>
      </c>
      <c r="K33" t="s">
        <v>5724</v>
      </c>
      <c r="L33" t="s">
        <v>267</v>
      </c>
      <c r="M33">
        <v>24043349</v>
      </c>
      <c r="N33">
        <v>-700292</v>
      </c>
      <c r="O33">
        <v>23343057</v>
      </c>
      <c r="P33">
        <v>0</v>
      </c>
      <c r="Q33" t="s">
        <v>5962</v>
      </c>
      <c r="R33" t="s">
        <v>5963</v>
      </c>
      <c r="S33" t="s">
        <v>5963</v>
      </c>
      <c r="T33" t="s">
        <v>5964</v>
      </c>
      <c r="U33" t="s">
        <v>5965</v>
      </c>
      <c r="V33" t="s">
        <v>5966</v>
      </c>
      <c r="W33" t="s">
        <v>5731</v>
      </c>
      <c r="X33" t="str">
        <f t="shared" si="0"/>
        <v>Inversión</v>
      </c>
      <c r="Y33" t="s">
        <v>5732</v>
      </c>
    </row>
    <row r="34" spans="1:25" x14ac:dyDescent="0.25">
      <c r="A34" t="s">
        <v>5967</v>
      </c>
      <c r="B34" t="s">
        <v>5952</v>
      </c>
      <c r="C34" t="s">
        <v>5968</v>
      </c>
      <c r="D34" t="s">
        <v>5720</v>
      </c>
      <c r="E34" t="s">
        <v>5969</v>
      </c>
      <c r="F34" t="s">
        <v>5802</v>
      </c>
      <c r="G34" t="s">
        <v>5723</v>
      </c>
      <c r="H34" t="s">
        <v>463</v>
      </c>
      <c r="I34" t="s">
        <v>639</v>
      </c>
      <c r="J34" t="s">
        <v>266</v>
      </c>
      <c r="K34" t="s">
        <v>5724</v>
      </c>
      <c r="L34" t="s">
        <v>267</v>
      </c>
      <c r="M34">
        <v>45518000</v>
      </c>
      <c r="N34">
        <v>-45518000</v>
      </c>
      <c r="O34">
        <v>0</v>
      </c>
      <c r="P34">
        <v>0</v>
      </c>
      <c r="Q34" t="s">
        <v>5970</v>
      </c>
      <c r="R34" t="s">
        <v>5971</v>
      </c>
      <c r="S34" t="s">
        <v>5731</v>
      </c>
      <c r="T34" t="s">
        <v>5731</v>
      </c>
      <c r="U34" t="s">
        <v>5731</v>
      </c>
      <c r="V34" t="s">
        <v>5731</v>
      </c>
      <c r="W34" t="s">
        <v>5731</v>
      </c>
      <c r="X34" t="str">
        <f t="shared" si="0"/>
        <v>Inversión</v>
      </c>
      <c r="Y34" t="s">
        <v>5810</v>
      </c>
    </row>
    <row r="35" spans="1:25" x14ac:dyDescent="0.25">
      <c r="A35" t="s">
        <v>5972</v>
      </c>
      <c r="B35" t="s">
        <v>5952</v>
      </c>
      <c r="C35" t="s">
        <v>5973</v>
      </c>
      <c r="D35" t="s">
        <v>5720</v>
      </c>
      <c r="E35" t="s">
        <v>5737</v>
      </c>
      <c r="F35" t="s">
        <v>5802</v>
      </c>
      <c r="G35" t="s">
        <v>5723</v>
      </c>
      <c r="H35" t="s">
        <v>463</v>
      </c>
      <c r="I35" t="s">
        <v>639</v>
      </c>
      <c r="J35" t="s">
        <v>266</v>
      </c>
      <c r="K35" t="s">
        <v>5724</v>
      </c>
      <c r="L35" t="s">
        <v>267</v>
      </c>
      <c r="M35">
        <v>45518000</v>
      </c>
      <c r="N35">
        <v>-45518000</v>
      </c>
      <c r="O35">
        <v>0</v>
      </c>
      <c r="P35">
        <v>0</v>
      </c>
      <c r="Q35" t="s">
        <v>5974</v>
      </c>
      <c r="R35" t="s">
        <v>5951</v>
      </c>
      <c r="S35" t="s">
        <v>5731</v>
      </c>
      <c r="T35" t="s">
        <v>5731</v>
      </c>
      <c r="U35" t="s">
        <v>5731</v>
      </c>
      <c r="V35" t="s">
        <v>5731</v>
      </c>
      <c r="W35" t="s">
        <v>5731</v>
      </c>
      <c r="X35" t="str">
        <f t="shared" si="0"/>
        <v>Inversión</v>
      </c>
      <c r="Y35" t="s">
        <v>5810</v>
      </c>
    </row>
    <row r="36" spans="1:25" x14ac:dyDescent="0.25">
      <c r="A36" t="s">
        <v>5975</v>
      </c>
      <c r="B36" t="s">
        <v>5952</v>
      </c>
      <c r="C36" t="s">
        <v>5976</v>
      </c>
      <c r="D36" t="s">
        <v>5720</v>
      </c>
      <c r="E36" t="s">
        <v>5969</v>
      </c>
      <c r="F36" t="s">
        <v>5802</v>
      </c>
      <c r="G36" t="s">
        <v>5723</v>
      </c>
      <c r="H36" t="s">
        <v>463</v>
      </c>
      <c r="I36" t="s">
        <v>639</v>
      </c>
      <c r="J36" t="s">
        <v>266</v>
      </c>
      <c r="K36" t="s">
        <v>5724</v>
      </c>
      <c r="L36" t="s">
        <v>267</v>
      </c>
      <c r="M36">
        <v>85591209</v>
      </c>
      <c r="N36">
        <v>-85591209</v>
      </c>
      <c r="O36">
        <v>0</v>
      </c>
      <c r="P36">
        <v>0</v>
      </c>
      <c r="Q36" t="s">
        <v>5977</v>
      </c>
      <c r="R36" t="s">
        <v>5960</v>
      </c>
      <c r="S36" t="s">
        <v>5731</v>
      </c>
      <c r="T36" t="s">
        <v>5731</v>
      </c>
      <c r="U36" t="s">
        <v>5731</v>
      </c>
      <c r="V36" t="s">
        <v>5731</v>
      </c>
      <c r="W36" t="s">
        <v>5731</v>
      </c>
      <c r="X36" t="str">
        <f t="shared" si="0"/>
        <v>Inversión</v>
      </c>
      <c r="Y36" t="s">
        <v>5810</v>
      </c>
    </row>
    <row r="37" spans="1:25" x14ac:dyDescent="0.25">
      <c r="A37" t="s">
        <v>5978</v>
      </c>
      <c r="B37" t="s">
        <v>5952</v>
      </c>
      <c r="C37" t="s">
        <v>5979</v>
      </c>
      <c r="D37" t="s">
        <v>5720</v>
      </c>
      <c r="E37" t="s">
        <v>5969</v>
      </c>
      <c r="F37" t="s">
        <v>5802</v>
      </c>
      <c r="G37" t="s">
        <v>5723</v>
      </c>
      <c r="H37" t="s">
        <v>463</v>
      </c>
      <c r="I37" t="s">
        <v>639</v>
      </c>
      <c r="J37" t="s">
        <v>266</v>
      </c>
      <c r="K37" t="s">
        <v>5724</v>
      </c>
      <c r="L37" t="s">
        <v>267</v>
      </c>
      <c r="M37">
        <v>92997806</v>
      </c>
      <c r="N37">
        <v>-92997806</v>
      </c>
      <c r="O37">
        <v>0</v>
      </c>
      <c r="P37">
        <v>0</v>
      </c>
      <c r="Q37" t="s">
        <v>5980</v>
      </c>
      <c r="R37" t="s">
        <v>5967</v>
      </c>
      <c r="S37" t="s">
        <v>5731</v>
      </c>
      <c r="T37" t="s">
        <v>5731</v>
      </c>
      <c r="U37" t="s">
        <v>5731</v>
      </c>
      <c r="V37" t="s">
        <v>5731</v>
      </c>
      <c r="W37" t="s">
        <v>5731</v>
      </c>
      <c r="X37" t="str">
        <f t="shared" si="0"/>
        <v>Inversión</v>
      </c>
      <c r="Y37" t="s">
        <v>5810</v>
      </c>
    </row>
    <row r="38" spans="1:25" x14ac:dyDescent="0.25">
      <c r="A38" t="s">
        <v>5981</v>
      </c>
      <c r="B38" t="s">
        <v>5952</v>
      </c>
      <c r="C38" t="s">
        <v>5982</v>
      </c>
      <c r="D38" t="s">
        <v>5720</v>
      </c>
      <c r="E38" t="s">
        <v>5969</v>
      </c>
      <c r="F38" t="s">
        <v>5802</v>
      </c>
      <c r="G38" t="s">
        <v>5723</v>
      </c>
      <c r="H38" t="s">
        <v>463</v>
      </c>
      <c r="I38" t="s">
        <v>639</v>
      </c>
      <c r="J38" t="s">
        <v>266</v>
      </c>
      <c r="K38" t="s">
        <v>5724</v>
      </c>
      <c r="L38" t="s">
        <v>267</v>
      </c>
      <c r="M38">
        <v>265731400</v>
      </c>
      <c r="N38">
        <v>-265731400</v>
      </c>
      <c r="O38">
        <v>0</v>
      </c>
      <c r="P38">
        <v>0</v>
      </c>
      <c r="Q38" t="s">
        <v>5983</v>
      </c>
      <c r="R38" t="s">
        <v>5972</v>
      </c>
      <c r="S38" t="s">
        <v>5731</v>
      </c>
      <c r="T38" t="s">
        <v>5731</v>
      </c>
      <c r="U38" t="s">
        <v>5731</v>
      </c>
      <c r="V38" t="s">
        <v>5731</v>
      </c>
      <c r="W38" t="s">
        <v>5731</v>
      </c>
      <c r="X38" t="str">
        <f t="shared" si="0"/>
        <v>Inversión</v>
      </c>
      <c r="Y38" t="s">
        <v>5810</v>
      </c>
    </row>
    <row r="39" spans="1:25" x14ac:dyDescent="0.25">
      <c r="A39" t="s">
        <v>5866</v>
      </c>
      <c r="B39" t="s">
        <v>5952</v>
      </c>
      <c r="C39" t="s">
        <v>5984</v>
      </c>
      <c r="D39" t="s">
        <v>5720</v>
      </c>
      <c r="E39" t="s">
        <v>5969</v>
      </c>
      <c r="F39" t="s">
        <v>5802</v>
      </c>
      <c r="G39" t="s">
        <v>5723</v>
      </c>
      <c r="H39" t="s">
        <v>463</v>
      </c>
      <c r="I39" t="s">
        <v>639</v>
      </c>
      <c r="J39" t="s">
        <v>266</v>
      </c>
      <c r="K39" t="s">
        <v>5724</v>
      </c>
      <c r="L39" t="s">
        <v>267</v>
      </c>
      <c r="M39">
        <v>388763100</v>
      </c>
      <c r="N39">
        <v>-388763100</v>
      </c>
      <c r="O39">
        <v>0</v>
      </c>
      <c r="P39">
        <v>0</v>
      </c>
      <c r="Q39" t="s">
        <v>5985</v>
      </c>
      <c r="R39" t="s">
        <v>5975</v>
      </c>
      <c r="S39" t="s">
        <v>5731</v>
      </c>
      <c r="T39" t="s">
        <v>5731</v>
      </c>
      <c r="U39" t="s">
        <v>5731</v>
      </c>
      <c r="V39" t="s">
        <v>5731</v>
      </c>
      <c r="W39" t="s">
        <v>5731</v>
      </c>
      <c r="X39" t="str">
        <f t="shared" si="0"/>
        <v>Inversión</v>
      </c>
      <c r="Y39" t="s">
        <v>5810</v>
      </c>
    </row>
    <row r="40" spans="1:25" x14ac:dyDescent="0.25">
      <c r="A40" t="s">
        <v>5882</v>
      </c>
      <c r="B40" t="s">
        <v>5952</v>
      </c>
      <c r="C40" t="s">
        <v>5986</v>
      </c>
      <c r="D40" t="s">
        <v>5720</v>
      </c>
      <c r="E40" t="s">
        <v>5969</v>
      </c>
      <c r="F40" t="s">
        <v>5802</v>
      </c>
      <c r="G40" t="s">
        <v>5723</v>
      </c>
      <c r="H40" t="s">
        <v>463</v>
      </c>
      <c r="I40" t="s">
        <v>639</v>
      </c>
      <c r="J40" t="s">
        <v>266</v>
      </c>
      <c r="K40" t="s">
        <v>5724</v>
      </c>
      <c r="L40" t="s">
        <v>267</v>
      </c>
      <c r="M40">
        <v>116628930</v>
      </c>
      <c r="N40">
        <v>-116628930</v>
      </c>
      <c r="O40">
        <v>0</v>
      </c>
      <c r="P40">
        <v>0</v>
      </c>
      <c r="Q40" t="s">
        <v>5987</v>
      </c>
      <c r="R40" t="s">
        <v>5866</v>
      </c>
      <c r="S40" t="s">
        <v>5731</v>
      </c>
      <c r="T40" t="s">
        <v>5731</v>
      </c>
      <c r="U40" t="s">
        <v>5731</v>
      </c>
      <c r="V40" t="s">
        <v>5731</v>
      </c>
      <c r="W40" t="s">
        <v>5731</v>
      </c>
      <c r="X40" t="str">
        <f t="shared" si="0"/>
        <v>Inversión</v>
      </c>
      <c r="Y40" t="s">
        <v>5810</v>
      </c>
    </row>
    <row r="41" spans="1:25" x14ac:dyDescent="0.25">
      <c r="A41" t="s">
        <v>5874</v>
      </c>
      <c r="B41" t="s">
        <v>5952</v>
      </c>
      <c r="C41" t="s">
        <v>5988</v>
      </c>
      <c r="D41" t="s">
        <v>5720</v>
      </c>
      <c r="E41" t="s">
        <v>5721</v>
      </c>
      <c r="F41" t="s">
        <v>5802</v>
      </c>
      <c r="G41" t="s">
        <v>5723</v>
      </c>
      <c r="H41" t="s">
        <v>524</v>
      </c>
      <c r="I41" t="s">
        <v>624</v>
      </c>
      <c r="J41" t="s">
        <v>266</v>
      </c>
      <c r="K41" t="s">
        <v>5724</v>
      </c>
      <c r="L41" t="s">
        <v>267</v>
      </c>
      <c r="M41">
        <v>48553649</v>
      </c>
      <c r="N41">
        <v>6065399</v>
      </c>
      <c r="O41">
        <v>54619048</v>
      </c>
      <c r="P41">
        <v>6177738</v>
      </c>
      <c r="Q41" t="s">
        <v>5989</v>
      </c>
      <c r="R41" t="s">
        <v>5990</v>
      </c>
      <c r="S41" t="s">
        <v>5991</v>
      </c>
      <c r="T41" t="s">
        <v>5992</v>
      </c>
      <c r="U41" t="s">
        <v>5993</v>
      </c>
      <c r="V41" t="s">
        <v>5994</v>
      </c>
      <c r="W41" t="s">
        <v>5731</v>
      </c>
      <c r="X41" t="str">
        <f t="shared" si="0"/>
        <v>Inversión</v>
      </c>
      <c r="Y41" t="s">
        <v>5810</v>
      </c>
    </row>
    <row r="42" spans="1:25" x14ac:dyDescent="0.25">
      <c r="A42" t="s">
        <v>5995</v>
      </c>
      <c r="B42" t="s">
        <v>5952</v>
      </c>
      <c r="C42" t="s">
        <v>5996</v>
      </c>
      <c r="D42" t="s">
        <v>5720</v>
      </c>
      <c r="E42" t="s">
        <v>5721</v>
      </c>
      <c r="F42" t="s">
        <v>5802</v>
      </c>
      <c r="G42" t="s">
        <v>5723</v>
      </c>
      <c r="H42" t="s">
        <v>524</v>
      </c>
      <c r="I42" t="s">
        <v>624</v>
      </c>
      <c r="J42" t="s">
        <v>266</v>
      </c>
      <c r="K42" t="s">
        <v>5724</v>
      </c>
      <c r="L42" t="s">
        <v>267</v>
      </c>
      <c r="M42">
        <v>120163140</v>
      </c>
      <c r="N42">
        <v>24596910</v>
      </c>
      <c r="O42">
        <v>144760050</v>
      </c>
      <c r="P42">
        <v>24874946</v>
      </c>
      <c r="Q42" t="s">
        <v>5997</v>
      </c>
      <c r="R42" t="s">
        <v>5998</v>
      </c>
      <c r="S42" t="s">
        <v>5999</v>
      </c>
      <c r="T42" t="s">
        <v>6000</v>
      </c>
      <c r="U42" t="s">
        <v>6001</v>
      </c>
      <c r="V42" t="s">
        <v>6002</v>
      </c>
      <c r="W42" t="s">
        <v>5731</v>
      </c>
      <c r="X42" t="str">
        <f t="shared" si="0"/>
        <v>Inversión</v>
      </c>
      <c r="Y42" t="s">
        <v>5810</v>
      </c>
    </row>
    <row r="43" spans="1:25" x14ac:dyDescent="0.25">
      <c r="A43" t="s">
        <v>6003</v>
      </c>
      <c r="B43" t="s">
        <v>5952</v>
      </c>
      <c r="C43" t="s">
        <v>6004</v>
      </c>
      <c r="D43" t="s">
        <v>5720</v>
      </c>
      <c r="E43" t="s">
        <v>5737</v>
      </c>
      <c r="F43" t="s">
        <v>5802</v>
      </c>
      <c r="G43" t="s">
        <v>5723</v>
      </c>
      <c r="H43" t="s">
        <v>553</v>
      </c>
      <c r="I43" t="s">
        <v>623</v>
      </c>
      <c r="J43" t="s">
        <v>266</v>
      </c>
      <c r="K43" t="s">
        <v>5724</v>
      </c>
      <c r="L43" t="s">
        <v>267</v>
      </c>
      <c r="M43">
        <v>51873460</v>
      </c>
      <c r="N43">
        <v>-51873460</v>
      </c>
      <c r="O43">
        <v>0</v>
      </c>
      <c r="P43">
        <v>0</v>
      </c>
      <c r="Q43" t="s">
        <v>6005</v>
      </c>
      <c r="R43" t="s">
        <v>6006</v>
      </c>
      <c r="S43" t="s">
        <v>5731</v>
      </c>
      <c r="T43" t="s">
        <v>5731</v>
      </c>
      <c r="U43" t="s">
        <v>5731</v>
      </c>
      <c r="V43" t="s">
        <v>5731</v>
      </c>
      <c r="W43" t="s">
        <v>5731</v>
      </c>
      <c r="X43" t="str">
        <f t="shared" si="0"/>
        <v>Inversión</v>
      </c>
      <c r="Y43" t="s">
        <v>5810</v>
      </c>
    </row>
    <row r="44" spans="1:25" x14ac:dyDescent="0.25">
      <c r="A44" t="s">
        <v>6007</v>
      </c>
      <c r="B44" t="s">
        <v>5952</v>
      </c>
      <c r="C44" t="s">
        <v>6008</v>
      </c>
      <c r="D44" t="s">
        <v>5720</v>
      </c>
      <c r="E44" t="s">
        <v>5737</v>
      </c>
      <c r="F44" t="s">
        <v>5802</v>
      </c>
      <c r="G44" t="s">
        <v>5723</v>
      </c>
      <c r="H44" t="s">
        <v>553</v>
      </c>
      <c r="I44" t="s">
        <v>623</v>
      </c>
      <c r="J44" t="s">
        <v>266</v>
      </c>
      <c r="K44" t="s">
        <v>5724</v>
      </c>
      <c r="L44" t="s">
        <v>267</v>
      </c>
      <c r="M44">
        <v>84543460</v>
      </c>
      <c r="N44">
        <v>-84543460</v>
      </c>
      <c r="O44">
        <v>0</v>
      </c>
      <c r="P44">
        <v>0</v>
      </c>
      <c r="Q44" t="s">
        <v>6009</v>
      </c>
      <c r="R44" t="s">
        <v>6010</v>
      </c>
      <c r="S44" t="s">
        <v>5731</v>
      </c>
      <c r="T44" t="s">
        <v>5731</v>
      </c>
      <c r="U44" t="s">
        <v>5731</v>
      </c>
      <c r="V44" t="s">
        <v>5731</v>
      </c>
      <c r="W44" t="s">
        <v>5731</v>
      </c>
      <c r="X44" t="str">
        <f t="shared" si="0"/>
        <v>Inversión</v>
      </c>
      <c r="Y44" t="s">
        <v>5810</v>
      </c>
    </row>
    <row r="45" spans="1:25" x14ac:dyDescent="0.25">
      <c r="A45" t="s">
        <v>6011</v>
      </c>
      <c r="B45" t="s">
        <v>5952</v>
      </c>
      <c r="C45" t="s">
        <v>6012</v>
      </c>
      <c r="D45" t="s">
        <v>5720</v>
      </c>
      <c r="E45" t="s">
        <v>5721</v>
      </c>
      <c r="F45" t="s">
        <v>5802</v>
      </c>
      <c r="G45" t="s">
        <v>5723</v>
      </c>
      <c r="H45" t="s">
        <v>524</v>
      </c>
      <c r="I45" t="s">
        <v>624</v>
      </c>
      <c r="J45" t="s">
        <v>266</v>
      </c>
      <c r="K45" t="s">
        <v>5724</v>
      </c>
      <c r="L45" t="s">
        <v>267</v>
      </c>
      <c r="M45">
        <v>165464145</v>
      </c>
      <c r="N45">
        <v>29024367</v>
      </c>
      <c r="O45">
        <v>194488512</v>
      </c>
      <c r="P45">
        <v>29407197</v>
      </c>
      <c r="Q45" t="s">
        <v>6013</v>
      </c>
      <c r="R45" t="s">
        <v>6014</v>
      </c>
      <c r="S45" t="s">
        <v>6015</v>
      </c>
      <c r="T45" t="s">
        <v>6016</v>
      </c>
      <c r="U45" t="s">
        <v>6017</v>
      </c>
      <c r="V45" t="s">
        <v>6018</v>
      </c>
      <c r="W45" t="s">
        <v>5731</v>
      </c>
      <c r="X45" t="str">
        <f t="shared" si="0"/>
        <v>Inversión</v>
      </c>
      <c r="Y45" t="s">
        <v>5810</v>
      </c>
    </row>
    <row r="46" spans="1:25" x14ac:dyDescent="0.25">
      <c r="A46" t="s">
        <v>6019</v>
      </c>
      <c r="B46" t="s">
        <v>5952</v>
      </c>
      <c r="C46" t="s">
        <v>6020</v>
      </c>
      <c r="D46" t="s">
        <v>5720</v>
      </c>
      <c r="E46" t="s">
        <v>5721</v>
      </c>
      <c r="F46" t="s">
        <v>5802</v>
      </c>
      <c r="G46" t="s">
        <v>5723</v>
      </c>
      <c r="H46" t="s">
        <v>444</v>
      </c>
      <c r="I46" t="s">
        <v>634</v>
      </c>
      <c r="J46" t="s">
        <v>266</v>
      </c>
      <c r="K46" t="s">
        <v>5724</v>
      </c>
      <c r="L46" t="s">
        <v>267</v>
      </c>
      <c r="M46">
        <v>55900900</v>
      </c>
      <c r="N46">
        <v>5323632</v>
      </c>
      <c r="O46">
        <v>61224532</v>
      </c>
      <c r="P46">
        <v>5373940</v>
      </c>
      <c r="Q46" t="s">
        <v>6021</v>
      </c>
      <c r="R46" t="s">
        <v>6022</v>
      </c>
      <c r="S46" t="s">
        <v>6023</v>
      </c>
      <c r="T46" t="s">
        <v>6024</v>
      </c>
      <c r="U46" t="s">
        <v>6025</v>
      </c>
      <c r="V46" t="s">
        <v>6026</v>
      </c>
      <c r="W46" t="s">
        <v>5731</v>
      </c>
      <c r="X46" t="str">
        <f t="shared" si="0"/>
        <v>Inversión</v>
      </c>
      <c r="Y46" t="s">
        <v>5810</v>
      </c>
    </row>
    <row r="47" spans="1:25" x14ac:dyDescent="0.25">
      <c r="A47" t="s">
        <v>6027</v>
      </c>
      <c r="B47" t="s">
        <v>5952</v>
      </c>
      <c r="C47" t="s">
        <v>6028</v>
      </c>
      <c r="D47" t="s">
        <v>5720</v>
      </c>
      <c r="E47" t="s">
        <v>5969</v>
      </c>
      <c r="F47" t="s">
        <v>5802</v>
      </c>
      <c r="G47" t="s">
        <v>5723</v>
      </c>
      <c r="H47" t="s">
        <v>553</v>
      </c>
      <c r="I47" t="s">
        <v>623</v>
      </c>
      <c r="J47" t="s">
        <v>273</v>
      </c>
      <c r="K47" t="s">
        <v>5734</v>
      </c>
      <c r="L47" t="s">
        <v>267</v>
      </c>
      <c r="M47">
        <v>84543460</v>
      </c>
      <c r="N47">
        <v>-84543460</v>
      </c>
      <c r="O47">
        <v>0</v>
      </c>
      <c r="P47">
        <v>0</v>
      </c>
      <c r="Q47" t="s">
        <v>6029</v>
      </c>
      <c r="R47" t="s">
        <v>6030</v>
      </c>
      <c r="S47" t="s">
        <v>5731</v>
      </c>
      <c r="T47" t="s">
        <v>5731</v>
      </c>
      <c r="U47" t="s">
        <v>5731</v>
      </c>
      <c r="V47" t="s">
        <v>5731</v>
      </c>
      <c r="W47" t="s">
        <v>5731</v>
      </c>
      <c r="X47" t="str">
        <f t="shared" si="0"/>
        <v>Inversión</v>
      </c>
      <c r="Y47" t="s">
        <v>5810</v>
      </c>
    </row>
    <row r="48" spans="1:25" x14ac:dyDescent="0.25">
      <c r="A48" t="s">
        <v>5857</v>
      </c>
      <c r="B48" t="s">
        <v>5952</v>
      </c>
      <c r="C48" t="s">
        <v>6031</v>
      </c>
      <c r="D48" t="s">
        <v>5720</v>
      </c>
      <c r="E48" t="s">
        <v>5721</v>
      </c>
      <c r="F48" t="s">
        <v>5802</v>
      </c>
      <c r="G48" t="s">
        <v>5723</v>
      </c>
      <c r="H48" t="s">
        <v>553</v>
      </c>
      <c r="I48" t="s">
        <v>623</v>
      </c>
      <c r="J48" t="s">
        <v>273</v>
      </c>
      <c r="K48" t="s">
        <v>5734</v>
      </c>
      <c r="L48" t="s">
        <v>267</v>
      </c>
      <c r="M48">
        <v>65973294</v>
      </c>
      <c r="N48">
        <v>0</v>
      </c>
      <c r="O48">
        <v>65973294</v>
      </c>
      <c r="P48">
        <v>34208</v>
      </c>
      <c r="Q48" t="s">
        <v>6032</v>
      </c>
      <c r="R48" t="s">
        <v>6033</v>
      </c>
      <c r="S48" t="s">
        <v>6034</v>
      </c>
      <c r="T48" t="s">
        <v>6035</v>
      </c>
      <c r="U48" t="s">
        <v>6036</v>
      </c>
      <c r="V48" t="s">
        <v>6037</v>
      </c>
      <c r="W48" t="s">
        <v>5731</v>
      </c>
      <c r="X48" t="str">
        <f t="shared" si="0"/>
        <v>Inversión</v>
      </c>
      <c r="Y48" t="s">
        <v>5810</v>
      </c>
    </row>
    <row r="49" spans="1:25" x14ac:dyDescent="0.25">
      <c r="A49" t="s">
        <v>6038</v>
      </c>
      <c r="B49" t="s">
        <v>5952</v>
      </c>
      <c r="C49" t="s">
        <v>6039</v>
      </c>
      <c r="D49" t="s">
        <v>5720</v>
      </c>
      <c r="E49" t="s">
        <v>5721</v>
      </c>
      <c r="F49" t="s">
        <v>5802</v>
      </c>
      <c r="G49" t="s">
        <v>5723</v>
      </c>
      <c r="H49" t="s">
        <v>553</v>
      </c>
      <c r="I49" t="s">
        <v>623</v>
      </c>
      <c r="J49" t="s">
        <v>273</v>
      </c>
      <c r="K49" t="s">
        <v>5734</v>
      </c>
      <c r="L49" t="s">
        <v>267</v>
      </c>
      <c r="M49">
        <v>169086920</v>
      </c>
      <c r="N49">
        <v>-70395553</v>
      </c>
      <c r="O49">
        <v>98691367</v>
      </c>
      <c r="P49">
        <v>14224000</v>
      </c>
      <c r="Q49" t="s">
        <v>6040</v>
      </c>
      <c r="R49" t="s">
        <v>6041</v>
      </c>
      <c r="S49" t="s">
        <v>6042</v>
      </c>
      <c r="T49" t="s">
        <v>6043</v>
      </c>
      <c r="U49" t="s">
        <v>6044</v>
      </c>
      <c r="V49" t="s">
        <v>6045</v>
      </c>
      <c r="W49" t="s">
        <v>5731</v>
      </c>
      <c r="X49" t="str">
        <f t="shared" si="0"/>
        <v>Inversión</v>
      </c>
      <c r="Y49" t="s">
        <v>5810</v>
      </c>
    </row>
    <row r="50" spans="1:25" x14ac:dyDescent="0.25">
      <c r="A50" t="s">
        <v>6046</v>
      </c>
      <c r="B50" t="s">
        <v>5952</v>
      </c>
      <c r="C50" t="s">
        <v>6047</v>
      </c>
      <c r="D50" t="s">
        <v>5720</v>
      </c>
      <c r="E50" t="s">
        <v>5721</v>
      </c>
      <c r="F50" t="s">
        <v>5802</v>
      </c>
      <c r="G50" t="s">
        <v>5723</v>
      </c>
      <c r="H50" t="s">
        <v>553</v>
      </c>
      <c r="I50" t="s">
        <v>623</v>
      </c>
      <c r="J50" t="s">
        <v>273</v>
      </c>
      <c r="K50" t="s">
        <v>5734</v>
      </c>
      <c r="L50" t="s">
        <v>267</v>
      </c>
      <c r="M50">
        <v>146607320</v>
      </c>
      <c r="N50">
        <v>0</v>
      </c>
      <c r="O50">
        <v>146607320</v>
      </c>
      <c r="P50">
        <v>131946</v>
      </c>
      <c r="Q50" t="s">
        <v>6048</v>
      </c>
      <c r="R50" t="s">
        <v>6049</v>
      </c>
      <c r="S50" t="s">
        <v>6050</v>
      </c>
      <c r="T50" t="s">
        <v>6051</v>
      </c>
      <c r="U50" t="s">
        <v>6052</v>
      </c>
      <c r="V50" t="s">
        <v>6053</v>
      </c>
      <c r="W50" t="s">
        <v>5731</v>
      </c>
      <c r="X50" t="str">
        <f t="shared" si="0"/>
        <v>Inversión</v>
      </c>
      <c r="Y50" t="s">
        <v>5810</v>
      </c>
    </row>
    <row r="51" spans="1:25" x14ac:dyDescent="0.25">
      <c r="A51" t="s">
        <v>6054</v>
      </c>
      <c r="B51" t="s">
        <v>5952</v>
      </c>
      <c r="C51" t="s">
        <v>6055</v>
      </c>
      <c r="D51" t="s">
        <v>5720</v>
      </c>
      <c r="E51" t="s">
        <v>5721</v>
      </c>
      <c r="F51" t="s">
        <v>5802</v>
      </c>
      <c r="G51" t="s">
        <v>5723</v>
      </c>
      <c r="H51" t="s">
        <v>553</v>
      </c>
      <c r="I51" t="s">
        <v>623</v>
      </c>
      <c r="J51" t="s">
        <v>273</v>
      </c>
      <c r="K51" t="s">
        <v>5734</v>
      </c>
      <c r="L51" t="s">
        <v>267</v>
      </c>
      <c r="M51">
        <v>50310810</v>
      </c>
      <c r="N51">
        <v>0</v>
      </c>
      <c r="O51">
        <v>50310810</v>
      </c>
      <c r="P51">
        <v>26085</v>
      </c>
      <c r="Q51" t="s">
        <v>6056</v>
      </c>
      <c r="R51" t="s">
        <v>6057</v>
      </c>
      <c r="S51" t="s">
        <v>6058</v>
      </c>
      <c r="T51" t="s">
        <v>6059</v>
      </c>
      <c r="U51" t="s">
        <v>6060</v>
      </c>
      <c r="V51" t="s">
        <v>6061</v>
      </c>
      <c r="W51" t="s">
        <v>5731</v>
      </c>
      <c r="X51" t="str">
        <f t="shared" si="0"/>
        <v>Inversión</v>
      </c>
      <c r="Y51" t="s">
        <v>5810</v>
      </c>
    </row>
    <row r="52" spans="1:25" x14ac:dyDescent="0.25">
      <c r="A52" t="s">
        <v>6062</v>
      </c>
      <c r="B52" t="s">
        <v>5952</v>
      </c>
      <c r="C52" t="s">
        <v>6063</v>
      </c>
      <c r="D52" t="s">
        <v>5720</v>
      </c>
      <c r="E52" t="s">
        <v>5969</v>
      </c>
      <c r="F52" t="s">
        <v>5802</v>
      </c>
      <c r="G52" t="s">
        <v>5723</v>
      </c>
      <c r="H52" t="s">
        <v>463</v>
      </c>
      <c r="I52" t="s">
        <v>639</v>
      </c>
      <c r="J52" t="s">
        <v>273</v>
      </c>
      <c r="K52" t="s">
        <v>5734</v>
      </c>
      <c r="L52" t="s">
        <v>267</v>
      </c>
      <c r="M52">
        <v>352739640</v>
      </c>
      <c r="N52">
        <v>-352739640</v>
      </c>
      <c r="O52">
        <v>0</v>
      </c>
      <c r="P52">
        <v>0</v>
      </c>
      <c r="Q52" t="s">
        <v>6064</v>
      </c>
      <c r="R52" t="s">
        <v>6065</v>
      </c>
      <c r="S52" t="s">
        <v>5731</v>
      </c>
      <c r="T52" t="s">
        <v>5731</v>
      </c>
      <c r="U52" t="s">
        <v>5731</v>
      </c>
      <c r="V52" t="s">
        <v>5731</v>
      </c>
      <c r="W52" t="s">
        <v>5731</v>
      </c>
      <c r="X52" t="str">
        <f t="shared" si="0"/>
        <v>Inversión</v>
      </c>
      <c r="Y52" t="s">
        <v>5810</v>
      </c>
    </row>
    <row r="53" spans="1:25" x14ac:dyDescent="0.25">
      <c r="A53" t="s">
        <v>6066</v>
      </c>
      <c r="B53" t="s">
        <v>5952</v>
      </c>
      <c r="C53" t="s">
        <v>6067</v>
      </c>
      <c r="D53" t="s">
        <v>5720</v>
      </c>
      <c r="E53" t="s">
        <v>5969</v>
      </c>
      <c r="F53" t="s">
        <v>5802</v>
      </c>
      <c r="G53" t="s">
        <v>5723</v>
      </c>
      <c r="H53" t="s">
        <v>463</v>
      </c>
      <c r="I53" t="s">
        <v>639</v>
      </c>
      <c r="J53" t="s">
        <v>273</v>
      </c>
      <c r="K53" t="s">
        <v>5734</v>
      </c>
      <c r="L53" t="s">
        <v>267</v>
      </c>
      <c r="M53">
        <v>212052600</v>
      </c>
      <c r="N53">
        <v>-212052600</v>
      </c>
      <c r="O53">
        <v>0</v>
      </c>
      <c r="P53">
        <v>0</v>
      </c>
      <c r="Q53" t="s">
        <v>6068</v>
      </c>
      <c r="R53" t="s">
        <v>6069</v>
      </c>
      <c r="S53" t="s">
        <v>5731</v>
      </c>
      <c r="T53" t="s">
        <v>5731</v>
      </c>
      <c r="U53" t="s">
        <v>5731</v>
      </c>
      <c r="V53" t="s">
        <v>5731</v>
      </c>
      <c r="W53" t="s">
        <v>5731</v>
      </c>
      <c r="X53" t="str">
        <f t="shared" si="0"/>
        <v>Inversión</v>
      </c>
      <c r="Y53" t="s">
        <v>5810</v>
      </c>
    </row>
    <row r="54" spans="1:25" x14ac:dyDescent="0.25">
      <c r="A54" t="s">
        <v>6070</v>
      </c>
      <c r="B54" t="s">
        <v>5952</v>
      </c>
      <c r="C54" t="s">
        <v>6071</v>
      </c>
      <c r="D54" t="s">
        <v>5720</v>
      </c>
      <c r="E54" t="s">
        <v>5721</v>
      </c>
      <c r="F54" t="s">
        <v>5802</v>
      </c>
      <c r="G54" t="s">
        <v>5723</v>
      </c>
      <c r="H54" t="s">
        <v>524</v>
      </c>
      <c r="I54" t="s">
        <v>624</v>
      </c>
      <c r="J54" t="s">
        <v>273</v>
      </c>
      <c r="K54" t="s">
        <v>5734</v>
      </c>
      <c r="L54" t="s">
        <v>267</v>
      </c>
      <c r="M54">
        <v>66138661.5</v>
      </c>
      <c r="N54">
        <v>-153031.5</v>
      </c>
      <c r="O54">
        <v>65985630</v>
      </c>
      <c r="P54">
        <v>0</v>
      </c>
      <c r="Q54" t="s">
        <v>6072</v>
      </c>
      <c r="R54" t="s">
        <v>6073</v>
      </c>
      <c r="S54" t="s">
        <v>6074</v>
      </c>
      <c r="T54" t="s">
        <v>6075</v>
      </c>
      <c r="U54" t="s">
        <v>6076</v>
      </c>
      <c r="V54" t="s">
        <v>6077</v>
      </c>
      <c r="W54" t="s">
        <v>5731</v>
      </c>
      <c r="X54" t="str">
        <f t="shared" si="0"/>
        <v>Inversión</v>
      </c>
      <c r="Y54" t="s">
        <v>5810</v>
      </c>
    </row>
    <row r="55" spans="1:25" x14ac:dyDescent="0.25">
      <c r="A55" t="s">
        <v>6078</v>
      </c>
      <c r="B55" t="s">
        <v>5952</v>
      </c>
      <c r="C55" t="s">
        <v>6079</v>
      </c>
      <c r="D55" t="s">
        <v>5720</v>
      </c>
      <c r="E55" t="s">
        <v>5721</v>
      </c>
      <c r="F55" t="s">
        <v>5802</v>
      </c>
      <c r="G55" t="s">
        <v>5723</v>
      </c>
      <c r="H55" t="s">
        <v>524</v>
      </c>
      <c r="I55" t="s">
        <v>624</v>
      </c>
      <c r="J55" t="s">
        <v>273</v>
      </c>
      <c r="K55" t="s">
        <v>5734</v>
      </c>
      <c r="L55" t="s">
        <v>267</v>
      </c>
      <c r="M55">
        <v>24276824.5</v>
      </c>
      <c r="N55">
        <v>-56169.5</v>
      </c>
      <c r="O55">
        <v>24220655</v>
      </c>
      <c r="P55">
        <v>0</v>
      </c>
      <c r="Q55" t="s">
        <v>6080</v>
      </c>
      <c r="R55" t="s">
        <v>6081</v>
      </c>
      <c r="S55" t="s">
        <v>6082</v>
      </c>
      <c r="T55" t="s">
        <v>6083</v>
      </c>
      <c r="U55" t="s">
        <v>6084</v>
      </c>
      <c r="V55" t="s">
        <v>6085</v>
      </c>
      <c r="W55" t="s">
        <v>5731</v>
      </c>
      <c r="X55" t="str">
        <f t="shared" si="0"/>
        <v>Inversión</v>
      </c>
      <c r="Y55" t="s">
        <v>5810</v>
      </c>
    </row>
    <row r="56" spans="1:25" x14ac:dyDescent="0.25">
      <c r="A56" t="s">
        <v>6086</v>
      </c>
      <c r="B56" t="s">
        <v>5952</v>
      </c>
      <c r="C56" t="s">
        <v>6087</v>
      </c>
      <c r="D56" t="s">
        <v>5720</v>
      </c>
      <c r="E56" t="s">
        <v>5721</v>
      </c>
      <c r="F56" t="s">
        <v>5802</v>
      </c>
      <c r="G56" t="s">
        <v>5723</v>
      </c>
      <c r="H56" t="s">
        <v>553</v>
      </c>
      <c r="I56" t="s">
        <v>623</v>
      </c>
      <c r="J56" t="s">
        <v>273</v>
      </c>
      <c r="K56" t="s">
        <v>5734</v>
      </c>
      <c r="L56" t="s">
        <v>267</v>
      </c>
      <c r="M56">
        <v>48314800</v>
      </c>
      <c r="N56">
        <v>-43487</v>
      </c>
      <c r="O56">
        <v>48271313</v>
      </c>
      <c r="P56">
        <v>0</v>
      </c>
      <c r="Q56" t="s">
        <v>6088</v>
      </c>
      <c r="R56" t="s">
        <v>6089</v>
      </c>
      <c r="S56" t="s">
        <v>6090</v>
      </c>
      <c r="T56" t="s">
        <v>6091</v>
      </c>
      <c r="U56" t="s">
        <v>6092</v>
      </c>
      <c r="V56" t="s">
        <v>6093</v>
      </c>
      <c r="W56" t="s">
        <v>5731</v>
      </c>
      <c r="X56" t="str">
        <f t="shared" si="0"/>
        <v>Inversión</v>
      </c>
      <c r="Y56" t="s">
        <v>5810</v>
      </c>
    </row>
    <row r="57" spans="1:25" x14ac:dyDescent="0.25">
      <c r="A57" t="s">
        <v>6094</v>
      </c>
      <c r="B57" t="s">
        <v>5952</v>
      </c>
      <c r="C57" t="s">
        <v>6095</v>
      </c>
      <c r="D57" t="s">
        <v>5720</v>
      </c>
      <c r="E57" t="s">
        <v>5721</v>
      </c>
      <c r="F57" t="s">
        <v>5802</v>
      </c>
      <c r="G57" t="s">
        <v>5723</v>
      </c>
      <c r="H57" t="s">
        <v>444</v>
      </c>
      <c r="I57" t="s">
        <v>634</v>
      </c>
      <c r="J57" t="s">
        <v>266</v>
      </c>
      <c r="K57" t="s">
        <v>5724</v>
      </c>
      <c r="L57" t="s">
        <v>267</v>
      </c>
      <c r="M57">
        <v>106026300</v>
      </c>
      <c r="N57">
        <v>12766735</v>
      </c>
      <c r="O57">
        <v>118793035</v>
      </c>
      <c r="P57">
        <v>12862168</v>
      </c>
      <c r="Q57" t="s">
        <v>6096</v>
      </c>
      <c r="R57" t="s">
        <v>6097</v>
      </c>
      <c r="S57" t="s">
        <v>6098</v>
      </c>
      <c r="T57" t="s">
        <v>6099</v>
      </c>
      <c r="U57" t="s">
        <v>6100</v>
      </c>
      <c r="V57" t="s">
        <v>6101</v>
      </c>
      <c r="W57" t="s">
        <v>5731</v>
      </c>
      <c r="X57" t="str">
        <f t="shared" si="0"/>
        <v>Inversión</v>
      </c>
      <c r="Y57" t="s">
        <v>5810</v>
      </c>
    </row>
    <row r="58" spans="1:25" x14ac:dyDescent="0.25">
      <c r="A58" t="s">
        <v>6102</v>
      </c>
      <c r="B58" t="s">
        <v>6103</v>
      </c>
      <c r="C58" t="s">
        <v>6104</v>
      </c>
      <c r="D58" t="s">
        <v>5720</v>
      </c>
      <c r="E58" t="s">
        <v>5721</v>
      </c>
      <c r="F58" t="s">
        <v>5722</v>
      </c>
      <c r="G58" t="s">
        <v>5723</v>
      </c>
      <c r="H58" t="s">
        <v>548</v>
      </c>
      <c r="I58" t="s">
        <v>662</v>
      </c>
      <c r="J58" t="s">
        <v>273</v>
      </c>
      <c r="K58" t="s">
        <v>5734</v>
      </c>
      <c r="L58" t="s">
        <v>267</v>
      </c>
      <c r="M58">
        <v>253342879</v>
      </c>
      <c r="N58">
        <v>-767691</v>
      </c>
      <c r="O58">
        <v>252575188</v>
      </c>
      <c r="P58">
        <v>0</v>
      </c>
      <c r="Q58" t="s">
        <v>6105</v>
      </c>
      <c r="R58" t="s">
        <v>6106</v>
      </c>
      <c r="S58" t="s">
        <v>6107</v>
      </c>
      <c r="T58" t="s">
        <v>6108</v>
      </c>
      <c r="U58" t="s">
        <v>6109</v>
      </c>
      <c r="V58" t="s">
        <v>6110</v>
      </c>
      <c r="W58" t="s">
        <v>5731</v>
      </c>
      <c r="X58" t="str">
        <f t="shared" si="0"/>
        <v>Inversión</v>
      </c>
      <c r="Y58" t="s">
        <v>5732</v>
      </c>
    </row>
    <row r="59" spans="1:25" x14ac:dyDescent="0.25">
      <c r="A59" t="s">
        <v>6111</v>
      </c>
      <c r="B59" t="s">
        <v>6103</v>
      </c>
      <c r="C59" t="s">
        <v>6112</v>
      </c>
      <c r="D59" t="s">
        <v>5720</v>
      </c>
      <c r="E59" t="s">
        <v>5721</v>
      </c>
      <c r="F59" t="s">
        <v>5802</v>
      </c>
      <c r="G59" t="s">
        <v>5723</v>
      </c>
      <c r="H59" t="s">
        <v>458</v>
      </c>
      <c r="I59" t="s">
        <v>640</v>
      </c>
      <c r="J59" t="s">
        <v>273</v>
      </c>
      <c r="K59" t="s">
        <v>5734</v>
      </c>
      <c r="L59" t="s">
        <v>267</v>
      </c>
      <c r="M59">
        <v>300000000</v>
      </c>
      <c r="N59">
        <v>0</v>
      </c>
      <c r="O59">
        <v>300000000</v>
      </c>
      <c r="P59">
        <v>0</v>
      </c>
      <c r="Q59" t="s">
        <v>6113</v>
      </c>
      <c r="R59" t="s">
        <v>6114</v>
      </c>
      <c r="S59" t="s">
        <v>6115</v>
      </c>
      <c r="T59" t="s">
        <v>6116</v>
      </c>
      <c r="U59" t="s">
        <v>6117</v>
      </c>
      <c r="V59" t="s">
        <v>6118</v>
      </c>
      <c r="W59" t="s">
        <v>5731</v>
      </c>
      <c r="X59" t="str">
        <f t="shared" si="0"/>
        <v>Inversión</v>
      </c>
      <c r="Y59" t="s">
        <v>5810</v>
      </c>
    </row>
    <row r="60" spans="1:25" x14ac:dyDescent="0.25">
      <c r="A60" t="s">
        <v>6111</v>
      </c>
      <c r="B60" t="s">
        <v>6103</v>
      </c>
      <c r="C60" t="s">
        <v>6112</v>
      </c>
      <c r="D60" t="s">
        <v>5720</v>
      </c>
      <c r="E60" t="s">
        <v>5721</v>
      </c>
      <c r="F60" t="s">
        <v>5854</v>
      </c>
      <c r="G60" t="s">
        <v>5723</v>
      </c>
      <c r="H60" t="s">
        <v>539</v>
      </c>
      <c r="I60" t="s">
        <v>658</v>
      </c>
      <c r="J60" t="s">
        <v>273</v>
      </c>
      <c r="K60" t="s">
        <v>5734</v>
      </c>
      <c r="L60" t="s">
        <v>267</v>
      </c>
      <c r="M60">
        <v>15000000</v>
      </c>
      <c r="N60">
        <v>0</v>
      </c>
      <c r="O60">
        <v>15000000</v>
      </c>
      <c r="P60">
        <v>0</v>
      </c>
      <c r="Q60" t="s">
        <v>6113</v>
      </c>
      <c r="R60" t="s">
        <v>6114</v>
      </c>
      <c r="S60" t="s">
        <v>6115</v>
      </c>
      <c r="T60" t="s">
        <v>6116</v>
      </c>
      <c r="U60" t="s">
        <v>6117</v>
      </c>
      <c r="V60" t="s">
        <v>6118</v>
      </c>
      <c r="W60" t="s">
        <v>5731</v>
      </c>
      <c r="X60" t="str">
        <f t="shared" si="0"/>
        <v>Inversión</v>
      </c>
      <c r="Y60" t="s">
        <v>5861</v>
      </c>
    </row>
    <row r="61" spans="1:25" x14ac:dyDescent="0.25">
      <c r="A61" t="s">
        <v>6111</v>
      </c>
      <c r="B61" t="s">
        <v>6103</v>
      </c>
      <c r="C61" t="s">
        <v>6112</v>
      </c>
      <c r="D61" t="s">
        <v>5720</v>
      </c>
      <c r="E61" t="s">
        <v>5721</v>
      </c>
      <c r="F61" t="s">
        <v>5733</v>
      </c>
      <c r="G61" t="s">
        <v>5723</v>
      </c>
      <c r="H61" t="s">
        <v>461</v>
      </c>
      <c r="I61" t="s">
        <v>644</v>
      </c>
      <c r="J61" t="s">
        <v>266</v>
      </c>
      <c r="K61" t="s">
        <v>5724</v>
      </c>
      <c r="L61" t="s">
        <v>267</v>
      </c>
      <c r="M61">
        <v>200000000</v>
      </c>
      <c r="N61">
        <v>0</v>
      </c>
      <c r="O61">
        <v>200000000</v>
      </c>
      <c r="P61">
        <v>0</v>
      </c>
      <c r="Q61" t="s">
        <v>6113</v>
      </c>
      <c r="R61" t="s">
        <v>6114</v>
      </c>
      <c r="S61" t="s">
        <v>6115</v>
      </c>
      <c r="T61" t="s">
        <v>6116</v>
      </c>
      <c r="U61" t="s">
        <v>6117</v>
      </c>
      <c r="V61" t="s">
        <v>6118</v>
      </c>
      <c r="W61" t="s">
        <v>5731</v>
      </c>
      <c r="X61" t="str">
        <f t="shared" si="0"/>
        <v>Inversión</v>
      </c>
      <c r="Y61" t="s">
        <v>5735</v>
      </c>
    </row>
    <row r="62" spans="1:25" x14ac:dyDescent="0.25">
      <c r="A62" t="s">
        <v>6111</v>
      </c>
      <c r="B62" t="s">
        <v>6103</v>
      </c>
      <c r="C62" t="s">
        <v>6112</v>
      </c>
      <c r="D62" t="s">
        <v>5720</v>
      </c>
      <c r="E62" t="s">
        <v>5721</v>
      </c>
      <c r="F62" t="s">
        <v>5733</v>
      </c>
      <c r="G62" t="s">
        <v>5723</v>
      </c>
      <c r="H62" t="s">
        <v>461</v>
      </c>
      <c r="I62" t="s">
        <v>644</v>
      </c>
      <c r="J62" t="s">
        <v>273</v>
      </c>
      <c r="K62" t="s">
        <v>5734</v>
      </c>
      <c r="L62" t="s">
        <v>267</v>
      </c>
      <c r="M62">
        <v>20000000</v>
      </c>
      <c r="N62">
        <v>0</v>
      </c>
      <c r="O62">
        <v>20000000</v>
      </c>
      <c r="P62">
        <v>0</v>
      </c>
      <c r="Q62" t="s">
        <v>6113</v>
      </c>
      <c r="R62" t="s">
        <v>6114</v>
      </c>
      <c r="S62" t="s">
        <v>6115</v>
      </c>
      <c r="T62" t="s">
        <v>6116</v>
      </c>
      <c r="U62" t="s">
        <v>6117</v>
      </c>
      <c r="V62" t="s">
        <v>6118</v>
      </c>
      <c r="W62" t="s">
        <v>5731</v>
      </c>
      <c r="X62" t="str">
        <f t="shared" si="0"/>
        <v>Inversión</v>
      </c>
      <c r="Y62" t="s">
        <v>5735</v>
      </c>
    </row>
    <row r="63" spans="1:25" x14ac:dyDescent="0.25">
      <c r="A63" t="s">
        <v>6111</v>
      </c>
      <c r="B63" t="s">
        <v>6103</v>
      </c>
      <c r="C63" t="s">
        <v>6112</v>
      </c>
      <c r="D63" t="s">
        <v>5720</v>
      </c>
      <c r="E63" t="s">
        <v>5721</v>
      </c>
      <c r="F63" t="s">
        <v>5738</v>
      </c>
      <c r="G63" t="s">
        <v>5723</v>
      </c>
      <c r="H63" t="s">
        <v>556</v>
      </c>
      <c r="I63" t="s">
        <v>671</v>
      </c>
      <c r="J63" t="s">
        <v>266</v>
      </c>
      <c r="K63" t="s">
        <v>5724</v>
      </c>
      <c r="L63" t="s">
        <v>267</v>
      </c>
      <c r="M63">
        <v>4850240</v>
      </c>
      <c r="N63">
        <v>0</v>
      </c>
      <c r="O63">
        <v>4850240</v>
      </c>
      <c r="P63">
        <v>0</v>
      </c>
      <c r="Q63" t="s">
        <v>6113</v>
      </c>
      <c r="R63" t="s">
        <v>6114</v>
      </c>
      <c r="S63" t="s">
        <v>6115</v>
      </c>
      <c r="T63" t="s">
        <v>6116</v>
      </c>
      <c r="U63" t="s">
        <v>6117</v>
      </c>
      <c r="V63" t="s">
        <v>6118</v>
      </c>
      <c r="W63" t="s">
        <v>5731</v>
      </c>
      <c r="X63" t="str">
        <f t="shared" si="0"/>
        <v>Inversión</v>
      </c>
      <c r="Y63" t="s">
        <v>5741</v>
      </c>
    </row>
    <row r="64" spans="1:25" x14ac:dyDescent="0.25">
      <c r="A64" t="s">
        <v>6119</v>
      </c>
      <c r="B64" t="s">
        <v>6120</v>
      </c>
      <c r="C64" t="s">
        <v>6121</v>
      </c>
      <c r="D64" t="s">
        <v>5720</v>
      </c>
      <c r="E64" t="s">
        <v>5721</v>
      </c>
      <c r="F64" t="s">
        <v>5733</v>
      </c>
      <c r="G64" t="s">
        <v>5723</v>
      </c>
      <c r="H64" t="s">
        <v>461</v>
      </c>
      <c r="I64" t="s">
        <v>644</v>
      </c>
      <c r="J64" t="s">
        <v>266</v>
      </c>
      <c r="K64" t="s">
        <v>5724</v>
      </c>
      <c r="L64" t="s">
        <v>267</v>
      </c>
      <c r="M64">
        <v>190007160</v>
      </c>
      <c r="N64">
        <v>-575769</v>
      </c>
      <c r="O64">
        <v>189431391</v>
      </c>
      <c r="P64">
        <v>0</v>
      </c>
      <c r="Q64" t="s">
        <v>6122</v>
      </c>
      <c r="R64" t="s">
        <v>6123</v>
      </c>
      <c r="S64" t="s">
        <v>6124</v>
      </c>
      <c r="T64" t="s">
        <v>6125</v>
      </c>
      <c r="U64" t="s">
        <v>6126</v>
      </c>
      <c r="V64" t="s">
        <v>6127</v>
      </c>
      <c r="W64" t="s">
        <v>5731</v>
      </c>
      <c r="X64" t="str">
        <f t="shared" si="0"/>
        <v>Inversión</v>
      </c>
      <c r="Y64" t="s">
        <v>5735</v>
      </c>
    </row>
    <row r="65" spans="1:25" x14ac:dyDescent="0.25">
      <c r="A65" t="s">
        <v>6128</v>
      </c>
      <c r="B65" t="s">
        <v>6120</v>
      </c>
      <c r="C65" t="s">
        <v>6129</v>
      </c>
      <c r="D65" t="s">
        <v>5720</v>
      </c>
      <c r="E65" t="s">
        <v>5721</v>
      </c>
      <c r="F65" t="s">
        <v>5733</v>
      </c>
      <c r="G65" t="s">
        <v>5723</v>
      </c>
      <c r="H65" t="s">
        <v>461</v>
      </c>
      <c r="I65" t="s">
        <v>644</v>
      </c>
      <c r="J65" t="s">
        <v>266</v>
      </c>
      <c r="K65" t="s">
        <v>5724</v>
      </c>
      <c r="L65" t="s">
        <v>267</v>
      </c>
      <c r="M65">
        <v>58772631</v>
      </c>
      <c r="N65">
        <v>-5</v>
      </c>
      <c r="O65">
        <v>58772626</v>
      </c>
      <c r="P65">
        <v>0</v>
      </c>
      <c r="Q65" t="s">
        <v>6130</v>
      </c>
      <c r="R65" t="s">
        <v>6131</v>
      </c>
      <c r="S65" t="s">
        <v>6132</v>
      </c>
      <c r="T65" t="s">
        <v>6133</v>
      </c>
      <c r="U65" t="s">
        <v>6134</v>
      </c>
      <c r="V65" t="s">
        <v>6135</v>
      </c>
      <c r="W65" t="s">
        <v>5731</v>
      </c>
      <c r="X65" t="str">
        <f t="shared" si="0"/>
        <v>Inversión</v>
      </c>
      <c r="Y65" t="s">
        <v>5735</v>
      </c>
    </row>
    <row r="66" spans="1:25" x14ac:dyDescent="0.25">
      <c r="A66" t="s">
        <v>6136</v>
      </c>
      <c r="B66" t="s">
        <v>6120</v>
      </c>
      <c r="C66" t="s">
        <v>6137</v>
      </c>
      <c r="D66" t="s">
        <v>5720</v>
      </c>
      <c r="E66" t="s">
        <v>5721</v>
      </c>
      <c r="F66" t="s">
        <v>5733</v>
      </c>
      <c r="G66" t="s">
        <v>5723</v>
      </c>
      <c r="H66" t="s">
        <v>461</v>
      </c>
      <c r="I66" t="s">
        <v>644</v>
      </c>
      <c r="J66" t="s">
        <v>266</v>
      </c>
      <c r="K66" t="s">
        <v>5724</v>
      </c>
      <c r="L66" t="s">
        <v>267</v>
      </c>
      <c r="M66">
        <v>146709293</v>
      </c>
      <c r="N66">
        <v>-2222873</v>
      </c>
      <c r="O66">
        <v>144486420</v>
      </c>
      <c r="P66">
        <v>0</v>
      </c>
      <c r="Q66" t="s">
        <v>6138</v>
      </c>
      <c r="R66" t="s">
        <v>6139</v>
      </c>
      <c r="S66" t="s">
        <v>6140</v>
      </c>
      <c r="T66" t="s">
        <v>6141</v>
      </c>
      <c r="U66" t="s">
        <v>6142</v>
      </c>
      <c r="V66" t="s">
        <v>6143</v>
      </c>
      <c r="W66" t="s">
        <v>5731</v>
      </c>
      <c r="X66" t="str">
        <f t="shared" ref="X66:X129" si="1">IF(LEFT(H66,1)="C","Inversión","Funcionamiento")</f>
        <v>Inversión</v>
      </c>
      <c r="Y66" t="s">
        <v>5735</v>
      </c>
    </row>
    <row r="67" spans="1:25" x14ac:dyDescent="0.25">
      <c r="A67" t="s">
        <v>6144</v>
      </c>
      <c r="B67" t="s">
        <v>6120</v>
      </c>
      <c r="C67" t="s">
        <v>6145</v>
      </c>
      <c r="D67" t="s">
        <v>5720</v>
      </c>
      <c r="E67" t="s">
        <v>5721</v>
      </c>
      <c r="F67" t="s">
        <v>5733</v>
      </c>
      <c r="G67" t="s">
        <v>5723</v>
      </c>
      <c r="H67" t="s">
        <v>461</v>
      </c>
      <c r="I67" t="s">
        <v>644</v>
      </c>
      <c r="J67" t="s">
        <v>266</v>
      </c>
      <c r="K67" t="s">
        <v>5724</v>
      </c>
      <c r="L67" t="s">
        <v>267</v>
      </c>
      <c r="M67">
        <v>92321463</v>
      </c>
      <c r="N67">
        <v>-3</v>
      </c>
      <c r="O67">
        <v>92321460</v>
      </c>
      <c r="P67">
        <v>0</v>
      </c>
      <c r="Q67" t="s">
        <v>6146</v>
      </c>
      <c r="R67" t="s">
        <v>6115</v>
      </c>
      <c r="S67" t="s">
        <v>6147</v>
      </c>
      <c r="T67" t="s">
        <v>6148</v>
      </c>
      <c r="U67" t="s">
        <v>6149</v>
      </c>
      <c r="V67" t="s">
        <v>6150</v>
      </c>
      <c r="W67" t="s">
        <v>5731</v>
      </c>
      <c r="X67" t="str">
        <f t="shared" si="1"/>
        <v>Inversión</v>
      </c>
      <c r="Y67" t="s">
        <v>5735</v>
      </c>
    </row>
    <row r="68" spans="1:25" x14ac:dyDescent="0.25">
      <c r="A68" t="s">
        <v>6151</v>
      </c>
      <c r="B68" t="s">
        <v>6120</v>
      </c>
      <c r="C68" t="s">
        <v>6152</v>
      </c>
      <c r="D68" t="s">
        <v>5720</v>
      </c>
      <c r="E68" t="s">
        <v>5721</v>
      </c>
      <c r="F68" t="s">
        <v>5733</v>
      </c>
      <c r="G68" t="s">
        <v>5723</v>
      </c>
      <c r="H68" t="s">
        <v>461</v>
      </c>
      <c r="I68" t="s">
        <v>644</v>
      </c>
      <c r="J68" t="s">
        <v>266</v>
      </c>
      <c r="K68" t="s">
        <v>5724</v>
      </c>
      <c r="L68" t="s">
        <v>267</v>
      </c>
      <c r="M68">
        <v>164285000</v>
      </c>
      <c r="N68">
        <v>0</v>
      </c>
      <c r="O68">
        <v>164285000</v>
      </c>
      <c r="P68">
        <v>0</v>
      </c>
      <c r="Q68" t="s">
        <v>6153</v>
      </c>
      <c r="R68" t="s">
        <v>6154</v>
      </c>
      <c r="S68" t="s">
        <v>6155</v>
      </c>
      <c r="T68" t="s">
        <v>6156</v>
      </c>
      <c r="U68" t="s">
        <v>6157</v>
      </c>
      <c r="V68" t="s">
        <v>6158</v>
      </c>
      <c r="W68" t="s">
        <v>5731</v>
      </c>
      <c r="X68" t="str">
        <f t="shared" si="1"/>
        <v>Inversión</v>
      </c>
      <c r="Y68" t="s">
        <v>5735</v>
      </c>
    </row>
    <row r="69" spans="1:25" x14ac:dyDescent="0.25">
      <c r="A69" t="s">
        <v>6159</v>
      </c>
      <c r="B69" t="s">
        <v>6120</v>
      </c>
      <c r="C69" t="s">
        <v>6160</v>
      </c>
      <c r="D69" t="s">
        <v>5720</v>
      </c>
      <c r="E69" t="s">
        <v>5721</v>
      </c>
      <c r="F69" t="s">
        <v>5733</v>
      </c>
      <c r="G69" t="s">
        <v>5723</v>
      </c>
      <c r="H69" t="s">
        <v>461</v>
      </c>
      <c r="I69" t="s">
        <v>644</v>
      </c>
      <c r="J69" t="s">
        <v>266</v>
      </c>
      <c r="K69" t="s">
        <v>5724</v>
      </c>
      <c r="L69" t="s">
        <v>267</v>
      </c>
      <c r="M69">
        <v>108518129</v>
      </c>
      <c r="N69">
        <v>-3288433</v>
      </c>
      <c r="O69">
        <v>105229696</v>
      </c>
      <c r="P69">
        <v>0</v>
      </c>
      <c r="Q69" t="s">
        <v>6161</v>
      </c>
      <c r="R69" t="s">
        <v>5795</v>
      </c>
      <c r="S69" t="s">
        <v>6162</v>
      </c>
      <c r="T69" t="s">
        <v>6163</v>
      </c>
      <c r="U69" t="s">
        <v>6164</v>
      </c>
      <c r="V69" t="s">
        <v>6165</v>
      </c>
      <c r="W69" t="s">
        <v>5731</v>
      </c>
      <c r="X69" t="str">
        <f t="shared" si="1"/>
        <v>Inversión</v>
      </c>
      <c r="Y69" t="s">
        <v>5735</v>
      </c>
    </row>
    <row r="70" spans="1:25" x14ac:dyDescent="0.25">
      <c r="A70" t="s">
        <v>6042</v>
      </c>
      <c r="B70" t="s">
        <v>6120</v>
      </c>
      <c r="C70" t="s">
        <v>6166</v>
      </c>
      <c r="D70" t="s">
        <v>5720</v>
      </c>
      <c r="E70" t="s">
        <v>5721</v>
      </c>
      <c r="F70" t="s">
        <v>5733</v>
      </c>
      <c r="G70" t="s">
        <v>5723</v>
      </c>
      <c r="H70" t="s">
        <v>461</v>
      </c>
      <c r="I70" t="s">
        <v>644</v>
      </c>
      <c r="J70" t="s">
        <v>266</v>
      </c>
      <c r="K70" t="s">
        <v>5724</v>
      </c>
      <c r="L70" t="s">
        <v>267</v>
      </c>
      <c r="M70">
        <v>83053047</v>
      </c>
      <c r="N70">
        <v>-2516759</v>
      </c>
      <c r="O70">
        <v>80536288</v>
      </c>
      <c r="P70">
        <v>0</v>
      </c>
      <c r="Q70" t="s">
        <v>6167</v>
      </c>
      <c r="R70" t="s">
        <v>6168</v>
      </c>
      <c r="S70" t="s">
        <v>6169</v>
      </c>
      <c r="T70" t="s">
        <v>6170</v>
      </c>
      <c r="U70" t="s">
        <v>6171</v>
      </c>
      <c r="V70" t="s">
        <v>6172</v>
      </c>
      <c r="W70" t="s">
        <v>5731</v>
      </c>
      <c r="X70" t="str">
        <f t="shared" si="1"/>
        <v>Inversión</v>
      </c>
      <c r="Y70" t="s">
        <v>5735</v>
      </c>
    </row>
    <row r="71" spans="1:25" x14ac:dyDescent="0.25">
      <c r="A71" t="s">
        <v>6034</v>
      </c>
      <c r="B71" t="s">
        <v>6120</v>
      </c>
      <c r="C71" t="s">
        <v>6173</v>
      </c>
      <c r="D71" t="s">
        <v>5720</v>
      </c>
      <c r="E71" t="s">
        <v>5737</v>
      </c>
      <c r="F71" t="s">
        <v>5733</v>
      </c>
      <c r="G71" t="s">
        <v>5723</v>
      </c>
      <c r="H71" t="s">
        <v>461</v>
      </c>
      <c r="I71" t="s">
        <v>644</v>
      </c>
      <c r="J71" t="s">
        <v>266</v>
      </c>
      <c r="K71" t="s">
        <v>5724</v>
      </c>
      <c r="L71" t="s">
        <v>267</v>
      </c>
      <c r="M71">
        <v>29386316</v>
      </c>
      <c r="N71">
        <v>-29386316</v>
      </c>
      <c r="O71">
        <v>0</v>
      </c>
      <c r="P71">
        <v>0</v>
      </c>
      <c r="Q71" t="s">
        <v>6174</v>
      </c>
      <c r="R71" t="s">
        <v>6175</v>
      </c>
      <c r="S71" t="s">
        <v>5731</v>
      </c>
      <c r="T71" t="s">
        <v>5731</v>
      </c>
      <c r="U71" t="s">
        <v>5731</v>
      </c>
      <c r="V71" t="s">
        <v>5731</v>
      </c>
      <c r="W71" t="s">
        <v>5731</v>
      </c>
      <c r="X71" t="str">
        <f t="shared" si="1"/>
        <v>Inversión</v>
      </c>
      <c r="Y71" t="s">
        <v>5735</v>
      </c>
    </row>
    <row r="72" spans="1:25" x14ac:dyDescent="0.25">
      <c r="A72" t="s">
        <v>6176</v>
      </c>
      <c r="B72" t="s">
        <v>6120</v>
      </c>
      <c r="C72" t="s">
        <v>6177</v>
      </c>
      <c r="D72" t="s">
        <v>5720</v>
      </c>
      <c r="E72" t="s">
        <v>5721</v>
      </c>
      <c r="F72" t="s">
        <v>5733</v>
      </c>
      <c r="G72" t="s">
        <v>5723</v>
      </c>
      <c r="H72" t="s">
        <v>461</v>
      </c>
      <c r="I72" t="s">
        <v>644</v>
      </c>
      <c r="J72" t="s">
        <v>266</v>
      </c>
      <c r="K72" t="s">
        <v>5724</v>
      </c>
      <c r="L72" t="s">
        <v>267</v>
      </c>
      <c r="M72">
        <v>133978905</v>
      </c>
      <c r="N72">
        <v>-12179905</v>
      </c>
      <c r="O72">
        <v>121799000</v>
      </c>
      <c r="P72">
        <v>0</v>
      </c>
      <c r="Q72" t="s">
        <v>6178</v>
      </c>
      <c r="R72" t="s">
        <v>5745</v>
      </c>
      <c r="S72" t="s">
        <v>6179</v>
      </c>
      <c r="T72" t="s">
        <v>6180</v>
      </c>
      <c r="U72" t="s">
        <v>6181</v>
      </c>
      <c r="V72" t="s">
        <v>6182</v>
      </c>
      <c r="W72" t="s">
        <v>5731</v>
      </c>
      <c r="X72" t="str">
        <f t="shared" si="1"/>
        <v>Inversión</v>
      </c>
      <c r="Y72" t="s">
        <v>5735</v>
      </c>
    </row>
    <row r="73" spans="1:25" x14ac:dyDescent="0.25">
      <c r="A73" t="s">
        <v>6183</v>
      </c>
      <c r="B73" t="s">
        <v>6120</v>
      </c>
      <c r="C73" t="s">
        <v>6184</v>
      </c>
      <c r="D73" t="s">
        <v>5720</v>
      </c>
      <c r="E73" t="s">
        <v>5721</v>
      </c>
      <c r="F73" t="s">
        <v>5733</v>
      </c>
      <c r="G73" t="s">
        <v>5723</v>
      </c>
      <c r="H73" t="s">
        <v>461</v>
      </c>
      <c r="I73" t="s">
        <v>644</v>
      </c>
      <c r="J73" t="s">
        <v>266</v>
      </c>
      <c r="K73" t="s">
        <v>5724</v>
      </c>
      <c r="L73" t="s">
        <v>267</v>
      </c>
      <c r="M73">
        <v>120034875</v>
      </c>
      <c r="N73">
        <v>23117827</v>
      </c>
      <c r="O73">
        <v>143152702</v>
      </c>
      <c r="P73">
        <v>3</v>
      </c>
      <c r="Q73" t="s">
        <v>6185</v>
      </c>
      <c r="R73" t="s">
        <v>5752</v>
      </c>
      <c r="S73" t="s">
        <v>6186</v>
      </c>
      <c r="T73" t="s">
        <v>6187</v>
      </c>
      <c r="U73" t="s">
        <v>6188</v>
      </c>
      <c r="V73" t="s">
        <v>6189</v>
      </c>
      <c r="W73" t="s">
        <v>5731</v>
      </c>
      <c r="X73" t="str">
        <f t="shared" si="1"/>
        <v>Inversión</v>
      </c>
      <c r="Y73" t="s">
        <v>5735</v>
      </c>
    </row>
    <row r="74" spans="1:25" x14ac:dyDescent="0.25">
      <c r="A74" t="s">
        <v>6190</v>
      </c>
      <c r="B74" t="s">
        <v>6120</v>
      </c>
      <c r="C74" t="s">
        <v>6191</v>
      </c>
      <c r="D74" t="s">
        <v>5720</v>
      </c>
      <c r="E74" t="s">
        <v>5721</v>
      </c>
      <c r="F74" t="s">
        <v>5733</v>
      </c>
      <c r="G74" t="s">
        <v>5723</v>
      </c>
      <c r="H74" t="s">
        <v>461</v>
      </c>
      <c r="I74" t="s">
        <v>644</v>
      </c>
      <c r="J74" t="s">
        <v>266</v>
      </c>
      <c r="K74" t="s">
        <v>5724</v>
      </c>
      <c r="L74" t="s">
        <v>267</v>
      </c>
      <c r="M74">
        <v>434072513</v>
      </c>
      <c r="N74">
        <v>-17</v>
      </c>
      <c r="O74">
        <v>434072496</v>
      </c>
      <c r="P74">
        <v>0</v>
      </c>
      <c r="Q74" t="s">
        <v>6192</v>
      </c>
      <c r="R74" t="s">
        <v>6193</v>
      </c>
      <c r="S74" t="s">
        <v>6194</v>
      </c>
      <c r="T74" t="s">
        <v>6195</v>
      </c>
      <c r="U74" t="s">
        <v>6196</v>
      </c>
      <c r="V74" t="s">
        <v>6197</v>
      </c>
      <c r="W74" t="s">
        <v>5731</v>
      </c>
      <c r="X74" t="str">
        <f t="shared" si="1"/>
        <v>Inversión</v>
      </c>
      <c r="Y74" t="s">
        <v>5735</v>
      </c>
    </row>
    <row r="75" spans="1:25" x14ac:dyDescent="0.25">
      <c r="A75" t="s">
        <v>6198</v>
      </c>
      <c r="B75" t="s">
        <v>6120</v>
      </c>
      <c r="C75" t="s">
        <v>6199</v>
      </c>
      <c r="D75" t="s">
        <v>5720</v>
      </c>
      <c r="E75" t="s">
        <v>5721</v>
      </c>
      <c r="F75" t="s">
        <v>5733</v>
      </c>
      <c r="G75" t="s">
        <v>5723</v>
      </c>
      <c r="H75" t="s">
        <v>461</v>
      </c>
      <c r="I75" t="s">
        <v>644</v>
      </c>
      <c r="J75" t="s">
        <v>266</v>
      </c>
      <c r="K75" t="s">
        <v>5724</v>
      </c>
      <c r="L75" t="s">
        <v>267</v>
      </c>
      <c r="M75">
        <v>121248517</v>
      </c>
      <c r="N75">
        <v>0</v>
      </c>
      <c r="O75">
        <v>121248517</v>
      </c>
      <c r="P75">
        <v>0</v>
      </c>
      <c r="Q75" t="s">
        <v>6200</v>
      </c>
      <c r="R75" t="s">
        <v>6201</v>
      </c>
      <c r="S75" t="s">
        <v>6062</v>
      </c>
      <c r="T75" t="s">
        <v>6202</v>
      </c>
      <c r="U75" t="s">
        <v>6203</v>
      </c>
      <c r="V75" t="s">
        <v>6204</v>
      </c>
      <c r="W75" t="s">
        <v>5731</v>
      </c>
      <c r="X75" t="str">
        <f t="shared" si="1"/>
        <v>Inversión</v>
      </c>
      <c r="Y75" t="s">
        <v>5735</v>
      </c>
    </row>
    <row r="76" spans="1:25" x14ac:dyDescent="0.25">
      <c r="A76" t="s">
        <v>6205</v>
      </c>
      <c r="B76" t="s">
        <v>6120</v>
      </c>
      <c r="C76" t="s">
        <v>6206</v>
      </c>
      <c r="D76" t="s">
        <v>5720</v>
      </c>
      <c r="E76" t="s">
        <v>5721</v>
      </c>
      <c r="F76" t="s">
        <v>5733</v>
      </c>
      <c r="G76" t="s">
        <v>5723</v>
      </c>
      <c r="H76" t="s">
        <v>461</v>
      </c>
      <c r="I76" t="s">
        <v>644</v>
      </c>
      <c r="J76" t="s">
        <v>266</v>
      </c>
      <c r="K76" t="s">
        <v>5724</v>
      </c>
      <c r="L76" t="s">
        <v>267</v>
      </c>
      <c r="M76">
        <v>190007160</v>
      </c>
      <c r="N76">
        <v>-70245066</v>
      </c>
      <c r="O76">
        <v>119762094</v>
      </c>
      <c r="P76">
        <v>0</v>
      </c>
      <c r="Q76" t="s">
        <v>6207</v>
      </c>
      <c r="R76" t="s">
        <v>6208</v>
      </c>
      <c r="S76" t="s">
        <v>6209</v>
      </c>
      <c r="T76" t="s">
        <v>6210</v>
      </c>
      <c r="U76" t="s">
        <v>6211</v>
      </c>
      <c r="V76" t="s">
        <v>6212</v>
      </c>
      <c r="W76" t="s">
        <v>5731</v>
      </c>
      <c r="X76" t="str">
        <f t="shared" si="1"/>
        <v>Inversión</v>
      </c>
      <c r="Y76" t="s">
        <v>5735</v>
      </c>
    </row>
    <row r="77" spans="1:25" x14ac:dyDescent="0.25">
      <c r="A77" t="s">
        <v>6213</v>
      </c>
      <c r="B77" t="s">
        <v>6120</v>
      </c>
      <c r="C77" t="s">
        <v>6214</v>
      </c>
      <c r="D77" t="s">
        <v>5720</v>
      </c>
      <c r="E77" t="s">
        <v>5721</v>
      </c>
      <c r="F77" t="s">
        <v>5733</v>
      </c>
      <c r="G77" t="s">
        <v>5723</v>
      </c>
      <c r="H77" t="s">
        <v>461</v>
      </c>
      <c r="I77" t="s">
        <v>644</v>
      </c>
      <c r="J77" t="s">
        <v>266</v>
      </c>
      <c r="K77" t="s">
        <v>5724</v>
      </c>
      <c r="L77" t="s">
        <v>267</v>
      </c>
      <c r="M77">
        <v>63335720</v>
      </c>
      <c r="N77">
        <v>-191923</v>
      </c>
      <c r="O77">
        <v>63143797</v>
      </c>
      <c r="P77">
        <v>0</v>
      </c>
      <c r="Q77" t="s">
        <v>6215</v>
      </c>
      <c r="R77" t="s">
        <v>6216</v>
      </c>
      <c r="S77" t="s">
        <v>6041</v>
      </c>
      <c r="T77" t="s">
        <v>6217</v>
      </c>
      <c r="U77" t="s">
        <v>6218</v>
      </c>
      <c r="V77" t="s">
        <v>6219</v>
      </c>
      <c r="W77" t="s">
        <v>5731</v>
      </c>
      <c r="X77" t="str">
        <f t="shared" si="1"/>
        <v>Inversión</v>
      </c>
      <c r="Y77" t="s">
        <v>5735</v>
      </c>
    </row>
    <row r="78" spans="1:25" x14ac:dyDescent="0.25">
      <c r="A78" t="s">
        <v>6155</v>
      </c>
      <c r="B78" t="s">
        <v>6120</v>
      </c>
      <c r="C78" t="s">
        <v>6220</v>
      </c>
      <c r="D78" t="s">
        <v>5720</v>
      </c>
      <c r="E78" t="s">
        <v>5721</v>
      </c>
      <c r="F78" t="s">
        <v>5733</v>
      </c>
      <c r="G78" t="s">
        <v>5723</v>
      </c>
      <c r="H78" t="s">
        <v>461</v>
      </c>
      <c r="I78" t="s">
        <v>644</v>
      </c>
      <c r="J78" t="s">
        <v>266</v>
      </c>
      <c r="K78" t="s">
        <v>5724</v>
      </c>
      <c r="L78" t="s">
        <v>267</v>
      </c>
      <c r="M78">
        <v>83053047</v>
      </c>
      <c r="N78">
        <v>0</v>
      </c>
      <c r="O78">
        <v>83053047</v>
      </c>
      <c r="P78">
        <v>0</v>
      </c>
      <c r="Q78" t="s">
        <v>6221</v>
      </c>
      <c r="R78" t="s">
        <v>6222</v>
      </c>
      <c r="S78" t="s">
        <v>6223</v>
      </c>
      <c r="T78" t="s">
        <v>6224</v>
      </c>
      <c r="U78" t="s">
        <v>6225</v>
      </c>
      <c r="V78" t="s">
        <v>6226</v>
      </c>
      <c r="W78" t="s">
        <v>5731</v>
      </c>
      <c r="X78" t="str">
        <f t="shared" si="1"/>
        <v>Inversión</v>
      </c>
      <c r="Y78" t="s">
        <v>5735</v>
      </c>
    </row>
    <row r="79" spans="1:25" x14ac:dyDescent="0.25">
      <c r="A79" t="s">
        <v>6227</v>
      </c>
      <c r="B79" t="s">
        <v>6120</v>
      </c>
      <c r="C79" t="s">
        <v>6228</v>
      </c>
      <c r="D79" t="s">
        <v>5720</v>
      </c>
      <c r="E79" t="s">
        <v>5721</v>
      </c>
      <c r="F79" t="s">
        <v>5733</v>
      </c>
      <c r="G79" t="s">
        <v>5723</v>
      </c>
      <c r="H79" t="s">
        <v>461</v>
      </c>
      <c r="I79" t="s">
        <v>644</v>
      </c>
      <c r="J79" t="s">
        <v>266</v>
      </c>
      <c r="K79" t="s">
        <v>5724</v>
      </c>
      <c r="L79" t="s">
        <v>267</v>
      </c>
      <c r="M79">
        <v>54740668</v>
      </c>
      <c r="N79">
        <v>-4</v>
      </c>
      <c r="O79">
        <v>54740664</v>
      </c>
      <c r="P79">
        <v>0</v>
      </c>
      <c r="Q79" t="s">
        <v>6229</v>
      </c>
      <c r="R79" t="s">
        <v>6230</v>
      </c>
      <c r="S79" t="s">
        <v>6231</v>
      </c>
      <c r="T79" t="s">
        <v>6232</v>
      </c>
      <c r="U79" t="s">
        <v>6233</v>
      </c>
      <c r="V79" t="s">
        <v>6234</v>
      </c>
      <c r="W79" t="s">
        <v>5731</v>
      </c>
      <c r="X79" t="str">
        <f t="shared" si="1"/>
        <v>Inversión</v>
      </c>
      <c r="Y79" t="s">
        <v>5735</v>
      </c>
    </row>
    <row r="80" spans="1:25" x14ac:dyDescent="0.25">
      <c r="A80" t="s">
        <v>6235</v>
      </c>
      <c r="B80" t="s">
        <v>6120</v>
      </c>
      <c r="C80" t="s">
        <v>6236</v>
      </c>
      <c r="D80" t="s">
        <v>5720</v>
      </c>
      <c r="E80" t="s">
        <v>5721</v>
      </c>
      <c r="F80" t="s">
        <v>5733</v>
      </c>
      <c r="G80" t="s">
        <v>5723</v>
      </c>
      <c r="H80" t="s">
        <v>461</v>
      </c>
      <c r="I80" t="s">
        <v>644</v>
      </c>
      <c r="J80" t="s">
        <v>266</v>
      </c>
      <c r="K80" t="s">
        <v>5724</v>
      </c>
      <c r="L80" t="s">
        <v>267</v>
      </c>
      <c r="M80">
        <v>54740668</v>
      </c>
      <c r="N80">
        <v>-4</v>
      </c>
      <c r="O80">
        <v>54740664</v>
      </c>
      <c r="P80">
        <v>0</v>
      </c>
      <c r="Q80" t="s">
        <v>6237</v>
      </c>
      <c r="R80" t="s">
        <v>5903</v>
      </c>
      <c r="S80" t="s">
        <v>6238</v>
      </c>
      <c r="T80" t="s">
        <v>6239</v>
      </c>
      <c r="U80" t="s">
        <v>6240</v>
      </c>
      <c r="V80" t="s">
        <v>6241</v>
      </c>
      <c r="W80" t="s">
        <v>5731</v>
      </c>
      <c r="X80" t="str">
        <f t="shared" si="1"/>
        <v>Inversión</v>
      </c>
      <c r="Y80" t="s">
        <v>5735</v>
      </c>
    </row>
    <row r="81" spans="1:25" x14ac:dyDescent="0.25">
      <c r="A81" t="s">
        <v>6223</v>
      </c>
      <c r="B81" t="s">
        <v>6120</v>
      </c>
      <c r="C81" t="s">
        <v>6242</v>
      </c>
      <c r="D81" t="s">
        <v>5720</v>
      </c>
      <c r="E81" t="s">
        <v>5721</v>
      </c>
      <c r="F81" t="s">
        <v>5733</v>
      </c>
      <c r="G81" t="s">
        <v>5723</v>
      </c>
      <c r="H81" t="s">
        <v>461</v>
      </c>
      <c r="I81" t="s">
        <v>644</v>
      </c>
      <c r="J81" t="s">
        <v>266</v>
      </c>
      <c r="K81" t="s">
        <v>5724</v>
      </c>
      <c r="L81" t="s">
        <v>267</v>
      </c>
      <c r="M81">
        <v>69093513</v>
      </c>
      <c r="N81">
        <v>0</v>
      </c>
      <c r="O81">
        <v>69093513</v>
      </c>
      <c r="P81">
        <v>383849</v>
      </c>
      <c r="Q81" t="s">
        <v>6243</v>
      </c>
      <c r="R81" t="s">
        <v>5910</v>
      </c>
      <c r="S81" t="s">
        <v>6244</v>
      </c>
      <c r="T81" t="s">
        <v>6245</v>
      </c>
      <c r="U81" t="s">
        <v>6246</v>
      </c>
      <c r="V81" t="s">
        <v>6247</v>
      </c>
      <c r="W81" t="s">
        <v>5731</v>
      </c>
      <c r="X81" t="str">
        <f t="shared" si="1"/>
        <v>Inversión</v>
      </c>
      <c r="Y81" t="s">
        <v>5735</v>
      </c>
    </row>
    <row r="82" spans="1:25" x14ac:dyDescent="0.25">
      <c r="A82" t="s">
        <v>6248</v>
      </c>
      <c r="B82" t="s">
        <v>6120</v>
      </c>
      <c r="C82" t="s">
        <v>6249</v>
      </c>
      <c r="D82" t="s">
        <v>5720</v>
      </c>
      <c r="E82" t="s">
        <v>5721</v>
      </c>
      <c r="F82" t="s">
        <v>5733</v>
      </c>
      <c r="G82" t="s">
        <v>5723</v>
      </c>
      <c r="H82" t="s">
        <v>461</v>
      </c>
      <c r="I82" t="s">
        <v>644</v>
      </c>
      <c r="J82" t="s">
        <v>266</v>
      </c>
      <c r="K82" t="s">
        <v>5724</v>
      </c>
      <c r="L82" t="s">
        <v>267</v>
      </c>
      <c r="M82">
        <v>29858547</v>
      </c>
      <c r="N82">
        <v>0</v>
      </c>
      <c r="O82">
        <v>29858547</v>
      </c>
      <c r="P82">
        <v>3</v>
      </c>
      <c r="Q82" t="s">
        <v>6250</v>
      </c>
      <c r="R82" t="s">
        <v>6251</v>
      </c>
      <c r="S82" t="s">
        <v>6252</v>
      </c>
      <c r="T82" t="s">
        <v>6253</v>
      </c>
      <c r="U82" t="s">
        <v>6254</v>
      </c>
      <c r="V82" t="s">
        <v>6255</v>
      </c>
      <c r="W82" t="s">
        <v>5731</v>
      </c>
      <c r="X82" t="str">
        <f t="shared" si="1"/>
        <v>Inversión</v>
      </c>
      <c r="Y82" t="s">
        <v>5735</v>
      </c>
    </row>
    <row r="83" spans="1:25" x14ac:dyDescent="0.25">
      <c r="A83" t="s">
        <v>5963</v>
      </c>
      <c r="B83" t="s">
        <v>6120</v>
      </c>
      <c r="C83" t="s">
        <v>6256</v>
      </c>
      <c r="D83" t="s">
        <v>5720</v>
      </c>
      <c r="E83" t="s">
        <v>5721</v>
      </c>
      <c r="F83" t="s">
        <v>5733</v>
      </c>
      <c r="G83" t="s">
        <v>5723</v>
      </c>
      <c r="H83" t="s">
        <v>461</v>
      </c>
      <c r="I83" t="s">
        <v>644</v>
      </c>
      <c r="J83" t="s">
        <v>266</v>
      </c>
      <c r="K83" t="s">
        <v>5724</v>
      </c>
      <c r="L83" t="s">
        <v>267</v>
      </c>
      <c r="M83">
        <v>29858547</v>
      </c>
      <c r="N83">
        <v>0</v>
      </c>
      <c r="O83">
        <v>29858547</v>
      </c>
      <c r="P83">
        <v>3</v>
      </c>
      <c r="Q83" t="s">
        <v>6257</v>
      </c>
      <c r="R83" t="s">
        <v>6258</v>
      </c>
      <c r="S83" t="s">
        <v>6259</v>
      </c>
      <c r="T83" t="s">
        <v>6260</v>
      </c>
      <c r="U83" t="s">
        <v>6261</v>
      </c>
      <c r="V83" t="s">
        <v>6262</v>
      </c>
      <c r="W83" t="s">
        <v>5731</v>
      </c>
      <c r="X83" t="str">
        <f t="shared" si="1"/>
        <v>Inversión</v>
      </c>
      <c r="Y83" t="s">
        <v>5735</v>
      </c>
    </row>
    <row r="84" spans="1:25" x14ac:dyDescent="0.25">
      <c r="A84" t="s">
        <v>5955</v>
      </c>
      <c r="B84" t="s">
        <v>6120</v>
      </c>
      <c r="C84" t="s">
        <v>6263</v>
      </c>
      <c r="D84" t="s">
        <v>5720</v>
      </c>
      <c r="E84" t="s">
        <v>5721</v>
      </c>
      <c r="F84" t="s">
        <v>5733</v>
      </c>
      <c r="G84" t="s">
        <v>5723</v>
      </c>
      <c r="H84" t="s">
        <v>461</v>
      </c>
      <c r="I84" t="s">
        <v>644</v>
      </c>
      <c r="J84" t="s">
        <v>266</v>
      </c>
      <c r="K84" t="s">
        <v>5724</v>
      </c>
      <c r="L84" t="s">
        <v>267</v>
      </c>
      <c r="M84">
        <v>16028900</v>
      </c>
      <c r="N84">
        <v>0</v>
      </c>
      <c r="O84">
        <v>16028900</v>
      </c>
      <c r="P84">
        <v>2</v>
      </c>
      <c r="Q84" t="s">
        <v>6264</v>
      </c>
      <c r="R84" t="s">
        <v>6265</v>
      </c>
      <c r="S84" t="s">
        <v>6266</v>
      </c>
      <c r="T84" t="s">
        <v>6267</v>
      </c>
      <c r="U84" t="s">
        <v>6268</v>
      </c>
      <c r="V84" t="s">
        <v>6269</v>
      </c>
      <c r="W84" t="s">
        <v>5731</v>
      </c>
      <c r="X84" t="str">
        <f t="shared" si="1"/>
        <v>Inversión</v>
      </c>
      <c r="Y84" t="s">
        <v>5735</v>
      </c>
    </row>
    <row r="85" spans="1:25" x14ac:dyDescent="0.25">
      <c r="A85" t="s">
        <v>5990</v>
      </c>
      <c r="B85" t="s">
        <v>6120</v>
      </c>
      <c r="C85" t="s">
        <v>6270</v>
      </c>
      <c r="D85" t="s">
        <v>5720</v>
      </c>
      <c r="E85" t="s">
        <v>5721</v>
      </c>
      <c r="F85" t="s">
        <v>5733</v>
      </c>
      <c r="G85" t="s">
        <v>5723</v>
      </c>
      <c r="H85" t="s">
        <v>461</v>
      </c>
      <c r="I85" t="s">
        <v>644</v>
      </c>
      <c r="J85" t="s">
        <v>266</v>
      </c>
      <c r="K85" t="s">
        <v>5724</v>
      </c>
      <c r="L85" t="s">
        <v>267</v>
      </c>
      <c r="M85">
        <v>73517991</v>
      </c>
      <c r="N85">
        <v>-2227815</v>
      </c>
      <c r="O85">
        <v>71290176</v>
      </c>
      <c r="P85">
        <v>0</v>
      </c>
      <c r="Q85" t="s">
        <v>6271</v>
      </c>
      <c r="R85" t="s">
        <v>5780</v>
      </c>
      <c r="S85" t="s">
        <v>6272</v>
      </c>
      <c r="T85" t="s">
        <v>6273</v>
      </c>
      <c r="U85" t="s">
        <v>6274</v>
      </c>
      <c r="V85" t="s">
        <v>6275</v>
      </c>
      <c r="W85" t="s">
        <v>5731</v>
      </c>
      <c r="X85" t="str">
        <f t="shared" si="1"/>
        <v>Inversión</v>
      </c>
      <c r="Y85" t="s">
        <v>5735</v>
      </c>
    </row>
    <row r="86" spans="1:25" x14ac:dyDescent="0.25">
      <c r="A86" t="s">
        <v>5998</v>
      </c>
      <c r="B86" t="s">
        <v>6120</v>
      </c>
      <c r="C86" t="s">
        <v>6276</v>
      </c>
      <c r="D86" t="s">
        <v>5720</v>
      </c>
      <c r="E86" t="s">
        <v>5721</v>
      </c>
      <c r="F86" t="s">
        <v>5733</v>
      </c>
      <c r="G86" t="s">
        <v>5723</v>
      </c>
      <c r="H86" t="s">
        <v>461</v>
      </c>
      <c r="I86" t="s">
        <v>644</v>
      </c>
      <c r="J86" t="s">
        <v>266</v>
      </c>
      <c r="K86" t="s">
        <v>5724</v>
      </c>
      <c r="L86" t="s">
        <v>267</v>
      </c>
      <c r="M86">
        <v>83053047</v>
      </c>
      <c r="N86">
        <v>-1258379</v>
      </c>
      <c r="O86">
        <v>81794668</v>
      </c>
      <c r="P86">
        <v>0</v>
      </c>
      <c r="Q86" t="s">
        <v>6277</v>
      </c>
      <c r="R86" t="s">
        <v>5759</v>
      </c>
      <c r="S86" t="s">
        <v>6278</v>
      </c>
      <c r="T86" t="s">
        <v>6279</v>
      </c>
      <c r="U86" t="s">
        <v>6280</v>
      </c>
      <c r="V86" t="s">
        <v>6281</v>
      </c>
      <c r="W86" t="s">
        <v>5731</v>
      </c>
      <c r="X86" t="str">
        <f t="shared" si="1"/>
        <v>Inversión</v>
      </c>
      <c r="Y86" t="s">
        <v>5735</v>
      </c>
    </row>
    <row r="87" spans="1:25" x14ac:dyDescent="0.25">
      <c r="A87" t="s">
        <v>6006</v>
      </c>
      <c r="B87" t="s">
        <v>6120</v>
      </c>
      <c r="C87" t="s">
        <v>6282</v>
      </c>
      <c r="D87" t="s">
        <v>5720</v>
      </c>
      <c r="E87" t="s">
        <v>5721</v>
      </c>
      <c r="F87" t="s">
        <v>5733</v>
      </c>
      <c r="G87" t="s">
        <v>5723</v>
      </c>
      <c r="H87" t="s">
        <v>461</v>
      </c>
      <c r="I87" t="s">
        <v>644</v>
      </c>
      <c r="J87" t="s">
        <v>266</v>
      </c>
      <c r="K87" t="s">
        <v>5724</v>
      </c>
      <c r="L87" t="s">
        <v>267</v>
      </c>
      <c r="M87">
        <v>83053047</v>
      </c>
      <c r="N87">
        <v>-2516759</v>
      </c>
      <c r="O87">
        <v>80536288</v>
      </c>
      <c r="P87">
        <v>0</v>
      </c>
      <c r="Q87" t="s">
        <v>6283</v>
      </c>
      <c r="R87" t="s">
        <v>5766</v>
      </c>
      <c r="S87" t="s">
        <v>6284</v>
      </c>
      <c r="T87" t="s">
        <v>6285</v>
      </c>
      <c r="U87" t="s">
        <v>6286</v>
      </c>
      <c r="V87" t="s">
        <v>6287</v>
      </c>
      <c r="W87" t="s">
        <v>5731</v>
      </c>
      <c r="X87" t="str">
        <f t="shared" si="1"/>
        <v>Inversión</v>
      </c>
      <c r="Y87" t="s">
        <v>5735</v>
      </c>
    </row>
    <row r="88" spans="1:25" x14ac:dyDescent="0.25">
      <c r="A88" t="s">
        <v>6010</v>
      </c>
      <c r="B88" t="s">
        <v>6120</v>
      </c>
      <c r="C88" t="s">
        <v>6288</v>
      </c>
      <c r="D88" t="s">
        <v>5720</v>
      </c>
      <c r="E88" t="s">
        <v>5721</v>
      </c>
      <c r="F88" t="s">
        <v>5733</v>
      </c>
      <c r="G88" t="s">
        <v>5723</v>
      </c>
      <c r="H88" t="s">
        <v>461</v>
      </c>
      <c r="I88" t="s">
        <v>644</v>
      </c>
      <c r="J88" t="s">
        <v>266</v>
      </c>
      <c r="K88" t="s">
        <v>5724</v>
      </c>
      <c r="L88" t="s">
        <v>267</v>
      </c>
      <c r="M88">
        <v>40000000</v>
      </c>
      <c r="N88">
        <v>-20769600</v>
      </c>
      <c r="O88">
        <v>19230400</v>
      </c>
      <c r="P88">
        <v>0</v>
      </c>
      <c r="Q88" t="s">
        <v>6289</v>
      </c>
      <c r="R88" t="s">
        <v>5788</v>
      </c>
      <c r="S88" t="s">
        <v>6290</v>
      </c>
      <c r="T88" t="s">
        <v>6291</v>
      </c>
      <c r="U88" t="s">
        <v>6292</v>
      </c>
      <c r="V88" t="s">
        <v>6293</v>
      </c>
      <c r="W88" t="s">
        <v>5731</v>
      </c>
      <c r="X88" t="str">
        <f t="shared" si="1"/>
        <v>Inversión</v>
      </c>
      <c r="Y88" t="s">
        <v>5735</v>
      </c>
    </row>
    <row r="89" spans="1:25" x14ac:dyDescent="0.25">
      <c r="A89" t="s">
        <v>6014</v>
      </c>
      <c r="B89" t="s">
        <v>6120</v>
      </c>
      <c r="C89" t="s">
        <v>6294</v>
      </c>
      <c r="D89" t="s">
        <v>5720</v>
      </c>
      <c r="E89" t="s">
        <v>5721</v>
      </c>
      <c r="F89" t="s">
        <v>5733</v>
      </c>
      <c r="G89" t="s">
        <v>5723</v>
      </c>
      <c r="H89" t="s">
        <v>461</v>
      </c>
      <c r="I89" t="s">
        <v>644</v>
      </c>
      <c r="J89" t="s">
        <v>266</v>
      </c>
      <c r="K89" t="s">
        <v>5724</v>
      </c>
      <c r="L89" t="s">
        <v>267</v>
      </c>
      <c r="M89">
        <v>30000000</v>
      </c>
      <c r="N89">
        <v>15000000</v>
      </c>
      <c r="O89">
        <v>45000000</v>
      </c>
      <c r="P89">
        <v>0</v>
      </c>
      <c r="Q89" t="s">
        <v>6295</v>
      </c>
      <c r="R89" t="s">
        <v>6296</v>
      </c>
      <c r="S89" t="s">
        <v>6297</v>
      </c>
      <c r="T89" t="s">
        <v>6298</v>
      </c>
      <c r="U89" t="s">
        <v>6299</v>
      </c>
      <c r="V89" t="s">
        <v>6300</v>
      </c>
      <c r="W89" t="s">
        <v>5731</v>
      </c>
      <c r="X89" t="str">
        <f t="shared" si="1"/>
        <v>Inversión</v>
      </c>
      <c r="Y89" t="s">
        <v>5735</v>
      </c>
    </row>
    <row r="90" spans="1:25" x14ac:dyDescent="0.25">
      <c r="A90" t="s">
        <v>6022</v>
      </c>
      <c r="B90" t="s">
        <v>6120</v>
      </c>
      <c r="C90" t="s">
        <v>6301</v>
      </c>
      <c r="D90" t="s">
        <v>5720</v>
      </c>
      <c r="E90" t="s">
        <v>5721</v>
      </c>
      <c r="F90" t="s">
        <v>5733</v>
      </c>
      <c r="G90" t="s">
        <v>5723</v>
      </c>
      <c r="H90" t="s">
        <v>461</v>
      </c>
      <c r="I90" t="s">
        <v>644</v>
      </c>
      <c r="J90" t="s">
        <v>273</v>
      </c>
      <c r="K90" t="s">
        <v>5734</v>
      </c>
      <c r="L90" t="s">
        <v>267</v>
      </c>
      <c r="M90">
        <v>133978905</v>
      </c>
      <c r="N90">
        <v>-4059972</v>
      </c>
      <c r="O90">
        <v>129918933</v>
      </c>
      <c r="P90">
        <v>0</v>
      </c>
      <c r="Q90" t="s">
        <v>6302</v>
      </c>
      <c r="R90" t="s">
        <v>6303</v>
      </c>
      <c r="S90" t="s">
        <v>6304</v>
      </c>
      <c r="T90" t="s">
        <v>6305</v>
      </c>
      <c r="U90" t="s">
        <v>6306</v>
      </c>
      <c r="V90" t="s">
        <v>6307</v>
      </c>
      <c r="W90" t="s">
        <v>5731</v>
      </c>
      <c r="X90" t="str">
        <f t="shared" si="1"/>
        <v>Inversión</v>
      </c>
      <c r="Y90" t="s">
        <v>5735</v>
      </c>
    </row>
    <row r="91" spans="1:25" x14ac:dyDescent="0.25">
      <c r="A91" t="s">
        <v>6308</v>
      </c>
      <c r="B91" t="s">
        <v>6120</v>
      </c>
      <c r="C91" t="s">
        <v>6309</v>
      </c>
      <c r="D91" t="s">
        <v>5720</v>
      </c>
      <c r="E91" t="s">
        <v>5721</v>
      </c>
      <c r="F91" t="s">
        <v>5733</v>
      </c>
      <c r="G91" t="s">
        <v>5723</v>
      </c>
      <c r="H91" t="s">
        <v>461</v>
      </c>
      <c r="I91" t="s">
        <v>644</v>
      </c>
      <c r="J91" t="s">
        <v>273</v>
      </c>
      <c r="K91" t="s">
        <v>5734</v>
      </c>
      <c r="L91" t="s">
        <v>267</v>
      </c>
      <c r="M91">
        <v>95787741</v>
      </c>
      <c r="N91">
        <v>-5</v>
      </c>
      <c r="O91">
        <v>95787736</v>
      </c>
      <c r="P91">
        <v>0</v>
      </c>
      <c r="Q91" t="s">
        <v>6310</v>
      </c>
      <c r="R91" t="s">
        <v>6311</v>
      </c>
      <c r="S91" t="s">
        <v>6066</v>
      </c>
      <c r="T91" t="s">
        <v>6312</v>
      </c>
      <c r="U91" t="s">
        <v>6313</v>
      </c>
      <c r="V91" t="s">
        <v>6314</v>
      </c>
      <c r="W91" t="s">
        <v>5731</v>
      </c>
      <c r="X91" t="str">
        <f t="shared" si="1"/>
        <v>Inversión</v>
      </c>
      <c r="Y91" t="s">
        <v>5735</v>
      </c>
    </row>
    <row r="92" spans="1:25" x14ac:dyDescent="0.25">
      <c r="A92" t="s">
        <v>6315</v>
      </c>
      <c r="B92" t="s">
        <v>6120</v>
      </c>
      <c r="C92" t="s">
        <v>6316</v>
      </c>
      <c r="D92" t="s">
        <v>5720</v>
      </c>
      <c r="E92" t="s">
        <v>5721</v>
      </c>
      <c r="F92" t="s">
        <v>5733</v>
      </c>
      <c r="G92" t="s">
        <v>5723</v>
      </c>
      <c r="H92" t="s">
        <v>461</v>
      </c>
      <c r="I92" t="s">
        <v>644</v>
      </c>
      <c r="J92" t="s">
        <v>273</v>
      </c>
      <c r="K92" t="s">
        <v>5734</v>
      </c>
      <c r="L92" t="s">
        <v>267</v>
      </c>
      <c r="M92">
        <v>63335720</v>
      </c>
      <c r="N92">
        <v>-8636687</v>
      </c>
      <c r="O92">
        <v>54699033</v>
      </c>
      <c r="P92">
        <v>0</v>
      </c>
      <c r="Q92" t="s">
        <v>6317</v>
      </c>
      <c r="R92" t="s">
        <v>6318</v>
      </c>
      <c r="S92" t="s">
        <v>6319</v>
      </c>
      <c r="T92" t="s">
        <v>6320</v>
      </c>
      <c r="U92" t="s">
        <v>6321</v>
      </c>
      <c r="V92" t="s">
        <v>6322</v>
      </c>
      <c r="W92" t="s">
        <v>5731</v>
      </c>
      <c r="X92" t="str">
        <f t="shared" si="1"/>
        <v>Inversión</v>
      </c>
      <c r="Y92" t="s">
        <v>5735</v>
      </c>
    </row>
    <row r="93" spans="1:25" x14ac:dyDescent="0.25">
      <c r="A93" t="s">
        <v>6323</v>
      </c>
      <c r="B93" t="s">
        <v>6120</v>
      </c>
      <c r="C93" t="s">
        <v>6324</v>
      </c>
      <c r="D93" t="s">
        <v>5720</v>
      </c>
      <c r="E93" t="s">
        <v>5721</v>
      </c>
      <c r="F93" t="s">
        <v>5733</v>
      </c>
      <c r="G93" t="s">
        <v>5723</v>
      </c>
      <c r="H93" t="s">
        <v>461</v>
      </c>
      <c r="I93" t="s">
        <v>644</v>
      </c>
      <c r="J93" t="s">
        <v>273</v>
      </c>
      <c r="K93" t="s">
        <v>5734</v>
      </c>
      <c r="L93" t="s">
        <v>267</v>
      </c>
      <c r="M93">
        <v>191575481</v>
      </c>
      <c r="N93">
        <v>-8707985</v>
      </c>
      <c r="O93">
        <v>182867496</v>
      </c>
      <c r="P93">
        <v>0</v>
      </c>
      <c r="Q93" t="s">
        <v>6325</v>
      </c>
      <c r="R93" t="s">
        <v>6326</v>
      </c>
      <c r="S93" t="s">
        <v>6327</v>
      </c>
      <c r="T93" t="s">
        <v>6328</v>
      </c>
      <c r="U93" t="s">
        <v>6329</v>
      </c>
      <c r="V93" t="s">
        <v>6330</v>
      </c>
      <c r="W93" t="s">
        <v>6331</v>
      </c>
      <c r="X93" t="str">
        <f t="shared" si="1"/>
        <v>Inversión</v>
      </c>
      <c r="Y93" t="s">
        <v>5735</v>
      </c>
    </row>
    <row r="94" spans="1:25" x14ac:dyDescent="0.25">
      <c r="A94" t="s">
        <v>6332</v>
      </c>
      <c r="B94" t="s">
        <v>6120</v>
      </c>
      <c r="C94" t="s">
        <v>6333</v>
      </c>
      <c r="D94" t="s">
        <v>5720</v>
      </c>
      <c r="E94" t="s">
        <v>5737</v>
      </c>
      <c r="F94" t="s">
        <v>5733</v>
      </c>
      <c r="G94" t="s">
        <v>5723</v>
      </c>
      <c r="H94" t="s">
        <v>461</v>
      </c>
      <c r="I94" t="s">
        <v>644</v>
      </c>
      <c r="J94" t="s">
        <v>273</v>
      </c>
      <c r="K94" t="s">
        <v>5734</v>
      </c>
      <c r="L94" t="s">
        <v>267</v>
      </c>
      <c r="M94">
        <v>95787741</v>
      </c>
      <c r="N94">
        <v>-95787741</v>
      </c>
      <c r="O94">
        <v>0</v>
      </c>
      <c r="P94">
        <v>0</v>
      </c>
      <c r="Q94" t="s">
        <v>6334</v>
      </c>
      <c r="R94" t="s">
        <v>6231</v>
      </c>
      <c r="S94" t="s">
        <v>5731</v>
      </c>
      <c r="T94" t="s">
        <v>5731</v>
      </c>
      <c r="U94" t="s">
        <v>5731</v>
      </c>
      <c r="V94" t="s">
        <v>5731</v>
      </c>
      <c r="W94" t="s">
        <v>5731</v>
      </c>
      <c r="X94" t="str">
        <f t="shared" si="1"/>
        <v>Inversión</v>
      </c>
      <c r="Y94" t="s">
        <v>5735</v>
      </c>
    </row>
    <row r="95" spans="1:25" x14ac:dyDescent="0.25">
      <c r="A95" t="s">
        <v>6335</v>
      </c>
      <c r="B95" t="s">
        <v>6120</v>
      </c>
      <c r="C95" t="s">
        <v>6336</v>
      </c>
      <c r="D95" t="s">
        <v>5720</v>
      </c>
      <c r="E95" t="s">
        <v>5721</v>
      </c>
      <c r="F95" t="s">
        <v>5733</v>
      </c>
      <c r="G95" t="s">
        <v>5723</v>
      </c>
      <c r="H95" t="s">
        <v>461</v>
      </c>
      <c r="I95" t="s">
        <v>644</v>
      </c>
      <c r="J95" t="s">
        <v>273</v>
      </c>
      <c r="K95" t="s">
        <v>5734</v>
      </c>
      <c r="L95" t="s">
        <v>267</v>
      </c>
      <c r="M95">
        <v>63335720</v>
      </c>
      <c r="N95">
        <v>-191923</v>
      </c>
      <c r="O95">
        <v>63143797</v>
      </c>
      <c r="P95">
        <v>0</v>
      </c>
      <c r="Q95" t="s">
        <v>6337</v>
      </c>
      <c r="R95" t="s">
        <v>6338</v>
      </c>
      <c r="S95" t="s">
        <v>6227</v>
      </c>
      <c r="T95" t="s">
        <v>6339</v>
      </c>
      <c r="U95" t="s">
        <v>6340</v>
      </c>
      <c r="V95" t="s">
        <v>6341</v>
      </c>
      <c r="W95" t="s">
        <v>5731</v>
      </c>
      <c r="X95" t="str">
        <f t="shared" si="1"/>
        <v>Inversión</v>
      </c>
      <c r="Y95" t="s">
        <v>5735</v>
      </c>
    </row>
    <row r="96" spans="1:25" x14ac:dyDescent="0.25">
      <c r="A96" t="s">
        <v>6030</v>
      </c>
      <c r="B96" t="s">
        <v>6120</v>
      </c>
      <c r="C96" t="s">
        <v>6342</v>
      </c>
      <c r="D96" t="s">
        <v>5720</v>
      </c>
      <c r="E96" t="s">
        <v>5721</v>
      </c>
      <c r="F96" t="s">
        <v>5733</v>
      </c>
      <c r="G96" t="s">
        <v>5723</v>
      </c>
      <c r="H96" t="s">
        <v>461</v>
      </c>
      <c r="I96" t="s">
        <v>644</v>
      </c>
      <c r="J96" t="s">
        <v>273</v>
      </c>
      <c r="K96" t="s">
        <v>5734</v>
      </c>
      <c r="L96" t="s">
        <v>267</v>
      </c>
      <c r="M96">
        <v>166106094</v>
      </c>
      <c r="N96">
        <v>37751385</v>
      </c>
      <c r="O96">
        <v>203857479</v>
      </c>
      <c r="P96">
        <v>0</v>
      </c>
      <c r="Q96" t="s">
        <v>6343</v>
      </c>
      <c r="R96" t="s">
        <v>6023</v>
      </c>
      <c r="S96" t="s">
        <v>6344</v>
      </c>
      <c r="T96" t="s">
        <v>6345</v>
      </c>
      <c r="U96" t="s">
        <v>6346</v>
      </c>
      <c r="V96" t="s">
        <v>6347</v>
      </c>
      <c r="W96" t="s">
        <v>5731</v>
      </c>
      <c r="X96" t="str">
        <f t="shared" si="1"/>
        <v>Inversión</v>
      </c>
      <c r="Y96" t="s">
        <v>5735</v>
      </c>
    </row>
    <row r="97" spans="1:25" x14ac:dyDescent="0.25">
      <c r="A97" t="s">
        <v>6033</v>
      </c>
      <c r="B97" t="s">
        <v>6120</v>
      </c>
      <c r="C97" t="s">
        <v>6348</v>
      </c>
      <c r="D97" t="s">
        <v>5720</v>
      </c>
      <c r="E97" t="s">
        <v>5721</v>
      </c>
      <c r="F97" t="s">
        <v>5733</v>
      </c>
      <c r="G97" t="s">
        <v>5723</v>
      </c>
      <c r="H97" t="s">
        <v>461</v>
      </c>
      <c r="I97" t="s">
        <v>644</v>
      </c>
      <c r="J97" t="s">
        <v>273</v>
      </c>
      <c r="K97" t="s">
        <v>5734</v>
      </c>
      <c r="L97" t="s">
        <v>267</v>
      </c>
      <c r="M97">
        <v>108518129</v>
      </c>
      <c r="N97">
        <v>-5</v>
      </c>
      <c r="O97">
        <v>108518124</v>
      </c>
      <c r="P97">
        <v>0</v>
      </c>
      <c r="Q97" t="s">
        <v>6349</v>
      </c>
      <c r="R97" t="s">
        <v>6350</v>
      </c>
      <c r="S97" t="s">
        <v>6022</v>
      </c>
      <c r="T97" t="s">
        <v>6351</v>
      </c>
      <c r="U97" t="s">
        <v>6352</v>
      </c>
      <c r="V97" t="s">
        <v>6353</v>
      </c>
      <c r="W97" t="s">
        <v>5731</v>
      </c>
      <c r="X97" t="str">
        <f t="shared" si="1"/>
        <v>Inversión</v>
      </c>
      <c r="Y97" t="s">
        <v>5735</v>
      </c>
    </row>
    <row r="98" spans="1:25" x14ac:dyDescent="0.25">
      <c r="A98" t="s">
        <v>6354</v>
      </c>
      <c r="B98" t="s">
        <v>6120</v>
      </c>
      <c r="C98" t="s">
        <v>6355</v>
      </c>
      <c r="D98" t="s">
        <v>5720</v>
      </c>
      <c r="E98" t="s">
        <v>5721</v>
      </c>
      <c r="F98" t="s">
        <v>6356</v>
      </c>
      <c r="G98" t="s">
        <v>5723</v>
      </c>
      <c r="H98" t="s">
        <v>550</v>
      </c>
      <c r="I98" t="s">
        <v>642</v>
      </c>
      <c r="J98" t="s">
        <v>266</v>
      </c>
      <c r="K98" t="s">
        <v>5724</v>
      </c>
      <c r="L98" t="s">
        <v>267</v>
      </c>
      <c r="M98">
        <v>67640720</v>
      </c>
      <c r="N98">
        <v>-1297660</v>
      </c>
      <c r="O98">
        <v>66343060</v>
      </c>
      <c r="P98">
        <v>0</v>
      </c>
      <c r="Q98" t="s">
        <v>6357</v>
      </c>
      <c r="R98" t="s">
        <v>5857</v>
      </c>
      <c r="S98" t="s">
        <v>6358</v>
      </c>
      <c r="T98" t="s">
        <v>6359</v>
      </c>
      <c r="U98" t="s">
        <v>6360</v>
      </c>
      <c r="V98" t="s">
        <v>6361</v>
      </c>
      <c r="W98" t="s">
        <v>5731</v>
      </c>
      <c r="X98" t="str">
        <f t="shared" si="1"/>
        <v>Inversión</v>
      </c>
      <c r="Y98" t="s">
        <v>6362</v>
      </c>
    </row>
    <row r="99" spans="1:25" x14ac:dyDescent="0.25">
      <c r="A99" t="s">
        <v>6041</v>
      </c>
      <c r="B99" t="s">
        <v>6120</v>
      </c>
      <c r="C99" t="s">
        <v>6363</v>
      </c>
      <c r="D99" t="s">
        <v>5720</v>
      </c>
      <c r="E99" t="s">
        <v>5721</v>
      </c>
      <c r="F99" t="s">
        <v>6356</v>
      </c>
      <c r="G99" t="s">
        <v>5723</v>
      </c>
      <c r="H99" t="s">
        <v>550</v>
      </c>
      <c r="I99" t="s">
        <v>642</v>
      </c>
      <c r="J99" t="s">
        <v>266</v>
      </c>
      <c r="K99" t="s">
        <v>5724</v>
      </c>
      <c r="L99" t="s">
        <v>267</v>
      </c>
      <c r="M99">
        <v>33820360</v>
      </c>
      <c r="N99">
        <v>-648830</v>
      </c>
      <c r="O99">
        <v>33171530</v>
      </c>
      <c r="P99">
        <v>0</v>
      </c>
      <c r="Q99" t="s">
        <v>6364</v>
      </c>
      <c r="R99" t="s">
        <v>6038</v>
      </c>
      <c r="S99" t="s">
        <v>6365</v>
      </c>
      <c r="T99" t="s">
        <v>6366</v>
      </c>
      <c r="U99" t="s">
        <v>6367</v>
      </c>
      <c r="V99" t="s">
        <v>6368</v>
      </c>
      <c r="W99" t="s">
        <v>5731</v>
      </c>
      <c r="X99" t="str">
        <f t="shared" si="1"/>
        <v>Inversión</v>
      </c>
      <c r="Y99" t="s">
        <v>6362</v>
      </c>
    </row>
    <row r="100" spans="1:25" x14ac:dyDescent="0.25">
      <c r="A100" t="s">
        <v>6049</v>
      </c>
      <c r="B100" t="s">
        <v>6120</v>
      </c>
      <c r="C100" t="s">
        <v>6369</v>
      </c>
      <c r="D100" t="s">
        <v>5720</v>
      </c>
      <c r="E100" t="s">
        <v>5721</v>
      </c>
      <c r="F100" t="s">
        <v>6356</v>
      </c>
      <c r="G100" t="s">
        <v>5723</v>
      </c>
      <c r="H100" t="s">
        <v>550</v>
      </c>
      <c r="I100" t="s">
        <v>642</v>
      </c>
      <c r="J100" t="s">
        <v>266</v>
      </c>
      <c r="K100" t="s">
        <v>5724</v>
      </c>
      <c r="L100" t="s">
        <v>267</v>
      </c>
      <c r="M100">
        <v>144876970</v>
      </c>
      <c r="N100">
        <v>-929635</v>
      </c>
      <c r="O100">
        <v>143947335</v>
      </c>
      <c r="P100">
        <v>0</v>
      </c>
      <c r="Q100" t="s">
        <v>6370</v>
      </c>
      <c r="R100" t="s">
        <v>6046</v>
      </c>
      <c r="S100" t="s">
        <v>6371</v>
      </c>
      <c r="T100" t="s">
        <v>6372</v>
      </c>
      <c r="U100" t="s">
        <v>6373</v>
      </c>
      <c r="V100" t="s">
        <v>6374</v>
      </c>
      <c r="W100" t="s">
        <v>5731</v>
      </c>
      <c r="X100" t="str">
        <f t="shared" si="1"/>
        <v>Inversión</v>
      </c>
      <c r="Y100" t="s">
        <v>6362</v>
      </c>
    </row>
    <row r="101" spans="1:25" x14ac:dyDescent="0.25">
      <c r="A101" t="s">
        <v>6375</v>
      </c>
      <c r="B101" t="s">
        <v>6120</v>
      </c>
      <c r="C101" t="s">
        <v>6376</v>
      </c>
      <c r="D101" t="s">
        <v>5720</v>
      </c>
      <c r="E101" t="s">
        <v>5721</v>
      </c>
      <c r="F101" t="s">
        <v>6356</v>
      </c>
      <c r="G101" t="s">
        <v>5723</v>
      </c>
      <c r="H101" t="s">
        <v>550</v>
      </c>
      <c r="I101" t="s">
        <v>642</v>
      </c>
      <c r="J101" t="s">
        <v>266</v>
      </c>
      <c r="K101" t="s">
        <v>5724</v>
      </c>
      <c r="L101" t="s">
        <v>267</v>
      </c>
      <c r="M101">
        <v>28975394</v>
      </c>
      <c r="N101">
        <v>-185927</v>
      </c>
      <c r="O101">
        <v>28789467</v>
      </c>
      <c r="P101">
        <v>0</v>
      </c>
      <c r="Q101" t="s">
        <v>6377</v>
      </c>
      <c r="R101" t="s">
        <v>6054</v>
      </c>
      <c r="S101" t="s">
        <v>6378</v>
      </c>
      <c r="T101" t="s">
        <v>6379</v>
      </c>
      <c r="U101" t="s">
        <v>6380</v>
      </c>
      <c r="V101" t="s">
        <v>6381</v>
      </c>
      <c r="W101" t="s">
        <v>5731</v>
      </c>
      <c r="X101" t="str">
        <f t="shared" si="1"/>
        <v>Inversión</v>
      </c>
      <c r="Y101" t="s">
        <v>6362</v>
      </c>
    </row>
    <row r="102" spans="1:25" x14ac:dyDescent="0.25">
      <c r="A102" t="s">
        <v>6057</v>
      </c>
      <c r="B102" t="s">
        <v>6120</v>
      </c>
      <c r="C102" t="s">
        <v>6382</v>
      </c>
      <c r="D102" t="s">
        <v>5720</v>
      </c>
      <c r="E102" t="s">
        <v>5721</v>
      </c>
      <c r="F102" t="s">
        <v>6356</v>
      </c>
      <c r="G102" t="s">
        <v>5723</v>
      </c>
      <c r="H102" t="s">
        <v>550</v>
      </c>
      <c r="I102" t="s">
        <v>642</v>
      </c>
      <c r="J102" t="s">
        <v>266</v>
      </c>
      <c r="K102" t="s">
        <v>5724</v>
      </c>
      <c r="L102" t="s">
        <v>267</v>
      </c>
      <c r="M102">
        <v>33820360</v>
      </c>
      <c r="N102">
        <v>-648830</v>
      </c>
      <c r="O102">
        <v>33171530</v>
      </c>
      <c r="P102">
        <v>0</v>
      </c>
      <c r="Q102" t="s">
        <v>6383</v>
      </c>
      <c r="R102" t="s">
        <v>6066</v>
      </c>
      <c r="S102" t="s">
        <v>6384</v>
      </c>
      <c r="T102" t="s">
        <v>6385</v>
      </c>
      <c r="U102" t="s">
        <v>6386</v>
      </c>
      <c r="V102" t="s">
        <v>6387</v>
      </c>
      <c r="W102" t="s">
        <v>5731</v>
      </c>
      <c r="X102" t="str">
        <f t="shared" si="1"/>
        <v>Inversión</v>
      </c>
      <c r="Y102" t="s">
        <v>6362</v>
      </c>
    </row>
    <row r="103" spans="1:25" x14ac:dyDescent="0.25">
      <c r="A103" t="s">
        <v>6388</v>
      </c>
      <c r="B103" t="s">
        <v>6120</v>
      </c>
      <c r="C103" t="s">
        <v>6389</v>
      </c>
      <c r="D103" t="s">
        <v>5720</v>
      </c>
      <c r="E103" t="s">
        <v>5721</v>
      </c>
      <c r="F103" t="s">
        <v>6356</v>
      </c>
      <c r="G103" t="s">
        <v>5723</v>
      </c>
      <c r="H103" t="s">
        <v>550</v>
      </c>
      <c r="I103" t="s">
        <v>642</v>
      </c>
      <c r="J103" t="s">
        <v>266</v>
      </c>
      <c r="K103" t="s">
        <v>5724</v>
      </c>
      <c r="L103" t="s">
        <v>267</v>
      </c>
      <c r="M103">
        <v>28975394</v>
      </c>
      <c r="N103">
        <v>-185927</v>
      </c>
      <c r="O103">
        <v>28789467</v>
      </c>
      <c r="P103">
        <v>0</v>
      </c>
      <c r="Q103" t="s">
        <v>6390</v>
      </c>
      <c r="R103" t="s">
        <v>6078</v>
      </c>
      <c r="S103" t="s">
        <v>6391</v>
      </c>
      <c r="T103" t="s">
        <v>6392</v>
      </c>
      <c r="U103" t="s">
        <v>6393</v>
      </c>
      <c r="V103" t="s">
        <v>6394</v>
      </c>
      <c r="W103" t="s">
        <v>5731</v>
      </c>
      <c r="X103" t="str">
        <f t="shared" si="1"/>
        <v>Inversión</v>
      </c>
      <c r="Y103" t="s">
        <v>6362</v>
      </c>
    </row>
    <row r="104" spans="1:25" x14ac:dyDescent="0.25">
      <c r="A104" t="s">
        <v>6395</v>
      </c>
      <c r="B104" t="s">
        <v>6120</v>
      </c>
      <c r="C104" t="s">
        <v>6396</v>
      </c>
      <c r="D104" t="s">
        <v>5720</v>
      </c>
      <c r="E104" t="s">
        <v>5721</v>
      </c>
      <c r="F104" t="s">
        <v>6356</v>
      </c>
      <c r="G104" t="s">
        <v>5723</v>
      </c>
      <c r="H104" t="s">
        <v>550</v>
      </c>
      <c r="I104" t="s">
        <v>642</v>
      </c>
      <c r="J104" t="s">
        <v>266</v>
      </c>
      <c r="K104" t="s">
        <v>5724</v>
      </c>
      <c r="L104" t="s">
        <v>267</v>
      </c>
      <c r="M104">
        <v>57950788</v>
      </c>
      <c r="N104">
        <v>-371854</v>
      </c>
      <c r="O104">
        <v>57578934</v>
      </c>
      <c r="P104">
        <v>0</v>
      </c>
      <c r="Q104" t="s">
        <v>6397</v>
      </c>
      <c r="R104" t="s">
        <v>6094</v>
      </c>
      <c r="S104" t="s">
        <v>6398</v>
      </c>
      <c r="T104" t="s">
        <v>6399</v>
      </c>
      <c r="U104" t="s">
        <v>6400</v>
      </c>
      <c r="V104" t="s">
        <v>6401</v>
      </c>
      <c r="W104" t="s">
        <v>5731</v>
      </c>
      <c r="X104" t="str">
        <f t="shared" si="1"/>
        <v>Inversión</v>
      </c>
      <c r="Y104" t="s">
        <v>6362</v>
      </c>
    </row>
    <row r="105" spans="1:25" x14ac:dyDescent="0.25">
      <c r="A105" t="s">
        <v>6402</v>
      </c>
      <c r="B105" t="s">
        <v>6120</v>
      </c>
      <c r="C105" t="s">
        <v>6403</v>
      </c>
      <c r="D105" t="s">
        <v>5720</v>
      </c>
      <c r="E105" t="s">
        <v>5721</v>
      </c>
      <c r="F105" t="s">
        <v>6356</v>
      </c>
      <c r="G105" t="s">
        <v>5723</v>
      </c>
      <c r="H105" t="s">
        <v>550</v>
      </c>
      <c r="I105" t="s">
        <v>642</v>
      </c>
      <c r="J105" t="s">
        <v>266</v>
      </c>
      <c r="K105" t="s">
        <v>5724</v>
      </c>
      <c r="L105" t="s">
        <v>267</v>
      </c>
      <c r="M105">
        <v>36311422</v>
      </c>
      <c r="N105">
        <v>-248290</v>
      </c>
      <c r="O105">
        <v>36063132</v>
      </c>
      <c r="P105">
        <v>0</v>
      </c>
      <c r="Q105" t="s">
        <v>6404</v>
      </c>
      <c r="R105" t="s">
        <v>6111</v>
      </c>
      <c r="S105" t="s">
        <v>6405</v>
      </c>
      <c r="T105" t="s">
        <v>6406</v>
      </c>
      <c r="U105" t="s">
        <v>6407</v>
      </c>
      <c r="V105" t="s">
        <v>6408</v>
      </c>
      <c r="W105" t="s">
        <v>5731</v>
      </c>
      <c r="X105" t="str">
        <f t="shared" si="1"/>
        <v>Inversión</v>
      </c>
      <c r="Y105" t="s">
        <v>6362</v>
      </c>
    </row>
    <row r="106" spans="1:25" x14ac:dyDescent="0.25">
      <c r="A106" t="s">
        <v>6409</v>
      </c>
      <c r="B106" t="s">
        <v>6120</v>
      </c>
      <c r="C106" t="s">
        <v>6410</v>
      </c>
      <c r="D106" t="s">
        <v>5720</v>
      </c>
      <c r="E106" t="s">
        <v>5721</v>
      </c>
      <c r="F106" t="s">
        <v>6356</v>
      </c>
      <c r="G106" t="s">
        <v>5723</v>
      </c>
      <c r="H106" t="s">
        <v>536</v>
      </c>
      <c r="I106" t="s">
        <v>641</v>
      </c>
      <c r="J106" t="s">
        <v>266</v>
      </c>
      <c r="K106" t="s">
        <v>5724</v>
      </c>
      <c r="L106" t="s">
        <v>267</v>
      </c>
      <c r="M106">
        <v>33820360</v>
      </c>
      <c r="N106">
        <v>-648830</v>
      </c>
      <c r="O106">
        <v>33171530</v>
      </c>
      <c r="P106">
        <v>0</v>
      </c>
      <c r="Q106" t="s">
        <v>6411</v>
      </c>
      <c r="R106" t="s">
        <v>6119</v>
      </c>
      <c r="S106" t="s">
        <v>6412</v>
      </c>
      <c r="T106" t="s">
        <v>6413</v>
      </c>
      <c r="U106" t="s">
        <v>6414</v>
      </c>
      <c r="V106" t="s">
        <v>6415</v>
      </c>
      <c r="W106" t="s">
        <v>5731</v>
      </c>
      <c r="X106" t="str">
        <f t="shared" si="1"/>
        <v>Inversión</v>
      </c>
      <c r="Y106" t="s">
        <v>6362</v>
      </c>
    </row>
    <row r="107" spans="1:25" x14ac:dyDescent="0.25">
      <c r="A107" t="s">
        <v>6416</v>
      </c>
      <c r="B107" t="s">
        <v>6120</v>
      </c>
      <c r="C107" t="s">
        <v>6417</v>
      </c>
      <c r="D107" t="s">
        <v>5720</v>
      </c>
      <c r="E107" t="s">
        <v>5721</v>
      </c>
      <c r="F107" t="s">
        <v>6356</v>
      </c>
      <c r="G107" t="s">
        <v>5723</v>
      </c>
      <c r="H107" t="s">
        <v>536</v>
      </c>
      <c r="I107" t="s">
        <v>641</v>
      </c>
      <c r="J107" t="s">
        <v>266</v>
      </c>
      <c r="K107" t="s">
        <v>5724</v>
      </c>
      <c r="L107" t="s">
        <v>267</v>
      </c>
      <c r="M107">
        <v>42472080</v>
      </c>
      <c r="N107">
        <v>-6496</v>
      </c>
      <c r="O107">
        <v>42465584</v>
      </c>
      <c r="P107">
        <v>0</v>
      </c>
      <c r="Q107" t="s">
        <v>6418</v>
      </c>
      <c r="R107" t="s">
        <v>6136</v>
      </c>
      <c r="S107" t="s">
        <v>6419</v>
      </c>
      <c r="T107" t="s">
        <v>6420</v>
      </c>
      <c r="U107" t="s">
        <v>6421</v>
      </c>
      <c r="V107" t="s">
        <v>6422</v>
      </c>
      <c r="W107" t="s">
        <v>5731</v>
      </c>
      <c r="X107" t="str">
        <f t="shared" si="1"/>
        <v>Inversión</v>
      </c>
      <c r="Y107" t="s">
        <v>6362</v>
      </c>
    </row>
    <row r="108" spans="1:25" x14ac:dyDescent="0.25">
      <c r="A108" t="s">
        <v>6065</v>
      </c>
      <c r="B108" t="s">
        <v>6120</v>
      </c>
      <c r="C108" t="s">
        <v>6423</v>
      </c>
      <c r="D108" t="s">
        <v>5720</v>
      </c>
      <c r="E108" t="s">
        <v>5721</v>
      </c>
      <c r="F108" t="s">
        <v>6356</v>
      </c>
      <c r="G108" t="s">
        <v>5723</v>
      </c>
      <c r="H108" t="s">
        <v>536</v>
      </c>
      <c r="I108" t="s">
        <v>641</v>
      </c>
      <c r="J108" t="s">
        <v>266</v>
      </c>
      <c r="K108" t="s">
        <v>5724</v>
      </c>
      <c r="L108" t="s">
        <v>267</v>
      </c>
      <c r="M108">
        <v>54467133</v>
      </c>
      <c r="N108">
        <v>-11191375</v>
      </c>
      <c r="O108">
        <v>43275758</v>
      </c>
      <c r="P108">
        <v>0</v>
      </c>
      <c r="Q108" t="s">
        <v>6424</v>
      </c>
      <c r="R108" t="s">
        <v>6144</v>
      </c>
      <c r="S108" t="s">
        <v>6425</v>
      </c>
      <c r="T108" t="s">
        <v>6426</v>
      </c>
      <c r="U108" t="s">
        <v>6427</v>
      </c>
      <c r="V108" t="s">
        <v>6428</v>
      </c>
      <c r="W108" t="s">
        <v>5731</v>
      </c>
      <c r="X108" t="str">
        <f t="shared" si="1"/>
        <v>Inversión</v>
      </c>
      <c r="Y108" t="s">
        <v>6362</v>
      </c>
    </row>
    <row r="109" spans="1:25" x14ac:dyDescent="0.25">
      <c r="A109" t="s">
        <v>6429</v>
      </c>
      <c r="B109" t="s">
        <v>6120</v>
      </c>
      <c r="C109" t="s">
        <v>6430</v>
      </c>
      <c r="D109" t="s">
        <v>5720</v>
      </c>
      <c r="E109" t="s">
        <v>5721</v>
      </c>
      <c r="F109" t="s">
        <v>6356</v>
      </c>
      <c r="G109" t="s">
        <v>5723</v>
      </c>
      <c r="H109" t="s">
        <v>536</v>
      </c>
      <c r="I109" t="s">
        <v>641</v>
      </c>
      <c r="J109" t="s">
        <v>266</v>
      </c>
      <c r="K109" t="s">
        <v>5724</v>
      </c>
      <c r="L109" t="s">
        <v>267</v>
      </c>
      <c r="M109">
        <v>28975394</v>
      </c>
      <c r="N109">
        <v>-185927</v>
      </c>
      <c r="O109">
        <v>28789467</v>
      </c>
      <c r="P109">
        <v>0</v>
      </c>
      <c r="Q109" t="s">
        <v>6431</v>
      </c>
      <c r="R109" t="s">
        <v>6151</v>
      </c>
      <c r="S109" t="s">
        <v>6432</v>
      </c>
      <c r="T109" t="s">
        <v>6433</v>
      </c>
      <c r="U109" t="s">
        <v>6434</v>
      </c>
      <c r="V109" t="s">
        <v>6435</v>
      </c>
      <c r="W109" t="s">
        <v>5731</v>
      </c>
      <c r="X109" t="str">
        <f t="shared" si="1"/>
        <v>Inversión</v>
      </c>
      <c r="Y109" t="s">
        <v>6362</v>
      </c>
    </row>
    <row r="110" spans="1:25" x14ac:dyDescent="0.25">
      <c r="A110" t="s">
        <v>6069</v>
      </c>
      <c r="B110" t="s">
        <v>6120</v>
      </c>
      <c r="C110" t="s">
        <v>6436</v>
      </c>
      <c r="D110" t="s">
        <v>5720</v>
      </c>
      <c r="E110" t="s">
        <v>5721</v>
      </c>
      <c r="F110" t="s">
        <v>6356</v>
      </c>
      <c r="G110" t="s">
        <v>5723</v>
      </c>
      <c r="H110" t="s">
        <v>536</v>
      </c>
      <c r="I110" t="s">
        <v>641</v>
      </c>
      <c r="J110" t="s">
        <v>266</v>
      </c>
      <c r="K110" t="s">
        <v>5724</v>
      </c>
      <c r="L110" t="s">
        <v>267</v>
      </c>
      <c r="M110">
        <v>18155711</v>
      </c>
      <c r="N110">
        <v>-124145</v>
      </c>
      <c r="O110">
        <v>18031566</v>
      </c>
      <c r="P110">
        <v>0</v>
      </c>
      <c r="Q110" t="s">
        <v>6437</v>
      </c>
      <c r="R110" t="s">
        <v>6159</v>
      </c>
      <c r="S110" t="s">
        <v>6438</v>
      </c>
      <c r="T110" t="s">
        <v>6439</v>
      </c>
      <c r="U110" t="s">
        <v>6440</v>
      </c>
      <c r="V110" t="s">
        <v>6441</v>
      </c>
      <c r="W110" t="s">
        <v>5731</v>
      </c>
      <c r="X110" t="str">
        <f t="shared" si="1"/>
        <v>Inversión</v>
      </c>
      <c r="Y110" t="s">
        <v>6362</v>
      </c>
    </row>
    <row r="111" spans="1:25" x14ac:dyDescent="0.25">
      <c r="A111" t="s">
        <v>6442</v>
      </c>
      <c r="B111" t="s">
        <v>6120</v>
      </c>
      <c r="C111" t="s">
        <v>6443</v>
      </c>
      <c r="D111" t="s">
        <v>5720</v>
      </c>
      <c r="E111" t="s">
        <v>5721</v>
      </c>
      <c r="F111" t="s">
        <v>6356</v>
      </c>
      <c r="G111" t="s">
        <v>5723</v>
      </c>
      <c r="H111" t="s">
        <v>536</v>
      </c>
      <c r="I111" t="s">
        <v>641</v>
      </c>
      <c r="J111" t="s">
        <v>266</v>
      </c>
      <c r="K111" t="s">
        <v>5724</v>
      </c>
      <c r="L111" t="s">
        <v>267</v>
      </c>
      <c r="M111">
        <v>16296816</v>
      </c>
      <c r="N111">
        <v>-257584</v>
      </c>
      <c r="O111">
        <v>16039232</v>
      </c>
      <c r="P111">
        <v>0</v>
      </c>
      <c r="Q111" t="s">
        <v>6444</v>
      </c>
      <c r="R111" t="s">
        <v>6042</v>
      </c>
      <c r="S111" t="s">
        <v>6445</v>
      </c>
      <c r="T111" t="s">
        <v>6446</v>
      </c>
      <c r="U111" t="s">
        <v>6447</v>
      </c>
      <c r="V111" t="s">
        <v>6448</v>
      </c>
      <c r="W111" t="s">
        <v>5731</v>
      </c>
      <c r="X111" t="str">
        <f t="shared" si="1"/>
        <v>Inversión</v>
      </c>
      <c r="Y111" t="s">
        <v>6362</v>
      </c>
    </row>
    <row r="112" spans="1:25" x14ac:dyDescent="0.25">
      <c r="A112" t="s">
        <v>6449</v>
      </c>
      <c r="B112" t="s">
        <v>6120</v>
      </c>
      <c r="C112" t="s">
        <v>6450</v>
      </c>
      <c r="D112" t="s">
        <v>5720</v>
      </c>
      <c r="E112" t="s">
        <v>5721</v>
      </c>
      <c r="F112" t="s">
        <v>6356</v>
      </c>
      <c r="G112" t="s">
        <v>5723</v>
      </c>
      <c r="H112" t="s">
        <v>536</v>
      </c>
      <c r="I112" t="s">
        <v>641</v>
      </c>
      <c r="J112" t="s">
        <v>266</v>
      </c>
      <c r="K112" t="s">
        <v>5724</v>
      </c>
      <c r="L112" t="s">
        <v>267</v>
      </c>
      <c r="M112">
        <v>28519428</v>
      </c>
      <c r="N112">
        <v>-450772</v>
      </c>
      <c r="O112">
        <v>28068656</v>
      </c>
      <c r="P112">
        <v>0</v>
      </c>
      <c r="Q112" t="s">
        <v>6451</v>
      </c>
      <c r="R112" t="s">
        <v>6034</v>
      </c>
      <c r="S112" t="s">
        <v>6452</v>
      </c>
      <c r="T112" t="s">
        <v>6453</v>
      </c>
      <c r="U112" t="s">
        <v>6454</v>
      </c>
      <c r="V112" t="s">
        <v>6455</v>
      </c>
      <c r="W112" t="s">
        <v>5731</v>
      </c>
      <c r="X112" t="str">
        <f t="shared" si="1"/>
        <v>Inversión</v>
      </c>
      <c r="Y112" t="s">
        <v>6362</v>
      </c>
    </row>
    <row r="113" spans="1:25" x14ac:dyDescent="0.25">
      <c r="A113" t="s">
        <v>6331</v>
      </c>
      <c r="B113" t="s">
        <v>6120</v>
      </c>
      <c r="C113" t="s">
        <v>6456</v>
      </c>
      <c r="D113" t="s">
        <v>5720</v>
      </c>
      <c r="E113" t="s">
        <v>5721</v>
      </c>
      <c r="F113" t="s">
        <v>6356</v>
      </c>
      <c r="G113" t="s">
        <v>5723</v>
      </c>
      <c r="H113" t="s">
        <v>536</v>
      </c>
      <c r="I113" t="s">
        <v>641</v>
      </c>
      <c r="J113" t="s">
        <v>266</v>
      </c>
      <c r="K113" t="s">
        <v>5724</v>
      </c>
      <c r="L113" t="s">
        <v>267</v>
      </c>
      <c r="M113">
        <v>18155711</v>
      </c>
      <c r="N113">
        <v>-124145</v>
      </c>
      <c r="O113">
        <v>18031566</v>
      </c>
      <c r="P113">
        <v>0</v>
      </c>
      <c r="Q113" t="s">
        <v>6457</v>
      </c>
      <c r="R113" t="s">
        <v>6176</v>
      </c>
      <c r="S113" t="s">
        <v>6458</v>
      </c>
      <c r="T113" t="s">
        <v>6459</v>
      </c>
      <c r="U113" t="s">
        <v>6460</v>
      </c>
      <c r="V113" t="s">
        <v>6461</v>
      </c>
      <c r="W113" t="s">
        <v>5731</v>
      </c>
      <c r="X113" t="str">
        <f t="shared" si="1"/>
        <v>Inversión</v>
      </c>
      <c r="Y113" t="s">
        <v>6362</v>
      </c>
    </row>
    <row r="114" spans="1:25" x14ac:dyDescent="0.25">
      <c r="A114" t="s">
        <v>6462</v>
      </c>
      <c r="B114" t="s">
        <v>6120</v>
      </c>
      <c r="C114" t="s">
        <v>6463</v>
      </c>
      <c r="D114" t="s">
        <v>5720</v>
      </c>
      <c r="E114" t="s">
        <v>5721</v>
      </c>
      <c r="F114" t="s">
        <v>6356</v>
      </c>
      <c r="G114" t="s">
        <v>5723</v>
      </c>
      <c r="H114" t="s">
        <v>550</v>
      </c>
      <c r="I114" t="s">
        <v>642</v>
      </c>
      <c r="J114" t="s">
        <v>266</v>
      </c>
      <c r="K114" t="s">
        <v>5724</v>
      </c>
      <c r="L114" t="s">
        <v>267</v>
      </c>
      <c r="M114">
        <v>202827758</v>
      </c>
      <c r="N114">
        <v>-8567402</v>
      </c>
      <c r="O114">
        <v>194260356</v>
      </c>
      <c r="P114">
        <v>0</v>
      </c>
      <c r="Q114" t="s">
        <v>6464</v>
      </c>
      <c r="R114" t="s">
        <v>6183</v>
      </c>
      <c r="S114" t="s">
        <v>6465</v>
      </c>
      <c r="T114" t="s">
        <v>6466</v>
      </c>
      <c r="U114" t="s">
        <v>6467</v>
      </c>
      <c r="V114" t="s">
        <v>6468</v>
      </c>
      <c r="W114" t="s">
        <v>5731</v>
      </c>
      <c r="X114" t="str">
        <f t="shared" si="1"/>
        <v>Inversión</v>
      </c>
      <c r="Y114" t="s">
        <v>6362</v>
      </c>
    </row>
    <row r="115" spans="1:25" x14ac:dyDescent="0.25">
      <c r="A115" t="s">
        <v>6469</v>
      </c>
      <c r="B115" t="s">
        <v>6120</v>
      </c>
      <c r="C115" t="s">
        <v>6470</v>
      </c>
      <c r="D115" t="s">
        <v>5720</v>
      </c>
      <c r="E115" t="s">
        <v>5721</v>
      </c>
      <c r="F115" t="s">
        <v>6356</v>
      </c>
      <c r="G115" t="s">
        <v>5723</v>
      </c>
      <c r="H115" t="s">
        <v>550</v>
      </c>
      <c r="I115" t="s">
        <v>642</v>
      </c>
      <c r="J115" t="s">
        <v>266</v>
      </c>
      <c r="K115" t="s">
        <v>5724</v>
      </c>
      <c r="L115" t="s">
        <v>267</v>
      </c>
      <c r="M115">
        <v>63708120</v>
      </c>
      <c r="N115">
        <v>-9744</v>
      </c>
      <c r="O115">
        <v>63698376</v>
      </c>
      <c r="P115">
        <v>0</v>
      </c>
      <c r="Q115" t="s">
        <v>6471</v>
      </c>
      <c r="R115" t="s">
        <v>6190</v>
      </c>
      <c r="S115" t="s">
        <v>6472</v>
      </c>
      <c r="T115" t="s">
        <v>6473</v>
      </c>
      <c r="U115" t="s">
        <v>6474</v>
      </c>
      <c r="V115" t="s">
        <v>6475</v>
      </c>
      <c r="W115" t="s">
        <v>5731</v>
      </c>
      <c r="X115" t="str">
        <f t="shared" si="1"/>
        <v>Inversión</v>
      </c>
      <c r="Y115" t="s">
        <v>6362</v>
      </c>
    </row>
    <row r="116" spans="1:25" x14ac:dyDescent="0.25">
      <c r="A116" t="s">
        <v>6476</v>
      </c>
      <c r="B116" t="s">
        <v>6120</v>
      </c>
      <c r="C116" t="s">
        <v>6477</v>
      </c>
      <c r="D116" t="s">
        <v>5720</v>
      </c>
      <c r="E116" t="s">
        <v>5721</v>
      </c>
      <c r="F116" t="s">
        <v>6356</v>
      </c>
      <c r="G116" t="s">
        <v>5723</v>
      </c>
      <c r="H116" t="s">
        <v>550</v>
      </c>
      <c r="I116" t="s">
        <v>642</v>
      </c>
      <c r="J116" t="s">
        <v>266</v>
      </c>
      <c r="K116" t="s">
        <v>5724</v>
      </c>
      <c r="L116" t="s">
        <v>267</v>
      </c>
      <c r="M116">
        <v>33820360</v>
      </c>
      <c r="N116">
        <v>-648830</v>
      </c>
      <c r="O116">
        <v>33171530</v>
      </c>
      <c r="P116">
        <v>0</v>
      </c>
      <c r="Q116" t="s">
        <v>6478</v>
      </c>
      <c r="R116" t="s">
        <v>6198</v>
      </c>
      <c r="S116" t="s">
        <v>6479</v>
      </c>
      <c r="T116" t="s">
        <v>6480</v>
      </c>
      <c r="U116" t="s">
        <v>6481</v>
      </c>
      <c r="V116" t="s">
        <v>6482</v>
      </c>
      <c r="W116" t="s">
        <v>5731</v>
      </c>
      <c r="X116" t="str">
        <f t="shared" si="1"/>
        <v>Inversión</v>
      </c>
      <c r="Y116" t="s">
        <v>6362</v>
      </c>
    </row>
    <row r="117" spans="1:25" x14ac:dyDescent="0.25">
      <c r="A117" t="s">
        <v>6483</v>
      </c>
      <c r="B117" t="s">
        <v>6120</v>
      </c>
      <c r="C117" t="s">
        <v>6484</v>
      </c>
      <c r="D117" t="s">
        <v>5720</v>
      </c>
      <c r="E117" t="s">
        <v>5721</v>
      </c>
      <c r="F117" t="s">
        <v>6356</v>
      </c>
      <c r="G117" t="s">
        <v>5723</v>
      </c>
      <c r="H117" t="s">
        <v>550</v>
      </c>
      <c r="I117" t="s">
        <v>642</v>
      </c>
      <c r="J117" t="s">
        <v>266</v>
      </c>
      <c r="K117" t="s">
        <v>5724</v>
      </c>
      <c r="L117" t="s">
        <v>267</v>
      </c>
      <c r="M117">
        <v>28975394</v>
      </c>
      <c r="N117">
        <v>-185927</v>
      </c>
      <c r="O117">
        <v>28789467</v>
      </c>
      <c r="P117">
        <v>0</v>
      </c>
      <c r="Q117" t="s">
        <v>6485</v>
      </c>
      <c r="R117" t="s">
        <v>6205</v>
      </c>
      <c r="S117" t="s">
        <v>6486</v>
      </c>
      <c r="T117" t="s">
        <v>6487</v>
      </c>
      <c r="U117" t="s">
        <v>6488</v>
      </c>
      <c r="V117" t="s">
        <v>6489</v>
      </c>
      <c r="W117" t="s">
        <v>5731</v>
      </c>
      <c r="X117" t="str">
        <f t="shared" si="1"/>
        <v>Inversión</v>
      </c>
      <c r="Y117" t="s">
        <v>6362</v>
      </c>
    </row>
    <row r="118" spans="1:25" x14ac:dyDescent="0.25">
      <c r="A118" t="s">
        <v>6073</v>
      </c>
      <c r="B118" t="s">
        <v>6120</v>
      </c>
      <c r="C118" t="s">
        <v>6490</v>
      </c>
      <c r="D118" t="s">
        <v>5720</v>
      </c>
      <c r="E118" t="s">
        <v>5721</v>
      </c>
      <c r="F118" t="s">
        <v>5722</v>
      </c>
      <c r="G118" t="s">
        <v>5723</v>
      </c>
      <c r="H118" t="s">
        <v>558</v>
      </c>
      <c r="I118" t="s">
        <v>669</v>
      </c>
      <c r="J118" t="s">
        <v>266</v>
      </c>
      <c r="K118" t="s">
        <v>5724</v>
      </c>
      <c r="L118" t="s">
        <v>267</v>
      </c>
      <c r="M118">
        <v>36402363</v>
      </c>
      <c r="N118">
        <v>-3</v>
      </c>
      <c r="O118">
        <v>36402360</v>
      </c>
      <c r="P118">
        <v>1092071</v>
      </c>
      <c r="Q118" t="s">
        <v>6491</v>
      </c>
      <c r="R118" t="s">
        <v>6492</v>
      </c>
      <c r="S118" t="s">
        <v>6493</v>
      </c>
      <c r="T118" t="s">
        <v>6494</v>
      </c>
      <c r="U118" t="s">
        <v>6495</v>
      </c>
      <c r="V118" t="s">
        <v>6496</v>
      </c>
      <c r="W118" t="s">
        <v>5731</v>
      </c>
      <c r="X118" t="str">
        <f t="shared" si="1"/>
        <v>Inversión</v>
      </c>
      <c r="Y118" t="s">
        <v>5732</v>
      </c>
    </row>
    <row r="119" spans="1:25" x14ac:dyDescent="0.25">
      <c r="A119" t="s">
        <v>6497</v>
      </c>
      <c r="B119" t="s">
        <v>6120</v>
      </c>
      <c r="C119" t="s">
        <v>6498</v>
      </c>
      <c r="D119" t="s">
        <v>5720</v>
      </c>
      <c r="E119" t="s">
        <v>5721</v>
      </c>
      <c r="F119" t="s">
        <v>6356</v>
      </c>
      <c r="G119" t="s">
        <v>5723</v>
      </c>
      <c r="H119" t="s">
        <v>550</v>
      </c>
      <c r="I119" t="s">
        <v>642</v>
      </c>
      <c r="J119" t="s">
        <v>266</v>
      </c>
      <c r="K119" t="s">
        <v>5724</v>
      </c>
      <c r="L119" t="s">
        <v>267</v>
      </c>
      <c r="M119">
        <v>21236040</v>
      </c>
      <c r="N119">
        <v>-3248</v>
      </c>
      <c r="O119">
        <v>21232792</v>
      </c>
      <c r="P119">
        <v>0</v>
      </c>
      <c r="Q119" t="s">
        <v>6499</v>
      </c>
      <c r="R119" t="s">
        <v>6213</v>
      </c>
      <c r="S119" t="s">
        <v>6500</v>
      </c>
      <c r="T119" t="s">
        <v>6501</v>
      </c>
      <c r="U119" t="s">
        <v>6502</v>
      </c>
      <c r="V119" t="s">
        <v>6503</v>
      </c>
      <c r="W119" t="s">
        <v>5731</v>
      </c>
      <c r="X119" t="str">
        <f t="shared" si="1"/>
        <v>Inversión</v>
      </c>
      <c r="Y119" t="s">
        <v>6362</v>
      </c>
    </row>
    <row r="120" spans="1:25" x14ac:dyDescent="0.25">
      <c r="A120" t="s">
        <v>6081</v>
      </c>
      <c r="B120" t="s">
        <v>6120</v>
      </c>
      <c r="C120" t="s">
        <v>6504</v>
      </c>
      <c r="D120" t="s">
        <v>5720</v>
      </c>
      <c r="E120" t="s">
        <v>5721</v>
      </c>
      <c r="F120" t="s">
        <v>6356</v>
      </c>
      <c r="G120" t="s">
        <v>5723</v>
      </c>
      <c r="H120" t="s">
        <v>550</v>
      </c>
      <c r="I120" t="s">
        <v>642</v>
      </c>
      <c r="J120" t="s">
        <v>266</v>
      </c>
      <c r="K120" t="s">
        <v>5724</v>
      </c>
      <c r="L120" t="s">
        <v>267</v>
      </c>
      <c r="M120">
        <v>13473194</v>
      </c>
      <c r="N120">
        <v>-362089</v>
      </c>
      <c r="O120">
        <v>13111105</v>
      </c>
      <c r="P120">
        <v>0</v>
      </c>
      <c r="Q120" t="s">
        <v>6505</v>
      </c>
      <c r="R120" t="s">
        <v>6155</v>
      </c>
      <c r="S120" t="s">
        <v>6506</v>
      </c>
      <c r="T120" t="s">
        <v>6507</v>
      </c>
      <c r="U120" t="s">
        <v>6508</v>
      </c>
      <c r="V120" t="s">
        <v>6509</v>
      </c>
      <c r="W120" t="s">
        <v>5731</v>
      </c>
      <c r="X120" t="str">
        <f t="shared" si="1"/>
        <v>Inversión</v>
      </c>
      <c r="Y120" t="s">
        <v>6362</v>
      </c>
    </row>
    <row r="121" spans="1:25" x14ac:dyDescent="0.25">
      <c r="A121" t="s">
        <v>6510</v>
      </c>
      <c r="B121" t="s">
        <v>6120</v>
      </c>
      <c r="C121" t="s">
        <v>6511</v>
      </c>
      <c r="D121" t="s">
        <v>5720</v>
      </c>
      <c r="E121" t="s">
        <v>5721</v>
      </c>
      <c r="F121" t="s">
        <v>6356</v>
      </c>
      <c r="G121" t="s">
        <v>5723</v>
      </c>
      <c r="H121" t="s">
        <v>550</v>
      </c>
      <c r="I121" t="s">
        <v>642</v>
      </c>
      <c r="J121" t="s">
        <v>266</v>
      </c>
      <c r="K121" t="s">
        <v>5724</v>
      </c>
      <c r="L121" t="s">
        <v>267</v>
      </c>
      <c r="M121">
        <v>18155711</v>
      </c>
      <c r="N121">
        <v>8891638</v>
      </c>
      <c r="O121">
        <v>27047349</v>
      </c>
      <c r="P121">
        <v>0</v>
      </c>
      <c r="Q121" t="s">
        <v>6512</v>
      </c>
      <c r="R121" t="s">
        <v>6227</v>
      </c>
      <c r="S121" t="s">
        <v>6513</v>
      </c>
      <c r="T121" t="s">
        <v>6514</v>
      </c>
      <c r="U121" t="s">
        <v>6515</v>
      </c>
      <c r="V121" t="s">
        <v>6516</v>
      </c>
      <c r="W121" t="s">
        <v>5731</v>
      </c>
      <c r="X121" t="str">
        <f t="shared" si="1"/>
        <v>Inversión</v>
      </c>
      <c r="Y121" t="s">
        <v>6362</v>
      </c>
    </row>
    <row r="122" spans="1:25" x14ac:dyDescent="0.25">
      <c r="A122" t="s">
        <v>6517</v>
      </c>
      <c r="B122" t="s">
        <v>6120</v>
      </c>
      <c r="C122" t="s">
        <v>6518</v>
      </c>
      <c r="D122" t="s">
        <v>5720</v>
      </c>
      <c r="E122" t="s">
        <v>5721</v>
      </c>
      <c r="F122" t="s">
        <v>6356</v>
      </c>
      <c r="G122" t="s">
        <v>5723</v>
      </c>
      <c r="H122" t="s">
        <v>550</v>
      </c>
      <c r="I122" t="s">
        <v>642</v>
      </c>
      <c r="J122" t="s">
        <v>266</v>
      </c>
      <c r="K122" t="s">
        <v>5724</v>
      </c>
      <c r="L122" t="s">
        <v>267</v>
      </c>
      <c r="M122">
        <v>13473194</v>
      </c>
      <c r="N122">
        <v>-92050</v>
      </c>
      <c r="O122">
        <v>13381144</v>
      </c>
      <c r="P122">
        <v>0</v>
      </c>
      <c r="Q122" t="s">
        <v>6519</v>
      </c>
      <c r="R122" t="s">
        <v>6235</v>
      </c>
      <c r="S122" t="s">
        <v>6520</v>
      </c>
      <c r="T122" t="s">
        <v>6521</v>
      </c>
      <c r="U122" t="s">
        <v>6522</v>
      </c>
      <c r="V122" t="s">
        <v>6523</v>
      </c>
      <c r="W122" t="s">
        <v>5731</v>
      </c>
      <c r="X122" t="str">
        <f t="shared" si="1"/>
        <v>Inversión</v>
      </c>
      <c r="Y122" t="s">
        <v>6362</v>
      </c>
    </row>
    <row r="123" spans="1:25" x14ac:dyDescent="0.25">
      <c r="A123" t="s">
        <v>6524</v>
      </c>
      <c r="B123" t="s">
        <v>6120</v>
      </c>
      <c r="C123" t="s">
        <v>6525</v>
      </c>
      <c r="D123" t="s">
        <v>5720</v>
      </c>
      <c r="E123" t="s">
        <v>5969</v>
      </c>
      <c r="F123" t="s">
        <v>6356</v>
      </c>
      <c r="G123" t="s">
        <v>5723</v>
      </c>
      <c r="H123" t="s">
        <v>550</v>
      </c>
      <c r="I123" t="s">
        <v>642</v>
      </c>
      <c r="J123" t="s">
        <v>266</v>
      </c>
      <c r="K123" t="s">
        <v>5724</v>
      </c>
      <c r="L123" t="s">
        <v>267</v>
      </c>
      <c r="M123">
        <v>42177135</v>
      </c>
      <c r="N123">
        <v>-42177135</v>
      </c>
      <c r="O123">
        <v>0</v>
      </c>
      <c r="P123">
        <v>0</v>
      </c>
      <c r="Q123" t="s">
        <v>6526</v>
      </c>
      <c r="R123" t="s">
        <v>6223</v>
      </c>
      <c r="S123" t="s">
        <v>5731</v>
      </c>
      <c r="T123" t="s">
        <v>5731</v>
      </c>
      <c r="U123" t="s">
        <v>5731</v>
      </c>
      <c r="V123" t="s">
        <v>5731</v>
      </c>
      <c r="W123" t="s">
        <v>5731</v>
      </c>
      <c r="X123" t="str">
        <f t="shared" si="1"/>
        <v>Inversión</v>
      </c>
      <c r="Y123" t="s">
        <v>6362</v>
      </c>
    </row>
    <row r="124" spans="1:25" x14ac:dyDescent="0.25">
      <c r="A124" t="s">
        <v>6089</v>
      </c>
      <c r="B124" t="s">
        <v>6120</v>
      </c>
      <c r="C124" t="s">
        <v>6527</v>
      </c>
      <c r="D124" t="s">
        <v>5720</v>
      </c>
      <c r="E124" t="s">
        <v>5721</v>
      </c>
      <c r="F124" t="s">
        <v>6356</v>
      </c>
      <c r="G124" t="s">
        <v>5723</v>
      </c>
      <c r="H124" t="s">
        <v>550</v>
      </c>
      <c r="I124" t="s">
        <v>642</v>
      </c>
      <c r="J124" t="s">
        <v>266</v>
      </c>
      <c r="K124" t="s">
        <v>5724</v>
      </c>
      <c r="L124" t="s">
        <v>267</v>
      </c>
      <c r="M124">
        <v>51312562</v>
      </c>
      <c r="N124">
        <v>-483210</v>
      </c>
      <c r="O124">
        <v>50829352</v>
      </c>
      <c r="P124">
        <v>0</v>
      </c>
      <c r="Q124" t="s">
        <v>6528</v>
      </c>
      <c r="R124" t="s">
        <v>6248</v>
      </c>
      <c r="S124" t="s">
        <v>6529</v>
      </c>
      <c r="T124" t="s">
        <v>6530</v>
      </c>
      <c r="U124" t="s">
        <v>6531</v>
      </c>
      <c r="V124" t="s">
        <v>6532</v>
      </c>
      <c r="W124" t="s">
        <v>5731</v>
      </c>
      <c r="X124" t="str">
        <f t="shared" si="1"/>
        <v>Inversión</v>
      </c>
      <c r="Y124" t="s">
        <v>6362</v>
      </c>
    </row>
    <row r="125" spans="1:25" x14ac:dyDescent="0.25">
      <c r="A125" t="s">
        <v>6533</v>
      </c>
      <c r="B125" t="s">
        <v>6120</v>
      </c>
      <c r="C125" t="s">
        <v>6534</v>
      </c>
      <c r="D125" t="s">
        <v>5720</v>
      </c>
      <c r="E125" t="s">
        <v>5721</v>
      </c>
      <c r="F125" t="s">
        <v>5733</v>
      </c>
      <c r="G125" t="s">
        <v>5723</v>
      </c>
      <c r="H125" t="s">
        <v>461</v>
      </c>
      <c r="I125" t="s">
        <v>644</v>
      </c>
      <c r="J125" t="s">
        <v>273</v>
      </c>
      <c r="K125" t="s">
        <v>5734</v>
      </c>
      <c r="L125" t="s">
        <v>267</v>
      </c>
      <c r="M125">
        <v>51820134</v>
      </c>
      <c r="N125">
        <v>0</v>
      </c>
      <c r="O125">
        <v>51820134</v>
      </c>
      <c r="P125">
        <v>0</v>
      </c>
      <c r="Q125" t="s">
        <v>6535</v>
      </c>
      <c r="R125" t="s">
        <v>6536</v>
      </c>
      <c r="S125" t="s">
        <v>6537</v>
      </c>
      <c r="T125" t="s">
        <v>6538</v>
      </c>
      <c r="U125" t="s">
        <v>6539</v>
      </c>
      <c r="V125" t="s">
        <v>6540</v>
      </c>
      <c r="W125" t="s">
        <v>5731</v>
      </c>
      <c r="X125" t="str">
        <f t="shared" si="1"/>
        <v>Inversión</v>
      </c>
      <c r="Y125" t="s">
        <v>5735</v>
      </c>
    </row>
    <row r="126" spans="1:25" x14ac:dyDescent="0.25">
      <c r="A126" t="s">
        <v>6114</v>
      </c>
      <c r="B126" t="s">
        <v>6120</v>
      </c>
      <c r="C126" t="s">
        <v>6541</v>
      </c>
      <c r="D126" t="s">
        <v>5720</v>
      </c>
      <c r="E126" t="s">
        <v>5721</v>
      </c>
      <c r="F126" t="s">
        <v>5733</v>
      </c>
      <c r="G126" t="s">
        <v>5723</v>
      </c>
      <c r="H126" t="s">
        <v>461</v>
      </c>
      <c r="I126" t="s">
        <v>644</v>
      </c>
      <c r="J126" t="s">
        <v>273</v>
      </c>
      <c r="K126" t="s">
        <v>5734</v>
      </c>
      <c r="L126" t="s">
        <v>267</v>
      </c>
      <c r="M126">
        <v>46898746</v>
      </c>
      <c r="N126">
        <v>0</v>
      </c>
      <c r="O126">
        <v>46898746</v>
      </c>
      <c r="P126">
        <v>4</v>
      </c>
      <c r="Q126" t="s">
        <v>6542</v>
      </c>
      <c r="R126" t="s">
        <v>6543</v>
      </c>
      <c r="S126" t="s">
        <v>6544</v>
      </c>
      <c r="T126" t="s">
        <v>6545</v>
      </c>
      <c r="U126" t="s">
        <v>6546</v>
      </c>
      <c r="V126" t="s">
        <v>6547</v>
      </c>
      <c r="W126" t="s">
        <v>5731</v>
      </c>
      <c r="X126" t="str">
        <f t="shared" si="1"/>
        <v>Inversión</v>
      </c>
      <c r="Y126" t="s">
        <v>5735</v>
      </c>
    </row>
    <row r="127" spans="1:25" x14ac:dyDescent="0.25">
      <c r="A127" t="s">
        <v>6097</v>
      </c>
      <c r="B127" t="s">
        <v>6120</v>
      </c>
      <c r="C127" t="s">
        <v>6548</v>
      </c>
      <c r="D127" t="s">
        <v>5720</v>
      </c>
      <c r="E127" t="s">
        <v>5969</v>
      </c>
      <c r="F127" t="s">
        <v>5733</v>
      </c>
      <c r="G127" t="s">
        <v>5723</v>
      </c>
      <c r="H127" t="s">
        <v>461</v>
      </c>
      <c r="I127" t="s">
        <v>644</v>
      </c>
      <c r="J127" t="s">
        <v>273</v>
      </c>
      <c r="K127" t="s">
        <v>5734</v>
      </c>
      <c r="L127" t="s">
        <v>267</v>
      </c>
      <c r="M127">
        <v>121248517</v>
      </c>
      <c r="N127">
        <v>-121248517</v>
      </c>
      <c r="O127">
        <v>0</v>
      </c>
      <c r="P127">
        <v>0</v>
      </c>
      <c r="Q127" t="s">
        <v>6542</v>
      </c>
      <c r="R127" t="s">
        <v>6549</v>
      </c>
      <c r="S127" t="s">
        <v>5731</v>
      </c>
      <c r="T127" t="s">
        <v>5731</v>
      </c>
      <c r="U127" t="s">
        <v>5731</v>
      </c>
      <c r="V127" t="s">
        <v>5731</v>
      </c>
      <c r="W127" t="s">
        <v>5731</v>
      </c>
      <c r="X127" t="str">
        <f t="shared" si="1"/>
        <v>Inversión</v>
      </c>
      <c r="Y127" t="s">
        <v>5735</v>
      </c>
    </row>
    <row r="128" spans="1:25" x14ac:dyDescent="0.25">
      <c r="A128" t="s">
        <v>6550</v>
      </c>
      <c r="B128" t="s">
        <v>6120</v>
      </c>
      <c r="C128" t="s">
        <v>6551</v>
      </c>
      <c r="D128" t="s">
        <v>5720</v>
      </c>
      <c r="E128" t="s">
        <v>5969</v>
      </c>
      <c r="F128" t="s">
        <v>5733</v>
      </c>
      <c r="G128" t="s">
        <v>5723</v>
      </c>
      <c r="H128" t="s">
        <v>461</v>
      </c>
      <c r="I128" t="s">
        <v>644</v>
      </c>
      <c r="J128" t="s">
        <v>273</v>
      </c>
      <c r="K128" t="s">
        <v>5734</v>
      </c>
      <c r="L128" t="s">
        <v>267</v>
      </c>
      <c r="M128">
        <v>95787741</v>
      </c>
      <c r="N128">
        <v>-95787741</v>
      </c>
      <c r="O128">
        <v>0</v>
      </c>
      <c r="P128">
        <v>0</v>
      </c>
      <c r="Q128" t="s">
        <v>6542</v>
      </c>
      <c r="R128" t="s">
        <v>6552</v>
      </c>
      <c r="S128" t="s">
        <v>5731</v>
      </c>
      <c r="T128" t="s">
        <v>5731</v>
      </c>
      <c r="U128" t="s">
        <v>5731</v>
      </c>
      <c r="V128" t="s">
        <v>5731</v>
      </c>
      <c r="W128" t="s">
        <v>5731</v>
      </c>
      <c r="X128" t="str">
        <f t="shared" si="1"/>
        <v>Inversión</v>
      </c>
      <c r="Y128" t="s">
        <v>5735</v>
      </c>
    </row>
    <row r="129" spans="1:25" x14ac:dyDescent="0.25">
      <c r="A129" t="s">
        <v>6553</v>
      </c>
      <c r="B129" t="s">
        <v>6120</v>
      </c>
      <c r="C129" t="s">
        <v>6554</v>
      </c>
      <c r="D129" t="s">
        <v>5720</v>
      </c>
      <c r="E129" t="s">
        <v>5969</v>
      </c>
      <c r="F129" t="s">
        <v>5733</v>
      </c>
      <c r="G129" t="s">
        <v>5723</v>
      </c>
      <c r="H129" t="s">
        <v>461</v>
      </c>
      <c r="I129" t="s">
        <v>644</v>
      </c>
      <c r="J129" t="s">
        <v>273</v>
      </c>
      <c r="K129" t="s">
        <v>5734</v>
      </c>
      <c r="L129" t="s">
        <v>267</v>
      </c>
      <c r="M129">
        <v>73517991</v>
      </c>
      <c r="N129">
        <v>-73517991</v>
      </c>
      <c r="O129">
        <v>0</v>
      </c>
      <c r="P129">
        <v>0</v>
      </c>
      <c r="Q129" t="s">
        <v>6542</v>
      </c>
      <c r="R129" t="s">
        <v>6555</v>
      </c>
      <c r="S129" t="s">
        <v>5731</v>
      </c>
      <c r="T129" t="s">
        <v>5731</v>
      </c>
      <c r="U129" t="s">
        <v>5731</v>
      </c>
      <c r="V129" t="s">
        <v>5731</v>
      </c>
      <c r="W129" t="s">
        <v>5731</v>
      </c>
      <c r="X129" t="str">
        <f t="shared" si="1"/>
        <v>Inversión</v>
      </c>
      <c r="Y129" t="s">
        <v>5735</v>
      </c>
    </row>
    <row r="130" spans="1:25" x14ac:dyDescent="0.25">
      <c r="A130" t="s">
        <v>6556</v>
      </c>
      <c r="B130" t="s">
        <v>6120</v>
      </c>
      <c r="C130" t="s">
        <v>6557</v>
      </c>
      <c r="D130" t="s">
        <v>5720</v>
      </c>
      <c r="E130" t="s">
        <v>5721</v>
      </c>
      <c r="F130" t="s">
        <v>5733</v>
      </c>
      <c r="G130" t="s">
        <v>5723</v>
      </c>
      <c r="H130" t="s">
        <v>461</v>
      </c>
      <c r="I130" t="s">
        <v>644</v>
      </c>
      <c r="J130" t="s">
        <v>273</v>
      </c>
      <c r="K130" t="s">
        <v>5734</v>
      </c>
      <c r="L130" t="s">
        <v>267</v>
      </c>
      <c r="M130">
        <v>83053047</v>
      </c>
      <c r="N130">
        <v>0</v>
      </c>
      <c r="O130">
        <v>83053047</v>
      </c>
      <c r="P130">
        <v>3775139</v>
      </c>
      <c r="Q130" t="s">
        <v>6558</v>
      </c>
      <c r="R130" t="s">
        <v>6559</v>
      </c>
      <c r="S130" t="s">
        <v>6560</v>
      </c>
      <c r="T130" t="s">
        <v>6561</v>
      </c>
      <c r="U130" t="s">
        <v>6562</v>
      </c>
      <c r="V130" t="s">
        <v>6563</v>
      </c>
      <c r="W130" t="s">
        <v>5731</v>
      </c>
      <c r="X130" t="str">
        <f t="shared" ref="X130:X193" si="2">IF(LEFT(H130,1)="C","Inversión","Funcionamiento")</f>
        <v>Inversión</v>
      </c>
      <c r="Y130" t="s">
        <v>5735</v>
      </c>
    </row>
    <row r="131" spans="1:25" x14ac:dyDescent="0.25">
      <c r="A131" t="s">
        <v>6564</v>
      </c>
      <c r="B131" t="s">
        <v>6120</v>
      </c>
      <c r="C131" t="s">
        <v>6565</v>
      </c>
      <c r="D131" t="s">
        <v>5720</v>
      </c>
      <c r="E131" t="s">
        <v>5969</v>
      </c>
      <c r="F131" t="s">
        <v>5733</v>
      </c>
      <c r="G131" t="s">
        <v>5723</v>
      </c>
      <c r="H131" t="s">
        <v>461</v>
      </c>
      <c r="I131" t="s">
        <v>644</v>
      </c>
      <c r="J131" t="s">
        <v>266</v>
      </c>
      <c r="K131" t="s">
        <v>5724</v>
      </c>
      <c r="L131" t="s">
        <v>267</v>
      </c>
      <c r="M131">
        <v>108518129</v>
      </c>
      <c r="N131">
        <v>-108518129</v>
      </c>
      <c r="O131">
        <v>0</v>
      </c>
      <c r="P131">
        <v>0</v>
      </c>
      <c r="Q131" t="s">
        <v>6566</v>
      </c>
      <c r="R131" t="s">
        <v>6567</v>
      </c>
      <c r="S131" t="s">
        <v>5731</v>
      </c>
      <c r="T131" t="s">
        <v>5731</v>
      </c>
      <c r="U131" t="s">
        <v>5731</v>
      </c>
      <c r="V131" t="s">
        <v>5731</v>
      </c>
      <c r="W131" t="s">
        <v>5731</v>
      </c>
      <c r="X131" t="str">
        <f t="shared" si="2"/>
        <v>Inversión</v>
      </c>
      <c r="Y131" t="s">
        <v>5735</v>
      </c>
    </row>
    <row r="132" spans="1:25" x14ac:dyDescent="0.25">
      <c r="A132" t="s">
        <v>6568</v>
      </c>
      <c r="B132" t="s">
        <v>6120</v>
      </c>
      <c r="C132" t="s">
        <v>6569</v>
      </c>
      <c r="D132" t="s">
        <v>5720</v>
      </c>
      <c r="E132" t="s">
        <v>5721</v>
      </c>
      <c r="F132" t="s">
        <v>5733</v>
      </c>
      <c r="G132" t="s">
        <v>5723</v>
      </c>
      <c r="H132" t="s">
        <v>461</v>
      </c>
      <c r="I132" t="s">
        <v>644</v>
      </c>
      <c r="J132" t="s">
        <v>273</v>
      </c>
      <c r="K132" t="s">
        <v>5734</v>
      </c>
      <c r="L132" t="s">
        <v>267</v>
      </c>
      <c r="M132">
        <v>83053047</v>
      </c>
      <c r="N132">
        <v>0</v>
      </c>
      <c r="O132">
        <v>83053047</v>
      </c>
      <c r="P132">
        <v>3775139</v>
      </c>
      <c r="Q132" t="s">
        <v>6570</v>
      </c>
      <c r="R132" t="s">
        <v>6571</v>
      </c>
      <c r="S132" t="s">
        <v>6572</v>
      </c>
      <c r="T132" t="s">
        <v>6573</v>
      </c>
      <c r="U132" t="s">
        <v>6574</v>
      </c>
      <c r="V132" t="s">
        <v>6575</v>
      </c>
      <c r="W132" t="s">
        <v>5731</v>
      </c>
      <c r="X132" t="str">
        <f t="shared" si="2"/>
        <v>Inversión</v>
      </c>
      <c r="Y132" t="s">
        <v>5735</v>
      </c>
    </row>
    <row r="133" spans="1:25" x14ac:dyDescent="0.25">
      <c r="A133" t="s">
        <v>6576</v>
      </c>
      <c r="B133" t="s">
        <v>6120</v>
      </c>
      <c r="C133" t="s">
        <v>6577</v>
      </c>
      <c r="D133" t="s">
        <v>5720</v>
      </c>
      <c r="E133" t="s">
        <v>5721</v>
      </c>
      <c r="F133" t="s">
        <v>5733</v>
      </c>
      <c r="G133" t="s">
        <v>5723</v>
      </c>
      <c r="H133" t="s">
        <v>461</v>
      </c>
      <c r="I133" t="s">
        <v>644</v>
      </c>
      <c r="J133" t="s">
        <v>273</v>
      </c>
      <c r="K133" t="s">
        <v>5734</v>
      </c>
      <c r="L133" t="s">
        <v>267</v>
      </c>
      <c r="M133">
        <v>109481337</v>
      </c>
      <c r="N133">
        <v>0</v>
      </c>
      <c r="O133">
        <v>109481337</v>
      </c>
      <c r="P133">
        <v>4976433</v>
      </c>
      <c r="Q133" t="s">
        <v>6578</v>
      </c>
      <c r="R133" t="s">
        <v>6579</v>
      </c>
      <c r="S133" t="s">
        <v>6580</v>
      </c>
      <c r="T133" t="s">
        <v>6581</v>
      </c>
      <c r="U133" t="s">
        <v>6582</v>
      </c>
      <c r="V133" t="s">
        <v>6583</v>
      </c>
      <c r="W133" t="s">
        <v>5731</v>
      </c>
      <c r="X133" t="str">
        <f t="shared" si="2"/>
        <v>Inversión</v>
      </c>
      <c r="Y133" t="s">
        <v>5735</v>
      </c>
    </row>
    <row r="134" spans="1:25" x14ac:dyDescent="0.25">
      <c r="A134" t="s">
        <v>6584</v>
      </c>
      <c r="B134" t="s">
        <v>6120</v>
      </c>
      <c r="C134" t="s">
        <v>6585</v>
      </c>
      <c r="D134" t="s">
        <v>5720</v>
      </c>
      <c r="E134" t="s">
        <v>5969</v>
      </c>
      <c r="F134" t="s">
        <v>5733</v>
      </c>
      <c r="G134" t="s">
        <v>5723</v>
      </c>
      <c r="H134" t="s">
        <v>461</v>
      </c>
      <c r="I134" t="s">
        <v>644</v>
      </c>
      <c r="J134" t="s">
        <v>273</v>
      </c>
      <c r="K134" t="s">
        <v>5734</v>
      </c>
      <c r="L134" t="s">
        <v>267</v>
      </c>
      <c r="M134">
        <v>58772631</v>
      </c>
      <c r="N134">
        <v>-58772631</v>
      </c>
      <c r="O134">
        <v>0</v>
      </c>
      <c r="P134">
        <v>0</v>
      </c>
      <c r="Q134" t="s">
        <v>6586</v>
      </c>
      <c r="R134" t="s">
        <v>6587</v>
      </c>
      <c r="S134" t="s">
        <v>5731</v>
      </c>
      <c r="T134" t="s">
        <v>5731</v>
      </c>
      <c r="U134" t="s">
        <v>5731</v>
      </c>
      <c r="V134" t="s">
        <v>5731</v>
      </c>
      <c r="W134" t="s">
        <v>5731</v>
      </c>
      <c r="X134" t="str">
        <f t="shared" si="2"/>
        <v>Inversión</v>
      </c>
      <c r="Y134" t="s">
        <v>5735</v>
      </c>
    </row>
    <row r="135" spans="1:25" x14ac:dyDescent="0.25">
      <c r="A135" t="s">
        <v>6588</v>
      </c>
      <c r="B135" t="s">
        <v>6120</v>
      </c>
      <c r="C135" t="s">
        <v>6589</v>
      </c>
      <c r="D135" t="s">
        <v>5720</v>
      </c>
      <c r="E135" t="s">
        <v>5721</v>
      </c>
      <c r="F135" t="s">
        <v>5733</v>
      </c>
      <c r="G135" t="s">
        <v>5723</v>
      </c>
      <c r="H135" t="s">
        <v>461</v>
      </c>
      <c r="I135" t="s">
        <v>644</v>
      </c>
      <c r="J135" t="s">
        <v>273</v>
      </c>
      <c r="K135" t="s">
        <v>5734</v>
      </c>
      <c r="L135" t="s">
        <v>267</v>
      </c>
      <c r="M135">
        <v>95787741</v>
      </c>
      <c r="N135">
        <v>0</v>
      </c>
      <c r="O135">
        <v>95787741</v>
      </c>
      <c r="P135">
        <v>10159310</v>
      </c>
      <c r="Q135" t="s">
        <v>6590</v>
      </c>
      <c r="R135" t="s">
        <v>6591</v>
      </c>
      <c r="S135" t="s">
        <v>6592</v>
      </c>
      <c r="T135" t="s">
        <v>6593</v>
      </c>
      <c r="U135" t="s">
        <v>6594</v>
      </c>
      <c r="V135" t="s">
        <v>6595</v>
      </c>
      <c r="W135" t="s">
        <v>5731</v>
      </c>
      <c r="X135" t="str">
        <f t="shared" si="2"/>
        <v>Inversión</v>
      </c>
      <c r="Y135" t="s">
        <v>5735</v>
      </c>
    </row>
    <row r="136" spans="1:25" x14ac:dyDescent="0.25">
      <c r="A136" t="s">
        <v>6596</v>
      </c>
      <c r="B136" t="s">
        <v>6120</v>
      </c>
      <c r="C136" t="s">
        <v>6597</v>
      </c>
      <c r="D136" t="s">
        <v>5720</v>
      </c>
      <c r="E136" t="s">
        <v>5721</v>
      </c>
      <c r="F136" t="s">
        <v>5733</v>
      </c>
      <c r="G136" t="s">
        <v>5723</v>
      </c>
      <c r="H136" t="s">
        <v>461</v>
      </c>
      <c r="I136" t="s">
        <v>644</v>
      </c>
      <c r="J136" t="s">
        <v>273</v>
      </c>
      <c r="K136" t="s">
        <v>5734</v>
      </c>
      <c r="L136" t="s">
        <v>267</v>
      </c>
      <c r="M136">
        <v>95787741</v>
      </c>
      <c r="N136">
        <v>0</v>
      </c>
      <c r="O136">
        <v>95787741</v>
      </c>
      <c r="P136">
        <v>11610640</v>
      </c>
      <c r="Q136" t="s">
        <v>6586</v>
      </c>
      <c r="R136" t="s">
        <v>6520</v>
      </c>
      <c r="S136" t="s">
        <v>6598</v>
      </c>
      <c r="T136" t="s">
        <v>6599</v>
      </c>
      <c r="U136" t="s">
        <v>6600</v>
      </c>
      <c r="V136" t="s">
        <v>6601</v>
      </c>
      <c r="W136" t="s">
        <v>5731</v>
      </c>
      <c r="X136" t="str">
        <f t="shared" si="2"/>
        <v>Inversión</v>
      </c>
      <c r="Y136" t="s">
        <v>5735</v>
      </c>
    </row>
    <row r="137" spans="1:25" x14ac:dyDescent="0.25">
      <c r="A137" t="s">
        <v>6602</v>
      </c>
      <c r="B137" t="s">
        <v>6120</v>
      </c>
      <c r="C137" t="s">
        <v>6603</v>
      </c>
      <c r="D137" t="s">
        <v>5720</v>
      </c>
      <c r="E137" t="s">
        <v>5721</v>
      </c>
      <c r="F137" t="s">
        <v>5733</v>
      </c>
      <c r="G137" t="s">
        <v>5723</v>
      </c>
      <c r="H137" t="s">
        <v>461</v>
      </c>
      <c r="I137" t="s">
        <v>644</v>
      </c>
      <c r="J137" t="s">
        <v>273</v>
      </c>
      <c r="K137" t="s">
        <v>5734</v>
      </c>
      <c r="L137" t="s">
        <v>267</v>
      </c>
      <c r="M137">
        <v>63335720</v>
      </c>
      <c r="N137">
        <v>0</v>
      </c>
      <c r="O137">
        <v>63335720</v>
      </c>
      <c r="P137">
        <v>3262746</v>
      </c>
      <c r="Q137" t="s">
        <v>6604</v>
      </c>
      <c r="R137" t="s">
        <v>6605</v>
      </c>
      <c r="S137" t="s">
        <v>6606</v>
      </c>
      <c r="T137" t="s">
        <v>6607</v>
      </c>
      <c r="U137" t="s">
        <v>6608</v>
      </c>
      <c r="V137" t="s">
        <v>6609</v>
      </c>
      <c r="W137" t="s">
        <v>5731</v>
      </c>
      <c r="X137" t="str">
        <f t="shared" si="2"/>
        <v>Inversión</v>
      </c>
      <c r="Y137" t="s">
        <v>5735</v>
      </c>
    </row>
    <row r="138" spans="1:25" x14ac:dyDescent="0.25">
      <c r="A138" t="s">
        <v>6610</v>
      </c>
      <c r="B138" t="s">
        <v>6120</v>
      </c>
      <c r="C138" t="s">
        <v>6611</v>
      </c>
      <c r="D138" t="s">
        <v>5720</v>
      </c>
      <c r="E138" t="s">
        <v>5721</v>
      </c>
      <c r="F138" t="s">
        <v>5733</v>
      </c>
      <c r="G138" t="s">
        <v>5723</v>
      </c>
      <c r="H138" t="s">
        <v>461</v>
      </c>
      <c r="I138" t="s">
        <v>644</v>
      </c>
      <c r="J138" t="s">
        <v>273</v>
      </c>
      <c r="K138" t="s">
        <v>5734</v>
      </c>
      <c r="L138" t="s">
        <v>267</v>
      </c>
      <c r="M138">
        <v>108518129</v>
      </c>
      <c r="N138">
        <v>0</v>
      </c>
      <c r="O138">
        <v>108518129</v>
      </c>
      <c r="P138">
        <v>8221075</v>
      </c>
      <c r="Q138" t="s">
        <v>6612</v>
      </c>
      <c r="R138" t="s">
        <v>6567</v>
      </c>
      <c r="S138" t="s">
        <v>6613</v>
      </c>
      <c r="T138" t="s">
        <v>6614</v>
      </c>
      <c r="U138" t="s">
        <v>6615</v>
      </c>
      <c r="V138" t="s">
        <v>6616</v>
      </c>
      <c r="W138" t="s">
        <v>5731</v>
      </c>
      <c r="X138" t="str">
        <f t="shared" si="2"/>
        <v>Inversión</v>
      </c>
      <c r="Y138" t="s">
        <v>5735</v>
      </c>
    </row>
    <row r="139" spans="1:25" x14ac:dyDescent="0.25">
      <c r="A139" t="s">
        <v>6617</v>
      </c>
      <c r="B139" t="s">
        <v>6120</v>
      </c>
      <c r="C139" t="s">
        <v>6618</v>
      </c>
      <c r="D139" t="s">
        <v>5720</v>
      </c>
      <c r="E139" t="s">
        <v>5721</v>
      </c>
      <c r="F139" t="s">
        <v>6619</v>
      </c>
      <c r="G139" t="s">
        <v>5723</v>
      </c>
      <c r="H139" t="s">
        <v>455</v>
      </c>
      <c r="I139" t="s">
        <v>643</v>
      </c>
      <c r="J139" t="s">
        <v>266</v>
      </c>
      <c r="K139" t="s">
        <v>5724</v>
      </c>
      <c r="L139" t="s">
        <v>267</v>
      </c>
      <c r="M139">
        <v>64719159</v>
      </c>
      <c r="N139">
        <v>-3922373</v>
      </c>
      <c r="O139">
        <v>60796786</v>
      </c>
      <c r="P139">
        <v>0</v>
      </c>
      <c r="Q139" t="s">
        <v>6620</v>
      </c>
      <c r="R139" t="s">
        <v>6621</v>
      </c>
      <c r="S139" t="s">
        <v>6622</v>
      </c>
      <c r="T139" t="s">
        <v>6623</v>
      </c>
      <c r="U139" t="s">
        <v>6624</v>
      </c>
      <c r="V139" t="s">
        <v>6625</v>
      </c>
      <c r="W139" t="s">
        <v>5731</v>
      </c>
      <c r="X139" t="str">
        <f t="shared" si="2"/>
        <v>Inversión</v>
      </c>
      <c r="Y139" t="s">
        <v>6626</v>
      </c>
    </row>
    <row r="140" spans="1:25" x14ac:dyDescent="0.25">
      <c r="A140" t="s">
        <v>6627</v>
      </c>
      <c r="B140" t="s">
        <v>6120</v>
      </c>
      <c r="C140" t="s">
        <v>6628</v>
      </c>
      <c r="D140" t="s">
        <v>5720</v>
      </c>
      <c r="E140" t="s">
        <v>5721</v>
      </c>
      <c r="F140" t="s">
        <v>6619</v>
      </c>
      <c r="G140" t="s">
        <v>5723</v>
      </c>
      <c r="H140" t="s">
        <v>455</v>
      </c>
      <c r="I140" t="s">
        <v>643</v>
      </c>
      <c r="J140" t="s">
        <v>266</v>
      </c>
      <c r="K140" t="s">
        <v>5724</v>
      </c>
      <c r="L140" t="s">
        <v>267</v>
      </c>
      <c r="M140">
        <v>83053047</v>
      </c>
      <c r="N140">
        <v>0</v>
      </c>
      <c r="O140">
        <v>83053047</v>
      </c>
      <c r="P140">
        <v>0</v>
      </c>
      <c r="Q140" t="s">
        <v>6629</v>
      </c>
      <c r="R140" t="s">
        <v>6630</v>
      </c>
      <c r="S140" t="s">
        <v>6097</v>
      </c>
      <c r="T140" t="s">
        <v>6631</v>
      </c>
      <c r="U140" t="s">
        <v>6632</v>
      </c>
      <c r="V140" t="s">
        <v>6633</v>
      </c>
      <c r="W140" t="s">
        <v>5731</v>
      </c>
      <c r="X140" t="str">
        <f t="shared" si="2"/>
        <v>Inversión</v>
      </c>
      <c r="Y140" t="s">
        <v>6626</v>
      </c>
    </row>
    <row r="141" spans="1:25" x14ac:dyDescent="0.25">
      <c r="A141" t="s">
        <v>6634</v>
      </c>
      <c r="B141" t="s">
        <v>6635</v>
      </c>
      <c r="C141" t="s">
        <v>6636</v>
      </c>
      <c r="D141" t="s">
        <v>5720</v>
      </c>
      <c r="E141" t="s">
        <v>5721</v>
      </c>
      <c r="F141" t="s">
        <v>6619</v>
      </c>
      <c r="G141" t="s">
        <v>5723</v>
      </c>
      <c r="H141" t="s">
        <v>455</v>
      </c>
      <c r="I141" t="s">
        <v>643</v>
      </c>
      <c r="J141" t="s">
        <v>273</v>
      </c>
      <c r="K141" t="s">
        <v>5734</v>
      </c>
      <c r="L141" t="s">
        <v>267</v>
      </c>
      <c r="M141">
        <v>300000000</v>
      </c>
      <c r="N141">
        <v>0</v>
      </c>
      <c r="O141">
        <v>300000000</v>
      </c>
      <c r="P141">
        <v>0</v>
      </c>
      <c r="Q141" t="s">
        <v>6637</v>
      </c>
      <c r="R141" t="s">
        <v>6638</v>
      </c>
      <c r="S141" t="s">
        <v>6639</v>
      </c>
      <c r="T141" t="s">
        <v>6640</v>
      </c>
      <c r="U141" t="s">
        <v>6641</v>
      </c>
      <c r="V141" t="s">
        <v>6642</v>
      </c>
      <c r="W141" t="s">
        <v>5731</v>
      </c>
      <c r="X141" t="str">
        <f t="shared" si="2"/>
        <v>Inversión</v>
      </c>
      <c r="Y141" t="s">
        <v>6626</v>
      </c>
    </row>
    <row r="142" spans="1:25" x14ac:dyDescent="0.25">
      <c r="A142" t="s">
        <v>6643</v>
      </c>
      <c r="B142" t="s">
        <v>6635</v>
      </c>
      <c r="C142" t="s">
        <v>6644</v>
      </c>
      <c r="D142" t="s">
        <v>5720</v>
      </c>
      <c r="E142" t="s">
        <v>5721</v>
      </c>
      <c r="F142" t="s">
        <v>6619</v>
      </c>
      <c r="G142" t="s">
        <v>5723</v>
      </c>
      <c r="H142" t="s">
        <v>455</v>
      </c>
      <c r="I142" t="s">
        <v>643</v>
      </c>
      <c r="J142" t="s">
        <v>273</v>
      </c>
      <c r="K142" t="s">
        <v>5734</v>
      </c>
      <c r="L142" t="s">
        <v>267</v>
      </c>
      <c r="M142">
        <v>253342879</v>
      </c>
      <c r="N142">
        <v>-767691</v>
      </c>
      <c r="O142">
        <v>252575188</v>
      </c>
      <c r="P142">
        <v>0</v>
      </c>
      <c r="Q142" t="s">
        <v>6645</v>
      </c>
      <c r="R142" t="s">
        <v>6646</v>
      </c>
      <c r="S142" t="s">
        <v>6647</v>
      </c>
      <c r="T142" t="s">
        <v>6648</v>
      </c>
      <c r="U142" t="s">
        <v>6649</v>
      </c>
      <c r="V142" t="s">
        <v>6650</v>
      </c>
      <c r="W142" t="s">
        <v>5731</v>
      </c>
      <c r="X142" t="str">
        <f t="shared" si="2"/>
        <v>Inversión</v>
      </c>
      <c r="Y142" t="s">
        <v>6626</v>
      </c>
    </row>
    <row r="143" spans="1:25" x14ac:dyDescent="0.25">
      <c r="A143" t="s">
        <v>6651</v>
      </c>
      <c r="B143" t="s">
        <v>6635</v>
      </c>
      <c r="C143" t="s">
        <v>6652</v>
      </c>
      <c r="D143" t="s">
        <v>5720</v>
      </c>
      <c r="E143" t="s">
        <v>5721</v>
      </c>
      <c r="F143" t="s">
        <v>6619</v>
      </c>
      <c r="G143" t="s">
        <v>5723</v>
      </c>
      <c r="H143" t="s">
        <v>455</v>
      </c>
      <c r="I143" t="s">
        <v>643</v>
      </c>
      <c r="J143" t="s">
        <v>273</v>
      </c>
      <c r="K143" t="s">
        <v>5734</v>
      </c>
      <c r="L143" t="s">
        <v>267</v>
      </c>
      <c r="M143">
        <v>415265234</v>
      </c>
      <c r="N143">
        <v>-12583794</v>
      </c>
      <c r="O143">
        <v>402681440</v>
      </c>
      <c r="P143">
        <v>0</v>
      </c>
      <c r="Q143" t="s">
        <v>6653</v>
      </c>
      <c r="R143" t="s">
        <v>6654</v>
      </c>
      <c r="S143" t="s">
        <v>6655</v>
      </c>
      <c r="T143" t="s">
        <v>6656</v>
      </c>
      <c r="U143" t="s">
        <v>6657</v>
      </c>
      <c r="V143" t="s">
        <v>6658</v>
      </c>
      <c r="W143" t="s">
        <v>5731</v>
      </c>
      <c r="X143" t="str">
        <f t="shared" si="2"/>
        <v>Inversión</v>
      </c>
      <c r="Y143" t="s">
        <v>6626</v>
      </c>
    </row>
    <row r="144" spans="1:25" x14ac:dyDescent="0.25">
      <c r="A144" t="s">
        <v>6529</v>
      </c>
      <c r="B144" t="s">
        <v>6635</v>
      </c>
      <c r="C144" t="s">
        <v>6659</v>
      </c>
      <c r="D144" t="s">
        <v>5720</v>
      </c>
      <c r="E144" t="s">
        <v>5721</v>
      </c>
      <c r="F144" t="s">
        <v>6619</v>
      </c>
      <c r="G144" t="s">
        <v>5723</v>
      </c>
      <c r="H144" t="s">
        <v>455</v>
      </c>
      <c r="I144" t="s">
        <v>643</v>
      </c>
      <c r="J144" t="s">
        <v>273</v>
      </c>
      <c r="K144" t="s">
        <v>5734</v>
      </c>
      <c r="L144" t="s">
        <v>267</v>
      </c>
      <c r="M144">
        <v>129438317</v>
      </c>
      <c r="N144">
        <v>-9413693</v>
      </c>
      <c r="O144">
        <v>120024624</v>
      </c>
      <c r="P144">
        <v>0</v>
      </c>
      <c r="Q144" t="s">
        <v>6660</v>
      </c>
      <c r="R144" t="s">
        <v>5917</v>
      </c>
      <c r="S144" t="s">
        <v>6661</v>
      </c>
      <c r="T144" t="s">
        <v>6662</v>
      </c>
      <c r="U144" t="s">
        <v>6663</v>
      </c>
      <c r="V144" t="s">
        <v>6664</v>
      </c>
      <c r="W144" t="s">
        <v>5731</v>
      </c>
      <c r="X144" t="str">
        <f t="shared" si="2"/>
        <v>Inversión</v>
      </c>
      <c r="Y144" t="s">
        <v>6626</v>
      </c>
    </row>
    <row r="145" spans="1:25" x14ac:dyDescent="0.25">
      <c r="A145" t="s">
        <v>6500</v>
      </c>
      <c r="B145" t="s">
        <v>6635</v>
      </c>
      <c r="C145" t="s">
        <v>6665</v>
      </c>
      <c r="D145" t="s">
        <v>5720</v>
      </c>
      <c r="E145" t="s">
        <v>5721</v>
      </c>
      <c r="F145" t="s">
        <v>6619</v>
      </c>
      <c r="G145" t="s">
        <v>5723</v>
      </c>
      <c r="H145" t="s">
        <v>455</v>
      </c>
      <c r="I145" t="s">
        <v>643</v>
      </c>
      <c r="J145" t="s">
        <v>273</v>
      </c>
      <c r="K145" t="s">
        <v>5734</v>
      </c>
      <c r="L145" t="s">
        <v>267</v>
      </c>
      <c r="M145">
        <v>29386316</v>
      </c>
      <c r="N145">
        <v>-3116733</v>
      </c>
      <c r="O145">
        <v>26269583</v>
      </c>
      <c r="P145">
        <v>0</v>
      </c>
      <c r="Q145" t="s">
        <v>6666</v>
      </c>
      <c r="R145" t="s">
        <v>6667</v>
      </c>
      <c r="S145" t="s">
        <v>6668</v>
      </c>
      <c r="T145" t="s">
        <v>6669</v>
      </c>
      <c r="U145" t="s">
        <v>6670</v>
      </c>
      <c r="V145" t="s">
        <v>6671</v>
      </c>
      <c r="W145" t="s">
        <v>5731</v>
      </c>
      <c r="X145" t="str">
        <f t="shared" si="2"/>
        <v>Inversión</v>
      </c>
      <c r="Y145" t="s">
        <v>6626</v>
      </c>
    </row>
    <row r="146" spans="1:25" x14ac:dyDescent="0.25">
      <c r="A146" t="s">
        <v>6513</v>
      </c>
      <c r="B146" t="s">
        <v>6635</v>
      </c>
      <c r="C146" t="s">
        <v>6672</v>
      </c>
      <c r="D146" t="s">
        <v>5720</v>
      </c>
      <c r="E146" t="s">
        <v>5721</v>
      </c>
      <c r="F146" t="s">
        <v>5802</v>
      </c>
      <c r="G146" t="s">
        <v>5723</v>
      </c>
      <c r="H146" t="s">
        <v>458</v>
      </c>
      <c r="I146" t="s">
        <v>640</v>
      </c>
      <c r="J146" t="s">
        <v>273</v>
      </c>
      <c r="K146" t="s">
        <v>5734</v>
      </c>
      <c r="L146" t="s">
        <v>267</v>
      </c>
      <c r="M146">
        <v>50000000</v>
      </c>
      <c r="N146">
        <v>0</v>
      </c>
      <c r="O146">
        <v>50000000</v>
      </c>
      <c r="P146">
        <v>0</v>
      </c>
      <c r="Q146" t="s">
        <v>6673</v>
      </c>
      <c r="R146" t="s">
        <v>6432</v>
      </c>
      <c r="S146" t="s">
        <v>6605</v>
      </c>
      <c r="T146" t="s">
        <v>6674</v>
      </c>
      <c r="U146" t="s">
        <v>6675</v>
      </c>
      <c r="V146" t="s">
        <v>6676</v>
      </c>
      <c r="W146" t="s">
        <v>5731</v>
      </c>
      <c r="X146" t="str">
        <f t="shared" si="2"/>
        <v>Inversión</v>
      </c>
      <c r="Y146" t="s">
        <v>5810</v>
      </c>
    </row>
    <row r="147" spans="1:25" x14ac:dyDescent="0.25">
      <c r="A147" t="s">
        <v>6513</v>
      </c>
      <c r="B147" t="s">
        <v>6635</v>
      </c>
      <c r="C147" t="s">
        <v>6672</v>
      </c>
      <c r="D147" t="s">
        <v>5720</v>
      </c>
      <c r="E147" t="s">
        <v>5721</v>
      </c>
      <c r="F147" t="s">
        <v>5854</v>
      </c>
      <c r="G147" t="s">
        <v>5723</v>
      </c>
      <c r="H147" t="s">
        <v>539</v>
      </c>
      <c r="I147" t="s">
        <v>658</v>
      </c>
      <c r="J147" t="s">
        <v>273</v>
      </c>
      <c r="K147" t="s">
        <v>5734</v>
      </c>
      <c r="L147" t="s">
        <v>267</v>
      </c>
      <c r="M147">
        <v>5000000</v>
      </c>
      <c r="N147">
        <v>0</v>
      </c>
      <c r="O147">
        <v>5000000</v>
      </c>
      <c r="P147">
        <v>0</v>
      </c>
      <c r="Q147" t="s">
        <v>6673</v>
      </c>
      <c r="R147" t="s">
        <v>6432</v>
      </c>
      <c r="S147" t="s">
        <v>6605</v>
      </c>
      <c r="T147" t="s">
        <v>6674</v>
      </c>
      <c r="U147" t="s">
        <v>6675</v>
      </c>
      <c r="V147" t="s">
        <v>6676</v>
      </c>
      <c r="W147" t="s">
        <v>5731</v>
      </c>
      <c r="X147" t="str">
        <f t="shared" si="2"/>
        <v>Inversión</v>
      </c>
      <c r="Y147" t="s">
        <v>5861</v>
      </c>
    </row>
    <row r="148" spans="1:25" x14ac:dyDescent="0.25">
      <c r="A148" t="s">
        <v>6513</v>
      </c>
      <c r="B148" t="s">
        <v>6635</v>
      </c>
      <c r="C148" t="s">
        <v>6672</v>
      </c>
      <c r="D148" t="s">
        <v>5720</v>
      </c>
      <c r="E148" t="s">
        <v>5721</v>
      </c>
      <c r="F148" t="s">
        <v>5733</v>
      </c>
      <c r="G148" t="s">
        <v>5723</v>
      </c>
      <c r="H148" t="s">
        <v>461</v>
      </c>
      <c r="I148" t="s">
        <v>644</v>
      </c>
      <c r="J148" t="s">
        <v>266</v>
      </c>
      <c r="K148" t="s">
        <v>5724</v>
      </c>
      <c r="L148" t="s">
        <v>267</v>
      </c>
      <c r="M148">
        <v>40000000</v>
      </c>
      <c r="N148">
        <v>0</v>
      </c>
      <c r="O148">
        <v>40000000</v>
      </c>
      <c r="P148">
        <v>0</v>
      </c>
      <c r="Q148" t="s">
        <v>6673</v>
      </c>
      <c r="R148" t="s">
        <v>6432</v>
      </c>
      <c r="S148" t="s">
        <v>6605</v>
      </c>
      <c r="T148" t="s">
        <v>6674</v>
      </c>
      <c r="U148" t="s">
        <v>6675</v>
      </c>
      <c r="V148" t="s">
        <v>6676</v>
      </c>
      <c r="W148" t="s">
        <v>5731</v>
      </c>
      <c r="X148" t="str">
        <f t="shared" si="2"/>
        <v>Inversión</v>
      </c>
      <c r="Y148" t="s">
        <v>5735</v>
      </c>
    </row>
    <row r="149" spans="1:25" x14ac:dyDescent="0.25">
      <c r="A149" t="s">
        <v>6513</v>
      </c>
      <c r="B149" t="s">
        <v>6635</v>
      </c>
      <c r="C149" t="s">
        <v>6672</v>
      </c>
      <c r="D149" t="s">
        <v>5720</v>
      </c>
      <c r="E149" t="s">
        <v>5721</v>
      </c>
      <c r="F149" t="s">
        <v>5738</v>
      </c>
      <c r="G149" t="s">
        <v>5723</v>
      </c>
      <c r="H149" t="s">
        <v>556</v>
      </c>
      <c r="I149" t="s">
        <v>671</v>
      </c>
      <c r="J149" t="s">
        <v>266</v>
      </c>
      <c r="K149" t="s">
        <v>5724</v>
      </c>
      <c r="L149" t="s">
        <v>267</v>
      </c>
      <c r="M149">
        <v>709588</v>
      </c>
      <c r="N149">
        <v>0</v>
      </c>
      <c r="O149">
        <v>709588</v>
      </c>
      <c r="P149">
        <v>0</v>
      </c>
      <c r="Q149" t="s">
        <v>6673</v>
      </c>
      <c r="R149" t="s">
        <v>6432</v>
      </c>
      <c r="S149" t="s">
        <v>6605</v>
      </c>
      <c r="T149" t="s">
        <v>6674</v>
      </c>
      <c r="U149" t="s">
        <v>6675</v>
      </c>
      <c r="V149" t="s">
        <v>6676</v>
      </c>
      <c r="W149" t="s">
        <v>5731</v>
      </c>
      <c r="X149" t="str">
        <f t="shared" si="2"/>
        <v>Inversión</v>
      </c>
      <c r="Y149" t="s">
        <v>5741</v>
      </c>
    </row>
    <row r="150" spans="1:25" x14ac:dyDescent="0.25">
      <c r="A150" t="s">
        <v>5938</v>
      </c>
      <c r="B150" t="s">
        <v>6635</v>
      </c>
      <c r="C150" t="s">
        <v>6677</v>
      </c>
      <c r="D150" t="s">
        <v>5720</v>
      </c>
      <c r="E150" t="s">
        <v>5721</v>
      </c>
      <c r="F150" t="s">
        <v>6619</v>
      </c>
      <c r="G150" t="s">
        <v>5723</v>
      </c>
      <c r="H150" t="s">
        <v>455</v>
      </c>
      <c r="I150" t="s">
        <v>643</v>
      </c>
      <c r="J150" t="s">
        <v>266</v>
      </c>
      <c r="K150" t="s">
        <v>5724</v>
      </c>
      <c r="L150" t="s">
        <v>267</v>
      </c>
      <c r="M150">
        <v>29386314</v>
      </c>
      <c r="N150">
        <v>-1691940</v>
      </c>
      <c r="O150">
        <v>27694374</v>
      </c>
      <c r="P150">
        <v>0</v>
      </c>
      <c r="Q150" t="s">
        <v>6678</v>
      </c>
      <c r="R150" t="s">
        <v>6679</v>
      </c>
      <c r="S150" t="s">
        <v>6680</v>
      </c>
      <c r="T150" t="s">
        <v>6681</v>
      </c>
      <c r="U150" t="s">
        <v>6682</v>
      </c>
      <c r="V150" t="s">
        <v>6683</v>
      </c>
      <c r="W150" t="s">
        <v>5731</v>
      </c>
      <c r="X150" t="str">
        <f t="shared" si="2"/>
        <v>Inversión</v>
      </c>
      <c r="Y150" t="s">
        <v>6626</v>
      </c>
    </row>
    <row r="151" spans="1:25" x14ac:dyDescent="0.25">
      <c r="A151" t="s">
        <v>6123</v>
      </c>
      <c r="B151" t="s">
        <v>6684</v>
      </c>
      <c r="C151" t="s">
        <v>6685</v>
      </c>
      <c r="D151" t="s">
        <v>5720</v>
      </c>
      <c r="E151" t="s">
        <v>5721</v>
      </c>
      <c r="F151" t="s">
        <v>6619</v>
      </c>
      <c r="G151" t="s">
        <v>5723</v>
      </c>
      <c r="H151" t="s">
        <v>455</v>
      </c>
      <c r="I151" t="s">
        <v>643</v>
      </c>
      <c r="J151" t="s">
        <v>273</v>
      </c>
      <c r="K151" t="s">
        <v>5734</v>
      </c>
      <c r="L151" t="s">
        <v>267</v>
      </c>
      <c r="M151">
        <v>83372315</v>
      </c>
      <c r="N151">
        <v>100000000</v>
      </c>
      <c r="O151">
        <v>183372315</v>
      </c>
      <c r="P151">
        <v>68735741.560000002</v>
      </c>
      <c r="Q151" t="s">
        <v>6686</v>
      </c>
      <c r="R151" t="s">
        <v>6278</v>
      </c>
      <c r="S151" t="s">
        <v>6687</v>
      </c>
      <c r="T151" t="s">
        <v>6688</v>
      </c>
      <c r="U151" t="s">
        <v>6689</v>
      </c>
      <c r="V151" t="s">
        <v>6690</v>
      </c>
      <c r="W151" t="s">
        <v>6691</v>
      </c>
      <c r="X151" t="str">
        <f t="shared" si="2"/>
        <v>Inversión</v>
      </c>
      <c r="Y151" t="s">
        <v>6626</v>
      </c>
    </row>
    <row r="152" spans="1:25" x14ac:dyDescent="0.25">
      <c r="A152" t="s">
        <v>6154</v>
      </c>
      <c r="B152" t="s">
        <v>6692</v>
      </c>
      <c r="C152" t="s">
        <v>6693</v>
      </c>
      <c r="D152" t="s">
        <v>5720</v>
      </c>
      <c r="E152" t="s">
        <v>5721</v>
      </c>
      <c r="F152" t="s">
        <v>5722</v>
      </c>
      <c r="G152" t="s">
        <v>5723</v>
      </c>
      <c r="H152" t="s">
        <v>465</v>
      </c>
      <c r="I152" t="s">
        <v>661</v>
      </c>
      <c r="J152" t="s">
        <v>273</v>
      </c>
      <c r="K152" t="s">
        <v>5734</v>
      </c>
      <c r="L152" t="s">
        <v>267</v>
      </c>
      <c r="M152">
        <v>60151084</v>
      </c>
      <c r="N152">
        <v>-7</v>
      </c>
      <c r="O152">
        <v>60151077</v>
      </c>
      <c r="P152">
        <v>0</v>
      </c>
      <c r="Q152" t="s">
        <v>6694</v>
      </c>
      <c r="R152" t="s">
        <v>6308</v>
      </c>
      <c r="S152" t="s">
        <v>6695</v>
      </c>
      <c r="T152" t="s">
        <v>6696</v>
      </c>
      <c r="U152" t="s">
        <v>6697</v>
      </c>
      <c r="V152" t="s">
        <v>6698</v>
      </c>
      <c r="W152" t="s">
        <v>5731</v>
      </c>
      <c r="X152" t="str">
        <f t="shared" si="2"/>
        <v>Inversión</v>
      </c>
      <c r="Y152" t="s">
        <v>5732</v>
      </c>
    </row>
    <row r="153" spans="1:25" x14ac:dyDescent="0.25">
      <c r="A153" t="s">
        <v>5795</v>
      </c>
      <c r="B153" t="s">
        <v>6692</v>
      </c>
      <c r="C153" t="s">
        <v>6699</v>
      </c>
      <c r="D153" t="s">
        <v>5720</v>
      </c>
      <c r="E153" t="s">
        <v>5721</v>
      </c>
      <c r="F153" t="s">
        <v>5722</v>
      </c>
      <c r="G153" t="s">
        <v>5723</v>
      </c>
      <c r="H153" t="s">
        <v>465</v>
      </c>
      <c r="I153" t="s">
        <v>661</v>
      </c>
      <c r="J153" t="s">
        <v>273</v>
      </c>
      <c r="K153" t="s">
        <v>5734</v>
      </c>
      <c r="L153" t="s">
        <v>267</v>
      </c>
      <c r="M153">
        <v>88787560</v>
      </c>
      <c r="N153">
        <v>-4</v>
      </c>
      <c r="O153">
        <v>88787556</v>
      </c>
      <c r="P153">
        <v>0</v>
      </c>
      <c r="Q153" t="s">
        <v>6700</v>
      </c>
      <c r="R153" t="s">
        <v>6354</v>
      </c>
      <c r="S153" t="s">
        <v>6701</v>
      </c>
      <c r="T153" t="s">
        <v>6702</v>
      </c>
      <c r="U153" t="s">
        <v>6703</v>
      </c>
      <c r="V153" t="s">
        <v>6704</v>
      </c>
      <c r="W153" t="s">
        <v>5731</v>
      </c>
      <c r="X153" t="str">
        <f t="shared" si="2"/>
        <v>Inversión</v>
      </c>
      <c r="Y153" t="s">
        <v>5732</v>
      </c>
    </row>
    <row r="154" spans="1:25" x14ac:dyDescent="0.25">
      <c r="A154" t="s">
        <v>6168</v>
      </c>
      <c r="B154" t="s">
        <v>6692</v>
      </c>
      <c r="C154" t="s">
        <v>6705</v>
      </c>
      <c r="D154" t="s">
        <v>5720</v>
      </c>
      <c r="E154" t="s">
        <v>5721</v>
      </c>
      <c r="F154" t="s">
        <v>5722</v>
      </c>
      <c r="G154" t="s">
        <v>5723</v>
      </c>
      <c r="H154" t="s">
        <v>465</v>
      </c>
      <c r="I154" t="s">
        <v>661</v>
      </c>
      <c r="J154" t="s">
        <v>273</v>
      </c>
      <c r="K154" t="s">
        <v>5734</v>
      </c>
      <c r="L154" t="s">
        <v>267</v>
      </c>
      <c r="M154">
        <v>99203332</v>
      </c>
      <c r="N154">
        <v>-4</v>
      </c>
      <c r="O154">
        <v>99203328</v>
      </c>
      <c r="P154">
        <v>0</v>
      </c>
      <c r="Q154" t="s">
        <v>6706</v>
      </c>
      <c r="R154" t="s">
        <v>6375</v>
      </c>
      <c r="S154" t="s">
        <v>6707</v>
      </c>
      <c r="T154" t="s">
        <v>6708</v>
      </c>
      <c r="U154" t="s">
        <v>6709</v>
      </c>
      <c r="V154" t="s">
        <v>6710</v>
      </c>
      <c r="W154" t="s">
        <v>5731</v>
      </c>
      <c r="X154" t="str">
        <f t="shared" si="2"/>
        <v>Inversión</v>
      </c>
      <c r="Y154" t="s">
        <v>5732</v>
      </c>
    </row>
    <row r="155" spans="1:25" x14ac:dyDescent="0.25">
      <c r="A155" t="s">
        <v>6175</v>
      </c>
      <c r="B155" t="s">
        <v>6692</v>
      </c>
      <c r="C155" t="s">
        <v>6711</v>
      </c>
      <c r="D155" t="s">
        <v>5720</v>
      </c>
      <c r="E155" t="s">
        <v>5721</v>
      </c>
      <c r="F155" t="s">
        <v>5722</v>
      </c>
      <c r="G155" t="s">
        <v>5723</v>
      </c>
      <c r="H155" t="s">
        <v>465</v>
      </c>
      <c r="I155" t="s">
        <v>661</v>
      </c>
      <c r="J155" t="s">
        <v>273</v>
      </c>
      <c r="K155" t="s">
        <v>5734</v>
      </c>
      <c r="L155" t="s">
        <v>267</v>
      </c>
      <c r="M155">
        <v>51820134</v>
      </c>
      <c r="N155">
        <v>0</v>
      </c>
      <c r="O155">
        <v>51820134</v>
      </c>
      <c r="P155">
        <v>0</v>
      </c>
      <c r="Q155" t="s">
        <v>6712</v>
      </c>
      <c r="R155" t="s">
        <v>6388</v>
      </c>
      <c r="S155" t="s">
        <v>6713</v>
      </c>
      <c r="T155" t="s">
        <v>6714</v>
      </c>
      <c r="U155" t="s">
        <v>6715</v>
      </c>
      <c r="V155" t="s">
        <v>6716</v>
      </c>
      <c r="W155" t="s">
        <v>5731</v>
      </c>
      <c r="X155" t="str">
        <f t="shared" si="2"/>
        <v>Inversión</v>
      </c>
      <c r="Y155" t="s">
        <v>5732</v>
      </c>
    </row>
    <row r="156" spans="1:25" x14ac:dyDescent="0.25">
      <c r="A156" t="s">
        <v>5745</v>
      </c>
      <c r="B156" t="s">
        <v>6692</v>
      </c>
      <c r="C156" t="s">
        <v>6717</v>
      </c>
      <c r="D156" t="s">
        <v>5720</v>
      </c>
      <c r="E156" t="s">
        <v>5721</v>
      </c>
      <c r="F156" t="s">
        <v>5722</v>
      </c>
      <c r="G156" t="s">
        <v>5723</v>
      </c>
      <c r="H156" t="s">
        <v>465</v>
      </c>
      <c r="I156" t="s">
        <v>661</v>
      </c>
      <c r="J156" t="s">
        <v>273</v>
      </c>
      <c r="K156" t="s">
        <v>5734</v>
      </c>
      <c r="L156" t="s">
        <v>267</v>
      </c>
      <c r="M156">
        <v>32762127</v>
      </c>
      <c r="N156">
        <v>-3</v>
      </c>
      <c r="O156">
        <v>32762124</v>
      </c>
      <c r="P156">
        <v>0</v>
      </c>
      <c r="Q156" t="s">
        <v>6718</v>
      </c>
      <c r="R156" t="s">
        <v>6395</v>
      </c>
      <c r="S156" t="s">
        <v>6719</v>
      </c>
      <c r="T156" t="s">
        <v>6720</v>
      </c>
      <c r="U156" t="s">
        <v>6721</v>
      </c>
      <c r="V156" t="s">
        <v>6722</v>
      </c>
      <c r="W156" t="s">
        <v>5731</v>
      </c>
      <c r="X156" t="str">
        <f t="shared" si="2"/>
        <v>Inversión</v>
      </c>
      <c r="Y156" t="s">
        <v>5732</v>
      </c>
    </row>
    <row r="157" spans="1:25" x14ac:dyDescent="0.25">
      <c r="A157" t="s">
        <v>5752</v>
      </c>
      <c r="B157" t="s">
        <v>6692</v>
      </c>
      <c r="C157" t="s">
        <v>6723</v>
      </c>
      <c r="D157" t="s">
        <v>5720</v>
      </c>
      <c r="E157" t="s">
        <v>5969</v>
      </c>
      <c r="F157" t="s">
        <v>5722</v>
      </c>
      <c r="G157" t="s">
        <v>5723</v>
      </c>
      <c r="H157" t="s">
        <v>465</v>
      </c>
      <c r="I157" t="s">
        <v>661</v>
      </c>
      <c r="J157" t="s">
        <v>273</v>
      </c>
      <c r="K157" t="s">
        <v>5734</v>
      </c>
      <c r="L157" t="s">
        <v>267</v>
      </c>
      <c r="M157">
        <v>24043349</v>
      </c>
      <c r="N157">
        <v>-24043349</v>
      </c>
      <c r="O157">
        <v>0</v>
      </c>
      <c r="P157">
        <v>0</v>
      </c>
      <c r="Q157" t="s">
        <v>6724</v>
      </c>
      <c r="R157" t="s">
        <v>6402</v>
      </c>
      <c r="S157" t="s">
        <v>5731</v>
      </c>
      <c r="T157" t="s">
        <v>5731</v>
      </c>
      <c r="U157" t="s">
        <v>5731</v>
      </c>
      <c r="V157" t="s">
        <v>5731</v>
      </c>
      <c r="W157" t="s">
        <v>5731</v>
      </c>
      <c r="X157" t="str">
        <f t="shared" si="2"/>
        <v>Inversión</v>
      </c>
      <c r="Y157" t="s">
        <v>5732</v>
      </c>
    </row>
    <row r="158" spans="1:25" x14ac:dyDescent="0.25">
      <c r="A158" t="s">
        <v>6193</v>
      </c>
      <c r="B158" t="s">
        <v>6692</v>
      </c>
      <c r="C158" t="s">
        <v>6725</v>
      </c>
      <c r="D158" t="s">
        <v>5720</v>
      </c>
      <c r="E158" t="s">
        <v>5721</v>
      </c>
      <c r="F158" t="s">
        <v>5802</v>
      </c>
      <c r="G158" t="s">
        <v>5723</v>
      </c>
      <c r="H158" t="s">
        <v>463</v>
      </c>
      <c r="I158" t="s">
        <v>639</v>
      </c>
      <c r="J158" t="s">
        <v>266</v>
      </c>
      <c r="K158" t="s">
        <v>5724</v>
      </c>
      <c r="L158" t="s">
        <v>267</v>
      </c>
      <c r="M158">
        <v>38876310</v>
      </c>
      <c r="N158">
        <v>-47126</v>
      </c>
      <c r="O158">
        <v>38829184</v>
      </c>
      <c r="P158">
        <v>0</v>
      </c>
      <c r="Q158" t="s">
        <v>6726</v>
      </c>
      <c r="R158" t="s">
        <v>6007</v>
      </c>
      <c r="S158" t="s">
        <v>6388</v>
      </c>
      <c r="T158" t="s">
        <v>6727</v>
      </c>
      <c r="U158" t="s">
        <v>6728</v>
      </c>
      <c r="V158" t="s">
        <v>6729</v>
      </c>
      <c r="W158" t="s">
        <v>5731</v>
      </c>
      <c r="X158" t="str">
        <f t="shared" si="2"/>
        <v>Inversión</v>
      </c>
      <c r="Y158" t="s">
        <v>5810</v>
      </c>
    </row>
    <row r="159" spans="1:25" x14ac:dyDescent="0.25">
      <c r="A159" t="s">
        <v>6201</v>
      </c>
      <c r="B159" t="s">
        <v>6692</v>
      </c>
      <c r="C159" t="s">
        <v>6730</v>
      </c>
      <c r="D159" t="s">
        <v>5720</v>
      </c>
      <c r="E159" t="s">
        <v>5721</v>
      </c>
      <c r="F159" t="s">
        <v>5802</v>
      </c>
      <c r="G159" t="s">
        <v>5723</v>
      </c>
      <c r="H159" t="s">
        <v>463</v>
      </c>
      <c r="I159" t="s">
        <v>639</v>
      </c>
      <c r="J159" t="s">
        <v>266</v>
      </c>
      <c r="K159" t="s">
        <v>5724</v>
      </c>
      <c r="L159" t="s">
        <v>267</v>
      </c>
      <c r="M159">
        <v>45532762</v>
      </c>
      <c r="N159">
        <v>-5029303</v>
      </c>
      <c r="O159">
        <v>40503459</v>
      </c>
      <c r="P159">
        <v>0</v>
      </c>
      <c r="Q159" t="s">
        <v>6731</v>
      </c>
      <c r="R159" t="s">
        <v>6011</v>
      </c>
      <c r="S159" t="s">
        <v>6732</v>
      </c>
      <c r="T159" t="s">
        <v>6733</v>
      </c>
      <c r="U159" t="s">
        <v>6734</v>
      </c>
      <c r="V159" t="s">
        <v>6735</v>
      </c>
      <c r="W159" t="s">
        <v>5731</v>
      </c>
      <c r="X159" t="str">
        <f t="shared" si="2"/>
        <v>Inversión</v>
      </c>
      <c r="Y159" t="s">
        <v>5810</v>
      </c>
    </row>
    <row r="160" spans="1:25" x14ac:dyDescent="0.25">
      <c r="A160" t="s">
        <v>6208</v>
      </c>
      <c r="B160" t="s">
        <v>6692</v>
      </c>
      <c r="C160" t="s">
        <v>6736</v>
      </c>
      <c r="D160" t="s">
        <v>5720</v>
      </c>
      <c r="E160" t="s">
        <v>5737</v>
      </c>
      <c r="F160" t="s">
        <v>5802</v>
      </c>
      <c r="G160" t="s">
        <v>5723</v>
      </c>
      <c r="H160" t="s">
        <v>463</v>
      </c>
      <c r="I160" t="s">
        <v>639</v>
      </c>
      <c r="J160" t="s">
        <v>266</v>
      </c>
      <c r="K160" t="s">
        <v>5724</v>
      </c>
      <c r="L160" t="s">
        <v>267</v>
      </c>
      <c r="M160">
        <v>57060806</v>
      </c>
      <c r="N160">
        <v>-57060806</v>
      </c>
      <c r="O160">
        <v>0</v>
      </c>
      <c r="P160">
        <v>0</v>
      </c>
      <c r="Q160" t="s">
        <v>6737</v>
      </c>
      <c r="R160" t="s">
        <v>6019</v>
      </c>
      <c r="S160" t="s">
        <v>5731</v>
      </c>
      <c r="T160" t="s">
        <v>5731</v>
      </c>
      <c r="U160" t="s">
        <v>5731</v>
      </c>
      <c r="V160" t="s">
        <v>5731</v>
      </c>
      <c r="W160" t="s">
        <v>5731</v>
      </c>
      <c r="X160" t="str">
        <f t="shared" si="2"/>
        <v>Inversión</v>
      </c>
      <c r="Y160" t="s">
        <v>5810</v>
      </c>
    </row>
    <row r="161" spans="1:25" x14ac:dyDescent="0.25">
      <c r="A161" t="s">
        <v>6216</v>
      </c>
      <c r="B161" t="s">
        <v>6692</v>
      </c>
      <c r="C161" t="s">
        <v>6738</v>
      </c>
      <c r="D161" t="s">
        <v>5720</v>
      </c>
      <c r="E161" t="s">
        <v>5721</v>
      </c>
      <c r="F161" t="s">
        <v>5802</v>
      </c>
      <c r="G161" t="s">
        <v>5723</v>
      </c>
      <c r="H161" t="s">
        <v>463</v>
      </c>
      <c r="I161" t="s">
        <v>639</v>
      </c>
      <c r="J161" t="s">
        <v>266</v>
      </c>
      <c r="K161" t="s">
        <v>5724</v>
      </c>
      <c r="L161" t="s">
        <v>267</v>
      </c>
      <c r="M161">
        <v>66741840</v>
      </c>
      <c r="N161">
        <v>-80890</v>
      </c>
      <c r="O161">
        <v>66660950</v>
      </c>
      <c r="P161">
        <v>0</v>
      </c>
      <c r="Q161" t="s">
        <v>6739</v>
      </c>
      <c r="R161" t="s">
        <v>6027</v>
      </c>
      <c r="S161" t="s">
        <v>6740</v>
      </c>
      <c r="T161" t="s">
        <v>6741</v>
      </c>
      <c r="U161" t="s">
        <v>6742</v>
      </c>
      <c r="V161" t="s">
        <v>6743</v>
      </c>
      <c r="W161" t="s">
        <v>5731</v>
      </c>
      <c r="X161" t="str">
        <f t="shared" si="2"/>
        <v>Inversión</v>
      </c>
      <c r="Y161" t="s">
        <v>5810</v>
      </c>
    </row>
    <row r="162" spans="1:25" x14ac:dyDescent="0.25">
      <c r="A162" t="s">
        <v>6222</v>
      </c>
      <c r="B162" t="s">
        <v>6692</v>
      </c>
      <c r="C162" t="s">
        <v>6744</v>
      </c>
      <c r="D162" t="s">
        <v>5720</v>
      </c>
      <c r="E162" t="s">
        <v>5721</v>
      </c>
      <c r="F162" t="s">
        <v>5802</v>
      </c>
      <c r="G162" t="s">
        <v>5723</v>
      </c>
      <c r="H162" t="s">
        <v>463</v>
      </c>
      <c r="I162" t="s">
        <v>639</v>
      </c>
      <c r="J162" t="s">
        <v>266</v>
      </c>
      <c r="K162" t="s">
        <v>5724</v>
      </c>
      <c r="L162" t="s">
        <v>267</v>
      </c>
      <c r="M162">
        <v>62834134</v>
      </c>
      <c r="N162">
        <v>-76160</v>
      </c>
      <c r="O162">
        <v>62757974</v>
      </c>
      <c r="P162">
        <v>0</v>
      </c>
      <c r="Q162" t="s">
        <v>6745</v>
      </c>
      <c r="R162" t="s">
        <v>6062</v>
      </c>
      <c r="S162" t="s">
        <v>6746</v>
      </c>
      <c r="T162" t="s">
        <v>6747</v>
      </c>
      <c r="U162" t="s">
        <v>6748</v>
      </c>
      <c r="V162" t="s">
        <v>6749</v>
      </c>
      <c r="W162" t="s">
        <v>5731</v>
      </c>
      <c r="X162" t="str">
        <f t="shared" si="2"/>
        <v>Inversión</v>
      </c>
      <c r="Y162" t="s">
        <v>5810</v>
      </c>
    </row>
    <row r="163" spans="1:25" x14ac:dyDescent="0.25">
      <c r="A163" t="s">
        <v>6230</v>
      </c>
      <c r="B163" t="s">
        <v>6692</v>
      </c>
      <c r="C163" t="s">
        <v>6750</v>
      </c>
      <c r="D163" t="s">
        <v>5720</v>
      </c>
      <c r="E163" t="s">
        <v>5721</v>
      </c>
      <c r="F163" t="s">
        <v>5722</v>
      </c>
      <c r="G163" t="s">
        <v>5723</v>
      </c>
      <c r="H163" t="s">
        <v>465</v>
      </c>
      <c r="I163" t="s">
        <v>661</v>
      </c>
      <c r="J163" t="s">
        <v>273</v>
      </c>
      <c r="K163" t="s">
        <v>5734</v>
      </c>
      <c r="L163" t="s">
        <v>267</v>
      </c>
      <c r="M163">
        <v>60151084</v>
      </c>
      <c r="N163">
        <v>-222780</v>
      </c>
      <c r="O163">
        <v>59928304</v>
      </c>
      <c r="P163">
        <v>0</v>
      </c>
      <c r="Q163" t="s">
        <v>6751</v>
      </c>
      <c r="R163" t="s">
        <v>6409</v>
      </c>
      <c r="S163" t="s">
        <v>6752</v>
      </c>
      <c r="T163" t="s">
        <v>6753</v>
      </c>
      <c r="U163" t="s">
        <v>6754</v>
      </c>
      <c r="V163" t="s">
        <v>6755</v>
      </c>
      <c r="W163" t="s">
        <v>5731</v>
      </c>
      <c r="X163" t="str">
        <f t="shared" si="2"/>
        <v>Inversión</v>
      </c>
      <c r="Y163" t="s">
        <v>5732</v>
      </c>
    </row>
    <row r="164" spans="1:25" x14ac:dyDescent="0.25">
      <c r="A164" t="s">
        <v>5903</v>
      </c>
      <c r="B164" t="s">
        <v>6692</v>
      </c>
      <c r="C164" t="s">
        <v>6750</v>
      </c>
      <c r="D164" t="s">
        <v>5720</v>
      </c>
      <c r="E164" t="s">
        <v>5721</v>
      </c>
      <c r="F164" t="s">
        <v>5802</v>
      </c>
      <c r="G164" t="s">
        <v>5723</v>
      </c>
      <c r="H164" t="s">
        <v>463</v>
      </c>
      <c r="I164" t="s">
        <v>639</v>
      </c>
      <c r="J164" t="s">
        <v>266</v>
      </c>
      <c r="K164" t="s">
        <v>5724</v>
      </c>
      <c r="L164" t="s">
        <v>267</v>
      </c>
      <c r="M164">
        <v>28530403</v>
      </c>
      <c r="N164">
        <v>-34584</v>
      </c>
      <c r="O164">
        <v>28495819</v>
      </c>
      <c r="P164">
        <v>0</v>
      </c>
      <c r="Q164" t="s">
        <v>6756</v>
      </c>
      <c r="R164" t="s">
        <v>6070</v>
      </c>
      <c r="S164" t="s">
        <v>6757</v>
      </c>
      <c r="T164" t="s">
        <v>6758</v>
      </c>
      <c r="U164" t="s">
        <v>6759</v>
      </c>
      <c r="V164" t="s">
        <v>6760</v>
      </c>
      <c r="W164" t="s">
        <v>5731</v>
      </c>
      <c r="X164" t="str">
        <f t="shared" si="2"/>
        <v>Inversión</v>
      </c>
      <c r="Y164" t="s">
        <v>5810</v>
      </c>
    </row>
    <row r="165" spans="1:25" x14ac:dyDescent="0.25">
      <c r="A165" t="s">
        <v>5910</v>
      </c>
      <c r="B165" t="s">
        <v>6692</v>
      </c>
      <c r="C165" t="s">
        <v>6761</v>
      </c>
      <c r="D165" t="s">
        <v>5720</v>
      </c>
      <c r="E165" t="s">
        <v>5721</v>
      </c>
      <c r="F165" t="s">
        <v>5722</v>
      </c>
      <c r="G165" t="s">
        <v>5723</v>
      </c>
      <c r="H165" t="s">
        <v>465</v>
      </c>
      <c r="I165" t="s">
        <v>661</v>
      </c>
      <c r="J165" t="s">
        <v>273</v>
      </c>
      <c r="K165" t="s">
        <v>5734</v>
      </c>
      <c r="L165" t="s">
        <v>267</v>
      </c>
      <c r="M165">
        <v>120302167</v>
      </c>
      <c r="N165">
        <v>-445559</v>
      </c>
      <c r="O165">
        <v>119856608</v>
      </c>
      <c r="P165">
        <v>0</v>
      </c>
      <c r="Q165" t="s">
        <v>6762</v>
      </c>
      <c r="R165" t="s">
        <v>6416</v>
      </c>
      <c r="S165" t="s">
        <v>6763</v>
      </c>
      <c r="T165" t="s">
        <v>6764</v>
      </c>
      <c r="U165" t="s">
        <v>6765</v>
      </c>
      <c r="V165" t="s">
        <v>6766</v>
      </c>
      <c r="W165" t="s">
        <v>5731</v>
      </c>
      <c r="X165" t="str">
        <f t="shared" si="2"/>
        <v>Inversión</v>
      </c>
      <c r="Y165" t="s">
        <v>5732</v>
      </c>
    </row>
    <row r="166" spans="1:25" x14ac:dyDescent="0.25">
      <c r="A166" t="s">
        <v>6251</v>
      </c>
      <c r="B166" t="s">
        <v>6692</v>
      </c>
      <c r="C166" t="s">
        <v>6767</v>
      </c>
      <c r="D166" t="s">
        <v>5720</v>
      </c>
      <c r="E166" t="s">
        <v>5721</v>
      </c>
      <c r="F166" t="s">
        <v>5722</v>
      </c>
      <c r="G166" t="s">
        <v>5723</v>
      </c>
      <c r="H166" t="s">
        <v>465</v>
      </c>
      <c r="I166" t="s">
        <v>661</v>
      </c>
      <c r="J166" t="s">
        <v>273</v>
      </c>
      <c r="K166" t="s">
        <v>5734</v>
      </c>
      <c r="L166" t="s">
        <v>267</v>
      </c>
      <c r="M166">
        <v>38371701</v>
      </c>
      <c r="N166">
        <v>-3</v>
      </c>
      <c r="O166">
        <v>38371698</v>
      </c>
      <c r="P166">
        <v>0</v>
      </c>
      <c r="Q166" t="s">
        <v>6768</v>
      </c>
      <c r="R166" t="s">
        <v>6497</v>
      </c>
      <c r="S166" t="s">
        <v>6769</v>
      </c>
      <c r="T166" t="s">
        <v>6770</v>
      </c>
      <c r="U166" t="s">
        <v>6771</v>
      </c>
      <c r="V166" t="s">
        <v>6772</v>
      </c>
      <c r="W166" t="s">
        <v>5731</v>
      </c>
      <c r="X166" t="str">
        <f t="shared" si="2"/>
        <v>Inversión</v>
      </c>
      <c r="Y166" t="s">
        <v>5732</v>
      </c>
    </row>
    <row r="167" spans="1:25" x14ac:dyDescent="0.25">
      <c r="A167" t="s">
        <v>6258</v>
      </c>
      <c r="B167" t="s">
        <v>6692</v>
      </c>
      <c r="C167" t="s">
        <v>6767</v>
      </c>
      <c r="D167" t="s">
        <v>5720</v>
      </c>
      <c r="E167" t="s">
        <v>5721</v>
      </c>
      <c r="F167" t="s">
        <v>5802</v>
      </c>
      <c r="G167" t="s">
        <v>5723</v>
      </c>
      <c r="H167" t="s">
        <v>463</v>
      </c>
      <c r="I167" t="s">
        <v>639</v>
      </c>
      <c r="J167" t="s">
        <v>266</v>
      </c>
      <c r="K167" t="s">
        <v>5724</v>
      </c>
      <c r="L167" t="s">
        <v>267</v>
      </c>
      <c r="M167">
        <v>142652015</v>
      </c>
      <c r="N167">
        <v>-172920</v>
      </c>
      <c r="O167">
        <v>142479095</v>
      </c>
      <c r="P167">
        <v>0</v>
      </c>
      <c r="Q167" t="s">
        <v>6773</v>
      </c>
      <c r="R167" t="s">
        <v>6086</v>
      </c>
      <c r="S167" t="s">
        <v>6774</v>
      </c>
      <c r="T167" t="s">
        <v>6775</v>
      </c>
      <c r="U167" t="s">
        <v>6776</v>
      </c>
      <c r="V167" t="s">
        <v>6777</v>
      </c>
      <c r="W167" t="s">
        <v>6151</v>
      </c>
      <c r="X167" t="str">
        <f t="shared" si="2"/>
        <v>Inversión</v>
      </c>
      <c r="Y167" t="s">
        <v>5810</v>
      </c>
    </row>
    <row r="168" spans="1:25" x14ac:dyDescent="0.25">
      <c r="A168" t="s">
        <v>6265</v>
      </c>
      <c r="B168" t="s">
        <v>6692</v>
      </c>
      <c r="C168" t="s">
        <v>6778</v>
      </c>
      <c r="D168" t="s">
        <v>5720</v>
      </c>
      <c r="E168" t="s">
        <v>5721</v>
      </c>
      <c r="F168" t="s">
        <v>5722</v>
      </c>
      <c r="G168" t="s">
        <v>5723</v>
      </c>
      <c r="H168" t="s">
        <v>465</v>
      </c>
      <c r="I168" t="s">
        <v>661</v>
      </c>
      <c r="J168" t="s">
        <v>273</v>
      </c>
      <c r="K168" t="s">
        <v>5734</v>
      </c>
      <c r="L168" t="s">
        <v>267</v>
      </c>
      <c r="M168">
        <v>67952493</v>
      </c>
      <c r="N168">
        <v>0</v>
      </c>
      <c r="O168">
        <v>67952493</v>
      </c>
      <c r="P168">
        <v>0</v>
      </c>
      <c r="Q168" t="s">
        <v>6779</v>
      </c>
      <c r="R168" t="s">
        <v>6510</v>
      </c>
      <c r="S168" t="s">
        <v>6780</v>
      </c>
      <c r="T168" t="s">
        <v>6781</v>
      </c>
      <c r="U168" t="s">
        <v>6782</v>
      </c>
      <c r="V168" t="s">
        <v>6783</v>
      </c>
      <c r="W168" t="s">
        <v>5731</v>
      </c>
      <c r="X168" t="str">
        <f t="shared" si="2"/>
        <v>Inversión</v>
      </c>
      <c r="Y168" t="s">
        <v>5732</v>
      </c>
    </row>
    <row r="169" spans="1:25" x14ac:dyDescent="0.25">
      <c r="A169" t="s">
        <v>6621</v>
      </c>
      <c r="B169" t="s">
        <v>6692</v>
      </c>
      <c r="C169" t="s">
        <v>6784</v>
      </c>
      <c r="D169" t="s">
        <v>5720</v>
      </c>
      <c r="E169" t="s">
        <v>5721</v>
      </c>
      <c r="F169" t="s">
        <v>5722</v>
      </c>
      <c r="G169" t="s">
        <v>5723</v>
      </c>
      <c r="H169" t="s">
        <v>465</v>
      </c>
      <c r="I169" t="s">
        <v>661</v>
      </c>
      <c r="J169" t="s">
        <v>273</v>
      </c>
      <c r="K169" t="s">
        <v>5734</v>
      </c>
      <c r="L169" t="s">
        <v>267</v>
      </c>
      <c r="M169">
        <v>24043349</v>
      </c>
      <c r="N169">
        <v>-2</v>
      </c>
      <c r="O169">
        <v>24043347</v>
      </c>
      <c r="P169">
        <v>0</v>
      </c>
      <c r="Q169" t="s">
        <v>6785</v>
      </c>
      <c r="R169" t="s">
        <v>6517</v>
      </c>
      <c r="S169" t="s">
        <v>6786</v>
      </c>
      <c r="T169" t="s">
        <v>6787</v>
      </c>
      <c r="U169" t="s">
        <v>6788</v>
      </c>
      <c r="V169" t="s">
        <v>6789</v>
      </c>
      <c r="W169" t="s">
        <v>5731</v>
      </c>
      <c r="X169" t="str">
        <f t="shared" si="2"/>
        <v>Inversión</v>
      </c>
      <c r="Y169" t="s">
        <v>5732</v>
      </c>
    </row>
    <row r="170" spans="1:25" x14ac:dyDescent="0.25">
      <c r="A170" t="s">
        <v>6630</v>
      </c>
      <c r="B170" t="s">
        <v>6692</v>
      </c>
      <c r="C170" t="s">
        <v>6790</v>
      </c>
      <c r="D170" t="s">
        <v>5720</v>
      </c>
      <c r="E170" t="s">
        <v>5721</v>
      </c>
      <c r="F170" t="s">
        <v>5802</v>
      </c>
      <c r="G170" t="s">
        <v>5723</v>
      </c>
      <c r="H170" t="s">
        <v>463</v>
      </c>
      <c r="I170" t="s">
        <v>639</v>
      </c>
      <c r="J170" t="s">
        <v>266</v>
      </c>
      <c r="K170" t="s">
        <v>5724</v>
      </c>
      <c r="L170" t="s">
        <v>267</v>
      </c>
      <c r="M170">
        <v>31417067</v>
      </c>
      <c r="N170">
        <v>-2921248</v>
      </c>
      <c r="O170">
        <v>28495819</v>
      </c>
      <c r="P170">
        <v>0</v>
      </c>
      <c r="Q170" t="s">
        <v>6791</v>
      </c>
      <c r="R170" t="s">
        <v>6102</v>
      </c>
      <c r="S170" t="s">
        <v>6792</v>
      </c>
      <c r="T170" t="s">
        <v>6793</v>
      </c>
      <c r="U170" t="s">
        <v>6794</v>
      </c>
      <c r="V170" t="s">
        <v>6795</v>
      </c>
      <c r="W170" t="s">
        <v>5882</v>
      </c>
      <c r="X170" t="str">
        <f t="shared" si="2"/>
        <v>Inversión</v>
      </c>
      <c r="Y170" t="s">
        <v>5810</v>
      </c>
    </row>
    <row r="171" spans="1:25" x14ac:dyDescent="0.25">
      <c r="A171" t="s">
        <v>6679</v>
      </c>
      <c r="B171" t="s">
        <v>6692</v>
      </c>
      <c r="C171" t="s">
        <v>6790</v>
      </c>
      <c r="D171" t="s">
        <v>5720</v>
      </c>
      <c r="E171" t="s">
        <v>5721</v>
      </c>
      <c r="F171" t="s">
        <v>5722</v>
      </c>
      <c r="G171" t="s">
        <v>5723</v>
      </c>
      <c r="H171" t="s">
        <v>465</v>
      </c>
      <c r="I171" t="s">
        <v>661</v>
      </c>
      <c r="J171" t="s">
        <v>273</v>
      </c>
      <c r="K171" t="s">
        <v>5734</v>
      </c>
      <c r="L171" t="s">
        <v>267</v>
      </c>
      <c r="M171">
        <v>26476020</v>
      </c>
      <c r="N171">
        <v>0</v>
      </c>
      <c r="O171">
        <v>26476020</v>
      </c>
      <c r="P171">
        <v>0</v>
      </c>
      <c r="Q171" t="s">
        <v>6796</v>
      </c>
      <c r="R171" t="s">
        <v>6524</v>
      </c>
      <c r="S171" t="s">
        <v>6797</v>
      </c>
      <c r="T171" t="s">
        <v>6798</v>
      </c>
      <c r="U171" t="s">
        <v>6799</v>
      </c>
      <c r="V171" t="s">
        <v>6800</v>
      </c>
      <c r="W171" t="s">
        <v>5731</v>
      </c>
      <c r="X171" t="str">
        <f t="shared" si="2"/>
        <v>Inversión</v>
      </c>
      <c r="Y171" t="s">
        <v>5732</v>
      </c>
    </row>
    <row r="172" spans="1:25" x14ac:dyDescent="0.25">
      <c r="A172" t="s">
        <v>5780</v>
      </c>
      <c r="B172" t="s">
        <v>6692</v>
      </c>
      <c r="C172" t="s">
        <v>6801</v>
      </c>
      <c r="D172" t="s">
        <v>5720</v>
      </c>
      <c r="E172" t="s">
        <v>5721</v>
      </c>
      <c r="F172" t="s">
        <v>5802</v>
      </c>
      <c r="G172" t="s">
        <v>5723</v>
      </c>
      <c r="H172" t="s">
        <v>463</v>
      </c>
      <c r="I172" t="s">
        <v>639</v>
      </c>
      <c r="J172" t="s">
        <v>266</v>
      </c>
      <c r="K172" t="s">
        <v>5724</v>
      </c>
      <c r="L172" t="s">
        <v>267</v>
      </c>
      <c r="M172">
        <v>53146280</v>
      </c>
      <c r="N172">
        <v>-2220874</v>
      </c>
      <c r="O172">
        <v>50925406</v>
      </c>
      <c r="P172">
        <v>0</v>
      </c>
      <c r="Q172" t="s">
        <v>6802</v>
      </c>
      <c r="R172" t="s">
        <v>6128</v>
      </c>
      <c r="S172" t="s">
        <v>6803</v>
      </c>
      <c r="T172" t="s">
        <v>6804</v>
      </c>
      <c r="U172" t="s">
        <v>6805</v>
      </c>
      <c r="V172" t="s">
        <v>6806</v>
      </c>
      <c r="W172" t="s">
        <v>5731</v>
      </c>
      <c r="X172" t="str">
        <f t="shared" si="2"/>
        <v>Inversión</v>
      </c>
      <c r="Y172" t="s">
        <v>5810</v>
      </c>
    </row>
    <row r="173" spans="1:25" x14ac:dyDescent="0.25">
      <c r="A173" t="s">
        <v>5759</v>
      </c>
      <c r="B173" t="s">
        <v>6692</v>
      </c>
      <c r="C173" t="s">
        <v>6807</v>
      </c>
      <c r="D173" t="s">
        <v>5720</v>
      </c>
      <c r="E173" t="s">
        <v>5721</v>
      </c>
      <c r="F173" t="s">
        <v>5722</v>
      </c>
      <c r="G173" t="s">
        <v>5723</v>
      </c>
      <c r="H173" t="s">
        <v>465</v>
      </c>
      <c r="I173" t="s">
        <v>661</v>
      </c>
      <c r="J173" t="s">
        <v>273</v>
      </c>
      <c r="K173" t="s">
        <v>5734</v>
      </c>
      <c r="L173" t="s">
        <v>267</v>
      </c>
      <c r="M173">
        <v>51820134</v>
      </c>
      <c r="N173">
        <v>-191923</v>
      </c>
      <c r="O173">
        <v>51628211</v>
      </c>
      <c r="P173">
        <v>0</v>
      </c>
      <c r="Q173" t="s">
        <v>6808</v>
      </c>
      <c r="R173" t="s">
        <v>6553</v>
      </c>
      <c r="S173" t="s">
        <v>6809</v>
      </c>
      <c r="T173" t="s">
        <v>6810</v>
      </c>
      <c r="U173" t="s">
        <v>6811</v>
      </c>
      <c r="V173" t="s">
        <v>6812</v>
      </c>
      <c r="W173" t="s">
        <v>5731</v>
      </c>
      <c r="X173" t="str">
        <f t="shared" si="2"/>
        <v>Inversión</v>
      </c>
      <c r="Y173" t="s">
        <v>5732</v>
      </c>
    </row>
    <row r="174" spans="1:25" x14ac:dyDescent="0.25">
      <c r="A174" t="s">
        <v>5766</v>
      </c>
      <c r="B174" t="s">
        <v>6692</v>
      </c>
      <c r="C174" t="s">
        <v>6813</v>
      </c>
      <c r="D174" t="s">
        <v>5720</v>
      </c>
      <c r="E174" t="s">
        <v>5737</v>
      </c>
      <c r="F174" t="s">
        <v>5802</v>
      </c>
      <c r="G174" t="s">
        <v>5723</v>
      </c>
      <c r="H174" t="s">
        <v>463</v>
      </c>
      <c r="I174" t="s">
        <v>639</v>
      </c>
      <c r="J174" t="s">
        <v>273</v>
      </c>
      <c r="K174" t="s">
        <v>5734</v>
      </c>
      <c r="L174" t="s">
        <v>267</v>
      </c>
      <c r="M174">
        <v>106292560</v>
      </c>
      <c r="N174">
        <v>-106292560</v>
      </c>
      <c r="O174">
        <v>0</v>
      </c>
      <c r="P174">
        <v>0</v>
      </c>
      <c r="Q174" t="s">
        <v>6814</v>
      </c>
      <c r="R174" t="s">
        <v>6331</v>
      </c>
      <c r="S174" t="s">
        <v>5731</v>
      </c>
      <c r="T174" t="s">
        <v>5731</v>
      </c>
      <c r="U174" t="s">
        <v>5731</v>
      </c>
      <c r="V174" t="s">
        <v>5731</v>
      </c>
      <c r="W174" t="s">
        <v>5731</v>
      </c>
      <c r="X174" t="str">
        <f t="shared" si="2"/>
        <v>Inversión</v>
      </c>
      <c r="Y174" t="s">
        <v>5810</v>
      </c>
    </row>
    <row r="175" spans="1:25" x14ac:dyDescent="0.25">
      <c r="A175" t="s">
        <v>5788</v>
      </c>
      <c r="B175" t="s">
        <v>6692</v>
      </c>
      <c r="C175" t="s">
        <v>6813</v>
      </c>
      <c r="D175" t="s">
        <v>5720</v>
      </c>
      <c r="E175" t="s">
        <v>5721</v>
      </c>
      <c r="F175" t="s">
        <v>5722</v>
      </c>
      <c r="G175" t="s">
        <v>5723</v>
      </c>
      <c r="H175" t="s">
        <v>465</v>
      </c>
      <c r="I175" t="s">
        <v>661</v>
      </c>
      <c r="J175" t="s">
        <v>273</v>
      </c>
      <c r="K175" t="s">
        <v>5734</v>
      </c>
      <c r="L175" t="s">
        <v>267</v>
      </c>
      <c r="M175">
        <v>67952493</v>
      </c>
      <c r="N175">
        <v>0</v>
      </c>
      <c r="O175">
        <v>67952493</v>
      </c>
      <c r="P175">
        <v>0</v>
      </c>
      <c r="Q175" t="s">
        <v>6815</v>
      </c>
      <c r="R175" t="s">
        <v>6556</v>
      </c>
      <c r="S175" t="s">
        <v>6816</v>
      </c>
      <c r="T175" t="s">
        <v>6817</v>
      </c>
      <c r="U175" t="s">
        <v>6818</v>
      </c>
      <c r="V175" t="s">
        <v>6819</v>
      </c>
      <c r="W175" t="s">
        <v>5731</v>
      </c>
      <c r="X175" t="str">
        <f t="shared" si="2"/>
        <v>Inversión</v>
      </c>
      <c r="Y175" t="s">
        <v>5732</v>
      </c>
    </row>
    <row r="176" spans="1:25" x14ac:dyDescent="0.25">
      <c r="A176" t="s">
        <v>6296</v>
      </c>
      <c r="B176" t="s">
        <v>6692</v>
      </c>
      <c r="C176" t="s">
        <v>6820</v>
      </c>
      <c r="D176" t="s">
        <v>5720</v>
      </c>
      <c r="E176" t="s">
        <v>5721</v>
      </c>
      <c r="F176" t="s">
        <v>5722</v>
      </c>
      <c r="G176" t="s">
        <v>5723</v>
      </c>
      <c r="H176" t="s">
        <v>465</v>
      </c>
      <c r="I176" t="s">
        <v>661</v>
      </c>
      <c r="J176" t="s">
        <v>273</v>
      </c>
      <c r="K176" t="s">
        <v>5734</v>
      </c>
      <c r="L176" t="s">
        <v>267</v>
      </c>
      <c r="M176">
        <v>26476020</v>
      </c>
      <c r="N176">
        <v>0</v>
      </c>
      <c r="O176">
        <v>26476020</v>
      </c>
      <c r="P176">
        <v>0</v>
      </c>
      <c r="Q176" t="s">
        <v>6821</v>
      </c>
      <c r="R176" t="s">
        <v>6564</v>
      </c>
      <c r="S176" t="s">
        <v>6822</v>
      </c>
      <c r="T176" t="s">
        <v>6823</v>
      </c>
      <c r="U176" t="s">
        <v>6824</v>
      </c>
      <c r="V176" t="s">
        <v>6825</v>
      </c>
      <c r="W176" t="s">
        <v>5731</v>
      </c>
      <c r="X176" t="str">
        <f t="shared" si="2"/>
        <v>Inversión</v>
      </c>
      <c r="Y176" t="s">
        <v>5732</v>
      </c>
    </row>
    <row r="177" spans="1:25" x14ac:dyDescent="0.25">
      <c r="A177" t="s">
        <v>6303</v>
      </c>
      <c r="B177" t="s">
        <v>6692</v>
      </c>
      <c r="C177" t="s">
        <v>6826</v>
      </c>
      <c r="D177" t="s">
        <v>5720</v>
      </c>
      <c r="E177" t="s">
        <v>5737</v>
      </c>
      <c r="F177" t="s">
        <v>5802</v>
      </c>
      <c r="G177" t="s">
        <v>5723</v>
      </c>
      <c r="H177" t="s">
        <v>463</v>
      </c>
      <c r="I177" t="s">
        <v>639</v>
      </c>
      <c r="J177" t="s">
        <v>273</v>
      </c>
      <c r="K177" t="s">
        <v>5734</v>
      </c>
      <c r="L177" t="s">
        <v>267</v>
      </c>
      <c r="M177">
        <v>75000000</v>
      </c>
      <c r="N177">
        <v>-75000000</v>
      </c>
      <c r="O177">
        <v>0</v>
      </c>
      <c r="P177">
        <v>0</v>
      </c>
      <c r="Q177" t="s">
        <v>6827</v>
      </c>
      <c r="R177" t="s">
        <v>6469</v>
      </c>
      <c r="S177" t="s">
        <v>5731</v>
      </c>
      <c r="T177" t="s">
        <v>5731</v>
      </c>
      <c r="U177" t="s">
        <v>5731</v>
      </c>
      <c r="V177" t="s">
        <v>5731</v>
      </c>
      <c r="W177" t="s">
        <v>5731</v>
      </c>
      <c r="X177" t="str">
        <f t="shared" si="2"/>
        <v>Inversión</v>
      </c>
      <c r="Y177" t="s">
        <v>5810</v>
      </c>
    </row>
    <row r="178" spans="1:25" x14ac:dyDescent="0.25">
      <c r="A178" t="s">
        <v>6311</v>
      </c>
      <c r="B178" t="s">
        <v>6692</v>
      </c>
      <c r="C178" t="s">
        <v>6826</v>
      </c>
      <c r="D178" t="s">
        <v>5720</v>
      </c>
      <c r="E178" t="s">
        <v>5721</v>
      </c>
      <c r="F178" t="s">
        <v>5722</v>
      </c>
      <c r="G178" t="s">
        <v>5723</v>
      </c>
      <c r="H178" t="s">
        <v>465</v>
      </c>
      <c r="I178" t="s">
        <v>661</v>
      </c>
      <c r="J178" t="s">
        <v>273</v>
      </c>
      <c r="K178" t="s">
        <v>5734</v>
      </c>
      <c r="L178" t="s">
        <v>267</v>
      </c>
      <c r="M178">
        <v>120216744</v>
      </c>
      <c r="N178">
        <v>-9</v>
      </c>
      <c r="O178">
        <v>120216735</v>
      </c>
      <c r="P178">
        <v>0</v>
      </c>
      <c r="Q178" t="s">
        <v>6828</v>
      </c>
      <c r="R178" t="s">
        <v>6568</v>
      </c>
      <c r="S178" t="s">
        <v>6829</v>
      </c>
      <c r="T178" t="s">
        <v>6830</v>
      </c>
      <c r="U178" t="s">
        <v>6831</v>
      </c>
      <c r="V178" t="s">
        <v>6832</v>
      </c>
      <c r="W178" t="s">
        <v>5731</v>
      </c>
      <c r="X178" t="str">
        <f t="shared" si="2"/>
        <v>Inversión</v>
      </c>
      <c r="Y178" t="s">
        <v>5732</v>
      </c>
    </row>
    <row r="179" spans="1:25" x14ac:dyDescent="0.25">
      <c r="A179" t="s">
        <v>6318</v>
      </c>
      <c r="B179" t="s">
        <v>6692</v>
      </c>
      <c r="C179" t="s">
        <v>6833</v>
      </c>
      <c r="D179" t="s">
        <v>5720</v>
      </c>
      <c r="E179" t="s">
        <v>5721</v>
      </c>
      <c r="F179" t="s">
        <v>5802</v>
      </c>
      <c r="G179" t="s">
        <v>5723</v>
      </c>
      <c r="H179" t="s">
        <v>463</v>
      </c>
      <c r="I179" t="s">
        <v>639</v>
      </c>
      <c r="J179" t="s">
        <v>273</v>
      </c>
      <c r="K179" t="s">
        <v>5734</v>
      </c>
      <c r="L179" t="s">
        <v>267</v>
      </c>
      <c r="M179">
        <v>117717006</v>
      </c>
      <c r="N179">
        <v>-142691</v>
      </c>
      <c r="O179">
        <v>117574315</v>
      </c>
      <c r="P179">
        <v>0</v>
      </c>
      <c r="Q179" t="s">
        <v>6834</v>
      </c>
      <c r="R179" t="s">
        <v>6476</v>
      </c>
      <c r="S179" t="s">
        <v>6835</v>
      </c>
      <c r="T179" t="s">
        <v>6836</v>
      </c>
      <c r="U179" t="s">
        <v>6837</v>
      </c>
      <c r="V179" t="s">
        <v>6838</v>
      </c>
      <c r="W179" t="s">
        <v>5731</v>
      </c>
      <c r="X179" t="str">
        <f t="shared" si="2"/>
        <v>Inversión</v>
      </c>
      <c r="Y179" t="s">
        <v>5810</v>
      </c>
    </row>
    <row r="180" spans="1:25" x14ac:dyDescent="0.25">
      <c r="A180" t="s">
        <v>6326</v>
      </c>
      <c r="B180" t="s">
        <v>6692</v>
      </c>
      <c r="C180" t="s">
        <v>6833</v>
      </c>
      <c r="D180" t="s">
        <v>5720</v>
      </c>
      <c r="E180" t="s">
        <v>5721</v>
      </c>
      <c r="F180" t="s">
        <v>5722</v>
      </c>
      <c r="G180" t="s">
        <v>5723</v>
      </c>
      <c r="H180" t="s">
        <v>465</v>
      </c>
      <c r="I180" t="s">
        <v>661</v>
      </c>
      <c r="J180" t="s">
        <v>273</v>
      </c>
      <c r="K180" t="s">
        <v>5734</v>
      </c>
      <c r="L180" t="s">
        <v>267</v>
      </c>
      <c r="M180">
        <v>67952493</v>
      </c>
      <c r="N180">
        <v>0</v>
      </c>
      <c r="O180">
        <v>67952493</v>
      </c>
      <c r="P180">
        <v>0</v>
      </c>
      <c r="Q180" t="s">
        <v>6839</v>
      </c>
      <c r="R180" t="s">
        <v>6576</v>
      </c>
      <c r="S180" t="s">
        <v>6840</v>
      </c>
      <c r="T180" t="s">
        <v>6841</v>
      </c>
      <c r="U180" t="s">
        <v>6842</v>
      </c>
      <c r="V180" t="s">
        <v>6843</v>
      </c>
      <c r="W180" t="s">
        <v>5731</v>
      </c>
      <c r="X180" t="str">
        <f t="shared" si="2"/>
        <v>Inversión</v>
      </c>
      <c r="Y180" t="s">
        <v>5732</v>
      </c>
    </row>
    <row r="181" spans="1:25" x14ac:dyDescent="0.25">
      <c r="A181" t="s">
        <v>6231</v>
      </c>
      <c r="B181" t="s">
        <v>6692</v>
      </c>
      <c r="C181" t="s">
        <v>6844</v>
      </c>
      <c r="D181" t="s">
        <v>5720</v>
      </c>
      <c r="E181" t="s">
        <v>5721</v>
      </c>
      <c r="F181" t="s">
        <v>5722</v>
      </c>
      <c r="G181" t="s">
        <v>5723</v>
      </c>
      <c r="H181" t="s">
        <v>465</v>
      </c>
      <c r="I181" t="s">
        <v>661</v>
      </c>
      <c r="J181" t="s">
        <v>273</v>
      </c>
      <c r="K181" t="s">
        <v>5734</v>
      </c>
      <c r="L181" t="s">
        <v>267</v>
      </c>
      <c r="M181">
        <v>156743575</v>
      </c>
      <c r="N181">
        <v>-7</v>
      </c>
      <c r="O181">
        <v>156743568</v>
      </c>
      <c r="P181">
        <v>0</v>
      </c>
      <c r="Q181" t="s">
        <v>6845</v>
      </c>
      <c r="R181" t="s">
        <v>6584</v>
      </c>
      <c r="S181" t="s">
        <v>6846</v>
      </c>
      <c r="T181" t="s">
        <v>6847</v>
      </c>
      <c r="U181" t="s">
        <v>6848</v>
      </c>
      <c r="V181" t="s">
        <v>6849</v>
      </c>
      <c r="W181" t="s">
        <v>5731</v>
      </c>
      <c r="X181" t="str">
        <f t="shared" si="2"/>
        <v>Inversión</v>
      </c>
      <c r="Y181" t="s">
        <v>5732</v>
      </c>
    </row>
    <row r="182" spans="1:25" x14ac:dyDescent="0.25">
      <c r="A182" t="s">
        <v>6338</v>
      </c>
      <c r="B182" t="s">
        <v>6692</v>
      </c>
      <c r="C182" t="s">
        <v>6850</v>
      </c>
      <c r="D182" t="s">
        <v>5720</v>
      </c>
      <c r="E182" t="s">
        <v>5737</v>
      </c>
      <c r="F182" t="s">
        <v>5802</v>
      </c>
      <c r="G182" t="s">
        <v>5723</v>
      </c>
      <c r="H182" t="s">
        <v>463</v>
      </c>
      <c r="I182" t="s">
        <v>639</v>
      </c>
      <c r="J182" t="s">
        <v>273</v>
      </c>
      <c r="K182" t="s">
        <v>5734</v>
      </c>
      <c r="L182" t="s">
        <v>267</v>
      </c>
      <c r="M182">
        <v>142652015</v>
      </c>
      <c r="N182">
        <v>-142652015</v>
      </c>
      <c r="O182">
        <v>0</v>
      </c>
      <c r="P182">
        <v>0</v>
      </c>
      <c r="Q182" t="s">
        <v>6851</v>
      </c>
      <c r="R182" t="s">
        <v>6483</v>
      </c>
      <c r="S182" t="s">
        <v>5731</v>
      </c>
      <c r="T182" t="s">
        <v>5731</v>
      </c>
      <c r="U182" t="s">
        <v>5731</v>
      </c>
      <c r="V182" t="s">
        <v>5731</v>
      </c>
      <c r="W182" t="s">
        <v>5731</v>
      </c>
      <c r="X182" t="str">
        <f t="shared" si="2"/>
        <v>Inversión</v>
      </c>
      <c r="Y182" t="s">
        <v>5810</v>
      </c>
    </row>
    <row r="183" spans="1:25" x14ac:dyDescent="0.25">
      <c r="A183" t="s">
        <v>6852</v>
      </c>
      <c r="B183" t="s">
        <v>6692</v>
      </c>
      <c r="C183" t="s">
        <v>6853</v>
      </c>
      <c r="D183" t="s">
        <v>5720</v>
      </c>
      <c r="E183" t="s">
        <v>5721</v>
      </c>
      <c r="F183" t="s">
        <v>5722</v>
      </c>
      <c r="G183" t="s">
        <v>5723</v>
      </c>
      <c r="H183" t="s">
        <v>465</v>
      </c>
      <c r="I183" t="s">
        <v>661</v>
      </c>
      <c r="J183" t="s">
        <v>273</v>
      </c>
      <c r="K183" t="s">
        <v>5734</v>
      </c>
      <c r="L183" t="s">
        <v>267</v>
      </c>
      <c r="M183">
        <v>67952493</v>
      </c>
      <c r="N183">
        <v>0</v>
      </c>
      <c r="O183">
        <v>67952493</v>
      </c>
      <c r="P183">
        <v>0</v>
      </c>
      <c r="Q183" t="s">
        <v>6854</v>
      </c>
      <c r="R183" t="s">
        <v>6588</v>
      </c>
      <c r="S183" t="s">
        <v>6855</v>
      </c>
      <c r="T183" t="s">
        <v>6856</v>
      </c>
      <c r="U183" t="s">
        <v>6857</v>
      </c>
      <c r="V183" t="s">
        <v>6858</v>
      </c>
      <c r="W183" t="s">
        <v>5731</v>
      </c>
      <c r="X183" t="str">
        <f t="shared" si="2"/>
        <v>Inversión</v>
      </c>
      <c r="Y183" t="s">
        <v>5732</v>
      </c>
    </row>
    <row r="184" spans="1:25" x14ac:dyDescent="0.25">
      <c r="A184" t="s">
        <v>6023</v>
      </c>
      <c r="B184" t="s">
        <v>6692</v>
      </c>
      <c r="C184" t="s">
        <v>6859</v>
      </c>
      <c r="D184" t="s">
        <v>5720</v>
      </c>
      <c r="E184" t="s">
        <v>5721</v>
      </c>
      <c r="F184" t="s">
        <v>5722</v>
      </c>
      <c r="G184" t="s">
        <v>5723</v>
      </c>
      <c r="H184" t="s">
        <v>465</v>
      </c>
      <c r="I184" t="s">
        <v>661</v>
      </c>
      <c r="J184" t="s">
        <v>273</v>
      </c>
      <c r="K184" t="s">
        <v>5734</v>
      </c>
      <c r="L184" t="s">
        <v>267</v>
      </c>
      <c r="M184">
        <v>60151084</v>
      </c>
      <c r="N184">
        <v>2</v>
      </c>
      <c r="O184">
        <v>60151086</v>
      </c>
      <c r="P184">
        <v>0</v>
      </c>
      <c r="Q184" t="s">
        <v>6860</v>
      </c>
      <c r="R184" t="s">
        <v>6596</v>
      </c>
      <c r="S184" t="s">
        <v>6861</v>
      </c>
      <c r="T184" t="s">
        <v>6862</v>
      </c>
      <c r="U184" t="s">
        <v>6863</v>
      </c>
      <c r="V184" t="s">
        <v>6864</v>
      </c>
      <c r="W184" t="s">
        <v>5731</v>
      </c>
      <c r="X184" t="str">
        <f t="shared" si="2"/>
        <v>Inversión</v>
      </c>
      <c r="Y184" t="s">
        <v>5732</v>
      </c>
    </row>
    <row r="185" spans="1:25" x14ac:dyDescent="0.25">
      <c r="A185" t="s">
        <v>6865</v>
      </c>
      <c r="B185" t="s">
        <v>6692</v>
      </c>
      <c r="C185" t="s">
        <v>6866</v>
      </c>
      <c r="D185" t="s">
        <v>5720</v>
      </c>
      <c r="E185" t="s">
        <v>5721</v>
      </c>
      <c r="F185" t="s">
        <v>5722</v>
      </c>
      <c r="G185" t="s">
        <v>5723</v>
      </c>
      <c r="H185" t="s">
        <v>465</v>
      </c>
      <c r="I185" t="s">
        <v>661</v>
      </c>
      <c r="J185" t="s">
        <v>273</v>
      </c>
      <c r="K185" t="s">
        <v>5734</v>
      </c>
      <c r="L185" t="s">
        <v>267</v>
      </c>
      <c r="M185">
        <v>26476020</v>
      </c>
      <c r="N185">
        <v>0</v>
      </c>
      <c r="O185">
        <v>26476020</v>
      </c>
      <c r="P185">
        <v>0</v>
      </c>
      <c r="Q185" t="s">
        <v>6867</v>
      </c>
      <c r="R185" t="s">
        <v>6602</v>
      </c>
      <c r="S185" t="s">
        <v>6868</v>
      </c>
      <c r="T185" t="s">
        <v>6869</v>
      </c>
      <c r="U185" t="s">
        <v>6870</v>
      </c>
      <c r="V185" t="s">
        <v>6871</v>
      </c>
      <c r="W185" t="s">
        <v>5731</v>
      </c>
      <c r="X185" t="str">
        <f t="shared" si="2"/>
        <v>Inversión</v>
      </c>
      <c r="Y185" t="s">
        <v>5732</v>
      </c>
    </row>
    <row r="186" spans="1:25" x14ac:dyDescent="0.25">
      <c r="A186" t="s">
        <v>6350</v>
      </c>
      <c r="B186" t="s">
        <v>6692</v>
      </c>
      <c r="C186" t="s">
        <v>6872</v>
      </c>
      <c r="D186" t="s">
        <v>5720</v>
      </c>
      <c r="E186" t="s">
        <v>5721</v>
      </c>
      <c r="F186" t="s">
        <v>5722</v>
      </c>
      <c r="G186" t="s">
        <v>5723</v>
      </c>
      <c r="H186" t="s">
        <v>465</v>
      </c>
      <c r="I186" t="s">
        <v>661</v>
      </c>
      <c r="J186" t="s">
        <v>273</v>
      </c>
      <c r="K186" t="s">
        <v>5734</v>
      </c>
      <c r="L186" t="s">
        <v>267</v>
      </c>
      <c r="M186">
        <v>67952493</v>
      </c>
      <c r="N186">
        <v>0</v>
      </c>
      <c r="O186">
        <v>67952493</v>
      </c>
      <c r="P186">
        <v>0</v>
      </c>
      <c r="Q186" t="s">
        <v>6873</v>
      </c>
      <c r="R186" t="s">
        <v>6610</v>
      </c>
      <c r="S186" t="s">
        <v>6874</v>
      </c>
      <c r="T186" t="s">
        <v>6875</v>
      </c>
      <c r="U186" t="s">
        <v>6876</v>
      </c>
      <c r="V186" t="s">
        <v>6877</v>
      </c>
      <c r="W186" t="s">
        <v>5731</v>
      </c>
      <c r="X186" t="str">
        <f t="shared" si="2"/>
        <v>Inversión</v>
      </c>
      <c r="Y186" t="s">
        <v>5732</v>
      </c>
    </row>
    <row r="187" spans="1:25" x14ac:dyDescent="0.25">
      <c r="A187" t="s">
        <v>6638</v>
      </c>
      <c r="B187" t="s">
        <v>6692</v>
      </c>
      <c r="C187" t="s">
        <v>6878</v>
      </c>
      <c r="D187" t="s">
        <v>5720</v>
      </c>
      <c r="E187" t="s">
        <v>5721</v>
      </c>
      <c r="F187" t="s">
        <v>5722</v>
      </c>
      <c r="G187" t="s">
        <v>5723</v>
      </c>
      <c r="H187" t="s">
        <v>465</v>
      </c>
      <c r="I187" t="s">
        <v>661</v>
      </c>
      <c r="J187" t="s">
        <v>273</v>
      </c>
      <c r="K187" t="s">
        <v>5734</v>
      </c>
      <c r="L187" t="s">
        <v>267</v>
      </c>
      <c r="M187">
        <v>67952493</v>
      </c>
      <c r="N187">
        <v>0</v>
      </c>
      <c r="O187">
        <v>67952493</v>
      </c>
      <c r="P187">
        <v>0</v>
      </c>
      <c r="Q187" t="s">
        <v>6879</v>
      </c>
      <c r="R187" t="s">
        <v>6617</v>
      </c>
      <c r="S187" t="s">
        <v>6880</v>
      </c>
      <c r="T187" t="s">
        <v>6881</v>
      </c>
      <c r="U187" t="s">
        <v>6882</v>
      </c>
      <c r="V187" t="s">
        <v>6883</v>
      </c>
      <c r="W187" t="s">
        <v>5731</v>
      </c>
      <c r="X187" t="str">
        <f t="shared" si="2"/>
        <v>Inversión</v>
      </c>
      <c r="Y187" t="s">
        <v>5732</v>
      </c>
    </row>
    <row r="188" spans="1:25" x14ac:dyDescent="0.25">
      <c r="A188" t="s">
        <v>6646</v>
      </c>
      <c r="B188" t="s">
        <v>6692</v>
      </c>
      <c r="C188" t="s">
        <v>6884</v>
      </c>
      <c r="D188" t="s">
        <v>5720</v>
      </c>
      <c r="E188" t="s">
        <v>5721</v>
      </c>
      <c r="F188" t="s">
        <v>5722</v>
      </c>
      <c r="G188" t="s">
        <v>5723</v>
      </c>
      <c r="H188" t="s">
        <v>465</v>
      </c>
      <c r="I188" t="s">
        <v>661</v>
      </c>
      <c r="J188" t="s">
        <v>273</v>
      </c>
      <c r="K188" t="s">
        <v>5734</v>
      </c>
      <c r="L188" t="s">
        <v>267</v>
      </c>
      <c r="M188">
        <v>78371788</v>
      </c>
      <c r="N188">
        <v>-4</v>
      </c>
      <c r="O188">
        <v>78371784</v>
      </c>
      <c r="P188">
        <v>0</v>
      </c>
      <c r="Q188" t="s">
        <v>6885</v>
      </c>
      <c r="R188" t="s">
        <v>6627</v>
      </c>
      <c r="S188" t="s">
        <v>6886</v>
      </c>
      <c r="T188" t="s">
        <v>6887</v>
      </c>
      <c r="U188" t="s">
        <v>6888</v>
      </c>
      <c r="V188" t="s">
        <v>6889</v>
      </c>
      <c r="W188" t="s">
        <v>5731</v>
      </c>
      <c r="X188" t="str">
        <f t="shared" si="2"/>
        <v>Inversión</v>
      </c>
      <c r="Y188" t="s">
        <v>5732</v>
      </c>
    </row>
    <row r="189" spans="1:25" x14ac:dyDescent="0.25">
      <c r="A189" t="s">
        <v>6654</v>
      </c>
      <c r="B189" t="s">
        <v>6692</v>
      </c>
      <c r="C189" t="s">
        <v>6890</v>
      </c>
      <c r="D189" t="s">
        <v>5720</v>
      </c>
      <c r="E189" t="s">
        <v>5721</v>
      </c>
      <c r="F189" t="s">
        <v>5722</v>
      </c>
      <c r="G189" t="s">
        <v>5723</v>
      </c>
      <c r="H189" t="s">
        <v>465</v>
      </c>
      <c r="I189" t="s">
        <v>661</v>
      </c>
      <c r="J189" t="s">
        <v>273</v>
      </c>
      <c r="K189" t="s">
        <v>5734</v>
      </c>
      <c r="L189" t="s">
        <v>267</v>
      </c>
      <c r="M189">
        <v>44787820</v>
      </c>
      <c r="N189">
        <v>-4</v>
      </c>
      <c r="O189">
        <v>44787816</v>
      </c>
      <c r="P189">
        <v>0</v>
      </c>
      <c r="Q189" t="s">
        <v>6891</v>
      </c>
      <c r="R189" t="s">
        <v>6529</v>
      </c>
      <c r="S189" t="s">
        <v>6892</v>
      </c>
      <c r="T189" t="s">
        <v>6893</v>
      </c>
      <c r="U189" t="s">
        <v>6894</v>
      </c>
      <c r="V189" t="s">
        <v>6895</v>
      </c>
      <c r="W189" t="s">
        <v>5731</v>
      </c>
      <c r="X189" t="str">
        <f t="shared" si="2"/>
        <v>Inversión</v>
      </c>
      <c r="Y189" t="s">
        <v>5732</v>
      </c>
    </row>
    <row r="190" spans="1:25" x14ac:dyDescent="0.25">
      <c r="A190" t="s">
        <v>6667</v>
      </c>
      <c r="B190" t="s">
        <v>6692</v>
      </c>
      <c r="C190" t="s">
        <v>6896</v>
      </c>
      <c r="D190" t="s">
        <v>5720</v>
      </c>
      <c r="E190" t="s">
        <v>5721</v>
      </c>
      <c r="F190" t="s">
        <v>5722</v>
      </c>
      <c r="G190" t="s">
        <v>5723</v>
      </c>
      <c r="H190" t="s">
        <v>465</v>
      </c>
      <c r="I190" t="s">
        <v>661</v>
      </c>
      <c r="J190" t="s">
        <v>273</v>
      </c>
      <c r="K190" t="s">
        <v>5734</v>
      </c>
      <c r="L190" t="s">
        <v>267</v>
      </c>
      <c r="M190">
        <v>67952493</v>
      </c>
      <c r="N190">
        <v>0</v>
      </c>
      <c r="O190">
        <v>67952493</v>
      </c>
      <c r="P190">
        <v>0</v>
      </c>
      <c r="Q190" t="s">
        <v>6897</v>
      </c>
      <c r="R190" t="s">
        <v>6898</v>
      </c>
      <c r="S190" t="s">
        <v>6899</v>
      </c>
      <c r="T190" t="s">
        <v>6900</v>
      </c>
      <c r="U190" t="s">
        <v>6901</v>
      </c>
      <c r="V190" t="s">
        <v>6902</v>
      </c>
      <c r="W190" t="s">
        <v>5731</v>
      </c>
      <c r="X190" t="str">
        <f t="shared" si="2"/>
        <v>Inversión</v>
      </c>
      <c r="Y190" t="s">
        <v>5732</v>
      </c>
    </row>
    <row r="191" spans="1:25" x14ac:dyDescent="0.25">
      <c r="A191" t="s">
        <v>6903</v>
      </c>
      <c r="B191" t="s">
        <v>6692</v>
      </c>
      <c r="C191" t="s">
        <v>6904</v>
      </c>
      <c r="D191" t="s">
        <v>5720</v>
      </c>
      <c r="E191" t="s">
        <v>5721</v>
      </c>
      <c r="F191" t="s">
        <v>5722</v>
      </c>
      <c r="G191" t="s">
        <v>5723</v>
      </c>
      <c r="H191" t="s">
        <v>465</v>
      </c>
      <c r="I191" t="s">
        <v>661</v>
      </c>
      <c r="J191" t="s">
        <v>273</v>
      </c>
      <c r="K191" t="s">
        <v>5734</v>
      </c>
      <c r="L191" t="s">
        <v>267</v>
      </c>
      <c r="M191">
        <v>24043349</v>
      </c>
      <c r="N191">
        <v>-2</v>
      </c>
      <c r="O191">
        <v>24043347</v>
      </c>
      <c r="P191">
        <v>0</v>
      </c>
      <c r="Q191" t="s">
        <v>6905</v>
      </c>
      <c r="R191" t="s">
        <v>6462</v>
      </c>
      <c r="S191" t="s">
        <v>6906</v>
      </c>
      <c r="T191" t="s">
        <v>6907</v>
      </c>
      <c r="U191" t="s">
        <v>6908</v>
      </c>
      <c r="V191" t="s">
        <v>6909</v>
      </c>
      <c r="W191" t="s">
        <v>5731</v>
      </c>
      <c r="X191" t="str">
        <f t="shared" si="2"/>
        <v>Inversión</v>
      </c>
      <c r="Y191" t="s">
        <v>5732</v>
      </c>
    </row>
    <row r="192" spans="1:25" x14ac:dyDescent="0.25">
      <c r="A192" t="s">
        <v>6106</v>
      </c>
      <c r="B192" t="s">
        <v>6692</v>
      </c>
      <c r="C192" t="s">
        <v>6910</v>
      </c>
      <c r="D192" t="s">
        <v>5720</v>
      </c>
      <c r="E192" t="s">
        <v>5721</v>
      </c>
      <c r="F192" t="s">
        <v>5854</v>
      </c>
      <c r="G192" t="s">
        <v>5723</v>
      </c>
      <c r="H192" t="s">
        <v>539</v>
      </c>
      <c r="I192" t="s">
        <v>658</v>
      </c>
      <c r="J192" t="s">
        <v>273</v>
      </c>
      <c r="K192" t="s">
        <v>5734</v>
      </c>
      <c r="L192" t="s">
        <v>267</v>
      </c>
      <c r="M192">
        <v>73303660</v>
      </c>
      <c r="N192">
        <v>0</v>
      </c>
      <c r="O192">
        <v>73303660</v>
      </c>
      <c r="P192">
        <v>0</v>
      </c>
      <c r="Q192" t="s">
        <v>6911</v>
      </c>
      <c r="R192" t="s">
        <v>6835</v>
      </c>
      <c r="S192" t="s">
        <v>6667</v>
      </c>
      <c r="T192" t="s">
        <v>6912</v>
      </c>
      <c r="U192" t="s">
        <v>6913</v>
      </c>
      <c r="V192" t="s">
        <v>6914</v>
      </c>
      <c r="W192" t="s">
        <v>5731</v>
      </c>
      <c r="X192" t="str">
        <f t="shared" si="2"/>
        <v>Inversión</v>
      </c>
      <c r="Y192" t="s">
        <v>5861</v>
      </c>
    </row>
    <row r="193" spans="1:25" x14ac:dyDescent="0.25">
      <c r="A193" t="s">
        <v>6605</v>
      </c>
      <c r="B193" t="s">
        <v>6692</v>
      </c>
      <c r="C193" t="s">
        <v>6915</v>
      </c>
      <c r="D193" t="s">
        <v>5720</v>
      </c>
      <c r="E193" t="s">
        <v>5721</v>
      </c>
      <c r="F193" t="s">
        <v>5854</v>
      </c>
      <c r="G193" t="s">
        <v>5723</v>
      </c>
      <c r="H193" t="s">
        <v>539</v>
      </c>
      <c r="I193" t="s">
        <v>658</v>
      </c>
      <c r="J193" t="s">
        <v>273</v>
      </c>
      <c r="K193" t="s">
        <v>5734</v>
      </c>
      <c r="L193" t="s">
        <v>267</v>
      </c>
      <c r="M193">
        <v>39130630</v>
      </c>
      <c r="N193">
        <v>-4295662</v>
      </c>
      <c r="O193">
        <v>34834968</v>
      </c>
      <c r="P193">
        <v>0</v>
      </c>
      <c r="Q193" t="s">
        <v>6916</v>
      </c>
      <c r="R193" t="s">
        <v>6917</v>
      </c>
      <c r="S193" t="s">
        <v>6442</v>
      </c>
      <c r="T193" t="s">
        <v>6918</v>
      </c>
      <c r="U193" t="s">
        <v>6919</v>
      </c>
      <c r="V193" t="s">
        <v>6920</v>
      </c>
      <c r="W193" t="s">
        <v>5731</v>
      </c>
      <c r="X193" t="str">
        <f t="shared" si="2"/>
        <v>Inversión</v>
      </c>
      <c r="Y193" t="s">
        <v>5861</v>
      </c>
    </row>
    <row r="194" spans="1:25" x14ac:dyDescent="0.25">
      <c r="A194" t="s">
        <v>6536</v>
      </c>
      <c r="B194" t="s">
        <v>6692</v>
      </c>
      <c r="C194" t="s">
        <v>6921</v>
      </c>
      <c r="D194" t="s">
        <v>5720</v>
      </c>
      <c r="E194" t="s">
        <v>5721</v>
      </c>
      <c r="F194" t="s">
        <v>5854</v>
      </c>
      <c r="G194" t="s">
        <v>5723</v>
      </c>
      <c r="H194" t="s">
        <v>539</v>
      </c>
      <c r="I194" t="s">
        <v>658</v>
      </c>
      <c r="J194" t="s">
        <v>273</v>
      </c>
      <c r="K194" t="s">
        <v>5734</v>
      </c>
      <c r="L194" t="s">
        <v>267</v>
      </c>
      <c r="M194">
        <v>68132295</v>
      </c>
      <c r="N194">
        <v>0</v>
      </c>
      <c r="O194">
        <v>68132295</v>
      </c>
      <c r="P194">
        <v>0</v>
      </c>
      <c r="Q194" t="s">
        <v>6922</v>
      </c>
      <c r="R194" t="s">
        <v>6923</v>
      </c>
      <c r="S194" t="s">
        <v>6924</v>
      </c>
      <c r="T194" t="s">
        <v>6925</v>
      </c>
      <c r="U194" t="s">
        <v>6926</v>
      </c>
      <c r="V194" t="s">
        <v>6927</v>
      </c>
      <c r="W194" t="s">
        <v>5731</v>
      </c>
      <c r="X194" t="str">
        <f t="shared" ref="X194:X257" si="3">IF(LEFT(H194,1)="C","Inversión","Funcionamiento")</f>
        <v>Inversión</v>
      </c>
      <c r="Y194" t="s">
        <v>5861</v>
      </c>
    </row>
    <row r="195" spans="1:25" x14ac:dyDescent="0.25">
      <c r="A195" t="s">
        <v>6543</v>
      </c>
      <c r="B195" t="s">
        <v>6692</v>
      </c>
      <c r="C195" t="s">
        <v>6928</v>
      </c>
      <c r="D195" t="s">
        <v>5720</v>
      </c>
      <c r="E195" t="s">
        <v>5721</v>
      </c>
      <c r="F195" t="s">
        <v>5802</v>
      </c>
      <c r="G195" t="s">
        <v>5723</v>
      </c>
      <c r="H195" t="s">
        <v>463</v>
      </c>
      <c r="I195" t="s">
        <v>639</v>
      </c>
      <c r="J195" t="s">
        <v>266</v>
      </c>
      <c r="K195" t="s">
        <v>5724</v>
      </c>
      <c r="L195" t="s">
        <v>267</v>
      </c>
      <c r="M195">
        <v>2532949</v>
      </c>
      <c r="N195">
        <v>-139932</v>
      </c>
      <c r="O195">
        <v>2393017</v>
      </c>
      <c r="P195">
        <v>0</v>
      </c>
      <c r="Q195" t="s">
        <v>6929</v>
      </c>
      <c r="R195" t="s">
        <v>6930</v>
      </c>
      <c r="S195" t="s">
        <v>6931</v>
      </c>
      <c r="T195" t="s">
        <v>6932</v>
      </c>
      <c r="U195" t="s">
        <v>6933</v>
      </c>
      <c r="V195" t="s">
        <v>6934</v>
      </c>
      <c r="W195" t="s">
        <v>6935</v>
      </c>
      <c r="X195" t="str">
        <f t="shared" si="3"/>
        <v>Inversión</v>
      </c>
      <c r="Y195" t="s">
        <v>5810</v>
      </c>
    </row>
    <row r="196" spans="1:25" x14ac:dyDescent="0.25">
      <c r="A196" t="s">
        <v>6549</v>
      </c>
      <c r="B196" t="s">
        <v>6692</v>
      </c>
      <c r="C196" t="s">
        <v>6936</v>
      </c>
      <c r="D196" t="s">
        <v>5720</v>
      </c>
      <c r="E196" t="s">
        <v>5721</v>
      </c>
      <c r="F196" t="s">
        <v>5802</v>
      </c>
      <c r="G196" t="s">
        <v>5723</v>
      </c>
      <c r="H196" t="s">
        <v>458</v>
      </c>
      <c r="I196" t="s">
        <v>640</v>
      </c>
      <c r="J196" t="s">
        <v>266</v>
      </c>
      <c r="K196" t="s">
        <v>5724</v>
      </c>
      <c r="L196" t="s">
        <v>267</v>
      </c>
      <c r="M196">
        <v>45518000</v>
      </c>
      <c r="N196">
        <v>-40432</v>
      </c>
      <c r="O196">
        <v>45477568</v>
      </c>
      <c r="P196">
        <v>0</v>
      </c>
      <c r="Q196" t="s">
        <v>6937</v>
      </c>
      <c r="R196" t="s">
        <v>6938</v>
      </c>
      <c r="S196" t="s">
        <v>6939</v>
      </c>
      <c r="T196" t="s">
        <v>6940</v>
      </c>
      <c r="U196" t="s">
        <v>6941</v>
      </c>
      <c r="V196" t="s">
        <v>6942</v>
      </c>
      <c r="W196" t="s">
        <v>5731</v>
      </c>
      <c r="X196" t="str">
        <f t="shared" si="3"/>
        <v>Inversión</v>
      </c>
      <c r="Y196" t="s">
        <v>5810</v>
      </c>
    </row>
    <row r="197" spans="1:25" x14ac:dyDescent="0.25">
      <c r="A197" t="s">
        <v>6552</v>
      </c>
      <c r="B197" t="s">
        <v>6692</v>
      </c>
      <c r="C197" t="s">
        <v>6943</v>
      </c>
      <c r="D197" t="s">
        <v>5720</v>
      </c>
      <c r="E197" t="s">
        <v>5721</v>
      </c>
      <c r="F197" t="s">
        <v>5802</v>
      </c>
      <c r="G197" t="s">
        <v>5723</v>
      </c>
      <c r="H197" t="s">
        <v>458</v>
      </c>
      <c r="I197" t="s">
        <v>640</v>
      </c>
      <c r="J197" t="s">
        <v>266</v>
      </c>
      <c r="K197" t="s">
        <v>5724</v>
      </c>
      <c r="L197" t="s">
        <v>267</v>
      </c>
      <c r="M197">
        <v>85591209</v>
      </c>
      <c r="N197">
        <v>163395</v>
      </c>
      <c r="O197">
        <v>85754604</v>
      </c>
      <c r="P197">
        <v>2493383</v>
      </c>
      <c r="Q197" t="s">
        <v>5977</v>
      </c>
      <c r="R197" t="s">
        <v>6944</v>
      </c>
      <c r="S197" t="s">
        <v>6945</v>
      </c>
      <c r="T197" t="s">
        <v>6946</v>
      </c>
      <c r="U197" t="s">
        <v>6947</v>
      </c>
      <c r="V197" t="s">
        <v>6948</v>
      </c>
      <c r="W197" t="s">
        <v>5731</v>
      </c>
      <c r="X197" t="str">
        <f t="shared" si="3"/>
        <v>Inversión</v>
      </c>
      <c r="Y197" t="s">
        <v>5810</v>
      </c>
    </row>
    <row r="198" spans="1:25" x14ac:dyDescent="0.25">
      <c r="A198" t="s">
        <v>6555</v>
      </c>
      <c r="B198" t="s">
        <v>6692</v>
      </c>
      <c r="C198" t="s">
        <v>6949</v>
      </c>
      <c r="D198" t="s">
        <v>5720</v>
      </c>
      <c r="E198" t="s">
        <v>5721</v>
      </c>
      <c r="F198" t="s">
        <v>5802</v>
      </c>
      <c r="G198" t="s">
        <v>5723</v>
      </c>
      <c r="H198" t="s">
        <v>458</v>
      </c>
      <c r="I198" t="s">
        <v>640</v>
      </c>
      <c r="J198" t="s">
        <v>266</v>
      </c>
      <c r="K198" t="s">
        <v>5724</v>
      </c>
      <c r="L198" t="s">
        <v>267</v>
      </c>
      <c r="M198">
        <v>45518000</v>
      </c>
      <c r="N198">
        <v>1807094</v>
      </c>
      <c r="O198">
        <v>47325094</v>
      </c>
      <c r="P198">
        <v>1847526</v>
      </c>
      <c r="Q198" t="s">
        <v>5974</v>
      </c>
      <c r="R198" t="s">
        <v>6950</v>
      </c>
      <c r="S198" t="s">
        <v>6069</v>
      </c>
      <c r="T198" t="s">
        <v>6951</v>
      </c>
      <c r="U198" t="s">
        <v>6952</v>
      </c>
      <c r="V198" t="s">
        <v>6953</v>
      </c>
      <c r="W198" t="s">
        <v>5731</v>
      </c>
      <c r="X198" t="str">
        <f t="shared" si="3"/>
        <v>Inversión</v>
      </c>
      <c r="Y198" t="s">
        <v>5810</v>
      </c>
    </row>
    <row r="199" spans="1:25" x14ac:dyDescent="0.25">
      <c r="A199" t="s">
        <v>6559</v>
      </c>
      <c r="B199" t="s">
        <v>6692</v>
      </c>
      <c r="C199" t="s">
        <v>6954</v>
      </c>
      <c r="D199" t="s">
        <v>5720</v>
      </c>
      <c r="E199" t="s">
        <v>5721</v>
      </c>
      <c r="F199" t="s">
        <v>5802</v>
      </c>
      <c r="G199" t="s">
        <v>5723</v>
      </c>
      <c r="H199" t="s">
        <v>458</v>
      </c>
      <c r="I199" t="s">
        <v>640</v>
      </c>
      <c r="J199" t="s">
        <v>266</v>
      </c>
      <c r="K199" t="s">
        <v>5724</v>
      </c>
      <c r="L199" t="s">
        <v>267</v>
      </c>
      <c r="M199">
        <v>92997806</v>
      </c>
      <c r="N199">
        <v>-112729</v>
      </c>
      <c r="O199">
        <v>92885077</v>
      </c>
      <c r="P199">
        <v>0</v>
      </c>
      <c r="Q199" t="s">
        <v>5980</v>
      </c>
      <c r="R199" t="s">
        <v>6955</v>
      </c>
      <c r="S199" t="s">
        <v>6956</v>
      </c>
      <c r="T199" t="s">
        <v>6957</v>
      </c>
      <c r="U199" t="s">
        <v>6958</v>
      </c>
      <c r="V199" t="s">
        <v>6959</v>
      </c>
      <c r="W199" t="s">
        <v>5731</v>
      </c>
      <c r="X199" t="str">
        <f t="shared" si="3"/>
        <v>Inversión</v>
      </c>
      <c r="Y199" t="s">
        <v>5810</v>
      </c>
    </row>
    <row r="200" spans="1:25" x14ac:dyDescent="0.25">
      <c r="A200" t="s">
        <v>6567</v>
      </c>
      <c r="B200" t="s">
        <v>6692</v>
      </c>
      <c r="C200" t="s">
        <v>6960</v>
      </c>
      <c r="D200" t="s">
        <v>5720</v>
      </c>
      <c r="E200" t="s">
        <v>5721</v>
      </c>
      <c r="F200" t="s">
        <v>5802</v>
      </c>
      <c r="G200" t="s">
        <v>5723</v>
      </c>
      <c r="H200" t="s">
        <v>458</v>
      </c>
      <c r="I200" t="s">
        <v>640</v>
      </c>
      <c r="J200" t="s">
        <v>266</v>
      </c>
      <c r="K200" t="s">
        <v>5724</v>
      </c>
      <c r="L200" t="s">
        <v>267</v>
      </c>
      <c r="M200">
        <v>265731400</v>
      </c>
      <c r="N200">
        <v>-322120</v>
      </c>
      <c r="O200">
        <v>265409280</v>
      </c>
      <c r="P200">
        <v>0</v>
      </c>
      <c r="Q200" t="s">
        <v>6961</v>
      </c>
      <c r="R200" t="s">
        <v>6962</v>
      </c>
      <c r="S200" t="s">
        <v>6963</v>
      </c>
      <c r="T200" t="s">
        <v>6964</v>
      </c>
      <c r="U200" t="s">
        <v>6965</v>
      </c>
      <c r="V200" t="s">
        <v>6966</v>
      </c>
      <c r="W200" t="s">
        <v>5731</v>
      </c>
      <c r="X200" t="str">
        <f t="shared" si="3"/>
        <v>Inversión</v>
      </c>
      <c r="Y200" t="s">
        <v>5810</v>
      </c>
    </row>
    <row r="201" spans="1:25" x14ac:dyDescent="0.25">
      <c r="A201" t="s">
        <v>6571</v>
      </c>
      <c r="B201" t="s">
        <v>6692</v>
      </c>
      <c r="C201" t="s">
        <v>6967</v>
      </c>
      <c r="D201" t="s">
        <v>5720</v>
      </c>
      <c r="E201" t="s">
        <v>5721</v>
      </c>
      <c r="F201" t="s">
        <v>5802</v>
      </c>
      <c r="G201" t="s">
        <v>5723</v>
      </c>
      <c r="H201" t="s">
        <v>458</v>
      </c>
      <c r="I201" t="s">
        <v>640</v>
      </c>
      <c r="J201" t="s">
        <v>266</v>
      </c>
      <c r="K201" t="s">
        <v>5724</v>
      </c>
      <c r="L201" t="s">
        <v>267</v>
      </c>
      <c r="M201">
        <v>388763100</v>
      </c>
      <c r="N201">
        <v>-471260</v>
      </c>
      <c r="O201">
        <v>388291840</v>
      </c>
      <c r="P201">
        <v>0</v>
      </c>
      <c r="Q201" t="s">
        <v>6968</v>
      </c>
      <c r="R201" t="s">
        <v>6969</v>
      </c>
      <c r="S201" t="s">
        <v>6970</v>
      </c>
      <c r="T201" t="s">
        <v>6971</v>
      </c>
      <c r="U201" t="s">
        <v>6972</v>
      </c>
      <c r="V201" t="s">
        <v>6973</v>
      </c>
      <c r="W201" t="s">
        <v>5731</v>
      </c>
      <c r="X201" t="str">
        <f t="shared" si="3"/>
        <v>Inversión</v>
      </c>
      <c r="Y201" t="s">
        <v>5810</v>
      </c>
    </row>
    <row r="202" spans="1:25" x14ac:dyDescent="0.25">
      <c r="A202" t="s">
        <v>6579</v>
      </c>
      <c r="B202" t="s">
        <v>6692</v>
      </c>
      <c r="C202" t="s">
        <v>6974</v>
      </c>
      <c r="D202" t="s">
        <v>5720</v>
      </c>
      <c r="E202" t="s">
        <v>5721</v>
      </c>
      <c r="F202" t="s">
        <v>5802</v>
      </c>
      <c r="G202" t="s">
        <v>5723</v>
      </c>
      <c r="H202" t="s">
        <v>458</v>
      </c>
      <c r="I202" t="s">
        <v>640</v>
      </c>
      <c r="J202" t="s">
        <v>266</v>
      </c>
      <c r="K202" t="s">
        <v>5724</v>
      </c>
      <c r="L202" t="s">
        <v>267</v>
      </c>
      <c r="M202">
        <v>194381550</v>
      </c>
      <c r="N202">
        <v>-1144282</v>
      </c>
      <c r="O202">
        <v>193237268</v>
      </c>
      <c r="P202">
        <v>0</v>
      </c>
      <c r="Q202" t="s">
        <v>6975</v>
      </c>
      <c r="R202" t="s">
        <v>6976</v>
      </c>
      <c r="S202" t="s">
        <v>6977</v>
      </c>
      <c r="T202" t="s">
        <v>6978</v>
      </c>
      <c r="U202" t="s">
        <v>6979</v>
      </c>
      <c r="V202" t="s">
        <v>6980</v>
      </c>
      <c r="W202" t="s">
        <v>5731</v>
      </c>
      <c r="X202" t="str">
        <f t="shared" si="3"/>
        <v>Inversión</v>
      </c>
      <c r="Y202" t="s">
        <v>5810</v>
      </c>
    </row>
    <row r="203" spans="1:25" x14ac:dyDescent="0.25">
      <c r="A203" t="s">
        <v>6587</v>
      </c>
      <c r="B203" t="s">
        <v>6692</v>
      </c>
      <c r="C203" t="s">
        <v>6981</v>
      </c>
      <c r="D203" t="s">
        <v>5720</v>
      </c>
      <c r="E203" t="s">
        <v>5721</v>
      </c>
      <c r="F203" t="s">
        <v>5802</v>
      </c>
      <c r="G203" t="s">
        <v>5723</v>
      </c>
      <c r="H203" t="s">
        <v>458</v>
      </c>
      <c r="I203" t="s">
        <v>640</v>
      </c>
      <c r="J203" t="s">
        <v>266</v>
      </c>
      <c r="K203" t="s">
        <v>5724</v>
      </c>
      <c r="L203" t="s">
        <v>267</v>
      </c>
      <c r="M203">
        <v>381694680</v>
      </c>
      <c r="N203">
        <v>12000000</v>
      </c>
      <c r="O203">
        <v>393694680</v>
      </c>
      <c r="P203">
        <v>12000000</v>
      </c>
      <c r="Q203" t="s">
        <v>6982</v>
      </c>
      <c r="R203" t="s">
        <v>6983</v>
      </c>
      <c r="S203" t="s">
        <v>6984</v>
      </c>
      <c r="T203" t="s">
        <v>6985</v>
      </c>
      <c r="U203" t="s">
        <v>6986</v>
      </c>
      <c r="V203" t="s">
        <v>6987</v>
      </c>
      <c r="W203" t="s">
        <v>5731</v>
      </c>
      <c r="X203" t="str">
        <f t="shared" si="3"/>
        <v>Inversión</v>
      </c>
      <c r="Y203" t="s">
        <v>5810</v>
      </c>
    </row>
    <row r="204" spans="1:25" x14ac:dyDescent="0.25">
      <c r="A204" t="s">
        <v>6432</v>
      </c>
      <c r="B204" t="s">
        <v>6988</v>
      </c>
      <c r="C204" t="s">
        <v>6989</v>
      </c>
      <c r="D204" t="s">
        <v>5720</v>
      </c>
      <c r="E204" t="s">
        <v>5721</v>
      </c>
      <c r="F204" t="s">
        <v>5722</v>
      </c>
      <c r="G204" t="s">
        <v>5723</v>
      </c>
      <c r="H204" t="s">
        <v>529</v>
      </c>
      <c r="I204" t="s">
        <v>659</v>
      </c>
      <c r="J204" t="s">
        <v>273</v>
      </c>
      <c r="K204" t="s">
        <v>5734</v>
      </c>
      <c r="L204" t="s">
        <v>267</v>
      </c>
      <c r="M204">
        <v>73517994</v>
      </c>
      <c r="N204">
        <v>0</v>
      </c>
      <c r="O204">
        <v>73517994</v>
      </c>
      <c r="P204">
        <v>0</v>
      </c>
      <c r="Q204" t="s">
        <v>6990</v>
      </c>
      <c r="R204" t="s">
        <v>6186</v>
      </c>
      <c r="S204" t="s">
        <v>6571</v>
      </c>
      <c r="T204" t="s">
        <v>6991</v>
      </c>
      <c r="U204" t="s">
        <v>6992</v>
      </c>
      <c r="V204" t="s">
        <v>6993</v>
      </c>
      <c r="W204" t="s">
        <v>5731</v>
      </c>
      <c r="X204" t="str">
        <f t="shared" si="3"/>
        <v>Inversión</v>
      </c>
      <c r="Y204" t="s">
        <v>5732</v>
      </c>
    </row>
    <row r="205" spans="1:25" x14ac:dyDescent="0.25">
      <c r="A205" t="s">
        <v>6278</v>
      </c>
      <c r="B205" t="s">
        <v>6988</v>
      </c>
      <c r="C205" t="s">
        <v>6994</v>
      </c>
      <c r="D205" t="s">
        <v>5720</v>
      </c>
      <c r="E205" t="s">
        <v>5721</v>
      </c>
      <c r="F205" t="s">
        <v>5802</v>
      </c>
      <c r="G205" t="s">
        <v>5723</v>
      </c>
      <c r="H205" t="s">
        <v>458</v>
      </c>
      <c r="I205" t="s">
        <v>640</v>
      </c>
      <c r="J205" t="s">
        <v>266</v>
      </c>
      <c r="K205" t="s">
        <v>5724</v>
      </c>
      <c r="L205" t="s">
        <v>267</v>
      </c>
      <c r="M205">
        <v>116628930</v>
      </c>
      <c r="N205">
        <v>-141378</v>
      </c>
      <c r="O205">
        <v>116487552</v>
      </c>
      <c r="P205">
        <v>0</v>
      </c>
      <c r="Q205" t="s">
        <v>6995</v>
      </c>
      <c r="R205" t="s">
        <v>6996</v>
      </c>
      <c r="S205" t="s">
        <v>6997</v>
      </c>
      <c r="T205" t="s">
        <v>6998</v>
      </c>
      <c r="U205" t="s">
        <v>6999</v>
      </c>
      <c r="V205" t="s">
        <v>7000</v>
      </c>
      <c r="W205" t="s">
        <v>5731</v>
      </c>
      <c r="X205" t="str">
        <f t="shared" si="3"/>
        <v>Inversión</v>
      </c>
      <c r="Y205" t="s">
        <v>5810</v>
      </c>
    </row>
    <row r="206" spans="1:25" x14ac:dyDescent="0.25">
      <c r="A206" t="s">
        <v>7001</v>
      </c>
      <c r="B206" t="s">
        <v>6988</v>
      </c>
      <c r="C206" t="s">
        <v>7002</v>
      </c>
      <c r="D206" t="s">
        <v>5720</v>
      </c>
      <c r="E206" t="s">
        <v>5721</v>
      </c>
      <c r="F206" t="s">
        <v>5802</v>
      </c>
      <c r="G206" t="s">
        <v>5723</v>
      </c>
      <c r="H206" t="s">
        <v>458</v>
      </c>
      <c r="I206" t="s">
        <v>640</v>
      </c>
      <c r="J206" t="s">
        <v>266</v>
      </c>
      <c r="K206" t="s">
        <v>5724</v>
      </c>
      <c r="L206" t="s">
        <v>267</v>
      </c>
      <c r="M206">
        <v>80634026</v>
      </c>
      <c r="N206">
        <v>-97738</v>
      </c>
      <c r="O206">
        <v>80536288</v>
      </c>
      <c r="P206">
        <v>0</v>
      </c>
      <c r="Q206" t="s">
        <v>7003</v>
      </c>
      <c r="R206" t="s">
        <v>7004</v>
      </c>
      <c r="S206" t="s">
        <v>7005</v>
      </c>
      <c r="T206" t="s">
        <v>7006</v>
      </c>
      <c r="U206" t="s">
        <v>7007</v>
      </c>
      <c r="V206" t="s">
        <v>7008</v>
      </c>
      <c r="W206" t="s">
        <v>5731</v>
      </c>
      <c r="X206" t="str">
        <f t="shared" si="3"/>
        <v>Inversión</v>
      </c>
      <c r="Y206" t="s">
        <v>5810</v>
      </c>
    </row>
    <row r="207" spans="1:25" x14ac:dyDescent="0.25">
      <c r="A207" t="s">
        <v>6938</v>
      </c>
      <c r="B207" t="s">
        <v>6988</v>
      </c>
      <c r="C207" t="s">
        <v>7009</v>
      </c>
      <c r="D207" t="s">
        <v>5720</v>
      </c>
      <c r="E207" t="s">
        <v>5721</v>
      </c>
      <c r="F207" t="s">
        <v>5802</v>
      </c>
      <c r="G207" t="s">
        <v>5723</v>
      </c>
      <c r="H207" t="s">
        <v>458</v>
      </c>
      <c r="I207" t="s">
        <v>640</v>
      </c>
      <c r="J207" t="s">
        <v>266</v>
      </c>
      <c r="K207" t="s">
        <v>5724</v>
      </c>
      <c r="L207" t="s">
        <v>267</v>
      </c>
      <c r="M207">
        <v>92997806</v>
      </c>
      <c r="N207">
        <v>-112729</v>
      </c>
      <c r="O207">
        <v>92885077</v>
      </c>
      <c r="P207">
        <v>0</v>
      </c>
      <c r="Q207" t="s">
        <v>7010</v>
      </c>
      <c r="R207" t="s">
        <v>7011</v>
      </c>
      <c r="S207" t="s">
        <v>6917</v>
      </c>
      <c r="T207" t="s">
        <v>7012</v>
      </c>
      <c r="U207" t="s">
        <v>7013</v>
      </c>
      <c r="V207" t="s">
        <v>7014</v>
      </c>
      <c r="W207" t="s">
        <v>5731</v>
      </c>
      <c r="X207" t="str">
        <f t="shared" si="3"/>
        <v>Inversión</v>
      </c>
      <c r="Y207" t="s">
        <v>5810</v>
      </c>
    </row>
    <row r="208" spans="1:25" x14ac:dyDescent="0.25">
      <c r="A208" t="s">
        <v>6944</v>
      </c>
      <c r="B208" t="s">
        <v>6988</v>
      </c>
      <c r="C208" t="s">
        <v>7015</v>
      </c>
      <c r="D208" t="s">
        <v>5720</v>
      </c>
      <c r="E208" t="s">
        <v>5721</v>
      </c>
      <c r="F208" t="s">
        <v>5802</v>
      </c>
      <c r="G208" t="s">
        <v>5723</v>
      </c>
      <c r="H208" t="s">
        <v>458</v>
      </c>
      <c r="I208" t="s">
        <v>640</v>
      </c>
      <c r="J208" t="s">
        <v>266</v>
      </c>
      <c r="K208" t="s">
        <v>5724</v>
      </c>
      <c r="L208" t="s">
        <v>267</v>
      </c>
      <c r="M208">
        <v>57060806</v>
      </c>
      <c r="N208">
        <v>-2740652</v>
      </c>
      <c r="O208">
        <v>54320154</v>
      </c>
      <c r="P208">
        <v>0</v>
      </c>
      <c r="Q208" t="s">
        <v>7016</v>
      </c>
      <c r="R208" t="s">
        <v>7017</v>
      </c>
      <c r="S208" t="s">
        <v>7018</v>
      </c>
      <c r="T208" t="s">
        <v>7019</v>
      </c>
      <c r="U208" t="s">
        <v>7020</v>
      </c>
      <c r="V208" t="s">
        <v>7021</v>
      </c>
      <c r="W208" t="s">
        <v>5731</v>
      </c>
      <c r="X208" t="str">
        <f t="shared" si="3"/>
        <v>Inversión</v>
      </c>
      <c r="Y208" t="s">
        <v>5810</v>
      </c>
    </row>
    <row r="209" spans="1:25" x14ac:dyDescent="0.25">
      <c r="A209" t="s">
        <v>6950</v>
      </c>
      <c r="B209" t="s">
        <v>6988</v>
      </c>
      <c r="C209" t="s">
        <v>7022</v>
      </c>
      <c r="D209" t="s">
        <v>5720</v>
      </c>
      <c r="E209" t="s">
        <v>5721</v>
      </c>
      <c r="F209" t="s">
        <v>5802</v>
      </c>
      <c r="G209" t="s">
        <v>5723</v>
      </c>
      <c r="H209" t="s">
        <v>458</v>
      </c>
      <c r="I209" t="s">
        <v>640</v>
      </c>
      <c r="J209" t="s">
        <v>266</v>
      </c>
      <c r="K209" t="s">
        <v>5724</v>
      </c>
      <c r="L209" t="s">
        <v>267</v>
      </c>
      <c r="M209">
        <v>28530403</v>
      </c>
      <c r="N209">
        <v>-34584</v>
      </c>
      <c r="O209">
        <v>28495819</v>
      </c>
      <c r="P209">
        <v>0</v>
      </c>
      <c r="Q209" t="s">
        <v>7023</v>
      </c>
      <c r="R209" t="s">
        <v>7024</v>
      </c>
      <c r="S209" t="s">
        <v>7025</v>
      </c>
      <c r="T209" t="s">
        <v>7026</v>
      </c>
      <c r="U209" t="s">
        <v>7027</v>
      </c>
      <c r="V209" t="s">
        <v>7028</v>
      </c>
      <c r="W209" t="s">
        <v>5731</v>
      </c>
      <c r="X209" t="str">
        <f t="shared" si="3"/>
        <v>Inversión</v>
      </c>
      <c r="Y209" t="s">
        <v>5810</v>
      </c>
    </row>
    <row r="210" spans="1:25" x14ac:dyDescent="0.25">
      <c r="A210" t="s">
        <v>6955</v>
      </c>
      <c r="B210" t="s">
        <v>6988</v>
      </c>
      <c r="C210" t="s">
        <v>7029</v>
      </c>
      <c r="D210" t="s">
        <v>5720</v>
      </c>
      <c r="E210" t="s">
        <v>5737</v>
      </c>
      <c r="F210" t="s">
        <v>5802</v>
      </c>
      <c r="G210" t="s">
        <v>5723</v>
      </c>
      <c r="H210" t="s">
        <v>458</v>
      </c>
      <c r="I210" t="s">
        <v>640</v>
      </c>
      <c r="J210" t="s">
        <v>266</v>
      </c>
      <c r="K210" t="s">
        <v>5724</v>
      </c>
      <c r="L210" t="s">
        <v>267</v>
      </c>
      <c r="M210">
        <v>82000000</v>
      </c>
      <c r="N210">
        <v>-82000000</v>
      </c>
      <c r="O210">
        <v>0</v>
      </c>
      <c r="P210">
        <v>0</v>
      </c>
      <c r="Q210" t="s">
        <v>7030</v>
      </c>
      <c r="R210" t="s">
        <v>7031</v>
      </c>
      <c r="S210" t="s">
        <v>5731</v>
      </c>
      <c r="T210" t="s">
        <v>5731</v>
      </c>
      <c r="U210" t="s">
        <v>5731</v>
      </c>
      <c r="V210" t="s">
        <v>5731</v>
      </c>
      <c r="W210" t="s">
        <v>5731</v>
      </c>
      <c r="X210" t="str">
        <f t="shared" si="3"/>
        <v>Inversión</v>
      </c>
      <c r="Y210" t="s">
        <v>5810</v>
      </c>
    </row>
    <row r="211" spans="1:25" x14ac:dyDescent="0.25">
      <c r="A211" t="s">
        <v>6962</v>
      </c>
      <c r="B211" t="s">
        <v>6988</v>
      </c>
      <c r="C211" t="s">
        <v>7032</v>
      </c>
      <c r="D211" t="s">
        <v>5720</v>
      </c>
      <c r="E211" t="s">
        <v>5737</v>
      </c>
      <c r="F211" t="s">
        <v>5802</v>
      </c>
      <c r="G211" t="s">
        <v>5723</v>
      </c>
      <c r="H211" t="s">
        <v>458</v>
      </c>
      <c r="I211" t="s">
        <v>640</v>
      </c>
      <c r="J211" t="s">
        <v>266</v>
      </c>
      <c r="K211" t="s">
        <v>5724</v>
      </c>
      <c r="L211" t="s">
        <v>267</v>
      </c>
      <c r="M211">
        <v>285506760</v>
      </c>
      <c r="N211">
        <v>-285506760</v>
      </c>
      <c r="O211">
        <v>0</v>
      </c>
      <c r="P211">
        <v>0</v>
      </c>
      <c r="Q211" t="s">
        <v>7033</v>
      </c>
      <c r="R211" t="s">
        <v>7034</v>
      </c>
      <c r="S211" t="s">
        <v>5731</v>
      </c>
      <c r="T211" t="s">
        <v>5731</v>
      </c>
      <c r="U211" t="s">
        <v>5731</v>
      </c>
      <c r="V211" t="s">
        <v>5731</v>
      </c>
      <c r="W211" t="s">
        <v>5731</v>
      </c>
      <c r="X211" t="str">
        <f t="shared" si="3"/>
        <v>Inversión</v>
      </c>
      <c r="Y211" t="s">
        <v>5810</v>
      </c>
    </row>
    <row r="212" spans="1:25" x14ac:dyDescent="0.25">
      <c r="A212" t="s">
        <v>6969</v>
      </c>
      <c r="B212" t="s">
        <v>6988</v>
      </c>
      <c r="C212" t="s">
        <v>7035</v>
      </c>
      <c r="D212" t="s">
        <v>5720</v>
      </c>
      <c r="E212" t="s">
        <v>5721</v>
      </c>
      <c r="F212" t="s">
        <v>5802</v>
      </c>
      <c r="G212" t="s">
        <v>5723</v>
      </c>
      <c r="H212" t="s">
        <v>555</v>
      </c>
      <c r="I212" t="s">
        <v>638</v>
      </c>
      <c r="J212" t="s">
        <v>273</v>
      </c>
      <c r="K212" t="s">
        <v>5734</v>
      </c>
      <c r="L212" t="s">
        <v>267</v>
      </c>
      <c r="M212">
        <v>57060806</v>
      </c>
      <c r="N212">
        <v>-12536090</v>
      </c>
      <c r="O212">
        <v>44524716</v>
      </c>
      <c r="P212">
        <v>0</v>
      </c>
      <c r="Q212" t="s">
        <v>7036</v>
      </c>
      <c r="R212" t="s">
        <v>7037</v>
      </c>
      <c r="S212" t="s">
        <v>7038</v>
      </c>
      <c r="T212" t="s">
        <v>7039</v>
      </c>
      <c r="U212" t="s">
        <v>7040</v>
      </c>
      <c r="V212" t="s">
        <v>7041</v>
      </c>
      <c r="W212" t="s">
        <v>5731</v>
      </c>
      <c r="X212" t="str">
        <f t="shared" si="3"/>
        <v>Inversión</v>
      </c>
      <c r="Y212" t="s">
        <v>5810</v>
      </c>
    </row>
    <row r="213" spans="1:25" x14ac:dyDescent="0.25">
      <c r="A213" t="s">
        <v>6976</v>
      </c>
      <c r="B213" t="s">
        <v>6988</v>
      </c>
      <c r="C213" t="s">
        <v>7042</v>
      </c>
      <c r="D213" t="s">
        <v>5720</v>
      </c>
      <c r="E213" t="s">
        <v>5721</v>
      </c>
      <c r="F213" t="s">
        <v>5802</v>
      </c>
      <c r="G213" t="s">
        <v>5723</v>
      </c>
      <c r="H213" t="s">
        <v>553</v>
      </c>
      <c r="I213" t="s">
        <v>623</v>
      </c>
      <c r="J213" t="s">
        <v>273</v>
      </c>
      <c r="K213" t="s">
        <v>5734</v>
      </c>
      <c r="L213" t="s">
        <v>267</v>
      </c>
      <c r="M213">
        <v>84543460</v>
      </c>
      <c r="N213">
        <v>-76093</v>
      </c>
      <c r="O213">
        <v>84467367</v>
      </c>
      <c r="P213">
        <v>0</v>
      </c>
      <c r="Q213" t="s">
        <v>6029</v>
      </c>
      <c r="R213" t="s">
        <v>7043</v>
      </c>
      <c r="S213" t="s">
        <v>7044</v>
      </c>
      <c r="T213" t="s">
        <v>7045</v>
      </c>
      <c r="U213" t="s">
        <v>7046</v>
      </c>
      <c r="V213" t="s">
        <v>7047</v>
      </c>
      <c r="W213" t="s">
        <v>5731</v>
      </c>
      <c r="X213" t="str">
        <f t="shared" si="3"/>
        <v>Inversión</v>
      </c>
      <c r="Y213" t="s">
        <v>5810</v>
      </c>
    </row>
    <row r="214" spans="1:25" x14ac:dyDescent="0.25">
      <c r="A214" t="s">
        <v>6983</v>
      </c>
      <c r="B214" t="s">
        <v>6988</v>
      </c>
      <c r="C214" t="s">
        <v>7048</v>
      </c>
      <c r="D214" t="s">
        <v>5720</v>
      </c>
      <c r="E214" t="s">
        <v>5721</v>
      </c>
      <c r="F214" t="s">
        <v>5802</v>
      </c>
      <c r="G214" t="s">
        <v>5723</v>
      </c>
      <c r="H214" t="s">
        <v>458</v>
      </c>
      <c r="I214" t="s">
        <v>640</v>
      </c>
      <c r="J214" t="s">
        <v>273</v>
      </c>
      <c r="K214" t="s">
        <v>5734</v>
      </c>
      <c r="L214" t="s">
        <v>267</v>
      </c>
      <c r="M214">
        <v>80634026</v>
      </c>
      <c r="N214">
        <v>-1356117</v>
      </c>
      <c r="O214">
        <v>79277909</v>
      </c>
      <c r="P214">
        <v>0</v>
      </c>
      <c r="Q214" t="s">
        <v>7049</v>
      </c>
      <c r="R214" t="s">
        <v>7050</v>
      </c>
      <c r="S214" t="s">
        <v>7051</v>
      </c>
      <c r="T214" t="s">
        <v>7052</v>
      </c>
      <c r="U214" t="s">
        <v>7053</v>
      </c>
      <c r="V214" t="s">
        <v>7054</v>
      </c>
      <c r="W214" t="s">
        <v>5731</v>
      </c>
      <c r="X214" t="str">
        <f t="shared" si="3"/>
        <v>Inversión</v>
      </c>
      <c r="Y214" t="s">
        <v>5810</v>
      </c>
    </row>
    <row r="215" spans="1:25" x14ac:dyDescent="0.25">
      <c r="A215" t="s">
        <v>6996</v>
      </c>
      <c r="B215" t="s">
        <v>6988</v>
      </c>
      <c r="C215" t="s">
        <v>7055</v>
      </c>
      <c r="D215" t="s">
        <v>5720</v>
      </c>
      <c r="E215" t="s">
        <v>5721</v>
      </c>
      <c r="F215" t="s">
        <v>5802</v>
      </c>
      <c r="G215" t="s">
        <v>5723</v>
      </c>
      <c r="H215" t="s">
        <v>458</v>
      </c>
      <c r="I215" t="s">
        <v>640</v>
      </c>
      <c r="J215" t="s">
        <v>273</v>
      </c>
      <c r="K215" t="s">
        <v>5734</v>
      </c>
      <c r="L215" t="s">
        <v>267</v>
      </c>
      <c r="M215">
        <v>352739640</v>
      </c>
      <c r="N215">
        <v>0</v>
      </c>
      <c r="O215">
        <v>352739640</v>
      </c>
      <c r="P215">
        <v>0</v>
      </c>
      <c r="Q215" t="s">
        <v>7056</v>
      </c>
      <c r="R215" t="s">
        <v>7057</v>
      </c>
      <c r="S215" t="s">
        <v>7058</v>
      </c>
      <c r="T215" t="s">
        <v>7059</v>
      </c>
      <c r="U215" t="s">
        <v>7060</v>
      </c>
      <c r="V215" t="s">
        <v>7061</v>
      </c>
      <c r="W215" t="s">
        <v>5731</v>
      </c>
      <c r="X215" t="str">
        <f t="shared" si="3"/>
        <v>Inversión</v>
      </c>
      <c r="Y215" t="s">
        <v>5810</v>
      </c>
    </row>
    <row r="216" spans="1:25" x14ac:dyDescent="0.25">
      <c r="A216" t="s">
        <v>7004</v>
      </c>
      <c r="B216" t="s">
        <v>6988</v>
      </c>
      <c r="C216" t="s">
        <v>7062</v>
      </c>
      <c r="D216" t="s">
        <v>5720</v>
      </c>
      <c r="E216" t="s">
        <v>5721</v>
      </c>
      <c r="F216" t="s">
        <v>5802</v>
      </c>
      <c r="G216" t="s">
        <v>5723</v>
      </c>
      <c r="H216" t="s">
        <v>458</v>
      </c>
      <c r="I216" t="s">
        <v>640</v>
      </c>
      <c r="J216" t="s">
        <v>273</v>
      </c>
      <c r="K216" t="s">
        <v>5734</v>
      </c>
      <c r="L216" t="s">
        <v>267</v>
      </c>
      <c r="M216">
        <v>212052600</v>
      </c>
      <c r="N216">
        <v>-4437806</v>
      </c>
      <c r="O216">
        <v>207614794</v>
      </c>
      <c r="P216">
        <v>0</v>
      </c>
      <c r="Q216" t="s">
        <v>6068</v>
      </c>
      <c r="R216" t="s">
        <v>7063</v>
      </c>
      <c r="S216" t="s">
        <v>7064</v>
      </c>
      <c r="T216" t="s">
        <v>7065</v>
      </c>
      <c r="U216" t="s">
        <v>7066</v>
      </c>
      <c r="V216" t="s">
        <v>7067</v>
      </c>
      <c r="W216" t="s">
        <v>5731</v>
      </c>
      <c r="X216" t="str">
        <f t="shared" si="3"/>
        <v>Inversión</v>
      </c>
      <c r="Y216" t="s">
        <v>5810</v>
      </c>
    </row>
    <row r="217" spans="1:25" x14ac:dyDescent="0.25">
      <c r="A217" t="s">
        <v>7011</v>
      </c>
      <c r="B217" t="s">
        <v>6988</v>
      </c>
      <c r="C217" t="s">
        <v>7068</v>
      </c>
      <c r="D217" t="s">
        <v>5720</v>
      </c>
      <c r="E217" t="s">
        <v>5737</v>
      </c>
      <c r="F217" t="s">
        <v>5802</v>
      </c>
      <c r="G217" t="s">
        <v>5723</v>
      </c>
      <c r="H217" t="s">
        <v>458</v>
      </c>
      <c r="I217" t="s">
        <v>640</v>
      </c>
      <c r="J217" t="s">
        <v>273</v>
      </c>
      <c r="K217" t="s">
        <v>5734</v>
      </c>
      <c r="L217" t="s">
        <v>267</v>
      </c>
      <c r="M217">
        <v>142652015</v>
      </c>
      <c r="N217">
        <v>-142652015</v>
      </c>
      <c r="O217">
        <v>0</v>
      </c>
      <c r="P217">
        <v>0</v>
      </c>
      <c r="Q217" t="s">
        <v>7069</v>
      </c>
      <c r="R217" t="s">
        <v>6445</v>
      </c>
      <c r="S217" t="s">
        <v>5731</v>
      </c>
      <c r="T217" t="s">
        <v>5731</v>
      </c>
      <c r="U217" t="s">
        <v>5731</v>
      </c>
      <c r="V217" t="s">
        <v>5731</v>
      </c>
      <c r="W217" t="s">
        <v>5731</v>
      </c>
      <c r="X217" t="str">
        <f t="shared" si="3"/>
        <v>Inversión</v>
      </c>
      <c r="Y217" t="s">
        <v>5810</v>
      </c>
    </row>
    <row r="218" spans="1:25" x14ac:dyDescent="0.25">
      <c r="A218" t="s">
        <v>7017</v>
      </c>
      <c r="B218" t="s">
        <v>6988</v>
      </c>
      <c r="C218" t="s">
        <v>7070</v>
      </c>
      <c r="D218" t="s">
        <v>5720</v>
      </c>
      <c r="E218" t="s">
        <v>5721</v>
      </c>
      <c r="F218" t="s">
        <v>5802</v>
      </c>
      <c r="G218" t="s">
        <v>5723</v>
      </c>
      <c r="H218" t="s">
        <v>458</v>
      </c>
      <c r="I218" t="s">
        <v>640</v>
      </c>
      <c r="J218" t="s">
        <v>273</v>
      </c>
      <c r="K218" t="s">
        <v>5734</v>
      </c>
      <c r="L218" t="s">
        <v>267</v>
      </c>
      <c r="M218">
        <v>218640604</v>
      </c>
      <c r="N218">
        <v>0</v>
      </c>
      <c r="O218">
        <v>218640604</v>
      </c>
      <c r="P218">
        <v>0</v>
      </c>
      <c r="Q218" t="s">
        <v>7071</v>
      </c>
      <c r="R218" t="s">
        <v>7072</v>
      </c>
      <c r="S218" t="s">
        <v>7073</v>
      </c>
      <c r="T218" t="s">
        <v>7074</v>
      </c>
      <c r="U218" t="s">
        <v>7075</v>
      </c>
      <c r="V218" t="s">
        <v>7076</v>
      </c>
      <c r="W218" t="s">
        <v>5731</v>
      </c>
      <c r="X218" t="str">
        <f t="shared" si="3"/>
        <v>Inversión</v>
      </c>
      <c r="Y218" t="s">
        <v>5810</v>
      </c>
    </row>
    <row r="219" spans="1:25" x14ac:dyDescent="0.25">
      <c r="A219" t="s">
        <v>7024</v>
      </c>
      <c r="B219" t="s">
        <v>6988</v>
      </c>
      <c r="C219" t="s">
        <v>7077</v>
      </c>
      <c r="D219" t="s">
        <v>5720</v>
      </c>
      <c r="E219" t="s">
        <v>5721</v>
      </c>
      <c r="F219" t="s">
        <v>5802</v>
      </c>
      <c r="G219" t="s">
        <v>5723</v>
      </c>
      <c r="H219" t="s">
        <v>458</v>
      </c>
      <c r="I219" t="s">
        <v>640</v>
      </c>
      <c r="J219" t="s">
        <v>273</v>
      </c>
      <c r="K219" t="s">
        <v>5734</v>
      </c>
      <c r="L219" t="s">
        <v>267</v>
      </c>
      <c r="M219">
        <v>388763100</v>
      </c>
      <c r="N219">
        <v>-83104617</v>
      </c>
      <c r="O219">
        <v>305658483</v>
      </c>
      <c r="P219">
        <v>0</v>
      </c>
      <c r="Q219" t="s">
        <v>7078</v>
      </c>
      <c r="R219" t="s">
        <v>7079</v>
      </c>
      <c r="S219" t="s">
        <v>7080</v>
      </c>
      <c r="T219" t="s">
        <v>7081</v>
      </c>
      <c r="U219" t="s">
        <v>7082</v>
      </c>
      <c r="V219" t="s">
        <v>7083</v>
      </c>
      <c r="W219" t="s">
        <v>5731</v>
      </c>
      <c r="X219" t="str">
        <f t="shared" si="3"/>
        <v>Inversión</v>
      </c>
      <c r="Y219" t="s">
        <v>5810</v>
      </c>
    </row>
    <row r="220" spans="1:25" x14ac:dyDescent="0.25">
      <c r="A220" t="s">
        <v>7037</v>
      </c>
      <c r="B220" t="s">
        <v>6988</v>
      </c>
      <c r="C220" t="s">
        <v>7084</v>
      </c>
      <c r="D220" t="s">
        <v>5720</v>
      </c>
      <c r="E220" t="s">
        <v>5721</v>
      </c>
      <c r="F220" t="s">
        <v>5733</v>
      </c>
      <c r="G220" t="s">
        <v>5723</v>
      </c>
      <c r="H220" t="s">
        <v>461</v>
      </c>
      <c r="I220" t="s">
        <v>644</v>
      </c>
      <c r="J220" t="s">
        <v>273</v>
      </c>
      <c r="K220" t="s">
        <v>5734</v>
      </c>
      <c r="L220" t="s">
        <v>267</v>
      </c>
      <c r="M220">
        <v>217036248</v>
      </c>
      <c r="N220">
        <v>-7892228</v>
      </c>
      <c r="O220">
        <v>209144020</v>
      </c>
      <c r="P220">
        <v>0</v>
      </c>
      <c r="Q220" t="s">
        <v>7085</v>
      </c>
      <c r="R220" t="s">
        <v>5896</v>
      </c>
      <c r="S220" t="s">
        <v>7086</v>
      </c>
      <c r="T220" t="s">
        <v>7087</v>
      </c>
      <c r="U220" t="s">
        <v>7088</v>
      </c>
      <c r="V220" t="s">
        <v>7089</v>
      </c>
      <c r="W220" t="s">
        <v>5731</v>
      </c>
      <c r="X220" t="str">
        <f t="shared" si="3"/>
        <v>Inversión</v>
      </c>
      <c r="Y220" t="s">
        <v>5735</v>
      </c>
    </row>
    <row r="221" spans="1:25" x14ac:dyDescent="0.25">
      <c r="A221" t="s">
        <v>7043</v>
      </c>
      <c r="B221" t="s">
        <v>6988</v>
      </c>
      <c r="C221" t="s">
        <v>7090</v>
      </c>
      <c r="D221" t="s">
        <v>5720</v>
      </c>
      <c r="E221" t="s">
        <v>5721</v>
      </c>
      <c r="F221" t="s">
        <v>5733</v>
      </c>
      <c r="G221" t="s">
        <v>5723</v>
      </c>
      <c r="H221" t="s">
        <v>461</v>
      </c>
      <c r="I221" t="s">
        <v>644</v>
      </c>
      <c r="J221" t="s">
        <v>273</v>
      </c>
      <c r="K221" t="s">
        <v>5734</v>
      </c>
      <c r="L221" t="s">
        <v>267</v>
      </c>
      <c r="M221">
        <v>108518124</v>
      </c>
      <c r="N221">
        <v>0</v>
      </c>
      <c r="O221">
        <v>108518124</v>
      </c>
      <c r="P221">
        <v>0</v>
      </c>
      <c r="Q221" t="s">
        <v>7091</v>
      </c>
      <c r="R221" t="s">
        <v>7092</v>
      </c>
      <c r="S221" t="s">
        <v>6627</v>
      </c>
      <c r="T221" t="s">
        <v>7093</v>
      </c>
      <c r="U221" t="s">
        <v>7094</v>
      </c>
      <c r="V221" t="s">
        <v>7095</v>
      </c>
      <c r="W221" t="s">
        <v>5731</v>
      </c>
      <c r="X221" t="str">
        <f t="shared" si="3"/>
        <v>Inversión</v>
      </c>
      <c r="Y221" t="s">
        <v>5735</v>
      </c>
    </row>
    <row r="222" spans="1:25" x14ac:dyDescent="0.25">
      <c r="A222" t="s">
        <v>7050</v>
      </c>
      <c r="B222" t="s">
        <v>6988</v>
      </c>
      <c r="C222" t="s">
        <v>7096</v>
      </c>
      <c r="D222" t="s">
        <v>5720</v>
      </c>
      <c r="E222" t="s">
        <v>5721</v>
      </c>
      <c r="F222" t="s">
        <v>5722</v>
      </c>
      <c r="G222" t="s">
        <v>5723</v>
      </c>
      <c r="H222" t="s">
        <v>448</v>
      </c>
      <c r="I222" t="s">
        <v>663</v>
      </c>
      <c r="J222" t="s">
        <v>266</v>
      </c>
      <c r="K222" t="s">
        <v>5724</v>
      </c>
      <c r="L222" t="s">
        <v>267</v>
      </c>
      <c r="M222">
        <v>76558000</v>
      </c>
      <c r="N222">
        <v>0</v>
      </c>
      <c r="O222">
        <v>76558000</v>
      </c>
      <c r="P222">
        <v>0</v>
      </c>
      <c r="Q222" t="s">
        <v>7097</v>
      </c>
      <c r="R222" t="s">
        <v>6140</v>
      </c>
      <c r="S222" t="s">
        <v>6510</v>
      </c>
      <c r="T222" t="s">
        <v>7098</v>
      </c>
      <c r="U222" t="s">
        <v>7099</v>
      </c>
      <c r="V222" t="s">
        <v>7100</v>
      </c>
      <c r="W222" t="s">
        <v>5731</v>
      </c>
      <c r="X222" t="str">
        <f t="shared" si="3"/>
        <v>Inversión</v>
      </c>
      <c r="Y222" t="s">
        <v>5732</v>
      </c>
    </row>
    <row r="223" spans="1:25" x14ac:dyDescent="0.25">
      <c r="A223" t="s">
        <v>7050</v>
      </c>
      <c r="B223" t="s">
        <v>6988</v>
      </c>
      <c r="C223" t="s">
        <v>7096</v>
      </c>
      <c r="D223" t="s">
        <v>5720</v>
      </c>
      <c r="E223" t="s">
        <v>5721</v>
      </c>
      <c r="F223" t="s">
        <v>5722</v>
      </c>
      <c r="G223" t="s">
        <v>5723</v>
      </c>
      <c r="H223" t="s">
        <v>448</v>
      </c>
      <c r="I223" t="s">
        <v>663</v>
      </c>
      <c r="J223" t="s">
        <v>273</v>
      </c>
      <c r="K223" t="s">
        <v>5734</v>
      </c>
      <c r="L223" t="s">
        <v>267</v>
      </c>
      <c r="M223">
        <v>85758000</v>
      </c>
      <c r="N223">
        <v>0</v>
      </c>
      <c r="O223">
        <v>85758000</v>
      </c>
      <c r="P223">
        <v>0</v>
      </c>
      <c r="Q223" t="s">
        <v>7097</v>
      </c>
      <c r="R223" t="s">
        <v>6140</v>
      </c>
      <c r="S223" t="s">
        <v>6510</v>
      </c>
      <c r="T223" t="s">
        <v>7098</v>
      </c>
      <c r="U223" t="s">
        <v>7099</v>
      </c>
      <c r="V223" t="s">
        <v>7100</v>
      </c>
      <c r="W223" t="s">
        <v>5731</v>
      </c>
      <c r="X223" t="str">
        <f t="shared" si="3"/>
        <v>Inversión</v>
      </c>
      <c r="Y223" t="s">
        <v>5732</v>
      </c>
    </row>
    <row r="224" spans="1:25" x14ac:dyDescent="0.25">
      <c r="A224" t="s">
        <v>6445</v>
      </c>
      <c r="B224" t="s">
        <v>7101</v>
      </c>
      <c r="C224" t="s">
        <v>7102</v>
      </c>
      <c r="D224" t="s">
        <v>5720</v>
      </c>
      <c r="E224" t="s">
        <v>5721</v>
      </c>
      <c r="F224" t="s">
        <v>5802</v>
      </c>
      <c r="G224" t="s">
        <v>5723</v>
      </c>
      <c r="H224" t="s">
        <v>458</v>
      </c>
      <c r="I224" t="s">
        <v>640</v>
      </c>
      <c r="J224" t="s">
        <v>266</v>
      </c>
      <c r="K224" t="s">
        <v>5724</v>
      </c>
      <c r="L224" t="s">
        <v>267</v>
      </c>
      <c r="M224">
        <v>28675821</v>
      </c>
      <c r="N224">
        <v>-623632</v>
      </c>
      <c r="O224">
        <v>28052189</v>
      </c>
      <c r="P224">
        <v>0</v>
      </c>
      <c r="Q224" t="s">
        <v>7103</v>
      </c>
      <c r="R224" t="s">
        <v>7104</v>
      </c>
      <c r="S224" t="s">
        <v>7105</v>
      </c>
      <c r="T224" t="s">
        <v>7106</v>
      </c>
      <c r="U224" t="s">
        <v>7107</v>
      </c>
      <c r="V224" t="s">
        <v>7108</v>
      </c>
      <c r="W224" t="s">
        <v>7109</v>
      </c>
      <c r="X224" t="str">
        <f t="shared" si="3"/>
        <v>Inversión</v>
      </c>
      <c r="Y224" t="s">
        <v>5810</v>
      </c>
    </row>
    <row r="225" spans="1:25" x14ac:dyDescent="0.25">
      <c r="A225" t="s">
        <v>7072</v>
      </c>
      <c r="B225" t="s">
        <v>7101</v>
      </c>
      <c r="C225" t="s">
        <v>7110</v>
      </c>
      <c r="D225" t="s">
        <v>5720</v>
      </c>
      <c r="E225" t="s">
        <v>5721</v>
      </c>
      <c r="F225" t="s">
        <v>5802</v>
      </c>
      <c r="G225" t="s">
        <v>5723</v>
      </c>
      <c r="H225" t="s">
        <v>458</v>
      </c>
      <c r="I225" t="s">
        <v>640</v>
      </c>
      <c r="J225" t="s">
        <v>266</v>
      </c>
      <c r="K225" t="s">
        <v>5724</v>
      </c>
      <c r="L225" t="s">
        <v>267</v>
      </c>
      <c r="M225">
        <v>8985027</v>
      </c>
      <c r="N225">
        <v>-2610769</v>
      </c>
      <c r="O225">
        <v>6374258</v>
      </c>
      <c r="P225">
        <v>0</v>
      </c>
      <c r="Q225" t="s">
        <v>7111</v>
      </c>
      <c r="R225" t="s">
        <v>7112</v>
      </c>
      <c r="S225" t="s">
        <v>7113</v>
      </c>
      <c r="T225" t="s">
        <v>7114</v>
      </c>
      <c r="U225" t="s">
        <v>7115</v>
      </c>
      <c r="V225" t="s">
        <v>7116</v>
      </c>
      <c r="W225" t="s">
        <v>7117</v>
      </c>
      <c r="X225" t="str">
        <f t="shared" si="3"/>
        <v>Inversión</v>
      </c>
      <c r="Y225" t="s">
        <v>5810</v>
      </c>
    </row>
    <row r="226" spans="1:25" x14ac:dyDescent="0.25">
      <c r="A226" t="s">
        <v>6917</v>
      </c>
      <c r="B226" t="s">
        <v>7118</v>
      </c>
      <c r="C226" t="s">
        <v>7119</v>
      </c>
      <c r="D226" t="s">
        <v>5720</v>
      </c>
      <c r="E226" t="s">
        <v>5721</v>
      </c>
      <c r="F226" t="s">
        <v>5854</v>
      </c>
      <c r="G226" t="s">
        <v>5723</v>
      </c>
      <c r="H226" t="s">
        <v>539</v>
      </c>
      <c r="I226" t="s">
        <v>658</v>
      </c>
      <c r="J226" t="s">
        <v>273</v>
      </c>
      <c r="K226" t="s">
        <v>5734</v>
      </c>
      <c r="L226" t="s">
        <v>267</v>
      </c>
      <c r="M226">
        <v>77865780</v>
      </c>
      <c r="N226">
        <v>38932440</v>
      </c>
      <c r="O226">
        <v>116798220</v>
      </c>
      <c r="P226">
        <v>0</v>
      </c>
      <c r="Q226" t="s">
        <v>7120</v>
      </c>
      <c r="R226" t="s">
        <v>7121</v>
      </c>
      <c r="S226" t="s">
        <v>7122</v>
      </c>
      <c r="T226" t="s">
        <v>7123</v>
      </c>
      <c r="U226" t="s">
        <v>7124</v>
      </c>
      <c r="V226" t="s">
        <v>7125</v>
      </c>
      <c r="W226" t="s">
        <v>5731</v>
      </c>
      <c r="X226" t="str">
        <f t="shared" si="3"/>
        <v>Inversión</v>
      </c>
      <c r="Y226" t="s">
        <v>5861</v>
      </c>
    </row>
    <row r="227" spans="1:25" x14ac:dyDescent="0.25">
      <c r="A227" t="s">
        <v>6835</v>
      </c>
      <c r="B227" t="s">
        <v>7118</v>
      </c>
      <c r="C227" t="s">
        <v>7126</v>
      </c>
      <c r="D227" t="s">
        <v>5720</v>
      </c>
      <c r="E227" t="s">
        <v>5721</v>
      </c>
      <c r="F227" t="s">
        <v>5854</v>
      </c>
      <c r="G227" t="s">
        <v>5723</v>
      </c>
      <c r="H227" t="s">
        <v>539</v>
      </c>
      <c r="I227" t="s">
        <v>658</v>
      </c>
      <c r="J227" t="s">
        <v>273</v>
      </c>
      <c r="K227" t="s">
        <v>5734</v>
      </c>
      <c r="L227" t="s">
        <v>267</v>
      </c>
      <c r="M227">
        <v>61490990</v>
      </c>
      <c r="N227">
        <v>0</v>
      </c>
      <c r="O227">
        <v>61490990</v>
      </c>
      <c r="P227">
        <v>0</v>
      </c>
      <c r="Q227" t="s">
        <v>7127</v>
      </c>
      <c r="R227" t="s">
        <v>7128</v>
      </c>
      <c r="S227" t="s">
        <v>6555</v>
      </c>
      <c r="T227" t="s">
        <v>7129</v>
      </c>
      <c r="U227" t="s">
        <v>7130</v>
      </c>
      <c r="V227" t="s">
        <v>7131</v>
      </c>
      <c r="W227" t="s">
        <v>5731</v>
      </c>
      <c r="X227" t="str">
        <f t="shared" si="3"/>
        <v>Inversión</v>
      </c>
      <c r="Y227" t="s">
        <v>5861</v>
      </c>
    </row>
    <row r="228" spans="1:25" x14ac:dyDescent="0.25">
      <c r="A228" t="s">
        <v>7132</v>
      </c>
      <c r="B228" t="s">
        <v>7118</v>
      </c>
      <c r="C228" t="s">
        <v>7133</v>
      </c>
      <c r="D228" t="s">
        <v>5720</v>
      </c>
      <c r="E228" t="s">
        <v>5721</v>
      </c>
      <c r="F228" t="s">
        <v>5854</v>
      </c>
      <c r="G228" t="s">
        <v>5723</v>
      </c>
      <c r="H228" t="s">
        <v>539</v>
      </c>
      <c r="I228" t="s">
        <v>658</v>
      </c>
      <c r="J228" t="s">
        <v>273</v>
      </c>
      <c r="K228" t="s">
        <v>5734</v>
      </c>
      <c r="L228" t="s">
        <v>267</v>
      </c>
      <c r="M228">
        <v>58642928</v>
      </c>
      <c r="N228">
        <v>14660732</v>
      </c>
      <c r="O228">
        <v>73303660</v>
      </c>
      <c r="P228">
        <v>14660732</v>
      </c>
      <c r="Q228" t="s">
        <v>7134</v>
      </c>
      <c r="R228" t="s">
        <v>6304</v>
      </c>
      <c r="S228" t="s">
        <v>7135</v>
      </c>
      <c r="T228" t="s">
        <v>7136</v>
      </c>
      <c r="U228" t="s">
        <v>7137</v>
      </c>
      <c r="V228" t="s">
        <v>7138</v>
      </c>
      <c r="W228" t="s">
        <v>5731</v>
      </c>
      <c r="X228" t="str">
        <f t="shared" si="3"/>
        <v>Inversión</v>
      </c>
      <c r="Y228" t="s">
        <v>5861</v>
      </c>
    </row>
    <row r="229" spans="1:25" x14ac:dyDescent="0.25">
      <c r="A229" t="s">
        <v>6384</v>
      </c>
      <c r="B229" t="s">
        <v>7118</v>
      </c>
      <c r="C229" t="s">
        <v>7139</v>
      </c>
      <c r="D229" t="s">
        <v>5720</v>
      </c>
      <c r="E229" t="s">
        <v>5969</v>
      </c>
      <c r="F229" t="s">
        <v>5854</v>
      </c>
      <c r="G229" t="s">
        <v>5723</v>
      </c>
      <c r="H229" t="s">
        <v>539</v>
      </c>
      <c r="I229" t="s">
        <v>658</v>
      </c>
      <c r="J229" t="s">
        <v>273</v>
      </c>
      <c r="K229" t="s">
        <v>5734</v>
      </c>
      <c r="L229" t="s">
        <v>267</v>
      </c>
      <c r="M229">
        <v>61490990</v>
      </c>
      <c r="N229">
        <v>-61490990</v>
      </c>
      <c r="O229">
        <v>0</v>
      </c>
      <c r="P229">
        <v>0</v>
      </c>
      <c r="Q229" t="s">
        <v>7140</v>
      </c>
      <c r="R229" t="s">
        <v>7141</v>
      </c>
      <c r="S229" t="s">
        <v>5731</v>
      </c>
      <c r="T229" t="s">
        <v>5731</v>
      </c>
      <c r="U229" t="s">
        <v>5731</v>
      </c>
      <c r="V229" t="s">
        <v>5731</v>
      </c>
      <c r="W229" t="s">
        <v>5731</v>
      </c>
      <c r="X229" t="str">
        <f t="shared" si="3"/>
        <v>Inversión</v>
      </c>
      <c r="Y229" t="s">
        <v>5861</v>
      </c>
    </row>
    <row r="230" spans="1:25" x14ac:dyDescent="0.25">
      <c r="A230" t="s">
        <v>6923</v>
      </c>
      <c r="B230" t="s">
        <v>7142</v>
      </c>
      <c r="C230" t="s">
        <v>7143</v>
      </c>
      <c r="D230" t="s">
        <v>5720</v>
      </c>
      <c r="E230" t="s">
        <v>5721</v>
      </c>
      <c r="F230" t="s">
        <v>5802</v>
      </c>
      <c r="G230" t="s">
        <v>5723</v>
      </c>
      <c r="H230" t="s">
        <v>458</v>
      </c>
      <c r="I230" t="s">
        <v>640</v>
      </c>
      <c r="J230" t="s">
        <v>266</v>
      </c>
      <c r="K230" t="s">
        <v>5724</v>
      </c>
      <c r="L230" t="s">
        <v>267</v>
      </c>
      <c r="M230">
        <v>4604400</v>
      </c>
      <c r="N230">
        <v>0</v>
      </c>
      <c r="O230">
        <v>4604400</v>
      </c>
      <c r="P230">
        <v>3866600</v>
      </c>
      <c r="Q230" t="s">
        <v>7144</v>
      </c>
      <c r="R230" t="s">
        <v>6272</v>
      </c>
      <c r="S230" t="s">
        <v>7145</v>
      </c>
      <c r="T230" t="s">
        <v>7146</v>
      </c>
      <c r="U230" t="s">
        <v>7147</v>
      </c>
      <c r="V230" t="s">
        <v>7148</v>
      </c>
      <c r="W230" t="s">
        <v>5731</v>
      </c>
      <c r="X230" t="str">
        <f t="shared" si="3"/>
        <v>Inversión</v>
      </c>
      <c r="Y230" t="s">
        <v>5810</v>
      </c>
    </row>
    <row r="231" spans="1:25" x14ac:dyDescent="0.25">
      <c r="A231" t="s">
        <v>6186</v>
      </c>
      <c r="B231" t="s">
        <v>7149</v>
      </c>
      <c r="C231" t="s">
        <v>7150</v>
      </c>
      <c r="D231" t="s">
        <v>5720</v>
      </c>
      <c r="E231" t="s">
        <v>5721</v>
      </c>
      <c r="F231" t="s">
        <v>6356</v>
      </c>
      <c r="G231" t="s">
        <v>5723</v>
      </c>
      <c r="H231" t="s">
        <v>550</v>
      </c>
      <c r="I231" t="s">
        <v>642</v>
      </c>
      <c r="J231" t="s">
        <v>266</v>
      </c>
      <c r="K231" t="s">
        <v>5724</v>
      </c>
      <c r="L231" t="s">
        <v>267</v>
      </c>
      <c r="M231">
        <v>21446236</v>
      </c>
      <c r="N231">
        <v>0</v>
      </c>
      <c r="O231">
        <v>21446236</v>
      </c>
      <c r="P231">
        <v>0</v>
      </c>
      <c r="Q231" t="s">
        <v>7151</v>
      </c>
      <c r="R231" t="s">
        <v>7152</v>
      </c>
      <c r="S231" t="s">
        <v>6492</v>
      </c>
      <c r="T231" t="s">
        <v>7153</v>
      </c>
      <c r="U231" t="s">
        <v>7154</v>
      </c>
      <c r="V231" t="s">
        <v>7155</v>
      </c>
      <c r="W231" t="s">
        <v>5731</v>
      </c>
      <c r="X231" t="str">
        <f t="shared" si="3"/>
        <v>Inversión</v>
      </c>
      <c r="Y231" t="s">
        <v>6362</v>
      </c>
    </row>
    <row r="232" spans="1:25" x14ac:dyDescent="0.25">
      <c r="A232" t="s">
        <v>7156</v>
      </c>
      <c r="B232" t="s">
        <v>7157</v>
      </c>
      <c r="C232" t="s">
        <v>7158</v>
      </c>
      <c r="D232" t="s">
        <v>5720</v>
      </c>
      <c r="E232" t="s">
        <v>5721</v>
      </c>
      <c r="F232" t="s">
        <v>5802</v>
      </c>
      <c r="G232" t="s">
        <v>5723</v>
      </c>
      <c r="H232" t="s">
        <v>463</v>
      </c>
      <c r="I232" t="s">
        <v>639</v>
      </c>
      <c r="J232" t="s">
        <v>273</v>
      </c>
      <c r="K232" t="s">
        <v>5734</v>
      </c>
      <c r="L232" t="s">
        <v>267</v>
      </c>
      <c r="M232">
        <v>10000000</v>
      </c>
      <c r="N232">
        <v>-6430000</v>
      </c>
      <c r="O232">
        <v>3570000</v>
      </c>
      <c r="P232">
        <v>0</v>
      </c>
      <c r="Q232" t="s">
        <v>7159</v>
      </c>
      <c r="R232" t="s">
        <v>7160</v>
      </c>
      <c r="S232" t="s">
        <v>7161</v>
      </c>
      <c r="T232" t="s">
        <v>5731</v>
      </c>
      <c r="U232" t="s">
        <v>5731</v>
      </c>
      <c r="V232" t="s">
        <v>5731</v>
      </c>
      <c r="W232" t="s">
        <v>5731</v>
      </c>
      <c r="X232" t="str">
        <f t="shared" si="3"/>
        <v>Inversión</v>
      </c>
      <c r="Y232" t="s">
        <v>5810</v>
      </c>
    </row>
    <row r="233" spans="1:25" x14ac:dyDescent="0.25">
      <c r="A233" t="s">
        <v>7162</v>
      </c>
      <c r="B233" t="s">
        <v>7157</v>
      </c>
      <c r="C233" t="s">
        <v>7163</v>
      </c>
      <c r="D233" t="s">
        <v>5720</v>
      </c>
      <c r="E233" t="s">
        <v>5721</v>
      </c>
      <c r="F233" t="s">
        <v>5802</v>
      </c>
      <c r="G233" t="s">
        <v>5723</v>
      </c>
      <c r="H233" t="s">
        <v>458</v>
      </c>
      <c r="I233" t="s">
        <v>640</v>
      </c>
      <c r="J233" t="s">
        <v>273</v>
      </c>
      <c r="K233" t="s">
        <v>5734</v>
      </c>
      <c r="L233" t="s">
        <v>267</v>
      </c>
      <c r="M233">
        <v>780000000</v>
      </c>
      <c r="N233">
        <v>-425600629</v>
      </c>
      <c r="O233">
        <v>354399371</v>
      </c>
      <c r="P233">
        <v>0</v>
      </c>
      <c r="Q233" t="s">
        <v>7164</v>
      </c>
      <c r="R233" t="s">
        <v>6162</v>
      </c>
      <c r="S233" t="s">
        <v>7165</v>
      </c>
      <c r="T233" t="s">
        <v>5731</v>
      </c>
      <c r="U233" t="s">
        <v>5731</v>
      </c>
      <c r="V233" t="s">
        <v>5731</v>
      </c>
      <c r="W233" t="s">
        <v>5731</v>
      </c>
      <c r="X233" t="str">
        <f t="shared" si="3"/>
        <v>Inversión</v>
      </c>
      <c r="Y233" t="s">
        <v>5810</v>
      </c>
    </row>
    <row r="234" spans="1:25" x14ac:dyDescent="0.25">
      <c r="A234" t="s">
        <v>6939</v>
      </c>
      <c r="B234" t="s">
        <v>7157</v>
      </c>
      <c r="C234" t="s">
        <v>7166</v>
      </c>
      <c r="D234" t="s">
        <v>5720</v>
      </c>
      <c r="E234" t="s">
        <v>5721</v>
      </c>
      <c r="F234" t="s">
        <v>5802</v>
      </c>
      <c r="G234" t="s">
        <v>5723</v>
      </c>
      <c r="H234" t="s">
        <v>444</v>
      </c>
      <c r="I234" t="s">
        <v>634</v>
      </c>
      <c r="J234" t="s">
        <v>266</v>
      </c>
      <c r="K234" t="s">
        <v>5724</v>
      </c>
      <c r="L234" t="s">
        <v>267</v>
      </c>
      <c r="M234">
        <v>85682910</v>
      </c>
      <c r="N234">
        <v>-77112</v>
      </c>
      <c r="O234">
        <v>85605798</v>
      </c>
      <c r="P234">
        <v>0</v>
      </c>
      <c r="Q234" t="s">
        <v>7167</v>
      </c>
      <c r="R234" t="s">
        <v>7168</v>
      </c>
      <c r="S234" t="s">
        <v>7169</v>
      </c>
      <c r="T234" t="s">
        <v>7170</v>
      </c>
      <c r="U234" t="s">
        <v>7171</v>
      </c>
      <c r="V234" t="s">
        <v>7172</v>
      </c>
      <c r="W234" t="s">
        <v>5731</v>
      </c>
      <c r="X234" t="str">
        <f t="shared" si="3"/>
        <v>Inversión</v>
      </c>
      <c r="Y234" t="s">
        <v>5810</v>
      </c>
    </row>
    <row r="235" spans="1:25" x14ac:dyDescent="0.25">
      <c r="A235" t="s">
        <v>6438</v>
      </c>
      <c r="B235" t="s">
        <v>7157</v>
      </c>
      <c r="C235" t="s">
        <v>7173</v>
      </c>
      <c r="D235" t="s">
        <v>5720</v>
      </c>
      <c r="E235" t="s">
        <v>5721</v>
      </c>
      <c r="F235" t="s">
        <v>5802</v>
      </c>
      <c r="G235" t="s">
        <v>5723</v>
      </c>
      <c r="H235" t="s">
        <v>463</v>
      </c>
      <c r="I235" t="s">
        <v>639</v>
      </c>
      <c r="J235" t="s">
        <v>266</v>
      </c>
      <c r="K235" t="s">
        <v>5724</v>
      </c>
      <c r="L235" t="s">
        <v>267</v>
      </c>
      <c r="M235">
        <v>166854600</v>
      </c>
      <c r="N235">
        <v>-59051346</v>
      </c>
      <c r="O235">
        <v>107803254</v>
      </c>
      <c r="P235">
        <v>0</v>
      </c>
      <c r="Q235" t="s">
        <v>7174</v>
      </c>
      <c r="R235" t="s">
        <v>7175</v>
      </c>
      <c r="S235" t="s">
        <v>7176</v>
      </c>
      <c r="T235" t="s">
        <v>7177</v>
      </c>
      <c r="U235" t="s">
        <v>7178</v>
      </c>
      <c r="V235" t="s">
        <v>7179</v>
      </c>
      <c r="W235" t="s">
        <v>5731</v>
      </c>
      <c r="X235" t="str">
        <f t="shared" si="3"/>
        <v>Inversión</v>
      </c>
      <c r="Y235" t="s">
        <v>5810</v>
      </c>
    </row>
    <row r="236" spans="1:25" x14ac:dyDescent="0.25">
      <c r="A236" t="s">
        <v>6816</v>
      </c>
      <c r="B236" t="s">
        <v>7157</v>
      </c>
      <c r="C236" t="s">
        <v>7180</v>
      </c>
      <c r="D236" t="s">
        <v>5720</v>
      </c>
      <c r="E236" t="s">
        <v>5737</v>
      </c>
      <c r="F236" t="s">
        <v>5802</v>
      </c>
      <c r="G236" t="s">
        <v>5723</v>
      </c>
      <c r="H236" t="s">
        <v>463</v>
      </c>
      <c r="I236" t="s">
        <v>639</v>
      </c>
      <c r="J236" t="s">
        <v>273</v>
      </c>
      <c r="K236" t="s">
        <v>5734</v>
      </c>
      <c r="L236" t="s">
        <v>267</v>
      </c>
      <c r="M236">
        <v>57121940</v>
      </c>
      <c r="N236">
        <v>0</v>
      </c>
      <c r="O236">
        <v>57121940</v>
      </c>
      <c r="P236">
        <v>57121940</v>
      </c>
      <c r="Q236" t="s">
        <v>7181</v>
      </c>
      <c r="R236" t="s">
        <v>7182</v>
      </c>
      <c r="S236" t="s">
        <v>5731</v>
      </c>
      <c r="T236" t="s">
        <v>5731</v>
      </c>
      <c r="U236" t="s">
        <v>5731</v>
      </c>
      <c r="V236" t="s">
        <v>5731</v>
      </c>
      <c r="W236" t="s">
        <v>5731</v>
      </c>
      <c r="X236" t="str">
        <f t="shared" si="3"/>
        <v>Inversión</v>
      </c>
      <c r="Y236" t="s">
        <v>5810</v>
      </c>
    </row>
    <row r="237" spans="1:25" x14ac:dyDescent="0.25">
      <c r="A237" t="s">
        <v>6880</v>
      </c>
      <c r="B237" t="s">
        <v>7157</v>
      </c>
      <c r="C237" t="s">
        <v>7183</v>
      </c>
      <c r="D237" t="s">
        <v>5720</v>
      </c>
      <c r="E237" t="s">
        <v>5721</v>
      </c>
      <c r="F237" t="s">
        <v>5802</v>
      </c>
      <c r="G237" t="s">
        <v>5723</v>
      </c>
      <c r="H237" t="s">
        <v>463</v>
      </c>
      <c r="I237" t="s">
        <v>639</v>
      </c>
      <c r="J237" t="s">
        <v>266</v>
      </c>
      <c r="K237" t="s">
        <v>5724</v>
      </c>
      <c r="L237" t="s">
        <v>267</v>
      </c>
      <c r="M237">
        <v>31417067</v>
      </c>
      <c r="N237">
        <v>-1999267</v>
      </c>
      <c r="O237">
        <v>29417800</v>
      </c>
      <c r="P237">
        <v>0</v>
      </c>
      <c r="Q237" t="s">
        <v>7184</v>
      </c>
      <c r="R237" t="s">
        <v>7185</v>
      </c>
      <c r="S237" t="s">
        <v>7186</v>
      </c>
      <c r="T237" t="s">
        <v>7187</v>
      </c>
      <c r="U237" t="s">
        <v>7188</v>
      </c>
      <c r="V237" t="s">
        <v>7189</v>
      </c>
      <c r="W237" t="s">
        <v>5731</v>
      </c>
      <c r="X237" t="str">
        <f t="shared" si="3"/>
        <v>Inversión</v>
      </c>
      <c r="Y237" t="s">
        <v>5810</v>
      </c>
    </row>
    <row r="238" spans="1:25" x14ac:dyDescent="0.25">
      <c r="A238" t="s">
        <v>6695</v>
      </c>
      <c r="B238" t="s">
        <v>7157</v>
      </c>
      <c r="C238" t="s">
        <v>7190</v>
      </c>
      <c r="D238" t="s">
        <v>5720</v>
      </c>
      <c r="E238" t="s">
        <v>5721</v>
      </c>
      <c r="F238" t="s">
        <v>5802</v>
      </c>
      <c r="G238" t="s">
        <v>5723</v>
      </c>
      <c r="H238" t="s">
        <v>463</v>
      </c>
      <c r="I238" t="s">
        <v>639</v>
      </c>
      <c r="J238" t="s">
        <v>266</v>
      </c>
      <c r="K238" t="s">
        <v>5724</v>
      </c>
      <c r="L238" t="s">
        <v>267</v>
      </c>
      <c r="M238">
        <v>57060806</v>
      </c>
      <c r="N238">
        <v>-2384454</v>
      </c>
      <c r="O238">
        <v>54676352</v>
      </c>
      <c r="P238">
        <v>0</v>
      </c>
      <c r="Q238" t="s">
        <v>7191</v>
      </c>
      <c r="R238" t="s">
        <v>7192</v>
      </c>
      <c r="S238" t="s">
        <v>7193</v>
      </c>
      <c r="T238" t="s">
        <v>7194</v>
      </c>
      <c r="U238" t="s">
        <v>7195</v>
      </c>
      <c r="V238" t="s">
        <v>7196</v>
      </c>
      <c r="W238" t="s">
        <v>5731</v>
      </c>
      <c r="X238" t="str">
        <f t="shared" si="3"/>
        <v>Inversión</v>
      </c>
      <c r="Y238" t="s">
        <v>5810</v>
      </c>
    </row>
    <row r="239" spans="1:25" x14ac:dyDescent="0.25">
      <c r="A239" t="s">
        <v>6930</v>
      </c>
      <c r="B239" t="s">
        <v>7157</v>
      </c>
      <c r="C239" t="s">
        <v>7197</v>
      </c>
      <c r="D239" t="s">
        <v>5720</v>
      </c>
      <c r="E239" t="s">
        <v>5721</v>
      </c>
      <c r="F239" t="s">
        <v>5802</v>
      </c>
      <c r="G239" t="s">
        <v>5723</v>
      </c>
      <c r="H239" t="s">
        <v>458</v>
      </c>
      <c r="I239" t="s">
        <v>640</v>
      </c>
      <c r="J239" t="s">
        <v>273</v>
      </c>
      <c r="K239" t="s">
        <v>5734</v>
      </c>
      <c r="L239" t="s">
        <v>267</v>
      </c>
      <c r="M239">
        <v>194381550</v>
      </c>
      <c r="N239">
        <v>-43918462</v>
      </c>
      <c r="O239">
        <v>150463088</v>
      </c>
      <c r="P239">
        <v>0</v>
      </c>
      <c r="Q239" t="s">
        <v>7198</v>
      </c>
      <c r="R239" t="s">
        <v>6238</v>
      </c>
      <c r="S239" t="s">
        <v>7199</v>
      </c>
      <c r="T239" t="s">
        <v>7200</v>
      </c>
      <c r="U239" t="s">
        <v>7201</v>
      </c>
      <c r="V239" t="s">
        <v>7202</v>
      </c>
      <c r="W239" t="s">
        <v>5731</v>
      </c>
      <c r="X239" t="str">
        <f t="shared" si="3"/>
        <v>Inversión</v>
      </c>
      <c r="Y239" t="s">
        <v>5810</v>
      </c>
    </row>
    <row r="240" spans="1:25" x14ac:dyDescent="0.25">
      <c r="A240" t="s">
        <v>7203</v>
      </c>
      <c r="B240" t="s">
        <v>7157</v>
      </c>
      <c r="C240" t="s">
        <v>7204</v>
      </c>
      <c r="D240" t="s">
        <v>5720</v>
      </c>
      <c r="E240" t="s">
        <v>5737</v>
      </c>
      <c r="F240" t="s">
        <v>5802</v>
      </c>
      <c r="G240" t="s">
        <v>5723</v>
      </c>
      <c r="H240" t="s">
        <v>458</v>
      </c>
      <c r="I240" t="s">
        <v>640</v>
      </c>
      <c r="J240" t="s">
        <v>266</v>
      </c>
      <c r="K240" t="s">
        <v>5724</v>
      </c>
      <c r="L240" t="s">
        <v>267</v>
      </c>
      <c r="M240">
        <v>130000000</v>
      </c>
      <c r="N240">
        <v>-130000000</v>
      </c>
      <c r="O240">
        <v>0</v>
      </c>
      <c r="P240">
        <v>0</v>
      </c>
      <c r="Q240" t="s">
        <v>7205</v>
      </c>
      <c r="R240" t="s">
        <v>7206</v>
      </c>
      <c r="S240" t="s">
        <v>5731</v>
      </c>
      <c r="T240" t="s">
        <v>5731</v>
      </c>
      <c r="U240" t="s">
        <v>5731</v>
      </c>
      <c r="V240" t="s">
        <v>5731</v>
      </c>
      <c r="W240" t="s">
        <v>5731</v>
      </c>
      <c r="X240" t="str">
        <f t="shared" si="3"/>
        <v>Inversión</v>
      </c>
      <c r="Y240" t="s">
        <v>5810</v>
      </c>
    </row>
    <row r="241" spans="1:25" x14ac:dyDescent="0.25">
      <c r="A241" t="s">
        <v>7207</v>
      </c>
      <c r="B241" t="s">
        <v>7157</v>
      </c>
      <c r="C241" t="s">
        <v>7208</v>
      </c>
      <c r="D241" t="s">
        <v>5720</v>
      </c>
      <c r="E241" t="s">
        <v>5721</v>
      </c>
      <c r="F241" t="s">
        <v>5802</v>
      </c>
      <c r="G241" t="s">
        <v>5723</v>
      </c>
      <c r="H241" t="s">
        <v>458</v>
      </c>
      <c r="I241" t="s">
        <v>640</v>
      </c>
      <c r="J241" t="s">
        <v>273</v>
      </c>
      <c r="K241" t="s">
        <v>5734</v>
      </c>
      <c r="L241" t="s">
        <v>267</v>
      </c>
      <c r="M241">
        <v>53146280</v>
      </c>
      <c r="N241">
        <v>-1723232</v>
      </c>
      <c r="O241">
        <v>51423048</v>
      </c>
      <c r="P241">
        <v>0</v>
      </c>
      <c r="Q241" t="s">
        <v>7209</v>
      </c>
      <c r="R241" t="s">
        <v>7210</v>
      </c>
      <c r="S241" t="s">
        <v>7211</v>
      </c>
      <c r="T241" t="s">
        <v>7212</v>
      </c>
      <c r="U241" t="s">
        <v>7213</v>
      </c>
      <c r="V241" t="s">
        <v>7214</v>
      </c>
      <c r="W241" t="s">
        <v>5731</v>
      </c>
      <c r="X241" t="str">
        <f t="shared" si="3"/>
        <v>Inversión</v>
      </c>
      <c r="Y241" t="s">
        <v>5810</v>
      </c>
    </row>
    <row r="242" spans="1:25" x14ac:dyDescent="0.25">
      <c r="A242" t="s">
        <v>6140</v>
      </c>
      <c r="B242" t="s">
        <v>7157</v>
      </c>
      <c r="C242" t="s">
        <v>7215</v>
      </c>
      <c r="D242" t="s">
        <v>5720</v>
      </c>
      <c r="E242" t="s">
        <v>5721</v>
      </c>
      <c r="F242" t="s">
        <v>5802</v>
      </c>
      <c r="G242" t="s">
        <v>5723</v>
      </c>
      <c r="H242" t="s">
        <v>458</v>
      </c>
      <c r="I242" t="s">
        <v>640</v>
      </c>
      <c r="J242" t="s">
        <v>266</v>
      </c>
      <c r="K242" t="s">
        <v>5724</v>
      </c>
      <c r="L242" t="s">
        <v>267</v>
      </c>
      <c r="M242">
        <v>55000000</v>
      </c>
      <c r="N242">
        <v>-2738872</v>
      </c>
      <c r="O242">
        <v>52261128</v>
      </c>
      <c r="P242">
        <v>0</v>
      </c>
      <c r="Q242" t="s">
        <v>7216</v>
      </c>
      <c r="R242" t="s">
        <v>6924</v>
      </c>
      <c r="S242" t="s">
        <v>7217</v>
      </c>
      <c r="T242" t="s">
        <v>7218</v>
      </c>
      <c r="U242" t="s">
        <v>7219</v>
      </c>
      <c r="V242" t="s">
        <v>7220</v>
      </c>
      <c r="W242" t="s">
        <v>5731</v>
      </c>
      <c r="X242" t="str">
        <f t="shared" si="3"/>
        <v>Inversión</v>
      </c>
      <c r="Y242" t="s">
        <v>5810</v>
      </c>
    </row>
    <row r="243" spans="1:25" x14ac:dyDescent="0.25">
      <c r="A243" t="s">
        <v>7221</v>
      </c>
      <c r="B243" t="s">
        <v>7157</v>
      </c>
      <c r="C243" t="s">
        <v>7222</v>
      </c>
      <c r="D243" t="s">
        <v>5720</v>
      </c>
      <c r="E243" t="s">
        <v>5721</v>
      </c>
      <c r="F243" t="s">
        <v>5802</v>
      </c>
      <c r="G243" t="s">
        <v>5723</v>
      </c>
      <c r="H243" t="s">
        <v>555</v>
      </c>
      <c r="I243" t="s">
        <v>638</v>
      </c>
      <c r="J243" t="s">
        <v>273</v>
      </c>
      <c r="K243" t="s">
        <v>5734</v>
      </c>
      <c r="L243" t="s">
        <v>267</v>
      </c>
      <c r="M243">
        <v>31417067</v>
      </c>
      <c r="N243">
        <v>-2489564</v>
      </c>
      <c r="O243">
        <v>28927503</v>
      </c>
      <c r="P243">
        <v>0</v>
      </c>
      <c r="Q243" t="s">
        <v>7223</v>
      </c>
      <c r="R243" t="s">
        <v>7224</v>
      </c>
      <c r="S243" t="s">
        <v>7225</v>
      </c>
      <c r="T243" t="s">
        <v>7226</v>
      </c>
      <c r="U243" t="s">
        <v>7227</v>
      </c>
      <c r="V243" t="s">
        <v>7228</v>
      </c>
      <c r="W243" t="s">
        <v>5731</v>
      </c>
      <c r="X243" t="str">
        <f t="shared" si="3"/>
        <v>Inversión</v>
      </c>
      <c r="Y243" t="s">
        <v>5810</v>
      </c>
    </row>
    <row r="244" spans="1:25" x14ac:dyDescent="0.25">
      <c r="A244" t="s">
        <v>7229</v>
      </c>
      <c r="B244" t="s">
        <v>7157</v>
      </c>
      <c r="C244" t="s">
        <v>7230</v>
      </c>
      <c r="D244" t="s">
        <v>5720</v>
      </c>
      <c r="E244" t="s">
        <v>5721</v>
      </c>
      <c r="F244" t="s">
        <v>5802</v>
      </c>
      <c r="G244" t="s">
        <v>5723</v>
      </c>
      <c r="H244" t="s">
        <v>555</v>
      </c>
      <c r="I244" t="s">
        <v>638</v>
      </c>
      <c r="J244" t="s">
        <v>273</v>
      </c>
      <c r="K244" t="s">
        <v>5734</v>
      </c>
      <c r="L244" t="s">
        <v>267</v>
      </c>
      <c r="M244">
        <v>38876310</v>
      </c>
      <c r="N244">
        <v>-1260538</v>
      </c>
      <c r="O244">
        <v>37615772</v>
      </c>
      <c r="P244">
        <v>0</v>
      </c>
      <c r="Q244" t="s">
        <v>7231</v>
      </c>
      <c r="R244" t="s">
        <v>7232</v>
      </c>
      <c r="S244" t="s">
        <v>7233</v>
      </c>
      <c r="T244" t="s">
        <v>7234</v>
      </c>
      <c r="U244" t="s">
        <v>7235</v>
      </c>
      <c r="V244" t="s">
        <v>7236</v>
      </c>
      <c r="W244" t="s">
        <v>5731</v>
      </c>
      <c r="X244" t="str">
        <f t="shared" si="3"/>
        <v>Inversión</v>
      </c>
      <c r="Y244" t="s">
        <v>5810</v>
      </c>
    </row>
    <row r="245" spans="1:25" x14ac:dyDescent="0.25">
      <c r="A245" t="s">
        <v>7104</v>
      </c>
      <c r="B245" t="s">
        <v>7237</v>
      </c>
      <c r="C245" t="s">
        <v>7238</v>
      </c>
      <c r="D245" t="s">
        <v>5720</v>
      </c>
      <c r="E245" t="s">
        <v>5721</v>
      </c>
      <c r="F245" t="s">
        <v>5802</v>
      </c>
      <c r="G245" t="s">
        <v>5723</v>
      </c>
      <c r="H245" t="s">
        <v>444</v>
      </c>
      <c r="I245" t="s">
        <v>634</v>
      </c>
      <c r="J245" t="s">
        <v>266</v>
      </c>
      <c r="K245" t="s">
        <v>5724</v>
      </c>
      <c r="L245" t="s">
        <v>267</v>
      </c>
      <c r="M245">
        <v>48314800</v>
      </c>
      <c r="N245">
        <v>-43487</v>
      </c>
      <c r="O245">
        <v>48271313</v>
      </c>
      <c r="P245">
        <v>0</v>
      </c>
      <c r="Q245" t="s">
        <v>7239</v>
      </c>
      <c r="R245" t="s">
        <v>7240</v>
      </c>
      <c r="S245" t="s">
        <v>7241</v>
      </c>
      <c r="T245" t="s">
        <v>7242</v>
      </c>
      <c r="U245" t="s">
        <v>7243</v>
      </c>
      <c r="V245" t="s">
        <v>7244</v>
      </c>
      <c r="W245" t="s">
        <v>5731</v>
      </c>
      <c r="X245" t="str">
        <f t="shared" si="3"/>
        <v>Inversión</v>
      </c>
      <c r="Y245" t="s">
        <v>5810</v>
      </c>
    </row>
    <row r="246" spans="1:25" x14ac:dyDescent="0.25">
      <c r="A246" t="s">
        <v>7112</v>
      </c>
      <c r="B246" t="s">
        <v>7237</v>
      </c>
      <c r="C246" t="s">
        <v>7245</v>
      </c>
      <c r="D246" t="s">
        <v>5720</v>
      </c>
      <c r="E246" t="s">
        <v>5721</v>
      </c>
      <c r="F246" t="s">
        <v>5802</v>
      </c>
      <c r="G246" t="s">
        <v>5723</v>
      </c>
      <c r="H246" t="s">
        <v>524</v>
      </c>
      <c r="I246" t="s">
        <v>624</v>
      </c>
      <c r="J246" t="s">
        <v>273</v>
      </c>
      <c r="K246" t="s">
        <v>5734</v>
      </c>
      <c r="L246" t="s">
        <v>267</v>
      </c>
      <c r="M246">
        <v>116798220</v>
      </c>
      <c r="N246">
        <v>-506121</v>
      </c>
      <c r="O246">
        <v>116292099</v>
      </c>
      <c r="P246">
        <v>0</v>
      </c>
      <c r="Q246" t="s">
        <v>7246</v>
      </c>
      <c r="R246" t="s">
        <v>7247</v>
      </c>
      <c r="S246" t="s">
        <v>7248</v>
      </c>
      <c r="T246" t="s">
        <v>7249</v>
      </c>
      <c r="U246" t="s">
        <v>7250</v>
      </c>
      <c r="V246" t="s">
        <v>7251</v>
      </c>
      <c r="W246" t="s">
        <v>5731</v>
      </c>
      <c r="X246" t="str">
        <f t="shared" si="3"/>
        <v>Inversión</v>
      </c>
      <c r="Y246" t="s">
        <v>5810</v>
      </c>
    </row>
    <row r="247" spans="1:25" x14ac:dyDescent="0.25">
      <c r="A247" t="s">
        <v>6284</v>
      </c>
      <c r="B247" t="s">
        <v>7237</v>
      </c>
      <c r="C247" t="s">
        <v>7252</v>
      </c>
      <c r="D247" t="s">
        <v>5720</v>
      </c>
      <c r="E247" t="s">
        <v>5721</v>
      </c>
      <c r="F247" t="s">
        <v>5802</v>
      </c>
      <c r="G247" t="s">
        <v>5723</v>
      </c>
      <c r="H247" t="s">
        <v>444</v>
      </c>
      <c r="I247" t="s">
        <v>634</v>
      </c>
      <c r="J247" t="s">
        <v>266</v>
      </c>
      <c r="K247" t="s">
        <v>5724</v>
      </c>
      <c r="L247" t="s">
        <v>267</v>
      </c>
      <c r="M247">
        <v>35342100</v>
      </c>
      <c r="N247">
        <v>-31811</v>
      </c>
      <c r="O247">
        <v>35310289</v>
      </c>
      <c r="P247">
        <v>0</v>
      </c>
      <c r="Q247" t="s">
        <v>7253</v>
      </c>
      <c r="R247" t="s">
        <v>7254</v>
      </c>
      <c r="S247" t="s">
        <v>7255</v>
      </c>
      <c r="T247" t="s">
        <v>7256</v>
      </c>
      <c r="U247" t="s">
        <v>7257</v>
      </c>
      <c r="V247" t="s">
        <v>7258</v>
      </c>
      <c r="W247" t="s">
        <v>5731</v>
      </c>
      <c r="X247" t="str">
        <f t="shared" si="3"/>
        <v>Inversión</v>
      </c>
      <c r="Y247" t="s">
        <v>5810</v>
      </c>
    </row>
    <row r="248" spans="1:25" x14ac:dyDescent="0.25">
      <c r="A248" t="s">
        <v>7259</v>
      </c>
      <c r="B248" t="s">
        <v>7237</v>
      </c>
      <c r="C248" t="s">
        <v>7260</v>
      </c>
      <c r="D248" t="s">
        <v>5720</v>
      </c>
      <c r="E248" t="s">
        <v>5721</v>
      </c>
      <c r="F248" t="s">
        <v>5802</v>
      </c>
      <c r="G248" t="s">
        <v>5723</v>
      </c>
      <c r="H248" t="s">
        <v>444</v>
      </c>
      <c r="I248" t="s">
        <v>634</v>
      </c>
      <c r="J248" t="s">
        <v>266</v>
      </c>
      <c r="K248" t="s">
        <v>5724</v>
      </c>
      <c r="L248" t="s">
        <v>267</v>
      </c>
      <c r="M248">
        <v>30337200</v>
      </c>
      <c r="N248">
        <v>-1485508</v>
      </c>
      <c r="O248">
        <v>28851692</v>
      </c>
      <c r="P248">
        <v>0</v>
      </c>
      <c r="Q248" t="s">
        <v>7261</v>
      </c>
      <c r="R248" t="s">
        <v>7262</v>
      </c>
      <c r="S248" t="s">
        <v>7263</v>
      </c>
      <c r="T248" t="s">
        <v>7264</v>
      </c>
      <c r="U248" t="s">
        <v>7265</v>
      </c>
      <c r="V248" t="s">
        <v>7266</v>
      </c>
      <c r="W248" t="s">
        <v>5731</v>
      </c>
      <c r="X248" t="str">
        <f t="shared" si="3"/>
        <v>Inversión</v>
      </c>
      <c r="Y248" t="s">
        <v>5810</v>
      </c>
    </row>
    <row r="249" spans="1:25" x14ac:dyDescent="0.25">
      <c r="A249" t="s">
        <v>7121</v>
      </c>
      <c r="B249" t="s">
        <v>7237</v>
      </c>
      <c r="C249" t="s">
        <v>7267</v>
      </c>
      <c r="D249" t="s">
        <v>5720</v>
      </c>
      <c r="E249" t="s">
        <v>5721</v>
      </c>
      <c r="F249" t="s">
        <v>5802</v>
      </c>
      <c r="G249" t="s">
        <v>5723</v>
      </c>
      <c r="H249" t="s">
        <v>444</v>
      </c>
      <c r="I249" t="s">
        <v>634</v>
      </c>
      <c r="J249" t="s">
        <v>266</v>
      </c>
      <c r="K249" t="s">
        <v>5724</v>
      </c>
      <c r="L249" t="s">
        <v>267</v>
      </c>
      <c r="M249">
        <v>51409746</v>
      </c>
      <c r="N249">
        <v>3993777</v>
      </c>
      <c r="O249">
        <v>55403523</v>
      </c>
      <c r="P249">
        <v>4216551</v>
      </c>
      <c r="Q249" t="s">
        <v>7268</v>
      </c>
      <c r="R249" t="s">
        <v>6707</v>
      </c>
      <c r="S249" t="s">
        <v>7269</v>
      </c>
      <c r="T249" t="s">
        <v>7270</v>
      </c>
      <c r="U249" t="s">
        <v>7271</v>
      </c>
      <c r="V249" t="s">
        <v>7272</v>
      </c>
      <c r="W249" t="s">
        <v>5731</v>
      </c>
      <c r="X249" t="str">
        <f t="shared" si="3"/>
        <v>Inversión</v>
      </c>
      <c r="Y249" t="s">
        <v>5810</v>
      </c>
    </row>
    <row r="250" spans="1:25" x14ac:dyDescent="0.25">
      <c r="A250" t="s">
        <v>6304</v>
      </c>
      <c r="B250" t="s">
        <v>7237</v>
      </c>
      <c r="C250" t="s">
        <v>7273</v>
      </c>
      <c r="D250" t="s">
        <v>5720</v>
      </c>
      <c r="E250" t="s">
        <v>5737</v>
      </c>
      <c r="F250" t="s">
        <v>5802</v>
      </c>
      <c r="G250" t="s">
        <v>5723</v>
      </c>
      <c r="H250" t="s">
        <v>458</v>
      </c>
      <c r="I250" t="s">
        <v>640</v>
      </c>
      <c r="J250" t="s">
        <v>273</v>
      </c>
      <c r="K250" t="s">
        <v>5734</v>
      </c>
      <c r="L250" t="s">
        <v>267</v>
      </c>
      <c r="M250">
        <v>280000000</v>
      </c>
      <c r="N250">
        <v>-280000000</v>
      </c>
      <c r="O250">
        <v>0</v>
      </c>
      <c r="P250">
        <v>0</v>
      </c>
      <c r="Q250" t="s">
        <v>7274</v>
      </c>
      <c r="R250" t="s">
        <v>7275</v>
      </c>
      <c r="S250" t="s">
        <v>5731</v>
      </c>
      <c r="T250" t="s">
        <v>5731</v>
      </c>
      <c r="U250" t="s">
        <v>5731</v>
      </c>
      <c r="V250" t="s">
        <v>5731</v>
      </c>
      <c r="W250" t="s">
        <v>5731</v>
      </c>
      <c r="X250" t="str">
        <f t="shared" si="3"/>
        <v>Inversión</v>
      </c>
      <c r="Y250" t="s">
        <v>5810</v>
      </c>
    </row>
    <row r="251" spans="1:25" x14ac:dyDescent="0.25">
      <c r="A251" t="s">
        <v>7141</v>
      </c>
      <c r="B251" t="s">
        <v>7237</v>
      </c>
      <c r="C251" t="s">
        <v>7276</v>
      </c>
      <c r="D251" t="s">
        <v>5720</v>
      </c>
      <c r="E251" t="s">
        <v>5721</v>
      </c>
      <c r="F251" t="s">
        <v>5802</v>
      </c>
      <c r="G251" t="s">
        <v>5723</v>
      </c>
      <c r="H251" t="s">
        <v>458</v>
      </c>
      <c r="I251" t="s">
        <v>640</v>
      </c>
      <c r="J251" t="s">
        <v>266</v>
      </c>
      <c r="K251" t="s">
        <v>5724</v>
      </c>
      <c r="L251" t="s">
        <v>267</v>
      </c>
      <c r="M251">
        <v>45000000</v>
      </c>
      <c r="N251">
        <v>-40508933</v>
      </c>
      <c r="O251">
        <v>4491067</v>
      </c>
      <c r="P251">
        <v>0</v>
      </c>
      <c r="Q251" t="s">
        <v>7277</v>
      </c>
      <c r="R251" t="s">
        <v>7278</v>
      </c>
      <c r="S251" t="s">
        <v>7279</v>
      </c>
      <c r="T251" t="s">
        <v>7280</v>
      </c>
      <c r="U251" t="s">
        <v>7281</v>
      </c>
      <c r="V251" t="s">
        <v>7282</v>
      </c>
      <c r="W251" t="s">
        <v>5731</v>
      </c>
      <c r="X251" t="str">
        <f t="shared" si="3"/>
        <v>Inversión</v>
      </c>
      <c r="Y251" t="s">
        <v>5810</v>
      </c>
    </row>
    <row r="252" spans="1:25" x14ac:dyDescent="0.25">
      <c r="A252" t="s">
        <v>7128</v>
      </c>
      <c r="B252" t="s">
        <v>7237</v>
      </c>
      <c r="C252" t="s">
        <v>7283</v>
      </c>
      <c r="D252" t="s">
        <v>5720</v>
      </c>
      <c r="E252" t="s">
        <v>5721</v>
      </c>
      <c r="F252" t="s">
        <v>5733</v>
      </c>
      <c r="G252" t="s">
        <v>5723</v>
      </c>
      <c r="H252" t="s">
        <v>461</v>
      </c>
      <c r="I252" t="s">
        <v>644</v>
      </c>
      <c r="J252" t="s">
        <v>273</v>
      </c>
      <c r="K252" t="s">
        <v>5734</v>
      </c>
      <c r="L252" t="s">
        <v>267</v>
      </c>
      <c r="M252">
        <v>86828186</v>
      </c>
      <c r="N252">
        <v>-22650831</v>
      </c>
      <c r="O252">
        <v>64177355</v>
      </c>
      <c r="P252">
        <v>0</v>
      </c>
      <c r="Q252" t="s">
        <v>7284</v>
      </c>
      <c r="R252" t="s">
        <v>7285</v>
      </c>
      <c r="S252" t="s">
        <v>7286</v>
      </c>
      <c r="T252" t="s">
        <v>7287</v>
      </c>
      <c r="U252" t="s">
        <v>7288</v>
      </c>
      <c r="V252" t="s">
        <v>7289</v>
      </c>
      <c r="W252" t="s">
        <v>5731</v>
      </c>
      <c r="X252" t="str">
        <f t="shared" si="3"/>
        <v>Inversión</v>
      </c>
      <c r="Y252" t="s">
        <v>5735</v>
      </c>
    </row>
    <row r="253" spans="1:25" x14ac:dyDescent="0.25">
      <c r="A253" t="s">
        <v>7290</v>
      </c>
      <c r="B253" t="s">
        <v>7237</v>
      </c>
      <c r="C253" t="s">
        <v>7291</v>
      </c>
      <c r="D253" t="s">
        <v>5720</v>
      </c>
      <c r="E253" t="s">
        <v>5737</v>
      </c>
      <c r="F253" t="s">
        <v>5733</v>
      </c>
      <c r="G253" t="s">
        <v>5723</v>
      </c>
      <c r="H253" t="s">
        <v>461</v>
      </c>
      <c r="I253" t="s">
        <v>644</v>
      </c>
      <c r="J253" t="s">
        <v>273</v>
      </c>
      <c r="K253" t="s">
        <v>5734</v>
      </c>
      <c r="L253" t="s">
        <v>267</v>
      </c>
      <c r="M253">
        <v>86828186</v>
      </c>
      <c r="N253">
        <v>-86828186</v>
      </c>
      <c r="O253">
        <v>0</v>
      </c>
      <c r="P253">
        <v>0</v>
      </c>
      <c r="Q253" t="s">
        <v>6174</v>
      </c>
      <c r="R253" t="s">
        <v>7233</v>
      </c>
      <c r="S253" t="s">
        <v>5731</v>
      </c>
      <c r="T253" t="s">
        <v>5731</v>
      </c>
      <c r="U253" t="s">
        <v>5731</v>
      </c>
      <c r="V253" t="s">
        <v>5731</v>
      </c>
      <c r="W253" t="s">
        <v>5731</v>
      </c>
      <c r="X253" t="str">
        <f t="shared" si="3"/>
        <v>Inversión</v>
      </c>
      <c r="Y253" t="s">
        <v>5735</v>
      </c>
    </row>
    <row r="254" spans="1:25" x14ac:dyDescent="0.25">
      <c r="A254" t="s">
        <v>7292</v>
      </c>
      <c r="B254" t="s">
        <v>7237</v>
      </c>
      <c r="C254" t="s">
        <v>7293</v>
      </c>
      <c r="D254" t="s">
        <v>5720</v>
      </c>
      <c r="E254" t="s">
        <v>5721</v>
      </c>
      <c r="F254" t="s">
        <v>5733</v>
      </c>
      <c r="G254" t="s">
        <v>5723</v>
      </c>
      <c r="H254" t="s">
        <v>461</v>
      </c>
      <c r="I254" t="s">
        <v>644</v>
      </c>
      <c r="J254" t="s">
        <v>273</v>
      </c>
      <c r="K254" t="s">
        <v>5734</v>
      </c>
      <c r="L254" t="s">
        <v>267</v>
      </c>
      <c r="M254">
        <v>331073098</v>
      </c>
      <c r="N254">
        <v>-207280549</v>
      </c>
      <c r="O254">
        <v>123792549</v>
      </c>
      <c r="P254">
        <v>0</v>
      </c>
      <c r="Q254" t="s">
        <v>7294</v>
      </c>
      <c r="R254" t="s">
        <v>7295</v>
      </c>
      <c r="S254" t="s">
        <v>7296</v>
      </c>
      <c r="T254" t="s">
        <v>7297</v>
      </c>
      <c r="U254" t="s">
        <v>7298</v>
      </c>
      <c r="V254" t="s">
        <v>7299</v>
      </c>
      <c r="W254" t="s">
        <v>5731</v>
      </c>
      <c r="X254" t="str">
        <f t="shared" si="3"/>
        <v>Inversión</v>
      </c>
      <c r="Y254" t="s">
        <v>5735</v>
      </c>
    </row>
    <row r="255" spans="1:25" x14ac:dyDescent="0.25">
      <c r="A255" t="s">
        <v>6792</v>
      </c>
      <c r="B255" t="s">
        <v>7237</v>
      </c>
      <c r="C255" t="s">
        <v>7300</v>
      </c>
      <c r="D255" t="s">
        <v>5720</v>
      </c>
      <c r="E255" t="s">
        <v>5721</v>
      </c>
      <c r="F255" t="s">
        <v>5733</v>
      </c>
      <c r="G255" t="s">
        <v>5723</v>
      </c>
      <c r="H255" t="s">
        <v>461</v>
      </c>
      <c r="I255" t="s">
        <v>644</v>
      </c>
      <c r="J255" t="s">
        <v>273</v>
      </c>
      <c r="K255" t="s">
        <v>5734</v>
      </c>
      <c r="L255" t="s">
        <v>267</v>
      </c>
      <c r="M255">
        <v>230579163</v>
      </c>
      <c r="N255">
        <v>-46115832</v>
      </c>
      <c r="O255">
        <v>184463331</v>
      </c>
      <c r="P255">
        <v>0</v>
      </c>
      <c r="Q255" t="s">
        <v>7301</v>
      </c>
      <c r="R255" t="s">
        <v>7302</v>
      </c>
      <c r="S255" t="s">
        <v>7303</v>
      </c>
      <c r="T255" t="s">
        <v>7304</v>
      </c>
      <c r="U255" t="s">
        <v>7305</v>
      </c>
      <c r="V255" t="s">
        <v>7306</v>
      </c>
      <c r="W255" t="s">
        <v>5731</v>
      </c>
      <c r="X255" t="str">
        <f t="shared" si="3"/>
        <v>Inversión</v>
      </c>
      <c r="Y255" t="s">
        <v>5735</v>
      </c>
    </row>
    <row r="256" spans="1:25" x14ac:dyDescent="0.25">
      <c r="A256" t="s">
        <v>6272</v>
      </c>
      <c r="B256" t="s">
        <v>7237</v>
      </c>
      <c r="C256" t="s">
        <v>7307</v>
      </c>
      <c r="D256" t="s">
        <v>5720</v>
      </c>
      <c r="E256" t="s">
        <v>5721</v>
      </c>
      <c r="F256" t="s">
        <v>5733</v>
      </c>
      <c r="G256" t="s">
        <v>5723</v>
      </c>
      <c r="H256" t="s">
        <v>461</v>
      </c>
      <c r="I256" t="s">
        <v>644</v>
      </c>
      <c r="J256" t="s">
        <v>273</v>
      </c>
      <c r="K256" t="s">
        <v>5734</v>
      </c>
      <c r="L256" t="s">
        <v>267</v>
      </c>
      <c r="M256">
        <v>230579163</v>
      </c>
      <c r="N256">
        <v>-70176267</v>
      </c>
      <c r="O256">
        <v>160402896</v>
      </c>
      <c r="P256">
        <v>0</v>
      </c>
      <c r="Q256" t="s">
        <v>7308</v>
      </c>
      <c r="R256" t="s">
        <v>7309</v>
      </c>
      <c r="S256" t="s">
        <v>7310</v>
      </c>
      <c r="T256" t="s">
        <v>7311</v>
      </c>
      <c r="U256" t="s">
        <v>7312</v>
      </c>
      <c r="V256" t="s">
        <v>7313</v>
      </c>
      <c r="W256" t="s">
        <v>5731</v>
      </c>
      <c r="X256" t="str">
        <f t="shared" si="3"/>
        <v>Inversión</v>
      </c>
      <c r="Y256" t="s">
        <v>5735</v>
      </c>
    </row>
    <row r="257" spans="1:25" x14ac:dyDescent="0.25">
      <c r="A257" t="s">
        <v>7152</v>
      </c>
      <c r="B257" t="s">
        <v>7237</v>
      </c>
      <c r="C257" t="s">
        <v>7314</v>
      </c>
      <c r="D257" t="s">
        <v>5720</v>
      </c>
      <c r="E257" t="s">
        <v>5721</v>
      </c>
      <c r="F257" t="s">
        <v>5733</v>
      </c>
      <c r="G257" t="s">
        <v>5723</v>
      </c>
      <c r="H257" t="s">
        <v>461</v>
      </c>
      <c r="I257" t="s">
        <v>644</v>
      </c>
      <c r="J257" t="s">
        <v>273</v>
      </c>
      <c r="K257" t="s">
        <v>5734</v>
      </c>
      <c r="L257" t="s">
        <v>267</v>
      </c>
      <c r="M257">
        <v>113450766</v>
      </c>
      <c r="N257">
        <v>-3831666</v>
      </c>
      <c r="O257">
        <v>109619100</v>
      </c>
      <c r="P257">
        <v>0</v>
      </c>
      <c r="Q257" t="s">
        <v>7315</v>
      </c>
      <c r="R257" t="s">
        <v>7316</v>
      </c>
      <c r="S257" t="s">
        <v>7317</v>
      </c>
      <c r="T257" t="s">
        <v>7318</v>
      </c>
      <c r="U257" t="s">
        <v>7319</v>
      </c>
      <c r="V257" t="s">
        <v>7320</v>
      </c>
      <c r="W257" t="s">
        <v>5731</v>
      </c>
      <c r="X257" t="str">
        <f t="shared" si="3"/>
        <v>Inversión</v>
      </c>
      <c r="Y257" t="s">
        <v>5735</v>
      </c>
    </row>
    <row r="258" spans="1:25" x14ac:dyDescent="0.25">
      <c r="A258" t="s">
        <v>6162</v>
      </c>
      <c r="B258" t="s">
        <v>7237</v>
      </c>
      <c r="C258" t="s">
        <v>7321</v>
      </c>
      <c r="D258" t="s">
        <v>5720</v>
      </c>
      <c r="E258" t="s">
        <v>5737</v>
      </c>
      <c r="F258" t="s">
        <v>5733</v>
      </c>
      <c r="G258" t="s">
        <v>5723</v>
      </c>
      <c r="H258" t="s">
        <v>461</v>
      </c>
      <c r="I258" t="s">
        <v>644</v>
      </c>
      <c r="J258" t="s">
        <v>273</v>
      </c>
      <c r="K258" t="s">
        <v>5734</v>
      </c>
      <c r="L258" t="s">
        <v>267</v>
      </c>
      <c r="M258">
        <v>140068850</v>
      </c>
      <c r="N258">
        <v>-140068850</v>
      </c>
      <c r="O258">
        <v>0</v>
      </c>
      <c r="P258">
        <v>0</v>
      </c>
      <c r="Q258" t="s">
        <v>7322</v>
      </c>
      <c r="R258" t="s">
        <v>7051</v>
      </c>
      <c r="S258" t="s">
        <v>5731</v>
      </c>
      <c r="T258" t="s">
        <v>5731</v>
      </c>
      <c r="U258" t="s">
        <v>5731</v>
      </c>
      <c r="V258" t="s">
        <v>5731</v>
      </c>
      <c r="W258" t="s">
        <v>5731</v>
      </c>
      <c r="X258" t="str">
        <f t="shared" ref="X258:X321" si="4">IF(LEFT(H258,1)="C","Inversión","Funcionamiento")</f>
        <v>Inversión</v>
      </c>
      <c r="Y258" t="s">
        <v>5735</v>
      </c>
    </row>
    <row r="259" spans="1:25" x14ac:dyDescent="0.25">
      <c r="A259" t="s">
        <v>7160</v>
      </c>
      <c r="B259" t="s">
        <v>7237</v>
      </c>
      <c r="C259" t="s">
        <v>7323</v>
      </c>
      <c r="D259" t="s">
        <v>5720</v>
      </c>
      <c r="E259" t="s">
        <v>5721</v>
      </c>
      <c r="F259" t="s">
        <v>5733</v>
      </c>
      <c r="G259" t="s">
        <v>5723</v>
      </c>
      <c r="H259" t="s">
        <v>461</v>
      </c>
      <c r="I259" t="s">
        <v>644</v>
      </c>
      <c r="J259" t="s">
        <v>273</v>
      </c>
      <c r="K259" t="s">
        <v>5734</v>
      </c>
      <c r="L259" t="s">
        <v>267</v>
      </c>
      <c r="M259">
        <v>106873910</v>
      </c>
      <c r="N259">
        <v>-1644214</v>
      </c>
      <c r="O259">
        <v>105229696</v>
      </c>
      <c r="P259">
        <v>0</v>
      </c>
      <c r="Q259" t="s">
        <v>7324</v>
      </c>
      <c r="R259" t="s">
        <v>7325</v>
      </c>
      <c r="S259" t="s">
        <v>6930</v>
      </c>
      <c r="T259" t="s">
        <v>7326</v>
      </c>
      <c r="U259" t="s">
        <v>7327</v>
      </c>
      <c r="V259" t="s">
        <v>7328</v>
      </c>
      <c r="W259" t="s">
        <v>5731</v>
      </c>
      <c r="X259" t="str">
        <f t="shared" si="4"/>
        <v>Inversión</v>
      </c>
      <c r="Y259" t="s">
        <v>5735</v>
      </c>
    </row>
    <row r="260" spans="1:25" x14ac:dyDescent="0.25">
      <c r="A260" t="s">
        <v>7232</v>
      </c>
      <c r="B260" t="s">
        <v>7237</v>
      </c>
      <c r="C260" t="s">
        <v>7329</v>
      </c>
      <c r="D260" t="s">
        <v>5720</v>
      </c>
      <c r="E260" t="s">
        <v>5721</v>
      </c>
      <c r="F260" t="s">
        <v>5738</v>
      </c>
      <c r="G260" t="s">
        <v>5723</v>
      </c>
      <c r="H260" t="s">
        <v>556</v>
      </c>
      <c r="I260" t="s">
        <v>671</v>
      </c>
      <c r="J260" t="s">
        <v>273</v>
      </c>
      <c r="K260" t="s">
        <v>5734</v>
      </c>
      <c r="L260" t="s">
        <v>267</v>
      </c>
      <c r="M260">
        <v>63335723</v>
      </c>
      <c r="N260">
        <v>0</v>
      </c>
      <c r="O260">
        <v>63335723</v>
      </c>
      <c r="P260">
        <v>1919264</v>
      </c>
      <c r="Q260" t="s">
        <v>7330</v>
      </c>
      <c r="R260" t="s">
        <v>7331</v>
      </c>
      <c r="S260" t="s">
        <v>7325</v>
      </c>
      <c r="T260" t="s">
        <v>7332</v>
      </c>
      <c r="U260" t="s">
        <v>7333</v>
      </c>
      <c r="V260" t="s">
        <v>7334</v>
      </c>
      <c r="W260" t="s">
        <v>5731</v>
      </c>
      <c r="X260" t="str">
        <f t="shared" si="4"/>
        <v>Inversión</v>
      </c>
      <c r="Y260" t="s">
        <v>5741</v>
      </c>
    </row>
    <row r="261" spans="1:25" x14ac:dyDescent="0.25">
      <c r="A261" t="s">
        <v>7224</v>
      </c>
      <c r="B261" t="s">
        <v>7237</v>
      </c>
      <c r="C261" t="s">
        <v>7335</v>
      </c>
      <c r="D261" t="s">
        <v>5720</v>
      </c>
      <c r="E261" t="s">
        <v>5737</v>
      </c>
      <c r="F261" t="s">
        <v>5738</v>
      </c>
      <c r="G261" t="s">
        <v>5723</v>
      </c>
      <c r="H261" t="s">
        <v>556</v>
      </c>
      <c r="I261" t="s">
        <v>671</v>
      </c>
      <c r="J261" t="s">
        <v>273</v>
      </c>
      <c r="K261" t="s">
        <v>5734</v>
      </c>
      <c r="L261" t="s">
        <v>267</v>
      </c>
      <c r="M261">
        <v>46898742</v>
      </c>
      <c r="N261">
        <v>-46898742</v>
      </c>
      <c r="O261">
        <v>0</v>
      </c>
      <c r="P261">
        <v>0</v>
      </c>
      <c r="Q261" t="s">
        <v>7336</v>
      </c>
      <c r="R261" t="s">
        <v>6179</v>
      </c>
      <c r="S261" t="s">
        <v>5731</v>
      </c>
      <c r="T261" t="s">
        <v>5731</v>
      </c>
      <c r="U261" t="s">
        <v>5731</v>
      </c>
      <c r="V261" t="s">
        <v>5731</v>
      </c>
      <c r="W261" t="s">
        <v>5731</v>
      </c>
      <c r="X261" t="str">
        <f t="shared" si="4"/>
        <v>Inversión</v>
      </c>
      <c r="Y261" t="s">
        <v>5741</v>
      </c>
    </row>
    <row r="262" spans="1:25" x14ac:dyDescent="0.25">
      <c r="A262" t="s">
        <v>6924</v>
      </c>
      <c r="B262" t="s">
        <v>7237</v>
      </c>
      <c r="C262" t="s">
        <v>7337</v>
      </c>
      <c r="D262" t="s">
        <v>5720</v>
      </c>
      <c r="E262" t="s">
        <v>5721</v>
      </c>
      <c r="F262" t="s">
        <v>5722</v>
      </c>
      <c r="G262" t="s">
        <v>5723</v>
      </c>
      <c r="H262" t="s">
        <v>529</v>
      </c>
      <c r="I262" t="s">
        <v>659</v>
      </c>
      <c r="J262" t="s">
        <v>266</v>
      </c>
      <c r="K262" t="s">
        <v>5724</v>
      </c>
      <c r="L262" t="s">
        <v>267</v>
      </c>
      <c r="M262">
        <v>60402216</v>
      </c>
      <c r="N262">
        <v>0</v>
      </c>
      <c r="O262">
        <v>60402216</v>
      </c>
      <c r="P262">
        <v>0</v>
      </c>
      <c r="Q262" t="s">
        <v>7338</v>
      </c>
      <c r="R262" t="s">
        <v>7292</v>
      </c>
      <c r="S262" t="s">
        <v>5858</v>
      </c>
      <c r="T262" t="s">
        <v>7339</v>
      </c>
      <c r="U262" t="s">
        <v>7340</v>
      </c>
      <c r="V262" t="s">
        <v>7341</v>
      </c>
      <c r="W262" t="s">
        <v>5731</v>
      </c>
      <c r="X262" t="str">
        <f t="shared" si="4"/>
        <v>Inversión</v>
      </c>
      <c r="Y262" t="s">
        <v>5732</v>
      </c>
    </row>
    <row r="263" spans="1:25" x14ac:dyDescent="0.25">
      <c r="A263" t="s">
        <v>7210</v>
      </c>
      <c r="B263" t="s">
        <v>7342</v>
      </c>
      <c r="C263" t="s">
        <v>7343</v>
      </c>
      <c r="D263" t="s">
        <v>5720</v>
      </c>
      <c r="E263" t="s">
        <v>5721</v>
      </c>
      <c r="F263" t="s">
        <v>5722</v>
      </c>
      <c r="G263" t="s">
        <v>5723</v>
      </c>
      <c r="H263" t="s">
        <v>529</v>
      </c>
      <c r="I263" t="s">
        <v>659</v>
      </c>
      <c r="J263" t="s">
        <v>273</v>
      </c>
      <c r="K263" t="s">
        <v>5734</v>
      </c>
      <c r="L263" t="s">
        <v>267</v>
      </c>
      <c r="M263">
        <v>73517991</v>
      </c>
      <c r="N263">
        <v>-2227818</v>
      </c>
      <c r="O263">
        <v>71290173</v>
      </c>
      <c r="P263">
        <v>0</v>
      </c>
      <c r="Q263" t="s">
        <v>7344</v>
      </c>
      <c r="R263" t="s">
        <v>7345</v>
      </c>
      <c r="S263" t="s">
        <v>7128</v>
      </c>
      <c r="T263" t="s">
        <v>7346</v>
      </c>
      <c r="U263" t="s">
        <v>7347</v>
      </c>
      <c r="V263" t="s">
        <v>7348</v>
      </c>
      <c r="W263" t="s">
        <v>5731</v>
      </c>
      <c r="X263" t="str">
        <f t="shared" si="4"/>
        <v>Inversión</v>
      </c>
      <c r="Y263" t="s">
        <v>5732</v>
      </c>
    </row>
    <row r="264" spans="1:25" x14ac:dyDescent="0.25">
      <c r="A264" t="s">
        <v>7206</v>
      </c>
      <c r="B264" t="s">
        <v>7342</v>
      </c>
      <c r="C264" t="s">
        <v>7349</v>
      </c>
      <c r="D264" t="s">
        <v>5720</v>
      </c>
      <c r="E264" t="s">
        <v>5721</v>
      </c>
      <c r="F264" t="s">
        <v>5722</v>
      </c>
      <c r="G264" t="s">
        <v>5723</v>
      </c>
      <c r="H264" t="s">
        <v>453</v>
      </c>
      <c r="I264" t="s">
        <v>664</v>
      </c>
      <c r="J264" t="s">
        <v>266</v>
      </c>
      <c r="K264" t="s">
        <v>5724</v>
      </c>
      <c r="L264" t="s">
        <v>267</v>
      </c>
      <c r="M264">
        <v>80634026</v>
      </c>
      <c r="N264">
        <v>-2687801</v>
      </c>
      <c r="O264">
        <v>77946225</v>
      </c>
      <c r="P264">
        <v>0</v>
      </c>
      <c r="Q264" t="s">
        <v>7350</v>
      </c>
      <c r="R264" t="s">
        <v>7351</v>
      </c>
      <c r="S264" t="s">
        <v>7141</v>
      </c>
      <c r="T264" t="s">
        <v>7352</v>
      </c>
      <c r="U264" t="s">
        <v>7353</v>
      </c>
      <c r="V264" t="s">
        <v>7354</v>
      </c>
      <c r="W264" t="s">
        <v>5731</v>
      </c>
      <c r="X264" t="str">
        <f t="shared" si="4"/>
        <v>Inversión</v>
      </c>
      <c r="Y264" t="s">
        <v>5732</v>
      </c>
    </row>
    <row r="265" spans="1:25" x14ac:dyDescent="0.25">
      <c r="A265" t="s">
        <v>6238</v>
      </c>
      <c r="B265" t="s">
        <v>7342</v>
      </c>
      <c r="C265" t="s">
        <v>7355</v>
      </c>
      <c r="D265" t="s">
        <v>5720</v>
      </c>
      <c r="E265" t="s">
        <v>5721</v>
      </c>
      <c r="F265" t="s">
        <v>5722</v>
      </c>
      <c r="G265" t="s">
        <v>5723</v>
      </c>
      <c r="H265" t="s">
        <v>529</v>
      </c>
      <c r="I265" t="s">
        <v>659</v>
      </c>
      <c r="J265" t="s">
        <v>273</v>
      </c>
      <c r="K265" t="s">
        <v>5734</v>
      </c>
      <c r="L265" t="s">
        <v>267</v>
      </c>
      <c r="M265">
        <v>83053047</v>
      </c>
      <c r="N265">
        <v>-4530166</v>
      </c>
      <c r="O265">
        <v>78522881</v>
      </c>
      <c r="P265">
        <v>0</v>
      </c>
      <c r="Q265" t="s">
        <v>7356</v>
      </c>
      <c r="R265" t="s">
        <v>7357</v>
      </c>
      <c r="S265" t="s">
        <v>7358</v>
      </c>
      <c r="T265" t="s">
        <v>7359</v>
      </c>
      <c r="U265" t="s">
        <v>7360</v>
      </c>
      <c r="V265" t="s">
        <v>7361</v>
      </c>
      <c r="W265" t="s">
        <v>5731</v>
      </c>
      <c r="X265" t="str">
        <f t="shared" si="4"/>
        <v>Inversión</v>
      </c>
      <c r="Y265" t="s">
        <v>5732</v>
      </c>
    </row>
    <row r="266" spans="1:25" x14ac:dyDescent="0.25">
      <c r="A266" t="s">
        <v>7192</v>
      </c>
      <c r="B266" t="s">
        <v>7342</v>
      </c>
      <c r="C266" t="s">
        <v>7362</v>
      </c>
      <c r="D266" t="s">
        <v>5720</v>
      </c>
      <c r="E266" t="s">
        <v>5721</v>
      </c>
      <c r="F266" t="s">
        <v>5802</v>
      </c>
      <c r="G266" t="s">
        <v>5723</v>
      </c>
      <c r="H266" t="s">
        <v>463</v>
      </c>
      <c r="I266" t="s">
        <v>639</v>
      </c>
      <c r="J266" t="s">
        <v>266</v>
      </c>
      <c r="K266" t="s">
        <v>5724</v>
      </c>
      <c r="L266" t="s">
        <v>267</v>
      </c>
      <c r="M266">
        <v>2372563</v>
      </c>
      <c r="N266">
        <v>0</v>
      </c>
      <c r="O266">
        <v>2372563</v>
      </c>
      <c r="P266">
        <v>0</v>
      </c>
      <c r="Q266" t="s">
        <v>7363</v>
      </c>
      <c r="R266" t="s">
        <v>7364</v>
      </c>
      <c r="S266" t="s">
        <v>7043</v>
      </c>
      <c r="T266" t="s">
        <v>7365</v>
      </c>
      <c r="U266" t="s">
        <v>7366</v>
      </c>
      <c r="V266" t="s">
        <v>7367</v>
      </c>
      <c r="W266" t="s">
        <v>5731</v>
      </c>
      <c r="X266" t="str">
        <f t="shared" si="4"/>
        <v>Inversión</v>
      </c>
      <c r="Y266" t="s">
        <v>5810</v>
      </c>
    </row>
    <row r="267" spans="1:25" x14ac:dyDescent="0.25">
      <c r="A267" t="s">
        <v>7185</v>
      </c>
      <c r="B267" t="s">
        <v>7342</v>
      </c>
      <c r="C267" t="s">
        <v>7368</v>
      </c>
      <c r="D267" t="s">
        <v>5720</v>
      </c>
      <c r="E267" t="s">
        <v>5721</v>
      </c>
      <c r="F267" t="s">
        <v>5802</v>
      </c>
      <c r="G267" t="s">
        <v>5723</v>
      </c>
      <c r="H267" t="s">
        <v>458</v>
      </c>
      <c r="I267" t="s">
        <v>640</v>
      </c>
      <c r="J267" t="s">
        <v>273</v>
      </c>
      <c r="K267" t="s">
        <v>5734</v>
      </c>
      <c r="L267" t="s">
        <v>267</v>
      </c>
      <c r="M267">
        <v>7933790</v>
      </c>
      <c r="N267">
        <v>29005</v>
      </c>
      <c r="O267">
        <v>7962795</v>
      </c>
      <c r="P267">
        <v>0</v>
      </c>
      <c r="Q267" t="s">
        <v>7369</v>
      </c>
      <c r="R267" t="s">
        <v>7370</v>
      </c>
      <c r="S267" t="s">
        <v>7371</v>
      </c>
      <c r="T267" t="s">
        <v>7372</v>
      </c>
      <c r="U267" t="s">
        <v>7373</v>
      </c>
      <c r="V267" t="s">
        <v>7374</v>
      </c>
      <c r="W267" t="s">
        <v>7375</v>
      </c>
      <c r="X267" t="str">
        <f t="shared" si="4"/>
        <v>Inversión</v>
      </c>
      <c r="Y267" t="s">
        <v>5810</v>
      </c>
    </row>
    <row r="268" spans="1:25" x14ac:dyDescent="0.25">
      <c r="A268" t="s">
        <v>7182</v>
      </c>
      <c r="B268" t="s">
        <v>7342</v>
      </c>
      <c r="C268" t="s">
        <v>7376</v>
      </c>
      <c r="D268" t="s">
        <v>5720</v>
      </c>
      <c r="E268" t="s">
        <v>5721</v>
      </c>
      <c r="F268" t="s">
        <v>5802</v>
      </c>
      <c r="G268" t="s">
        <v>5723</v>
      </c>
      <c r="H268" t="s">
        <v>458</v>
      </c>
      <c r="I268" t="s">
        <v>640</v>
      </c>
      <c r="J268" t="s">
        <v>273</v>
      </c>
      <c r="K268" t="s">
        <v>5734</v>
      </c>
      <c r="L268" t="s">
        <v>267</v>
      </c>
      <c r="M268">
        <v>4996895</v>
      </c>
      <c r="N268">
        <v>-78055</v>
      </c>
      <c r="O268">
        <v>4918840</v>
      </c>
      <c r="P268">
        <v>0</v>
      </c>
      <c r="Q268" t="s">
        <v>7363</v>
      </c>
      <c r="R268" t="s">
        <v>7377</v>
      </c>
      <c r="S268" t="s">
        <v>6996</v>
      </c>
      <c r="T268" t="s">
        <v>7378</v>
      </c>
      <c r="U268" t="s">
        <v>7379</v>
      </c>
      <c r="V268" t="s">
        <v>7380</v>
      </c>
      <c r="W268" t="s">
        <v>7381</v>
      </c>
      <c r="X268" t="str">
        <f t="shared" si="4"/>
        <v>Inversión</v>
      </c>
      <c r="Y268" t="s">
        <v>5810</v>
      </c>
    </row>
    <row r="269" spans="1:25" x14ac:dyDescent="0.25">
      <c r="A269" t="s">
        <v>7175</v>
      </c>
      <c r="B269" t="s">
        <v>7342</v>
      </c>
      <c r="C269" t="s">
        <v>7382</v>
      </c>
      <c r="D269" t="s">
        <v>5720</v>
      </c>
      <c r="E269" t="s">
        <v>5721</v>
      </c>
      <c r="F269" t="s">
        <v>5802</v>
      </c>
      <c r="G269" t="s">
        <v>5723</v>
      </c>
      <c r="H269" t="s">
        <v>463</v>
      </c>
      <c r="I269" t="s">
        <v>639</v>
      </c>
      <c r="J269" t="s">
        <v>266</v>
      </c>
      <c r="K269" t="s">
        <v>5724</v>
      </c>
      <c r="L269" t="s">
        <v>267</v>
      </c>
      <c r="M269">
        <v>3999463</v>
      </c>
      <c r="N269">
        <v>0</v>
      </c>
      <c r="O269">
        <v>3999463</v>
      </c>
      <c r="P269">
        <v>0</v>
      </c>
      <c r="Q269" t="s">
        <v>7383</v>
      </c>
      <c r="R269" t="s">
        <v>7384</v>
      </c>
      <c r="S269" t="s">
        <v>7050</v>
      </c>
      <c r="T269" t="s">
        <v>7385</v>
      </c>
      <c r="U269" t="s">
        <v>7386</v>
      </c>
      <c r="V269" t="s">
        <v>7387</v>
      </c>
      <c r="W269" t="s">
        <v>5731</v>
      </c>
      <c r="X269" t="str">
        <f t="shared" si="4"/>
        <v>Inversión</v>
      </c>
      <c r="Y269" t="s">
        <v>5810</v>
      </c>
    </row>
    <row r="270" spans="1:25" x14ac:dyDescent="0.25">
      <c r="A270" t="s">
        <v>7388</v>
      </c>
      <c r="B270" t="s">
        <v>7342</v>
      </c>
      <c r="C270" t="s">
        <v>7389</v>
      </c>
      <c r="D270" t="s">
        <v>5720</v>
      </c>
      <c r="E270" t="s">
        <v>5721</v>
      </c>
      <c r="F270" t="s">
        <v>5802</v>
      </c>
      <c r="G270" t="s">
        <v>5723</v>
      </c>
      <c r="H270" t="s">
        <v>458</v>
      </c>
      <c r="I270" t="s">
        <v>640</v>
      </c>
      <c r="J270" t="s">
        <v>273</v>
      </c>
      <c r="K270" t="s">
        <v>5734</v>
      </c>
      <c r="L270" t="s">
        <v>267</v>
      </c>
      <c r="M270">
        <v>13735246</v>
      </c>
      <c r="N270">
        <v>-1663133</v>
      </c>
      <c r="O270">
        <v>12072113</v>
      </c>
      <c r="P270">
        <v>0</v>
      </c>
      <c r="Q270" t="s">
        <v>7390</v>
      </c>
      <c r="R270" t="s">
        <v>7391</v>
      </c>
      <c r="S270" t="s">
        <v>7392</v>
      </c>
      <c r="T270" t="s">
        <v>7393</v>
      </c>
      <c r="U270" t="s">
        <v>7394</v>
      </c>
      <c r="V270" t="s">
        <v>7395</v>
      </c>
      <c r="W270" t="s">
        <v>7396</v>
      </c>
      <c r="X270" t="str">
        <f t="shared" si="4"/>
        <v>Inversión</v>
      </c>
      <c r="Y270" t="s">
        <v>5810</v>
      </c>
    </row>
    <row r="271" spans="1:25" x14ac:dyDescent="0.25">
      <c r="A271" t="s">
        <v>7240</v>
      </c>
      <c r="B271" t="s">
        <v>7342</v>
      </c>
      <c r="C271" t="s">
        <v>7397</v>
      </c>
      <c r="D271" t="s">
        <v>5720</v>
      </c>
      <c r="E271" t="s">
        <v>5721</v>
      </c>
      <c r="F271" t="s">
        <v>5802</v>
      </c>
      <c r="G271" t="s">
        <v>5723</v>
      </c>
      <c r="H271" t="s">
        <v>458</v>
      </c>
      <c r="I271" t="s">
        <v>640</v>
      </c>
      <c r="J271" t="s">
        <v>273</v>
      </c>
      <c r="K271" t="s">
        <v>5734</v>
      </c>
      <c r="L271" t="s">
        <v>267</v>
      </c>
      <c r="M271">
        <v>8077623</v>
      </c>
      <c r="N271">
        <v>-3700000</v>
      </c>
      <c r="O271">
        <v>4377623</v>
      </c>
      <c r="P271">
        <v>0</v>
      </c>
      <c r="Q271" t="s">
        <v>7398</v>
      </c>
      <c r="R271" t="s">
        <v>7399</v>
      </c>
      <c r="S271" t="s">
        <v>7031</v>
      </c>
      <c r="T271" t="s">
        <v>7400</v>
      </c>
      <c r="U271" t="s">
        <v>7401</v>
      </c>
      <c r="V271" t="s">
        <v>7402</v>
      </c>
      <c r="W271" t="s">
        <v>5731</v>
      </c>
      <c r="X271" t="str">
        <f t="shared" si="4"/>
        <v>Inversión</v>
      </c>
      <c r="Y271" t="s">
        <v>5810</v>
      </c>
    </row>
    <row r="272" spans="1:25" x14ac:dyDescent="0.25">
      <c r="A272" t="s">
        <v>7247</v>
      </c>
      <c r="B272" t="s">
        <v>7342</v>
      </c>
      <c r="C272" t="s">
        <v>7403</v>
      </c>
      <c r="D272" t="s">
        <v>5720</v>
      </c>
      <c r="E272" t="s">
        <v>5721</v>
      </c>
      <c r="F272" t="s">
        <v>5802</v>
      </c>
      <c r="G272" t="s">
        <v>5723</v>
      </c>
      <c r="H272" t="s">
        <v>463</v>
      </c>
      <c r="I272" t="s">
        <v>639</v>
      </c>
      <c r="J272" t="s">
        <v>266</v>
      </c>
      <c r="K272" t="s">
        <v>5724</v>
      </c>
      <c r="L272" t="s">
        <v>267</v>
      </c>
      <c r="M272">
        <v>3999463</v>
      </c>
      <c r="N272">
        <v>0</v>
      </c>
      <c r="O272">
        <v>3999463</v>
      </c>
      <c r="P272">
        <v>0</v>
      </c>
      <c r="Q272" t="s">
        <v>7404</v>
      </c>
      <c r="R272" t="s">
        <v>7405</v>
      </c>
      <c r="S272" t="s">
        <v>7057</v>
      </c>
      <c r="T272" t="s">
        <v>7406</v>
      </c>
      <c r="U272" t="s">
        <v>7407</v>
      </c>
      <c r="V272" t="s">
        <v>7408</v>
      </c>
      <c r="W272" t="s">
        <v>5731</v>
      </c>
      <c r="X272" t="str">
        <f t="shared" si="4"/>
        <v>Inversión</v>
      </c>
      <c r="Y272" t="s">
        <v>5810</v>
      </c>
    </row>
    <row r="273" spans="1:25" x14ac:dyDescent="0.25">
      <c r="A273" t="s">
        <v>7254</v>
      </c>
      <c r="B273" t="s">
        <v>7342</v>
      </c>
      <c r="C273" t="s">
        <v>7409</v>
      </c>
      <c r="D273" t="s">
        <v>5720</v>
      </c>
      <c r="E273" t="s">
        <v>5721</v>
      </c>
      <c r="F273" t="s">
        <v>5802</v>
      </c>
      <c r="G273" t="s">
        <v>5723</v>
      </c>
      <c r="H273" t="s">
        <v>458</v>
      </c>
      <c r="I273" t="s">
        <v>640</v>
      </c>
      <c r="J273" t="s">
        <v>273</v>
      </c>
      <c r="K273" t="s">
        <v>5734</v>
      </c>
      <c r="L273" t="s">
        <v>267</v>
      </c>
      <c r="M273">
        <v>13515246</v>
      </c>
      <c r="N273">
        <v>-1073712</v>
      </c>
      <c r="O273">
        <v>12441534</v>
      </c>
      <c r="P273">
        <v>0</v>
      </c>
      <c r="Q273" t="s">
        <v>7410</v>
      </c>
      <c r="R273" t="s">
        <v>7411</v>
      </c>
      <c r="S273" t="s">
        <v>7412</v>
      </c>
      <c r="T273" t="s">
        <v>7413</v>
      </c>
      <c r="U273" t="s">
        <v>7414</v>
      </c>
      <c r="V273" t="s">
        <v>7415</v>
      </c>
      <c r="W273" t="s">
        <v>7416</v>
      </c>
      <c r="X273" t="str">
        <f t="shared" si="4"/>
        <v>Inversión</v>
      </c>
      <c r="Y273" t="s">
        <v>5810</v>
      </c>
    </row>
    <row r="274" spans="1:25" x14ac:dyDescent="0.25">
      <c r="A274" t="s">
        <v>7262</v>
      </c>
      <c r="B274" t="s">
        <v>7342</v>
      </c>
      <c r="C274" t="s">
        <v>7417</v>
      </c>
      <c r="D274" t="s">
        <v>5720</v>
      </c>
      <c r="E274" t="s">
        <v>5721</v>
      </c>
      <c r="F274" t="s">
        <v>5802</v>
      </c>
      <c r="G274" t="s">
        <v>5723</v>
      </c>
      <c r="H274" t="s">
        <v>458</v>
      </c>
      <c r="I274" t="s">
        <v>640</v>
      </c>
      <c r="J274" t="s">
        <v>273</v>
      </c>
      <c r="K274" t="s">
        <v>5734</v>
      </c>
      <c r="L274" t="s">
        <v>267</v>
      </c>
      <c r="M274">
        <v>7400000</v>
      </c>
      <c r="N274">
        <v>-470515.20000000001</v>
      </c>
      <c r="O274">
        <v>6929484.7999999998</v>
      </c>
      <c r="P274">
        <v>0</v>
      </c>
      <c r="Q274" t="s">
        <v>7418</v>
      </c>
      <c r="R274" t="s">
        <v>7419</v>
      </c>
      <c r="S274" t="s">
        <v>6983</v>
      </c>
      <c r="T274" t="s">
        <v>7420</v>
      </c>
      <c r="U274" t="s">
        <v>7421</v>
      </c>
      <c r="V274" t="s">
        <v>7422</v>
      </c>
      <c r="W274" t="s">
        <v>7423</v>
      </c>
      <c r="X274" t="str">
        <f t="shared" si="4"/>
        <v>Inversión</v>
      </c>
      <c r="Y274" t="s">
        <v>5810</v>
      </c>
    </row>
    <row r="275" spans="1:25" x14ac:dyDescent="0.25">
      <c r="A275" t="s">
        <v>6707</v>
      </c>
      <c r="B275" t="s">
        <v>7342</v>
      </c>
      <c r="C275" t="s">
        <v>7424</v>
      </c>
      <c r="D275" t="s">
        <v>5720</v>
      </c>
      <c r="E275" t="s">
        <v>5721</v>
      </c>
      <c r="F275" t="s">
        <v>5802</v>
      </c>
      <c r="G275" t="s">
        <v>5723</v>
      </c>
      <c r="H275" t="s">
        <v>458</v>
      </c>
      <c r="I275" t="s">
        <v>640</v>
      </c>
      <c r="J275" t="s">
        <v>273</v>
      </c>
      <c r="K275" t="s">
        <v>5734</v>
      </c>
      <c r="L275" t="s">
        <v>267</v>
      </c>
      <c r="M275">
        <v>8077623</v>
      </c>
      <c r="N275">
        <v>-3700000</v>
      </c>
      <c r="O275">
        <v>4377623</v>
      </c>
      <c r="P275">
        <v>0</v>
      </c>
      <c r="Q275" t="s">
        <v>7404</v>
      </c>
      <c r="R275" t="s">
        <v>7425</v>
      </c>
      <c r="S275" t="s">
        <v>7063</v>
      </c>
      <c r="T275" t="s">
        <v>7426</v>
      </c>
      <c r="U275" t="s">
        <v>7427</v>
      </c>
      <c r="V275" t="s">
        <v>7428</v>
      </c>
      <c r="W275" t="s">
        <v>5731</v>
      </c>
      <c r="X275" t="str">
        <f t="shared" si="4"/>
        <v>Inversión</v>
      </c>
      <c r="Y275" t="s">
        <v>5810</v>
      </c>
    </row>
    <row r="276" spans="1:25" x14ac:dyDescent="0.25">
      <c r="A276" t="s">
        <v>7275</v>
      </c>
      <c r="B276" t="s">
        <v>7342</v>
      </c>
      <c r="C276" t="s">
        <v>7429</v>
      </c>
      <c r="D276" t="s">
        <v>5720</v>
      </c>
      <c r="E276" t="s">
        <v>5721</v>
      </c>
      <c r="F276" t="s">
        <v>5733</v>
      </c>
      <c r="G276" t="s">
        <v>5723</v>
      </c>
      <c r="H276" t="s">
        <v>461</v>
      </c>
      <c r="I276" t="s">
        <v>644</v>
      </c>
      <c r="J276" t="s">
        <v>273</v>
      </c>
      <c r="K276" t="s">
        <v>5734</v>
      </c>
      <c r="L276" t="s">
        <v>267</v>
      </c>
      <c r="M276">
        <v>58772631</v>
      </c>
      <c r="N276">
        <v>0</v>
      </c>
      <c r="O276">
        <v>58772631</v>
      </c>
      <c r="P276">
        <v>5</v>
      </c>
      <c r="Q276" t="s">
        <v>7430</v>
      </c>
      <c r="R276" t="s">
        <v>6587</v>
      </c>
      <c r="S276" t="s">
        <v>7431</v>
      </c>
      <c r="T276" t="s">
        <v>7432</v>
      </c>
      <c r="U276" t="s">
        <v>7433</v>
      </c>
      <c r="V276" t="s">
        <v>7434</v>
      </c>
      <c r="W276" t="s">
        <v>5731</v>
      </c>
      <c r="X276" t="str">
        <f t="shared" si="4"/>
        <v>Inversión</v>
      </c>
      <c r="Y276" t="s">
        <v>5735</v>
      </c>
    </row>
    <row r="277" spans="1:25" x14ac:dyDescent="0.25">
      <c r="A277" t="s">
        <v>7278</v>
      </c>
      <c r="B277" t="s">
        <v>7342</v>
      </c>
      <c r="C277" t="s">
        <v>7435</v>
      </c>
      <c r="D277" t="s">
        <v>5720</v>
      </c>
      <c r="E277" t="s">
        <v>5721</v>
      </c>
      <c r="F277" t="s">
        <v>5733</v>
      </c>
      <c r="G277" t="s">
        <v>5723</v>
      </c>
      <c r="H277" t="s">
        <v>461</v>
      </c>
      <c r="I277" t="s">
        <v>644</v>
      </c>
      <c r="J277" t="s">
        <v>273</v>
      </c>
      <c r="K277" t="s">
        <v>5734</v>
      </c>
      <c r="L277" t="s">
        <v>267</v>
      </c>
      <c r="M277">
        <v>73517991</v>
      </c>
      <c r="N277">
        <v>0</v>
      </c>
      <c r="O277">
        <v>73517991</v>
      </c>
      <c r="P277">
        <v>5569542</v>
      </c>
      <c r="Q277" t="s">
        <v>7436</v>
      </c>
      <c r="R277" t="s">
        <v>6555</v>
      </c>
      <c r="S277" t="s">
        <v>7437</v>
      </c>
      <c r="T277" t="s">
        <v>7438</v>
      </c>
      <c r="U277" t="s">
        <v>7439</v>
      </c>
      <c r="V277" t="s">
        <v>7440</v>
      </c>
      <c r="W277" t="s">
        <v>5731</v>
      </c>
      <c r="X277" t="str">
        <f t="shared" si="4"/>
        <v>Inversión</v>
      </c>
      <c r="Y277" t="s">
        <v>5735</v>
      </c>
    </row>
    <row r="278" spans="1:25" x14ac:dyDescent="0.25">
      <c r="A278" t="s">
        <v>7168</v>
      </c>
      <c r="B278" t="s">
        <v>7342</v>
      </c>
      <c r="C278" t="s">
        <v>7441</v>
      </c>
      <c r="D278" t="s">
        <v>5720</v>
      </c>
      <c r="E278" t="s">
        <v>5721</v>
      </c>
      <c r="F278" t="s">
        <v>5733</v>
      </c>
      <c r="G278" t="s">
        <v>5723</v>
      </c>
      <c r="H278" t="s">
        <v>461</v>
      </c>
      <c r="I278" t="s">
        <v>644</v>
      </c>
      <c r="J278" t="s">
        <v>273</v>
      </c>
      <c r="K278" t="s">
        <v>5734</v>
      </c>
      <c r="L278" t="s">
        <v>267</v>
      </c>
      <c r="M278">
        <v>95787741</v>
      </c>
      <c r="N278">
        <v>0</v>
      </c>
      <c r="O278">
        <v>95787741</v>
      </c>
      <c r="P278">
        <v>6676120</v>
      </c>
      <c r="Q278" t="s">
        <v>7442</v>
      </c>
      <c r="R278" t="s">
        <v>6552</v>
      </c>
      <c r="S278" t="s">
        <v>7443</v>
      </c>
      <c r="T278" t="s">
        <v>7444</v>
      </c>
      <c r="U278" t="s">
        <v>7445</v>
      </c>
      <c r="V278" t="s">
        <v>7446</v>
      </c>
      <c r="W278" t="s">
        <v>5731</v>
      </c>
      <c r="X278" t="str">
        <f t="shared" si="4"/>
        <v>Inversión</v>
      </c>
      <c r="Y278" t="s">
        <v>5735</v>
      </c>
    </row>
    <row r="279" spans="1:25" x14ac:dyDescent="0.25">
      <c r="A279" t="s">
        <v>7331</v>
      </c>
      <c r="B279" t="s">
        <v>7342</v>
      </c>
      <c r="C279" t="s">
        <v>7447</v>
      </c>
      <c r="D279" t="s">
        <v>5720</v>
      </c>
      <c r="E279" t="s">
        <v>5737</v>
      </c>
      <c r="F279" t="s">
        <v>5733</v>
      </c>
      <c r="G279" t="s">
        <v>5723</v>
      </c>
      <c r="H279" t="s">
        <v>461</v>
      </c>
      <c r="I279" t="s">
        <v>644</v>
      </c>
      <c r="J279" t="s">
        <v>273</v>
      </c>
      <c r="K279" t="s">
        <v>5734</v>
      </c>
      <c r="L279" t="s">
        <v>267</v>
      </c>
      <c r="M279">
        <v>121248517</v>
      </c>
      <c r="N279">
        <v>-121248517</v>
      </c>
      <c r="O279">
        <v>0</v>
      </c>
      <c r="P279">
        <v>0</v>
      </c>
      <c r="Q279" t="s">
        <v>7448</v>
      </c>
      <c r="R279" t="s">
        <v>6549</v>
      </c>
      <c r="S279" t="s">
        <v>5731</v>
      </c>
      <c r="T279" t="s">
        <v>5731</v>
      </c>
      <c r="U279" t="s">
        <v>5731</v>
      </c>
      <c r="V279" t="s">
        <v>5731</v>
      </c>
      <c r="W279" t="s">
        <v>5731</v>
      </c>
      <c r="X279" t="str">
        <f t="shared" si="4"/>
        <v>Inversión</v>
      </c>
      <c r="Y279" t="s">
        <v>5735</v>
      </c>
    </row>
    <row r="280" spans="1:25" x14ac:dyDescent="0.25">
      <c r="A280" t="s">
        <v>6179</v>
      </c>
      <c r="B280" t="s">
        <v>7342</v>
      </c>
      <c r="C280" t="s">
        <v>7449</v>
      </c>
      <c r="D280" t="s">
        <v>5720</v>
      </c>
      <c r="E280" t="s">
        <v>5721</v>
      </c>
      <c r="F280" t="s">
        <v>5802</v>
      </c>
      <c r="G280" t="s">
        <v>5723</v>
      </c>
      <c r="H280" t="s">
        <v>458</v>
      </c>
      <c r="I280" t="s">
        <v>640</v>
      </c>
      <c r="J280" t="s">
        <v>273</v>
      </c>
      <c r="K280" t="s">
        <v>5734</v>
      </c>
      <c r="L280" t="s">
        <v>267</v>
      </c>
      <c r="M280">
        <v>450000000</v>
      </c>
      <c r="N280">
        <v>0</v>
      </c>
      <c r="O280">
        <v>450000000</v>
      </c>
      <c r="P280">
        <v>0</v>
      </c>
      <c r="Q280" t="s">
        <v>7450</v>
      </c>
      <c r="R280" t="s">
        <v>7451</v>
      </c>
      <c r="S280" t="s">
        <v>7452</v>
      </c>
      <c r="T280" t="s">
        <v>5731</v>
      </c>
      <c r="U280" t="s">
        <v>5731</v>
      </c>
      <c r="V280" t="s">
        <v>5731</v>
      </c>
      <c r="W280" t="s">
        <v>5731</v>
      </c>
      <c r="X280" t="str">
        <f t="shared" si="4"/>
        <v>Inversión</v>
      </c>
      <c r="Y280" t="s">
        <v>5810</v>
      </c>
    </row>
    <row r="281" spans="1:25" x14ac:dyDescent="0.25">
      <c r="A281" t="s">
        <v>6179</v>
      </c>
      <c r="B281" t="s">
        <v>7342</v>
      </c>
      <c r="C281" t="s">
        <v>7449</v>
      </c>
      <c r="D281" t="s">
        <v>5720</v>
      </c>
      <c r="E281" t="s">
        <v>5721</v>
      </c>
      <c r="F281" t="s">
        <v>5733</v>
      </c>
      <c r="G281" t="s">
        <v>5723</v>
      </c>
      <c r="H281" t="s">
        <v>461</v>
      </c>
      <c r="I281" t="s">
        <v>644</v>
      </c>
      <c r="J281" t="s">
        <v>266</v>
      </c>
      <c r="K281" t="s">
        <v>5724</v>
      </c>
      <c r="L281" t="s">
        <v>267</v>
      </c>
      <c r="M281">
        <v>252194838</v>
      </c>
      <c r="N281">
        <v>0</v>
      </c>
      <c r="O281">
        <v>252194838</v>
      </c>
      <c r="P281">
        <v>0</v>
      </c>
      <c r="Q281" t="s">
        <v>7450</v>
      </c>
      <c r="R281" t="s">
        <v>7451</v>
      </c>
      <c r="S281" t="s">
        <v>7452</v>
      </c>
      <c r="T281" t="s">
        <v>5731</v>
      </c>
      <c r="U281" t="s">
        <v>5731</v>
      </c>
      <c r="V281" t="s">
        <v>5731</v>
      </c>
      <c r="W281" t="s">
        <v>5731</v>
      </c>
      <c r="X281" t="str">
        <f t="shared" si="4"/>
        <v>Inversión</v>
      </c>
      <c r="Y281" t="s">
        <v>5735</v>
      </c>
    </row>
    <row r="282" spans="1:25" x14ac:dyDescent="0.25">
      <c r="A282" t="s">
        <v>6179</v>
      </c>
      <c r="B282" t="s">
        <v>7342</v>
      </c>
      <c r="C282" t="s">
        <v>7449</v>
      </c>
      <c r="D282" t="s">
        <v>5720</v>
      </c>
      <c r="E282" t="s">
        <v>5721</v>
      </c>
      <c r="F282" t="s">
        <v>5854</v>
      </c>
      <c r="G282" t="s">
        <v>5723</v>
      </c>
      <c r="H282" t="s">
        <v>539</v>
      </c>
      <c r="I282" t="s">
        <v>658</v>
      </c>
      <c r="J282" t="s">
        <v>273</v>
      </c>
      <c r="K282" t="s">
        <v>5734</v>
      </c>
      <c r="L282" t="s">
        <v>267</v>
      </c>
      <c r="M282">
        <v>15000000</v>
      </c>
      <c r="N282">
        <v>0</v>
      </c>
      <c r="O282">
        <v>15000000</v>
      </c>
      <c r="P282">
        <v>0</v>
      </c>
      <c r="Q282" t="s">
        <v>7450</v>
      </c>
      <c r="R282" t="s">
        <v>7451</v>
      </c>
      <c r="S282" t="s">
        <v>7452</v>
      </c>
      <c r="T282" t="s">
        <v>5731</v>
      </c>
      <c r="U282" t="s">
        <v>5731</v>
      </c>
      <c r="V282" t="s">
        <v>5731</v>
      </c>
      <c r="W282" t="s">
        <v>5731</v>
      </c>
      <c r="X282" t="str">
        <f t="shared" si="4"/>
        <v>Inversión</v>
      </c>
      <c r="Y282" t="s">
        <v>5861</v>
      </c>
    </row>
    <row r="283" spans="1:25" x14ac:dyDescent="0.25">
      <c r="A283" t="s">
        <v>6179</v>
      </c>
      <c r="B283" t="s">
        <v>7342</v>
      </c>
      <c r="C283" t="s">
        <v>7449</v>
      </c>
      <c r="D283" t="s">
        <v>5720</v>
      </c>
      <c r="E283" t="s">
        <v>5721</v>
      </c>
      <c r="F283" t="s">
        <v>5738</v>
      </c>
      <c r="G283" t="s">
        <v>5723</v>
      </c>
      <c r="H283" t="s">
        <v>556</v>
      </c>
      <c r="I283" t="s">
        <v>671</v>
      </c>
      <c r="J283" t="s">
        <v>273</v>
      </c>
      <c r="K283" t="s">
        <v>5734</v>
      </c>
      <c r="L283" t="s">
        <v>267</v>
      </c>
      <c r="M283">
        <v>1401307</v>
      </c>
      <c r="N283">
        <v>0</v>
      </c>
      <c r="O283">
        <v>1401307</v>
      </c>
      <c r="P283">
        <v>0</v>
      </c>
      <c r="Q283" t="s">
        <v>7450</v>
      </c>
      <c r="R283" t="s">
        <v>7451</v>
      </c>
      <c r="S283" t="s">
        <v>7452</v>
      </c>
      <c r="T283" t="s">
        <v>5731</v>
      </c>
      <c r="U283" t="s">
        <v>5731</v>
      </c>
      <c r="V283" t="s">
        <v>5731</v>
      </c>
      <c r="W283" t="s">
        <v>5731</v>
      </c>
      <c r="X283" t="str">
        <f t="shared" si="4"/>
        <v>Inversión</v>
      </c>
      <c r="Y283" t="s">
        <v>5741</v>
      </c>
    </row>
    <row r="284" spans="1:25" x14ac:dyDescent="0.25">
      <c r="A284" t="s">
        <v>6179</v>
      </c>
      <c r="B284" t="s">
        <v>7342</v>
      </c>
      <c r="C284" t="s">
        <v>7449</v>
      </c>
      <c r="D284" t="s">
        <v>5720</v>
      </c>
      <c r="E284" t="s">
        <v>5721</v>
      </c>
      <c r="F284" t="s">
        <v>5733</v>
      </c>
      <c r="G284" t="s">
        <v>5723</v>
      </c>
      <c r="H284" t="s">
        <v>461</v>
      </c>
      <c r="I284" t="s">
        <v>644</v>
      </c>
      <c r="J284" t="s">
        <v>273</v>
      </c>
      <c r="K284" t="s">
        <v>5734</v>
      </c>
      <c r="L284" t="s">
        <v>267</v>
      </c>
      <c r="M284">
        <v>552709101</v>
      </c>
      <c r="N284">
        <v>0</v>
      </c>
      <c r="O284">
        <v>552709101</v>
      </c>
      <c r="P284">
        <v>0</v>
      </c>
      <c r="Q284" t="s">
        <v>7450</v>
      </c>
      <c r="R284" t="s">
        <v>7451</v>
      </c>
      <c r="S284" t="s">
        <v>7452</v>
      </c>
      <c r="T284" t="s">
        <v>5731</v>
      </c>
      <c r="U284" t="s">
        <v>5731</v>
      </c>
      <c r="V284" t="s">
        <v>5731</v>
      </c>
      <c r="W284" t="s">
        <v>5731</v>
      </c>
      <c r="X284" t="str">
        <f t="shared" si="4"/>
        <v>Inversión</v>
      </c>
      <c r="Y284" t="s">
        <v>5735</v>
      </c>
    </row>
    <row r="285" spans="1:25" x14ac:dyDescent="0.25">
      <c r="A285" t="s">
        <v>7451</v>
      </c>
      <c r="B285" t="s">
        <v>7342</v>
      </c>
      <c r="C285" t="s">
        <v>7453</v>
      </c>
      <c r="D285" t="s">
        <v>5720</v>
      </c>
      <c r="E285" t="s">
        <v>5721</v>
      </c>
      <c r="F285" t="s">
        <v>5802</v>
      </c>
      <c r="G285" t="s">
        <v>5723</v>
      </c>
      <c r="H285" t="s">
        <v>458</v>
      </c>
      <c r="I285" t="s">
        <v>640</v>
      </c>
      <c r="J285" t="s">
        <v>266</v>
      </c>
      <c r="K285" t="s">
        <v>5724</v>
      </c>
      <c r="L285" t="s">
        <v>267</v>
      </c>
      <c r="M285">
        <v>120913653</v>
      </c>
      <c r="N285">
        <v>-1</v>
      </c>
      <c r="O285">
        <v>120913652</v>
      </c>
      <c r="P285">
        <v>0</v>
      </c>
      <c r="Q285" t="s">
        <v>7454</v>
      </c>
      <c r="R285" t="s">
        <v>7455</v>
      </c>
      <c r="S285" t="s">
        <v>7456</v>
      </c>
      <c r="T285" t="s">
        <v>7457</v>
      </c>
      <c r="U285" t="s">
        <v>7458</v>
      </c>
      <c r="V285" t="s">
        <v>7459</v>
      </c>
      <c r="W285" t="s">
        <v>5731</v>
      </c>
      <c r="X285" t="str">
        <f t="shared" si="4"/>
        <v>Inversión</v>
      </c>
      <c r="Y285" t="s">
        <v>5810</v>
      </c>
    </row>
    <row r="286" spans="1:25" x14ac:dyDescent="0.25">
      <c r="A286" t="s">
        <v>7325</v>
      </c>
      <c r="B286" t="s">
        <v>7342</v>
      </c>
      <c r="C286" t="s">
        <v>7460</v>
      </c>
      <c r="D286" t="s">
        <v>5720</v>
      </c>
      <c r="E286" t="s">
        <v>5721</v>
      </c>
      <c r="F286" t="s">
        <v>5802</v>
      </c>
      <c r="G286" t="s">
        <v>5723</v>
      </c>
      <c r="H286" t="s">
        <v>458</v>
      </c>
      <c r="I286" t="s">
        <v>640</v>
      </c>
      <c r="J286" t="s">
        <v>266</v>
      </c>
      <c r="K286" t="s">
        <v>5724</v>
      </c>
      <c r="L286" t="s">
        <v>267</v>
      </c>
      <c r="M286">
        <v>140352534</v>
      </c>
      <c r="N286">
        <v>0</v>
      </c>
      <c r="O286">
        <v>140352534</v>
      </c>
      <c r="P286">
        <v>0</v>
      </c>
      <c r="Q286" t="s">
        <v>7461</v>
      </c>
      <c r="R286" t="s">
        <v>7462</v>
      </c>
      <c r="S286" t="s">
        <v>7463</v>
      </c>
      <c r="T286" t="s">
        <v>7464</v>
      </c>
      <c r="U286" t="s">
        <v>7465</v>
      </c>
      <c r="V286" t="s">
        <v>7466</v>
      </c>
      <c r="W286" t="s">
        <v>5731</v>
      </c>
      <c r="X286" t="str">
        <f t="shared" si="4"/>
        <v>Inversión</v>
      </c>
      <c r="Y286" t="s">
        <v>5810</v>
      </c>
    </row>
    <row r="287" spans="1:25" x14ac:dyDescent="0.25">
      <c r="A287" t="s">
        <v>7467</v>
      </c>
      <c r="B287" t="s">
        <v>7342</v>
      </c>
      <c r="C287" t="s">
        <v>7468</v>
      </c>
      <c r="D287" t="s">
        <v>5720</v>
      </c>
      <c r="E287" t="s">
        <v>5737</v>
      </c>
      <c r="F287" t="s">
        <v>5802</v>
      </c>
      <c r="G287" t="s">
        <v>5723</v>
      </c>
      <c r="H287" t="s">
        <v>458</v>
      </c>
      <c r="I287" t="s">
        <v>640</v>
      </c>
      <c r="J287" t="s">
        <v>266</v>
      </c>
      <c r="K287" t="s">
        <v>5724</v>
      </c>
      <c r="L287" t="s">
        <v>267</v>
      </c>
      <c r="M287">
        <v>26714830</v>
      </c>
      <c r="N287">
        <v>-26714830</v>
      </c>
      <c r="O287">
        <v>0</v>
      </c>
      <c r="P287">
        <v>0</v>
      </c>
      <c r="Q287" t="s">
        <v>7469</v>
      </c>
      <c r="R287" t="s">
        <v>7470</v>
      </c>
      <c r="S287" t="s">
        <v>5731</v>
      </c>
      <c r="T287" t="s">
        <v>5731</v>
      </c>
      <c r="U287" t="s">
        <v>5731</v>
      </c>
      <c r="V287" t="s">
        <v>5731</v>
      </c>
      <c r="W287" t="s">
        <v>5731</v>
      </c>
      <c r="X287" t="str">
        <f t="shared" si="4"/>
        <v>Inversión</v>
      </c>
      <c r="Y287" t="s">
        <v>5810</v>
      </c>
    </row>
    <row r="288" spans="1:25" x14ac:dyDescent="0.25">
      <c r="A288" t="s">
        <v>7051</v>
      </c>
      <c r="B288" t="s">
        <v>7342</v>
      </c>
      <c r="C288" t="s">
        <v>7471</v>
      </c>
      <c r="D288" t="s">
        <v>5720</v>
      </c>
      <c r="E288" t="s">
        <v>5737</v>
      </c>
      <c r="F288" t="s">
        <v>5802</v>
      </c>
      <c r="G288" t="s">
        <v>5723</v>
      </c>
      <c r="H288" t="s">
        <v>458</v>
      </c>
      <c r="I288" t="s">
        <v>640</v>
      </c>
      <c r="J288" t="s">
        <v>266</v>
      </c>
      <c r="K288" t="s">
        <v>5724</v>
      </c>
      <c r="L288" t="s">
        <v>267</v>
      </c>
      <c r="M288">
        <v>26714830</v>
      </c>
      <c r="N288">
        <v>-26714830</v>
      </c>
      <c r="O288">
        <v>0</v>
      </c>
      <c r="P288">
        <v>0</v>
      </c>
      <c r="Q288" t="s">
        <v>6005</v>
      </c>
      <c r="R288" t="s">
        <v>7472</v>
      </c>
      <c r="S288" t="s">
        <v>5731</v>
      </c>
      <c r="T288" t="s">
        <v>5731</v>
      </c>
      <c r="U288" t="s">
        <v>5731</v>
      </c>
      <c r="V288" t="s">
        <v>5731</v>
      </c>
      <c r="W288" t="s">
        <v>5731</v>
      </c>
      <c r="X288" t="str">
        <f t="shared" si="4"/>
        <v>Inversión</v>
      </c>
      <c r="Y288" t="s">
        <v>5810</v>
      </c>
    </row>
    <row r="289" spans="1:25" x14ac:dyDescent="0.25">
      <c r="A289" t="s">
        <v>7316</v>
      </c>
      <c r="B289" t="s">
        <v>7342</v>
      </c>
      <c r="C289" t="s">
        <v>7473</v>
      </c>
      <c r="D289" t="s">
        <v>5720</v>
      </c>
      <c r="E289" t="s">
        <v>5721</v>
      </c>
      <c r="F289" t="s">
        <v>5802</v>
      </c>
      <c r="G289" t="s">
        <v>5723</v>
      </c>
      <c r="H289" t="s">
        <v>463</v>
      </c>
      <c r="I289" t="s">
        <v>639</v>
      </c>
      <c r="J289" t="s">
        <v>266</v>
      </c>
      <c r="K289" t="s">
        <v>5724</v>
      </c>
      <c r="L289" t="s">
        <v>267</v>
      </c>
      <c r="M289">
        <v>28050571</v>
      </c>
      <c r="N289">
        <v>-1335741</v>
      </c>
      <c r="O289">
        <v>26714830</v>
      </c>
      <c r="P289">
        <v>0</v>
      </c>
      <c r="Q289" t="s">
        <v>7474</v>
      </c>
      <c r="R289" t="s">
        <v>7475</v>
      </c>
      <c r="S289" t="s">
        <v>7476</v>
      </c>
      <c r="T289" t="s">
        <v>7477</v>
      </c>
      <c r="U289" t="s">
        <v>7478</v>
      </c>
      <c r="V289" t="s">
        <v>7479</v>
      </c>
      <c r="W289" t="s">
        <v>5731</v>
      </c>
      <c r="X289" t="str">
        <f t="shared" si="4"/>
        <v>Inversión</v>
      </c>
      <c r="Y289" t="s">
        <v>5810</v>
      </c>
    </row>
    <row r="290" spans="1:25" x14ac:dyDescent="0.25">
      <c r="A290" t="s">
        <v>7309</v>
      </c>
      <c r="B290" t="s">
        <v>7342</v>
      </c>
      <c r="C290" t="s">
        <v>7480</v>
      </c>
      <c r="D290" t="s">
        <v>5720</v>
      </c>
      <c r="E290" t="s">
        <v>5721</v>
      </c>
      <c r="F290" t="s">
        <v>5802</v>
      </c>
      <c r="G290" t="s">
        <v>5723</v>
      </c>
      <c r="H290" t="s">
        <v>463</v>
      </c>
      <c r="I290" t="s">
        <v>639</v>
      </c>
      <c r="J290" t="s">
        <v>273</v>
      </c>
      <c r="K290" t="s">
        <v>5734</v>
      </c>
      <c r="L290" t="s">
        <v>267</v>
      </c>
      <c r="M290">
        <v>52252452</v>
      </c>
      <c r="N290">
        <v>0</v>
      </c>
      <c r="O290">
        <v>52252452</v>
      </c>
      <c r="P290">
        <v>0</v>
      </c>
      <c r="Q290" t="s">
        <v>6814</v>
      </c>
      <c r="R290" t="s">
        <v>7481</v>
      </c>
      <c r="S290" t="s">
        <v>7472</v>
      </c>
      <c r="T290" t="s">
        <v>7482</v>
      </c>
      <c r="U290" t="s">
        <v>7483</v>
      </c>
      <c r="V290" t="s">
        <v>7484</v>
      </c>
      <c r="W290" t="s">
        <v>5731</v>
      </c>
      <c r="X290" t="str">
        <f t="shared" si="4"/>
        <v>Inversión</v>
      </c>
      <c r="Y290" t="s">
        <v>5810</v>
      </c>
    </row>
    <row r="291" spans="1:25" x14ac:dyDescent="0.25">
      <c r="A291" t="s">
        <v>7302</v>
      </c>
      <c r="B291" t="s">
        <v>7342</v>
      </c>
      <c r="C291" t="s">
        <v>7485</v>
      </c>
      <c r="D291" t="s">
        <v>5720</v>
      </c>
      <c r="E291" t="s">
        <v>5721</v>
      </c>
      <c r="F291" t="s">
        <v>5802</v>
      </c>
      <c r="G291" t="s">
        <v>5723</v>
      </c>
      <c r="H291" t="s">
        <v>463</v>
      </c>
      <c r="I291" t="s">
        <v>639</v>
      </c>
      <c r="J291" t="s">
        <v>266</v>
      </c>
      <c r="K291" t="s">
        <v>5724</v>
      </c>
      <c r="L291" t="s">
        <v>267</v>
      </c>
      <c r="M291">
        <v>28050572</v>
      </c>
      <c r="N291">
        <v>-1335742</v>
      </c>
      <c r="O291">
        <v>26714830</v>
      </c>
      <c r="P291">
        <v>0</v>
      </c>
      <c r="Q291" t="s">
        <v>6737</v>
      </c>
      <c r="R291" t="s">
        <v>7486</v>
      </c>
      <c r="S291" t="s">
        <v>7487</v>
      </c>
      <c r="T291" t="s">
        <v>7488</v>
      </c>
      <c r="U291" t="s">
        <v>7489</v>
      </c>
      <c r="V291" t="s">
        <v>7490</v>
      </c>
      <c r="W291" t="s">
        <v>5731</v>
      </c>
      <c r="X291" t="str">
        <f t="shared" si="4"/>
        <v>Inversión</v>
      </c>
      <c r="Y291" t="s">
        <v>5810</v>
      </c>
    </row>
    <row r="292" spans="1:25" x14ac:dyDescent="0.25">
      <c r="A292" t="s">
        <v>7295</v>
      </c>
      <c r="B292" t="s">
        <v>7342</v>
      </c>
      <c r="C292" t="s">
        <v>7491</v>
      </c>
      <c r="D292" t="s">
        <v>5720</v>
      </c>
      <c r="E292" t="s">
        <v>5721</v>
      </c>
      <c r="F292" t="s">
        <v>5802</v>
      </c>
      <c r="G292" t="s">
        <v>5723</v>
      </c>
      <c r="H292" t="s">
        <v>458</v>
      </c>
      <c r="I292" t="s">
        <v>640</v>
      </c>
      <c r="J292" t="s">
        <v>273</v>
      </c>
      <c r="K292" t="s">
        <v>5734</v>
      </c>
      <c r="L292" t="s">
        <v>267</v>
      </c>
      <c r="M292">
        <v>80144490</v>
      </c>
      <c r="N292">
        <v>0</v>
      </c>
      <c r="O292">
        <v>80144490</v>
      </c>
      <c r="P292">
        <v>0</v>
      </c>
      <c r="Q292" t="s">
        <v>7492</v>
      </c>
      <c r="R292" t="s">
        <v>6458</v>
      </c>
      <c r="S292" t="s">
        <v>7493</v>
      </c>
      <c r="T292" t="s">
        <v>7494</v>
      </c>
      <c r="U292" t="s">
        <v>7495</v>
      </c>
      <c r="V292" t="s">
        <v>7496</v>
      </c>
      <c r="W292" t="s">
        <v>5731</v>
      </c>
      <c r="X292" t="str">
        <f t="shared" si="4"/>
        <v>Inversión</v>
      </c>
      <c r="Y292" t="s">
        <v>5810</v>
      </c>
    </row>
    <row r="293" spans="1:25" x14ac:dyDescent="0.25">
      <c r="A293" t="s">
        <v>7357</v>
      </c>
      <c r="B293" t="s">
        <v>7497</v>
      </c>
      <c r="C293" t="s">
        <v>7498</v>
      </c>
      <c r="D293" t="s">
        <v>5720</v>
      </c>
      <c r="E293" t="s">
        <v>5721</v>
      </c>
      <c r="F293" t="s">
        <v>5802</v>
      </c>
      <c r="G293" t="s">
        <v>5723</v>
      </c>
      <c r="H293" t="s">
        <v>458</v>
      </c>
      <c r="I293" t="s">
        <v>640</v>
      </c>
      <c r="J293" t="s">
        <v>266</v>
      </c>
      <c r="K293" t="s">
        <v>5724</v>
      </c>
      <c r="L293" t="s">
        <v>267</v>
      </c>
      <c r="M293">
        <v>4945471</v>
      </c>
      <c r="N293">
        <v>-856001</v>
      </c>
      <c r="O293">
        <v>4089470</v>
      </c>
      <c r="P293">
        <v>0</v>
      </c>
      <c r="Q293" t="s">
        <v>7499</v>
      </c>
      <c r="R293" t="s">
        <v>7500</v>
      </c>
      <c r="S293" t="s">
        <v>7290</v>
      </c>
      <c r="T293" t="s">
        <v>7501</v>
      </c>
      <c r="U293" t="s">
        <v>7502</v>
      </c>
      <c r="V293" t="s">
        <v>7503</v>
      </c>
      <c r="W293" t="s">
        <v>7504</v>
      </c>
      <c r="X293" t="str">
        <f t="shared" si="4"/>
        <v>Inversión</v>
      </c>
      <c r="Y293" t="s">
        <v>5810</v>
      </c>
    </row>
    <row r="294" spans="1:25" x14ac:dyDescent="0.25">
      <c r="A294" t="s">
        <v>7345</v>
      </c>
      <c r="B294" t="s">
        <v>7505</v>
      </c>
      <c r="C294" t="s">
        <v>7506</v>
      </c>
      <c r="D294" t="s">
        <v>5720</v>
      </c>
      <c r="E294" t="s">
        <v>5721</v>
      </c>
      <c r="F294" t="s">
        <v>5733</v>
      </c>
      <c r="G294" t="s">
        <v>5723</v>
      </c>
      <c r="H294" t="s">
        <v>461</v>
      </c>
      <c r="I294" t="s">
        <v>644</v>
      </c>
      <c r="J294" t="s">
        <v>266</v>
      </c>
      <c r="K294" t="s">
        <v>5724</v>
      </c>
      <c r="L294" t="s">
        <v>267</v>
      </c>
      <c r="M294">
        <v>18748392</v>
      </c>
      <c r="N294">
        <v>0</v>
      </c>
      <c r="O294">
        <v>18748392</v>
      </c>
      <c r="P294">
        <v>0</v>
      </c>
      <c r="Q294" t="s">
        <v>7507</v>
      </c>
      <c r="R294" t="s">
        <v>7508</v>
      </c>
      <c r="S294" t="s">
        <v>7509</v>
      </c>
      <c r="T294" t="s">
        <v>7510</v>
      </c>
      <c r="U294" t="s">
        <v>7511</v>
      </c>
      <c r="V294" t="s">
        <v>7512</v>
      </c>
      <c r="W294" t="s">
        <v>5731</v>
      </c>
      <c r="X294" t="str">
        <f t="shared" si="4"/>
        <v>Inversión</v>
      </c>
      <c r="Y294" t="s">
        <v>5735</v>
      </c>
    </row>
    <row r="295" spans="1:25" x14ac:dyDescent="0.25">
      <c r="A295" t="s">
        <v>7513</v>
      </c>
      <c r="B295" t="s">
        <v>7505</v>
      </c>
      <c r="C295" t="s">
        <v>7514</v>
      </c>
      <c r="D295" t="s">
        <v>5720</v>
      </c>
      <c r="E295" t="s">
        <v>5721</v>
      </c>
      <c r="F295" t="s">
        <v>5733</v>
      </c>
      <c r="G295" t="s">
        <v>5723</v>
      </c>
      <c r="H295" t="s">
        <v>461</v>
      </c>
      <c r="I295" t="s">
        <v>644</v>
      </c>
      <c r="J295" t="s">
        <v>266</v>
      </c>
      <c r="K295" t="s">
        <v>5724</v>
      </c>
      <c r="L295" t="s">
        <v>267</v>
      </c>
      <c r="M295">
        <v>10207458</v>
      </c>
      <c r="N295">
        <v>0</v>
      </c>
      <c r="O295">
        <v>10207458</v>
      </c>
      <c r="P295">
        <v>0</v>
      </c>
      <c r="Q295" t="s">
        <v>7515</v>
      </c>
      <c r="R295" t="s">
        <v>6479</v>
      </c>
      <c r="S295" t="s">
        <v>6631</v>
      </c>
      <c r="T295" t="s">
        <v>7516</v>
      </c>
      <c r="U295" t="s">
        <v>7517</v>
      </c>
      <c r="V295" t="s">
        <v>7518</v>
      </c>
      <c r="W295" t="s">
        <v>5731</v>
      </c>
      <c r="X295" t="str">
        <f t="shared" si="4"/>
        <v>Inversión</v>
      </c>
      <c r="Y295" t="s">
        <v>5735</v>
      </c>
    </row>
    <row r="296" spans="1:25" x14ac:dyDescent="0.25">
      <c r="A296" t="s">
        <v>7519</v>
      </c>
      <c r="B296" t="s">
        <v>7505</v>
      </c>
      <c r="C296" t="s">
        <v>7520</v>
      </c>
      <c r="D296" t="s">
        <v>5720</v>
      </c>
      <c r="E296" t="s">
        <v>5737</v>
      </c>
      <c r="F296" t="s">
        <v>5733</v>
      </c>
      <c r="G296" t="s">
        <v>5723</v>
      </c>
      <c r="H296" t="s">
        <v>461</v>
      </c>
      <c r="I296" t="s">
        <v>644</v>
      </c>
      <c r="J296" t="s">
        <v>266</v>
      </c>
      <c r="K296" t="s">
        <v>5724</v>
      </c>
      <c r="L296" t="s">
        <v>267</v>
      </c>
      <c r="M296">
        <v>25492500</v>
      </c>
      <c r="N296">
        <v>-25492500</v>
      </c>
      <c r="O296">
        <v>0</v>
      </c>
      <c r="P296">
        <v>0</v>
      </c>
      <c r="Q296" t="s">
        <v>7521</v>
      </c>
      <c r="R296" t="s">
        <v>7522</v>
      </c>
      <c r="S296" t="s">
        <v>5731</v>
      </c>
      <c r="T296" t="s">
        <v>5731</v>
      </c>
      <c r="U296" t="s">
        <v>5731</v>
      </c>
      <c r="V296" t="s">
        <v>5731</v>
      </c>
      <c r="W296" t="s">
        <v>5731</v>
      </c>
      <c r="X296" t="str">
        <f t="shared" si="4"/>
        <v>Inversión</v>
      </c>
      <c r="Y296" t="s">
        <v>5735</v>
      </c>
    </row>
    <row r="297" spans="1:25" x14ac:dyDescent="0.25">
      <c r="A297" t="s">
        <v>6458</v>
      </c>
      <c r="B297" t="s">
        <v>7505</v>
      </c>
      <c r="C297" t="s">
        <v>7523</v>
      </c>
      <c r="D297" t="s">
        <v>5720</v>
      </c>
      <c r="E297" t="s">
        <v>5721</v>
      </c>
      <c r="F297" t="s">
        <v>5733</v>
      </c>
      <c r="G297" t="s">
        <v>5723</v>
      </c>
      <c r="H297" t="s">
        <v>461</v>
      </c>
      <c r="I297" t="s">
        <v>644</v>
      </c>
      <c r="J297" t="s">
        <v>266</v>
      </c>
      <c r="K297" t="s">
        <v>5724</v>
      </c>
      <c r="L297" t="s">
        <v>267</v>
      </c>
      <c r="M297">
        <v>18748392</v>
      </c>
      <c r="N297">
        <v>0</v>
      </c>
      <c r="O297">
        <v>18748392</v>
      </c>
      <c r="P297">
        <v>3124732</v>
      </c>
      <c r="Q297" t="s">
        <v>7524</v>
      </c>
      <c r="R297" t="s">
        <v>7525</v>
      </c>
      <c r="S297" t="s">
        <v>6024</v>
      </c>
      <c r="T297" t="s">
        <v>7526</v>
      </c>
      <c r="U297" t="s">
        <v>7527</v>
      </c>
      <c r="V297" t="s">
        <v>7528</v>
      </c>
      <c r="W297" t="s">
        <v>5731</v>
      </c>
      <c r="X297" t="str">
        <f t="shared" si="4"/>
        <v>Inversión</v>
      </c>
      <c r="Y297" t="s">
        <v>5735</v>
      </c>
    </row>
    <row r="298" spans="1:25" x14ac:dyDescent="0.25">
      <c r="A298" t="s">
        <v>7486</v>
      </c>
      <c r="B298" t="s">
        <v>7505</v>
      </c>
      <c r="C298" t="s">
        <v>7529</v>
      </c>
      <c r="D298" t="s">
        <v>5720</v>
      </c>
      <c r="E298" t="s">
        <v>5721</v>
      </c>
      <c r="F298" t="s">
        <v>5733</v>
      </c>
      <c r="G298" t="s">
        <v>5723</v>
      </c>
      <c r="H298" t="s">
        <v>461</v>
      </c>
      <c r="I298" t="s">
        <v>644</v>
      </c>
      <c r="J298" t="s">
        <v>266</v>
      </c>
      <c r="K298" t="s">
        <v>5724</v>
      </c>
      <c r="L298" t="s">
        <v>267</v>
      </c>
      <c r="M298">
        <v>12589290</v>
      </c>
      <c r="N298">
        <v>0</v>
      </c>
      <c r="O298">
        <v>12589290</v>
      </c>
      <c r="P298">
        <v>0</v>
      </c>
      <c r="Q298" t="s">
        <v>7530</v>
      </c>
      <c r="R298" t="s">
        <v>7531</v>
      </c>
      <c r="S298" t="s">
        <v>7532</v>
      </c>
      <c r="T298" t="s">
        <v>7533</v>
      </c>
      <c r="U298" t="s">
        <v>7534</v>
      </c>
      <c r="V298" t="s">
        <v>7535</v>
      </c>
      <c r="W298" t="s">
        <v>5731</v>
      </c>
      <c r="X298" t="str">
        <f t="shared" si="4"/>
        <v>Inversión</v>
      </c>
      <c r="Y298" t="s">
        <v>5735</v>
      </c>
    </row>
    <row r="299" spans="1:25" x14ac:dyDescent="0.25">
      <c r="A299" t="s">
        <v>7472</v>
      </c>
      <c r="B299" t="s">
        <v>7536</v>
      </c>
      <c r="C299" t="s">
        <v>7537</v>
      </c>
      <c r="D299" t="s">
        <v>5720</v>
      </c>
      <c r="E299" t="s">
        <v>5721</v>
      </c>
      <c r="F299" t="s">
        <v>5802</v>
      </c>
      <c r="G299" t="s">
        <v>5723</v>
      </c>
      <c r="H299" t="s">
        <v>458</v>
      </c>
      <c r="I299" t="s">
        <v>640</v>
      </c>
      <c r="J299" t="s">
        <v>266</v>
      </c>
      <c r="K299" t="s">
        <v>5724</v>
      </c>
      <c r="L299" t="s">
        <v>267</v>
      </c>
      <c r="M299">
        <v>15217687</v>
      </c>
      <c r="N299">
        <v>-5825810</v>
      </c>
      <c r="O299">
        <v>9391877</v>
      </c>
      <c r="P299">
        <v>0</v>
      </c>
      <c r="Q299" t="s">
        <v>7538</v>
      </c>
      <c r="R299" t="s">
        <v>7539</v>
      </c>
      <c r="S299" t="s">
        <v>7540</v>
      </c>
      <c r="T299" t="s">
        <v>7541</v>
      </c>
      <c r="U299" t="s">
        <v>7542</v>
      </c>
      <c r="V299" t="s">
        <v>7543</v>
      </c>
      <c r="W299" t="s">
        <v>7544</v>
      </c>
      <c r="X299" t="str">
        <f t="shared" si="4"/>
        <v>Inversión</v>
      </c>
      <c r="Y299" t="s">
        <v>5810</v>
      </c>
    </row>
    <row r="300" spans="1:25" x14ac:dyDescent="0.25">
      <c r="A300" t="s">
        <v>7470</v>
      </c>
      <c r="B300" t="s">
        <v>7536</v>
      </c>
      <c r="C300" t="s">
        <v>7545</v>
      </c>
      <c r="D300" t="s">
        <v>5720</v>
      </c>
      <c r="E300" t="s">
        <v>5721</v>
      </c>
      <c r="F300" t="s">
        <v>5738</v>
      </c>
      <c r="G300" t="s">
        <v>5723</v>
      </c>
      <c r="H300" t="s">
        <v>556</v>
      </c>
      <c r="I300" t="s">
        <v>671</v>
      </c>
      <c r="J300" t="s">
        <v>273</v>
      </c>
      <c r="K300" t="s">
        <v>5734</v>
      </c>
      <c r="L300" t="s">
        <v>267</v>
      </c>
      <c r="M300">
        <v>54740664</v>
      </c>
      <c r="N300">
        <v>0</v>
      </c>
      <c r="O300">
        <v>54740664</v>
      </c>
      <c r="P300">
        <v>0</v>
      </c>
      <c r="Q300" t="s">
        <v>7546</v>
      </c>
      <c r="R300" t="s">
        <v>7547</v>
      </c>
      <c r="S300" t="s">
        <v>7548</v>
      </c>
      <c r="T300" t="s">
        <v>7549</v>
      </c>
      <c r="U300" t="s">
        <v>7550</v>
      </c>
      <c r="V300" t="s">
        <v>7551</v>
      </c>
      <c r="W300" t="s">
        <v>5731</v>
      </c>
      <c r="X300" t="str">
        <f t="shared" si="4"/>
        <v>Inversión</v>
      </c>
      <c r="Y300" t="s">
        <v>5741</v>
      </c>
    </row>
    <row r="301" spans="1:25" x14ac:dyDescent="0.25">
      <c r="A301" t="s">
        <v>7455</v>
      </c>
      <c r="B301" t="s">
        <v>7552</v>
      </c>
      <c r="C301" t="s">
        <v>7553</v>
      </c>
      <c r="D301" t="s">
        <v>5720</v>
      </c>
      <c r="E301" t="s">
        <v>5721</v>
      </c>
      <c r="F301" t="s">
        <v>5733</v>
      </c>
      <c r="G301" t="s">
        <v>5723</v>
      </c>
      <c r="H301" t="s">
        <v>461</v>
      </c>
      <c r="I301" t="s">
        <v>644</v>
      </c>
      <c r="J301" t="s">
        <v>266</v>
      </c>
      <c r="K301" t="s">
        <v>5724</v>
      </c>
      <c r="L301" t="s">
        <v>267</v>
      </c>
      <c r="M301">
        <v>81794668</v>
      </c>
      <c r="N301">
        <v>-4781843</v>
      </c>
      <c r="O301">
        <v>77012825</v>
      </c>
      <c r="P301">
        <v>0</v>
      </c>
      <c r="Q301" t="s">
        <v>7554</v>
      </c>
      <c r="R301" t="s">
        <v>7555</v>
      </c>
      <c r="S301" t="s">
        <v>7556</v>
      </c>
      <c r="T301" t="s">
        <v>7557</v>
      </c>
      <c r="U301" t="s">
        <v>7558</v>
      </c>
      <c r="V301" t="s">
        <v>7559</v>
      </c>
      <c r="W301" t="s">
        <v>5731</v>
      </c>
      <c r="X301" t="str">
        <f t="shared" si="4"/>
        <v>Inversión</v>
      </c>
      <c r="Y301" t="s">
        <v>5735</v>
      </c>
    </row>
    <row r="302" spans="1:25" x14ac:dyDescent="0.25">
      <c r="A302" t="s">
        <v>7351</v>
      </c>
      <c r="B302" t="s">
        <v>7552</v>
      </c>
      <c r="C302" t="s">
        <v>7560</v>
      </c>
      <c r="D302" t="s">
        <v>5720</v>
      </c>
      <c r="E302" t="s">
        <v>5721</v>
      </c>
      <c r="F302" t="s">
        <v>5802</v>
      </c>
      <c r="G302" t="s">
        <v>5723</v>
      </c>
      <c r="H302" t="s">
        <v>463</v>
      </c>
      <c r="I302" t="s">
        <v>639</v>
      </c>
      <c r="J302" t="s">
        <v>266</v>
      </c>
      <c r="K302" t="s">
        <v>5724</v>
      </c>
      <c r="L302" t="s">
        <v>267</v>
      </c>
      <c r="M302">
        <v>30297693</v>
      </c>
      <c r="N302">
        <v>-26298230</v>
      </c>
      <c r="O302">
        <v>3999463</v>
      </c>
      <c r="P302">
        <v>0</v>
      </c>
      <c r="Q302" t="s">
        <v>7561</v>
      </c>
      <c r="R302" t="s">
        <v>6266</v>
      </c>
      <c r="S302" t="s">
        <v>7562</v>
      </c>
      <c r="T302" t="s">
        <v>7563</v>
      </c>
      <c r="U302" t="s">
        <v>7564</v>
      </c>
      <c r="V302" t="s">
        <v>7565</v>
      </c>
      <c r="W302" t="s">
        <v>5731</v>
      </c>
      <c r="X302" t="str">
        <f t="shared" si="4"/>
        <v>Inversión</v>
      </c>
      <c r="Y302" t="s">
        <v>5810</v>
      </c>
    </row>
    <row r="303" spans="1:25" x14ac:dyDescent="0.25">
      <c r="A303" t="s">
        <v>7425</v>
      </c>
      <c r="B303" t="s">
        <v>7566</v>
      </c>
      <c r="C303" t="s">
        <v>7567</v>
      </c>
      <c r="D303" t="s">
        <v>5720</v>
      </c>
      <c r="E303" t="s">
        <v>5721</v>
      </c>
      <c r="F303" t="s">
        <v>5802</v>
      </c>
      <c r="G303" t="s">
        <v>5723</v>
      </c>
      <c r="H303" t="s">
        <v>463</v>
      </c>
      <c r="I303" t="s">
        <v>639</v>
      </c>
      <c r="J303" t="s">
        <v>273</v>
      </c>
      <c r="K303" t="s">
        <v>5734</v>
      </c>
      <c r="L303" t="s">
        <v>267</v>
      </c>
      <c r="M303">
        <v>26298230</v>
      </c>
      <c r="N303">
        <v>-1140172.3600000001</v>
      </c>
      <c r="O303">
        <v>25158057.640000001</v>
      </c>
      <c r="P303">
        <v>0</v>
      </c>
      <c r="Q303" t="s">
        <v>7561</v>
      </c>
      <c r="R303" t="s">
        <v>7568</v>
      </c>
      <c r="S303" t="s">
        <v>7569</v>
      </c>
      <c r="T303" t="s">
        <v>7570</v>
      </c>
      <c r="U303" t="s">
        <v>7571</v>
      </c>
      <c r="V303" t="s">
        <v>7572</v>
      </c>
      <c r="W303" t="s">
        <v>7573</v>
      </c>
      <c r="X303" t="str">
        <f t="shared" si="4"/>
        <v>Inversión</v>
      </c>
      <c r="Y303" t="s">
        <v>5810</v>
      </c>
    </row>
    <row r="304" spans="1:25" x14ac:dyDescent="0.25">
      <c r="A304" t="s">
        <v>7411</v>
      </c>
      <c r="B304" t="s">
        <v>7566</v>
      </c>
      <c r="C304" t="s">
        <v>7574</v>
      </c>
      <c r="D304" t="s">
        <v>5720</v>
      </c>
      <c r="E304" t="s">
        <v>5721</v>
      </c>
      <c r="F304" t="s">
        <v>5733</v>
      </c>
      <c r="G304" t="s">
        <v>5723</v>
      </c>
      <c r="H304" t="s">
        <v>461</v>
      </c>
      <c r="I304" t="s">
        <v>644</v>
      </c>
      <c r="J304" t="s">
        <v>266</v>
      </c>
      <c r="K304" t="s">
        <v>5724</v>
      </c>
      <c r="L304" t="s">
        <v>267</v>
      </c>
      <c r="M304">
        <v>100000000</v>
      </c>
      <c r="N304">
        <v>0</v>
      </c>
      <c r="O304">
        <v>100000000</v>
      </c>
      <c r="P304">
        <v>2987145</v>
      </c>
      <c r="Q304" t="s">
        <v>7575</v>
      </c>
      <c r="R304" t="s">
        <v>7576</v>
      </c>
      <c r="S304" t="s">
        <v>7577</v>
      </c>
      <c r="T304" t="s">
        <v>7578</v>
      </c>
      <c r="U304" t="s">
        <v>7579</v>
      </c>
      <c r="V304" t="s">
        <v>7580</v>
      </c>
      <c r="W304" t="s">
        <v>7581</v>
      </c>
      <c r="X304" t="str">
        <f t="shared" si="4"/>
        <v>Inversión</v>
      </c>
      <c r="Y304" t="s">
        <v>5735</v>
      </c>
    </row>
    <row r="305" spans="1:25" x14ac:dyDescent="0.25">
      <c r="A305" t="s">
        <v>7391</v>
      </c>
      <c r="B305" t="s">
        <v>7582</v>
      </c>
      <c r="C305" t="s">
        <v>7583</v>
      </c>
      <c r="D305" t="s">
        <v>5720</v>
      </c>
      <c r="E305" t="s">
        <v>5737</v>
      </c>
      <c r="F305" t="s">
        <v>5722</v>
      </c>
      <c r="G305" t="s">
        <v>5723</v>
      </c>
      <c r="H305" t="s">
        <v>453</v>
      </c>
      <c r="I305" t="s">
        <v>664</v>
      </c>
      <c r="J305" t="s">
        <v>266</v>
      </c>
      <c r="K305" t="s">
        <v>5724</v>
      </c>
      <c r="L305" t="s">
        <v>267</v>
      </c>
      <c r="M305">
        <v>142436206</v>
      </c>
      <c r="N305">
        <v>-142436206</v>
      </c>
      <c r="O305">
        <v>0</v>
      </c>
      <c r="P305">
        <v>0</v>
      </c>
      <c r="Q305" t="s">
        <v>7584</v>
      </c>
      <c r="R305" t="s">
        <v>7005</v>
      </c>
      <c r="S305" t="s">
        <v>5731</v>
      </c>
      <c r="T305" t="s">
        <v>5731</v>
      </c>
      <c r="U305" t="s">
        <v>5731</v>
      </c>
      <c r="V305" t="s">
        <v>5731</v>
      </c>
      <c r="W305" t="s">
        <v>5731</v>
      </c>
      <c r="X305" t="str">
        <f t="shared" si="4"/>
        <v>Inversión</v>
      </c>
      <c r="Y305" t="s">
        <v>5732</v>
      </c>
    </row>
    <row r="306" spans="1:25" x14ac:dyDescent="0.25">
      <c r="A306" t="s">
        <v>7384</v>
      </c>
      <c r="B306" t="s">
        <v>7582</v>
      </c>
      <c r="C306" t="s">
        <v>7585</v>
      </c>
      <c r="D306" t="s">
        <v>5720</v>
      </c>
      <c r="E306" t="s">
        <v>5737</v>
      </c>
      <c r="F306" t="s">
        <v>5722</v>
      </c>
      <c r="G306" t="s">
        <v>5723</v>
      </c>
      <c r="H306" t="s">
        <v>453</v>
      </c>
      <c r="I306" t="s">
        <v>664</v>
      </c>
      <c r="J306" t="s">
        <v>273</v>
      </c>
      <c r="K306" t="s">
        <v>5734</v>
      </c>
      <c r="L306" t="s">
        <v>267</v>
      </c>
      <c r="M306">
        <v>11278820</v>
      </c>
      <c r="N306">
        <v>-11278820</v>
      </c>
      <c r="O306">
        <v>0</v>
      </c>
      <c r="P306">
        <v>0</v>
      </c>
      <c r="Q306" t="s">
        <v>7586</v>
      </c>
      <c r="R306" t="s">
        <v>7587</v>
      </c>
      <c r="S306" t="s">
        <v>5731</v>
      </c>
      <c r="T306" t="s">
        <v>5731</v>
      </c>
      <c r="U306" t="s">
        <v>5731</v>
      </c>
      <c r="V306" t="s">
        <v>5731</v>
      </c>
      <c r="W306" t="s">
        <v>5731</v>
      </c>
      <c r="X306" t="str">
        <f t="shared" si="4"/>
        <v>Inversión</v>
      </c>
      <c r="Y306" t="s">
        <v>5732</v>
      </c>
    </row>
    <row r="307" spans="1:25" x14ac:dyDescent="0.25">
      <c r="A307" t="s">
        <v>7377</v>
      </c>
      <c r="B307" t="s">
        <v>7582</v>
      </c>
      <c r="C307" t="s">
        <v>7588</v>
      </c>
      <c r="D307" t="s">
        <v>5720</v>
      </c>
      <c r="E307" t="s">
        <v>5721</v>
      </c>
      <c r="F307" t="s">
        <v>5854</v>
      </c>
      <c r="G307" t="s">
        <v>5723</v>
      </c>
      <c r="H307" t="s">
        <v>539</v>
      </c>
      <c r="I307" t="s">
        <v>658</v>
      </c>
      <c r="J307" t="s">
        <v>273</v>
      </c>
      <c r="K307" t="s">
        <v>5734</v>
      </c>
      <c r="L307" t="s">
        <v>267</v>
      </c>
      <c r="M307">
        <v>29321464</v>
      </c>
      <c r="N307">
        <v>0</v>
      </c>
      <c r="O307">
        <v>29321464</v>
      </c>
      <c r="P307">
        <v>0</v>
      </c>
      <c r="Q307" t="s">
        <v>7589</v>
      </c>
      <c r="R307" t="s">
        <v>7590</v>
      </c>
      <c r="S307" t="s">
        <v>7591</v>
      </c>
      <c r="T307" t="s">
        <v>7592</v>
      </c>
      <c r="U307" t="s">
        <v>7593</v>
      </c>
      <c r="V307" t="s">
        <v>7594</v>
      </c>
      <c r="W307" t="s">
        <v>5731</v>
      </c>
      <c r="X307" t="str">
        <f t="shared" si="4"/>
        <v>Inversión</v>
      </c>
      <c r="Y307" t="s">
        <v>5861</v>
      </c>
    </row>
    <row r="308" spans="1:25" x14ac:dyDescent="0.25">
      <c r="A308" t="s">
        <v>7364</v>
      </c>
      <c r="B308" t="s">
        <v>7582</v>
      </c>
      <c r="C308" t="s">
        <v>7595</v>
      </c>
      <c r="D308" t="s">
        <v>5720</v>
      </c>
      <c r="E308" t="s">
        <v>5721</v>
      </c>
      <c r="F308" t="s">
        <v>5733</v>
      </c>
      <c r="G308" t="s">
        <v>5723</v>
      </c>
      <c r="H308" t="s">
        <v>461</v>
      </c>
      <c r="I308" t="s">
        <v>644</v>
      </c>
      <c r="J308" t="s">
        <v>273</v>
      </c>
      <c r="K308" t="s">
        <v>5734</v>
      </c>
      <c r="L308" t="s">
        <v>267</v>
      </c>
      <c r="M308">
        <v>200000000</v>
      </c>
      <c r="N308">
        <v>-120000000</v>
      </c>
      <c r="O308">
        <v>80000000</v>
      </c>
      <c r="P308">
        <v>0</v>
      </c>
      <c r="Q308" t="s">
        <v>7596</v>
      </c>
      <c r="R308" t="s">
        <v>7562</v>
      </c>
      <c r="S308" t="s">
        <v>7597</v>
      </c>
      <c r="T308" t="s">
        <v>7598</v>
      </c>
      <c r="U308" t="s">
        <v>7599</v>
      </c>
      <c r="V308" t="s">
        <v>7600</v>
      </c>
      <c r="W308" t="s">
        <v>5731</v>
      </c>
      <c r="X308" t="str">
        <f t="shared" si="4"/>
        <v>Inversión</v>
      </c>
      <c r="Y308" t="s">
        <v>5735</v>
      </c>
    </row>
    <row r="309" spans="1:25" x14ac:dyDescent="0.25">
      <c r="A309" t="s">
        <v>7364</v>
      </c>
      <c r="B309" t="s">
        <v>7582</v>
      </c>
      <c r="C309" t="s">
        <v>7595</v>
      </c>
      <c r="D309" t="s">
        <v>5720</v>
      </c>
      <c r="E309" t="s">
        <v>5721</v>
      </c>
      <c r="F309" t="s">
        <v>5802</v>
      </c>
      <c r="G309" t="s">
        <v>5723</v>
      </c>
      <c r="H309" t="s">
        <v>458</v>
      </c>
      <c r="I309" t="s">
        <v>640</v>
      </c>
      <c r="J309" t="s">
        <v>273</v>
      </c>
      <c r="K309" t="s">
        <v>5734</v>
      </c>
      <c r="L309" t="s">
        <v>267</v>
      </c>
      <c r="M309">
        <v>100000000</v>
      </c>
      <c r="N309">
        <v>0</v>
      </c>
      <c r="O309">
        <v>100000000</v>
      </c>
      <c r="P309">
        <v>0</v>
      </c>
      <c r="Q309" t="s">
        <v>7596</v>
      </c>
      <c r="R309" t="s">
        <v>7562</v>
      </c>
      <c r="S309" t="s">
        <v>7597</v>
      </c>
      <c r="T309" t="s">
        <v>7598</v>
      </c>
      <c r="U309" t="s">
        <v>7599</v>
      </c>
      <c r="V309" t="s">
        <v>7600</v>
      </c>
      <c r="W309" t="s">
        <v>5731</v>
      </c>
      <c r="X309" t="str">
        <f t="shared" si="4"/>
        <v>Inversión</v>
      </c>
      <c r="Y309" t="s">
        <v>5810</v>
      </c>
    </row>
    <row r="310" spans="1:25" x14ac:dyDescent="0.25">
      <c r="A310" t="s">
        <v>7419</v>
      </c>
      <c r="B310" t="s">
        <v>7582</v>
      </c>
      <c r="C310" t="s">
        <v>7601</v>
      </c>
      <c r="D310" t="s">
        <v>5720</v>
      </c>
      <c r="E310" t="s">
        <v>5721</v>
      </c>
      <c r="F310" t="s">
        <v>5802</v>
      </c>
      <c r="G310" t="s">
        <v>5723</v>
      </c>
      <c r="H310" t="s">
        <v>463</v>
      </c>
      <c r="I310" t="s">
        <v>639</v>
      </c>
      <c r="J310" t="s">
        <v>273</v>
      </c>
      <c r="K310" t="s">
        <v>5734</v>
      </c>
      <c r="L310" t="s">
        <v>267</v>
      </c>
      <c r="M310">
        <v>20000000</v>
      </c>
      <c r="N310">
        <v>50302278</v>
      </c>
      <c r="O310">
        <v>70302278</v>
      </c>
      <c r="P310">
        <v>18663789</v>
      </c>
      <c r="Q310" t="s">
        <v>7602</v>
      </c>
      <c r="R310" t="s">
        <v>7358</v>
      </c>
      <c r="S310" t="s">
        <v>7603</v>
      </c>
      <c r="T310" t="s">
        <v>7604</v>
      </c>
      <c r="U310" t="s">
        <v>7605</v>
      </c>
      <c r="V310" t="s">
        <v>7606</v>
      </c>
      <c r="W310" t="s">
        <v>5731</v>
      </c>
      <c r="X310" t="str">
        <f t="shared" si="4"/>
        <v>Inversión</v>
      </c>
      <c r="Y310" t="s">
        <v>5810</v>
      </c>
    </row>
    <row r="311" spans="1:25" x14ac:dyDescent="0.25">
      <c r="A311" t="s">
        <v>7607</v>
      </c>
      <c r="B311" t="s">
        <v>7608</v>
      </c>
      <c r="C311" t="s">
        <v>7609</v>
      </c>
      <c r="D311" t="s">
        <v>5720</v>
      </c>
      <c r="E311" t="s">
        <v>5721</v>
      </c>
      <c r="F311" t="s">
        <v>5802</v>
      </c>
      <c r="G311" t="s">
        <v>5723</v>
      </c>
      <c r="H311" t="s">
        <v>463</v>
      </c>
      <c r="I311" t="s">
        <v>639</v>
      </c>
      <c r="J311" t="s">
        <v>266</v>
      </c>
      <c r="K311" t="s">
        <v>5724</v>
      </c>
      <c r="L311" t="s">
        <v>267</v>
      </c>
      <c r="M311">
        <v>8194188</v>
      </c>
      <c r="N311">
        <v>0</v>
      </c>
      <c r="O311">
        <v>8194188</v>
      </c>
      <c r="P311">
        <v>0</v>
      </c>
      <c r="Q311" t="s">
        <v>7610</v>
      </c>
      <c r="R311" t="s">
        <v>7611</v>
      </c>
      <c r="S311" t="s">
        <v>7612</v>
      </c>
      <c r="T311" t="s">
        <v>7613</v>
      </c>
      <c r="U311" t="s">
        <v>7614</v>
      </c>
      <c r="V311" t="s">
        <v>7615</v>
      </c>
      <c r="W311" t="s">
        <v>5770</v>
      </c>
      <c r="X311" t="str">
        <f t="shared" si="4"/>
        <v>Inversión</v>
      </c>
      <c r="Y311" t="s">
        <v>5810</v>
      </c>
    </row>
    <row r="312" spans="1:25" x14ac:dyDescent="0.25">
      <c r="A312" t="s">
        <v>7531</v>
      </c>
      <c r="B312" t="s">
        <v>7608</v>
      </c>
      <c r="C312" t="s">
        <v>7616</v>
      </c>
      <c r="D312" t="s">
        <v>5720</v>
      </c>
      <c r="E312" t="s">
        <v>5721</v>
      </c>
      <c r="F312" t="s">
        <v>5802</v>
      </c>
      <c r="G312" t="s">
        <v>5723</v>
      </c>
      <c r="H312" t="s">
        <v>463</v>
      </c>
      <c r="I312" t="s">
        <v>639</v>
      </c>
      <c r="J312" t="s">
        <v>273</v>
      </c>
      <c r="K312" t="s">
        <v>5734</v>
      </c>
      <c r="L312" t="s">
        <v>267</v>
      </c>
      <c r="M312">
        <v>36664586</v>
      </c>
      <c r="N312">
        <v>-12697057.6</v>
      </c>
      <c r="O312">
        <v>23967528.399999999</v>
      </c>
      <c r="P312">
        <v>0</v>
      </c>
      <c r="Q312" t="s">
        <v>7610</v>
      </c>
      <c r="R312" t="s">
        <v>6544</v>
      </c>
      <c r="S312" t="s">
        <v>7617</v>
      </c>
      <c r="T312" t="s">
        <v>7618</v>
      </c>
      <c r="U312" t="s">
        <v>7619</v>
      </c>
      <c r="V312" t="s">
        <v>7620</v>
      </c>
      <c r="W312" t="s">
        <v>7621</v>
      </c>
      <c r="X312" t="str">
        <f t="shared" si="4"/>
        <v>Inversión</v>
      </c>
      <c r="Y312" t="s">
        <v>5810</v>
      </c>
    </row>
    <row r="313" spans="1:25" x14ac:dyDescent="0.25">
      <c r="A313" t="s">
        <v>7525</v>
      </c>
      <c r="B313" t="s">
        <v>7622</v>
      </c>
      <c r="C313" t="s">
        <v>7623</v>
      </c>
      <c r="D313" t="s">
        <v>5720</v>
      </c>
      <c r="E313" t="s">
        <v>5721</v>
      </c>
      <c r="F313" t="s">
        <v>5802</v>
      </c>
      <c r="G313" t="s">
        <v>5723</v>
      </c>
      <c r="H313" t="s">
        <v>458</v>
      </c>
      <c r="I313" t="s">
        <v>640</v>
      </c>
      <c r="J313" t="s">
        <v>273</v>
      </c>
      <c r="K313" t="s">
        <v>5734</v>
      </c>
      <c r="L313" t="s">
        <v>267</v>
      </c>
      <c r="M313">
        <v>21371864</v>
      </c>
      <c r="N313">
        <v>0</v>
      </c>
      <c r="O313">
        <v>21371864</v>
      </c>
      <c r="P313">
        <v>0</v>
      </c>
      <c r="Q313" t="s">
        <v>7624</v>
      </c>
      <c r="R313" t="s">
        <v>7625</v>
      </c>
      <c r="S313" t="s">
        <v>7626</v>
      </c>
      <c r="T313" t="s">
        <v>7627</v>
      </c>
      <c r="U313" t="s">
        <v>7628</v>
      </c>
      <c r="V313" t="s">
        <v>7629</v>
      </c>
      <c r="W313" t="s">
        <v>5731</v>
      </c>
      <c r="X313" t="str">
        <f t="shared" si="4"/>
        <v>Inversión</v>
      </c>
      <c r="Y313" t="s">
        <v>5810</v>
      </c>
    </row>
    <row r="314" spans="1:25" x14ac:dyDescent="0.25">
      <c r="A314" t="s">
        <v>7522</v>
      </c>
      <c r="B314" t="s">
        <v>7630</v>
      </c>
      <c r="C314" t="s">
        <v>7631</v>
      </c>
      <c r="D314" t="s">
        <v>5720</v>
      </c>
      <c r="E314" t="s">
        <v>5721</v>
      </c>
      <c r="F314" t="s">
        <v>5854</v>
      </c>
      <c r="G314" t="s">
        <v>5723</v>
      </c>
      <c r="H314" t="s">
        <v>539</v>
      </c>
      <c r="I314" t="s">
        <v>658</v>
      </c>
      <c r="J314" t="s">
        <v>273</v>
      </c>
      <c r="K314" t="s">
        <v>5734</v>
      </c>
      <c r="L314" t="s">
        <v>267</v>
      </c>
      <c r="M314">
        <v>58642928</v>
      </c>
      <c r="N314">
        <v>0</v>
      </c>
      <c r="O314">
        <v>58642928</v>
      </c>
      <c r="P314">
        <v>0</v>
      </c>
      <c r="Q314" t="s">
        <v>7632</v>
      </c>
      <c r="R314" t="s">
        <v>7633</v>
      </c>
      <c r="S314" t="s">
        <v>7634</v>
      </c>
      <c r="T314" t="s">
        <v>7635</v>
      </c>
      <c r="U314" t="s">
        <v>7636</v>
      </c>
      <c r="V314" t="s">
        <v>7637</v>
      </c>
      <c r="W314" t="s">
        <v>5731</v>
      </c>
      <c r="X314" t="str">
        <f t="shared" si="4"/>
        <v>Inversión</v>
      </c>
      <c r="Y314" t="s">
        <v>5861</v>
      </c>
    </row>
    <row r="315" spans="1:25" x14ac:dyDescent="0.25">
      <c r="A315" t="s">
        <v>7638</v>
      </c>
      <c r="B315" t="s">
        <v>7630</v>
      </c>
      <c r="C315" t="s">
        <v>7639</v>
      </c>
      <c r="D315" t="s">
        <v>5720</v>
      </c>
      <c r="E315" t="s">
        <v>5721</v>
      </c>
      <c r="F315" t="s">
        <v>5854</v>
      </c>
      <c r="G315" t="s">
        <v>5723</v>
      </c>
      <c r="H315" t="s">
        <v>539</v>
      </c>
      <c r="I315" t="s">
        <v>658</v>
      </c>
      <c r="J315" t="s">
        <v>273</v>
      </c>
      <c r="K315" t="s">
        <v>5734</v>
      </c>
      <c r="L315" t="s">
        <v>267</v>
      </c>
      <c r="M315">
        <v>38371698</v>
      </c>
      <c r="N315">
        <v>0</v>
      </c>
      <c r="O315">
        <v>38371698</v>
      </c>
      <c r="P315">
        <v>0</v>
      </c>
      <c r="Q315" t="s">
        <v>7640</v>
      </c>
      <c r="R315" t="s">
        <v>6259</v>
      </c>
      <c r="S315" t="s">
        <v>7641</v>
      </c>
      <c r="T315" t="s">
        <v>7642</v>
      </c>
      <c r="U315" t="s">
        <v>7643</v>
      </c>
      <c r="V315" t="s">
        <v>7644</v>
      </c>
      <c r="W315" t="s">
        <v>5731</v>
      </c>
      <c r="X315" t="str">
        <f t="shared" si="4"/>
        <v>Inversión</v>
      </c>
      <c r="Y315" t="s">
        <v>5861</v>
      </c>
    </row>
    <row r="316" spans="1:25" x14ac:dyDescent="0.25">
      <c r="A316" t="s">
        <v>7645</v>
      </c>
      <c r="B316" t="s">
        <v>7630</v>
      </c>
      <c r="C316" t="s">
        <v>7646</v>
      </c>
      <c r="D316" t="s">
        <v>5720</v>
      </c>
      <c r="E316" t="s">
        <v>5721</v>
      </c>
      <c r="F316" t="s">
        <v>5854</v>
      </c>
      <c r="G316" t="s">
        <v>5723</v>
      </c>
      <c r="H316" t="s">
        <v>539</v>
      </c>
      <c r="I316" t="s">
        <v>658</v>
      </c>
      <c r="J316" t="s">
        <v>273</v>
      </c>
      <c r="K316" t="s">
        <v>5734</v>
      </c>
      <c r="L316" t="s">
        <v>267</v>
      </c>
      <c r="M316">
        <v>45421530</v>
      </c>
      <c r="N316">
        <v>-19466370</v>
      </c>
      <c r="O316">
        <v>25955160</v>
      </c>
      <c r="P316">
        <v>0</v>
      </c>
      <c r="Q316" t="s">
        <v>7120</v>
      </c>
      <c r="R316" t="s">
        <v>7647</v>
      </c>
      <c r="S316" t="s">
        <v>7648</v>
      </c>
      <c r="T316" t="s">
        <v>7649</v>
      </c>
      <c r="U316" t="s">
        <v>7650</v>
      </c>
      <c r="V316" t="s">
        <v>7651</v>
      </c>
      <c r="W316" t="s">
        <v>5731</v>
      </c>
      <c r="X316" t="str">
        <f t="shared" si="4"/>
        <v>Inversión</v>
      </c>
      <c r="Y316" t="s">
        <v>5861</v>
      </c>
    </row>
    <row r="317" spans="1:25" x14ac:dyDescent="0.25">
      <c r="A317" t="s">
        <v>7500</v>
      </c>
      <c r="B317" t="s">
        <v>7630</v>
      </c>
      <c r="C317" t="s">
        <v>7652</v>
      </c>
      <c r="D317" t="s">
        <v>5720</v>
      </c>
      <c r="E317" t="s">
        <v>5721</v>
      </c>
      <c r="F317" t="s">
        <v>5722</v>
      </c>
      <c r="G317" t="s">
        <v>5723</v>
      </c>
      <c r="H317" t="s">
        <v>453</v>
      </c>
      <c r="I317" t="s">
        <v>664</v>
      </c>
      <c r="J317" t="s">
        <v>266</v>
      </c>
      <c r="K317" t="s">
        <v>5724</v>
      </c>
      <c r="L317" t="s">
        <v>267</v>
      </c>
      <c r="M317">
        <v>25897492</v>
      </c>
      <c r="N317">
        <v>0</v>
      </c>
      <c r="O317">
        <v>25897492</v>
      </c>
      <c r="P317">
        <v>0</v>
      </c>
      <c r="Q317" t="s">
        <v>7653</v>
      </c>
      <c r="R317" t="s">
        <v>7654</v>
      </c>
      <c r="S317" t="s">
        <v>7655</v>
      </c>
      <c r="T317" t="s">
        <v>7656</v>
      </c>
      <c r="U317" t="s">
        <v>7657</v>
      </c>
      <c r="V317" t="s">
        <v>7658</v>
      </c>
      <c r="W317" t="s">
        <v>5731</v>
      </c>
      <c r="X317" t="str">
        <f t="shared" si="4"/>
        <v>Inversión</v>
      </c>
      <c r="Y317" t="s">
        <v>5732</v>
      </c>
    </row>
    <row r="318" spans="1:25" x14ac:dyDescent="0.25">
      <c r="A318" t="s">
        <v>7659</v>
      </c>
      <c r="B318" t="s">
        <v>7630</v>
      </c>
      <c r="C318" t="s">
        <v>7660</v>
      </c>
      <c r="D318" t="s">
        <v>5720</v>
      </c>
      <c r="E318" t="s">
        <v>5721</v>
      </c>
      <c r="F318" t="s">
        <v>5733</v>
      </c>
      <c r="G318" t="s">
        <v>5723</v>
      </c>
      <c r="H318" t="s">
        <v>461</v>
      </c>
      <c r="I318" t="s">
        <v>644</v>
      </c>
      <c r="J318" t="s">
        <v>273</v>
      </c>
      <c r="K318" t="s">
        <v>5734</v>
      </c>
      <c r="L318" t="s">
        <v>267</v>
      </c>
      <c r="M318">
        <v>13357415</v>
      </c>
      <c r="N318">
        <v>0</v>
      </c>
      <c r="O318">
        <v>13357415</v>
      </c>
      <c r="P318">
        <v>0</v>
      </c>
      <c r="Q318" t="s">
        <v>7661</v>
      </c>
      <c r="R318" t="s">
        <v>7662</v>
      </c>
      <c r="S318" t="s">
        <v>7663</v>
      </c>
      <c r="T318" t="s">
        <v>7664</v>
      </c>
      <c r="U318" t="s">
        <v>7665</v>
      </c>
      <c r="V318" t="s">
        <v>7666</v>
      </c>
      <c r="W318" t="s">
        <v>5731</v>
      </c>
      <c r="X318" t="str">
        <f t="shared" si="4"/>
        <v>Inversión</v>
      </c>
      <c r="Y318" t="s">
        <v>5735</v>
      </c>
    </row>
    <row r="319" spans="1:25" x14ac:dyDescent="0.25">
      <c r="A319" t="s">
        <v>5924</v>
      </c>
      <c r="B319" t="s">
        <v>7630</v>
      </c>
      <c r="C319" t="s">
        <v>7667</v>
      </c>
      <c r="D319" t="s">
        <v>5720</v>
      </c>
      <c r="E319" t="s">
        <v>5721</v>
      </c>
      <c r="F319" t="s">
        <v>5733</v>
      </c>
      <c r="G319" t="s">
        <v>5723</v>
      </c>
      <c r="H319" t="s">
        <v>461</v>
      </c>
      <c r="I319" t="s">
        <v>644</v>
      </c>
      <c r="J319" t="s">
        <v>273</v>
      </c>
      <c r="K319" t="s">
        <v>5734</v>
      </c>
      <c r="L319" t="s">
        <v>267</v>
      </c>
      <c r="M319">
        <v>24882120</v>
      </c>
      <c r="N319">
        <v>0</v>
      </c>
      <c r="O319">
        <v>24882120</v>
      </c>
      <c r="P319">
        <v>0</v>
      </c>
      <c r="Q319" t="s">
        <v>7668</v>
      </c>
      <c r="R319" t="s">
        <v>7669</v>
      </c>
      <c r="S319" t="s">
        <v>7670</v>
      </c>
      <c r="T319" t="s">
        <v>7671</v>
      </c>
      <c r="U319" t="s">
        <v>7672</v>
      </c>
      <c r="V319" t="s">
        <v>7673</v>
      </c>
      <c r="W319" t="s">
        <v>5731</v>
      </c>
      <c r="X319" t="str">
        <f t="shared" si="4"/>
        <v>Inversión</v>
      </c>
      <c r="Y319" t="s">
        <v>5735</v>
      </c>
    </row>
    <row r="320" spans="1:25" x14ac:dyDescent="0.25">
      <c r="A320" t="s">
        <v>7547</v>
      </c>
      <c r="B320" t="s">
        <v>7674</v>
      </c>
      <c r="C320" t="s">
        <v>7675</v>
      </c>
      <c r="D320" t="s">
        <v>5720</v>
      </c>
      <c r="E320" t="s">
        <v>5721</v>
      </c>
      <c r="F320" t="s">
        <v>5802</v>
      </c>
      <c r="G320" t="s">
        <v>5723</v>
      </c>
      <c r="H320" t="s">
        <v>458</v>
      </c>
      <c r="I320" t="s">
        <v>640</v>
      </c>
      <c r="J320" t="s">
        <v>273</v>
      </c>
      <c r="K320" t="s">
        <v>5734</v>
      </c>
      <c r="L320" t="s">
        <v>267</v>
      </c>
      <c r="M320">
        <v>19905050</v>
      </c>
      <c r="N320">
        <v>67594</v>
      </c>
      <c r="O320">
        <v>19972644</v>
      </c>
      <c r="P320">
        <v>0</v>
      </c>
      <c r="Q320" t="s">
        <v>7676</v>
      </c>
      <c r="R320" t="s">
        <v>6809</v>
      </c>
      <c r="S320" t="s">
        <v>7677</v>
      </c>
      <c r="T320" t="s">
        <v>7678</v>
      </c>
      <c r="U320" t="s">
        <v>7679</v>
      </c>
      <c r="V320" t="s">
        <v>7680</v>
      </c>
      <c r="W320" t="s">
        <v>7681</v>
      </c>
      <c r="X320" t="str">
        <f t="shared" si="4"/>
        <v>Inversión</v>
      </c>
      <c r="Y320" t="s">
        <v>5810</v>
      </c>
    </row>
    <row r="321" spans="1:25" x14ac:dyDescent="0.25">
      <c r="A321" t="s">
        <v>7682</v>
      </c>
      <c r="B321" t="s">
        <v>7683</v>
      </c>
      <c r="C321" t="s">
        <v>7684</v>
      </c>
      <c r="D321" t="s">
        <v>5720</v>
      </c>
      <c r="E321" t="s">
        <v>5721</v>
      </c>
      <c r="F321" t="s">
        <v>5802</v>
      </c>
      <c r="G321" t="s">
        <v>5723</v>
      </c>
      <c r="H321" t="s">
        <v>463</v>
      </c>
      <c r="I321" t="s">
        <v>639</v>
      </c>
      <c r="J321" t="s">
        <v>266</v>
      </c>
      <c r="K321" t="s">
        <v>5724</v>
      </c>
      <c r="L321" t="s">
        <v>267</v>
      </c>
      <c r="M321">
        <v>2968265</v>
      </c>
      <c r="N321">
        <v>-1437773</v>
      </c>
      <c r="O321">
        <v>1530492</v>
      </c>
      <c r="P321">
        <v>0</v>
      </c>
      <c r="Q321" t="s">
        <v>7685</v>
      </c>
      <c r="R321" t="s">
        <v>6769</v>
      </c>
      <c r="S321" t="s">
        <v>7686</v>
      </c>
      <c r="T321" t="s">
        <v>7687</v>
      </c>
      <c r="U321" t="s">
        <v>7688</v>
      </c>
      <c r="V321" t="s">
        <v>7689</v>
      </c>
      <c r="W321" t="s">
        <v>5742</v>
      </c>
      <c r="X321" t="str">
        <f t="shared" si="4"/>
        <v>Inversión</v>
      </c>
      <c r="Y321" t="s">
        <v>5810</v>
      </c>
    </row>
    <row r="322" spans="1:25" x14ac:dyDescent="0.25">
      <c r="A322" t="s">
        <v>7555</v>
      </c>
      <c r="B322" t="s">
        <v>7683</v>
      </c>
      <c r="C322" t="s">
        <v>7690</v>
      </c>
      <c r="D322" t="s">
        <v>5720</v>
      </c>
      <c r="E322" t="s">
        <v>5721</v>
      </c>
      <c r="F322" t="s">
        <v>5722</v>
      </c>
      <c r="G322" t="s">
        <v>5723</v>
      </c>
      <c r="H322" t="s">
        <v>545</v>
      </c>
      <c r="I322" t="s">
        <v>668</v>
      </c>
      <c r="J322" t="s">
        <v>266</v>
      </c>
      <c r="K322" t="s">
        <v>5724</v>
      </c>
      <c r="L322" t="s">
        <v>267</v>
      </c>
      <c r="M322">
        <v>51970000</v>
      </c>
      <c r="N322">
        <v>0</v>
      </c>
      <c r="O322">
        <v>51970000</v>
      </c>
      <c r="P322">
        <v>1385867</v>
      </c>
      <c r="Q322" t="s">
        <v>7691</v>
      </c>
      <c r="R322" t="s">
        <v>7467</v>
      </c>
      <c r="S322" t="s">
        <v>7692</v>
      </c>
      <c r="T322" t="s">
        <v>7693</v>
      </c>
      <c r="U322" t="s">
        <v>7694</v>
      </c>
      <c r="V322" t="s">
        <v>7695</v>
      </c>
      <c r="W322" t="s">
        <v>5731</v>
      </c>
      <c r="X322" t="str">
        <f t="shared" ref="X322:X385" si="5">IF(LEFT(H322,1)="C","Inversión","Funcionamiento")</f>
        <v>Inversión</v>
      </c>
      <c r="Y322" t="s">
        <v>5732</v>
      </c>
    </row>
    <row r="323" spans="1:25" x14ac:dyDescent="0.25">
      <c r="A323" t="s">
        <v>6266</v>
      </c>
      <c r="B323" t="s">
        <v>7696</v>
      </c>
      <c r="C323" t="s">
        <v>7697</v>
      </c>
      <c r="D323" t="s">
        <v>5720</v>
      </c>
      <c r="E323" t="s">
        <v>5721</v>
      </c>
      <c r="F323" t="s">
        <v>5802</v>
      </c>
      <c r="G323" t="s">
        <v>5723</v>
      </c>
      <c r="H323" t="s">
        <v>458</v>
      </c>
      <c r="I323" t="s">
        <v>640</v>
      </c>
      <c r="J323" t="s">
        <v>273</v>
      </c>
      <c r="K323" t="s">
        <v>5734</v>
      </c>
      <c r="L323" t="s">
        <v>267</v>
      </c>
      <c r="M323">
        <v>138328968</v>
      </c>
      <c r="N323">
        <v>0</v>
      </c>
      <c r="O323">
        <v>138328968</v>
      </c>
      <c r="P323">
        <v>0</v>
      </c>
      <c r="Q323" t="s">
        <v>7698</v>
      </c>
      <c r="R323" t="s">
        <v>7699</v>
      </c>
      <c r="S323" t="s">
        <v>7700</v>
      </c>
      <c r="T323" t="s">
        <v>7701</v>
      </c>
      <c r="U323" t="s">
        <v>7702</v>
      </c>
      <c r="V323" t="s">
        <v>7703</v>
      </c>
      <c r="W323" t="s">
        <v>5731</v>
      </c>
      <c r="X323" t="str">
        <f t="shared" si="5"/>
        <v>Inversión</v>
      </c>
      <c r="Y323" t="s">
        <v>5810</v>
      </c>
    </row>
    <row r="324" spans="1:25" x14ac:dyDescent="0.25">
      <c r="A324" t="s">
        <v>7590</v>
      </c>
      <c r="B324" t="s">
        <v>7704</v>
      </c>
      <c r="C324" t="s">
        <v>7705</v>
      </c>
      <c r="D324" t="s">
        <v>5720</v>
      </c>
      <c r="E324" t="s">
        <v>5721</v>
      </c>
      <c r="F324" t="s">
        <v>5802</v>
      </c>
      <c r="G324" t="s">
        <v>5723</v>
      </c>
      <c r="H324" t="s">
        <v>463</v>
      </c>
      <c r="I324" t="s">
        <v>639</v>
      </c>
      <c r="J324" t="s">
        <v>266</v>
      </c>
      <c r="K324" t="s">
        <v>5724</v>
      </c>
      <c r="L324" t="s">
        <v>267</v>
      </c>
      <c r="M324">
        <v>1898050</v>
      </c>
      <c r="N324">
        <v>0</v>
      </c>
      <c r="O324">
        <v>1898050</v>
      </c>
      <c r="P324">
        <v>0</v>
      </c>
      <c r="Q324" t="s">
        <v>7706</v>
      </c>
      <c r="R324" t="s">
        <v>6560</v>
      </c>
      <c r="S324" t="s">
        <v>7707</v>
      </c>
      <c r="T324" t="s">
        <v>7708</v>
      </c>
      <c r="U324" t="s">
        <v>7709</v>
      </c>
      <c r="V324" t="s">
        <v>7710</v>
      </c>
      <c r="W324" t="s">
        <v>5731</v>
      </c>
      <c r="X324" t="str">
        <f t="shared" si="5"/>
        <v>Inversión</v>
      </c>
      <c r="Y324" t="s">
        <v>5810</v>
      </c>
    </row>
    <row r="325" spans="1:25" x14ac:dyDescent="0.25">
      <c r="A325" t="s">
        <v>7711</v>
      </c>
      <c r="B325" t="s">
        <v>7704</v>
      </c>
      <c r="C325" t="s">
        <v>7712</v>
      </c>
      <c r="D325" t="s">
        <v>5720</v>
      </c>
      <c r="E325" t="s">
        <v>5721</v>
      </c>
      <c r="F325" t="s">
        <v>5802</v>
      </c>
      <c r="G325" t="s">
        <v>5723</v>
      </c>
      <c r="H325" t="s">
        <v>444</v>
      </c>
      <c r="I325" t="s">
        <v>634</v>
      </c>
      <c r="J325" t="s">
        <v>266</v>
      </c>
      <c r="K325" t="s">
        <v>5724</v>
      </c>
      <c r="L325" t="s">
        <v>267</v>
      </c>
      <c r="M325">
        <v>1791589</v>
      </c>
      <c r="N325">
        <v>0</v>
      </c>
      <c r="O325">
        <v>1791589</v>
      </c>
      <c r="P325">
        <v>0</v>
      </c>
      <c r="Q325" t="s">
        <v>7713</v>
      </c>
      <c r="R325" t="s">
        <v>7714</v>
      </c>
      <c r="S325" t="s">
        <v>7715</v>
      </c>
      <c r="T325" t="s">
        <v>7716</v>
      </c>
      <c r="U325" t="s">
        <v>7717</v>
      </c>
      <c r="V325" t="s">
        <v>7718</v>
      </c>
      <c r="W325" t="s">
        <v>5731</v>
      </c>
      <c r="X325" t="str">
        <f t="shared" si="5"/>
        <v>Inversión</v>
      </c>
      <c r="Y325" t="s">
        <v>5810</v>
      </c>
    </row>
    <row r="326" spans="1:25" x14ac:dyDescent="0.25">
      <c r="A326" t="s">
        <v>7568</v>
      </c>
      <c r="B326" t="s">
        <v>7704</v>
      </c>
      <c r="C326" t="s">
        <v>7719</v>
      </c>
      <c r="D326" t="s">
        <v>5720</v>
      </c>
      <c r="E326" t="s">
        <v>5721</v>
      </c>
      <c r="F326" t="s">
        <v>5802</v>
      </c>
      <c r="G326" t="s">
        <v>5723</v>
      </c>
      <c r="H326" t="s">
        <v>458</v>
      </c>
      <c r="I326" t="s">
        <v>640</v>
      </c>
      <c r="J326" t="s">
        <v>273</v>
      </c>
      <c r="K326" t="s">
        <v>5734</v>
      </c>
      <c r="L326" t="s">
        <v>267</v>
      </c>
      <c r="M326">
        <v>5265910</v>
      </c>
      <c r="N326">
        <v>-1465333</v>
      </c>
      <c r="O326">
        <v>3800577</v>
      </c>
      <c r="P326">
        <v>0</v>
      </c>
      <c r="Q326" t="s">
        <v>7720</v>
      </c>
      <c r="R326" t="s">
        <v>7721</v>
      </c>
      <c r="S326" t="s">
        <v>7722</v>
      </c>
      <c r="T326" t="s">
        <v>7723</v>
      </c>
      <c r="U326" t="s">
        <v>7724</v>
      </c>
      <c r="V326" t="s">
        <v>7725</v>
      </c>
      <c r="W326" t="s">
        <v>7726</v>
      </c>
      <c r="X326" t="str">
        <f t="shared" si="5"/>
        <v>Inversión</v>
      </c>
      <c r="Y326" t="s">
        <v>5810</v>
      </c>
    </row>
    <row r="327" spans="1:25" x14ac:dyDescent="0.25">
      <c r="A327" t="s">
        <v>7576</v>
      </c>
      <c r="B327" t="s">
        <v>7704</v>
      </c>
      <c r="C327" t="s">
        <v>7727</v>
      </c>
      <c r="D327" t="s">
        <v>5720</v>
      </c>
      <c r="E327" t="s">
        <v>5721</v>
      </c>
      <c r="F327" t="s">
        <v>5802</v>
      </c>
      <c r="G327" t="s">
        <v>5723</v>
      </c>
      <c r="H327" t="s">
        <v>463</v>
      </c>
      <c r="I327" t="s">
        <v>639</v>
      </c>
      <c r="J327" t="s">
        <v>266</v>
      </c>
      <c r="K327" t="s">
        <v>5724</v>
      </c>
      <c r="L327" t="s">
        <v>267</v>
      </c>
      <c r="M327">
        <v>677875</v>
      </c>
      <c r="N327">
        <v>0</v>
      </c>
      <c r="O327">
        <v>677875</v>
      </c>
      <c r="P327">
        <v>0</v>
      </c>
      <c r="Q327" t="s">
        <v>7720</v>
      </c>
      <c r="R327" t="s">
        <v>6572</v>
      </c>
      <c r="S327" t="s">
        <v>7728</v>
      </c>
      <c r="T327" t="s">
        <v>7729</v>
      </c>
      <c r="U327" t="s">
        <v>7730</v>
      </c>
      <c r="V327" t="s">
        <v>7731</v>
      </c>
      <c r="W327" t="s">
        <v>5731</v>
      </c>
      <c r="X327" t="str">
        <f t="shared" si="5"/>
        <v>Inversión</v>
      </c>
      <c r="Y327" t="s">
        <v>5810</v>
      </c>
    </row>
    <row r="328" spans="1:25" x14ac:dyDescent="0.25">
      <c r="A328" t="s">
        <v>7732</v>
      </c>
      <c r="B328" t="s">
        <v>7704</v>
      </c>
      <c r="C328" t="s">
        <v>7733</v>
      </c>
      <c r="D328" t="s">
        <v>5720</v>
      </c>
      <c r="E328" t="s">
        <v>5721</v>
      </c>
      <c r="F328" t="s">
        <v>5802</v>
      </c>
      <c r="G328" t="s">
        <v>5723</v>
      </c>
      <c r="H328" t="s">
        <v>458</v>
      </c>
      <c r="I328" t="s">
        <v>640</v>
      </c>
      <c r="J328" t="s">
        <v>273</v>
      </c>
      <c r="K328" t="s">
        <v>5734</v>
      </c>
      <c r="L328" t="s">
        <v>267</v>
      </c>
      <c r="M328">
        <v>10482548</v>
      </c>
      <c r="N328">
        <v>-1260679</v>
      </c>
      <c r="O328">
        <v>9221869</v>
      </c>
      <c r="P328">
        <v>0</v>
      </c>
      <c r="Q328" t="s">
        <v>7706</v>
      </c>
      <c r="R328" t="s">
        <v>7734</v>
      </c>
      <c r="S328" t="s">
        <v>7735</v>
      </c>
      <c r="T328" t="s">
        <v>7736</v>
      </c>
      <c r="U328" t="s">
        <v>7737</v>
      </c>
      <c r="V328" t="s">
        <v>7738</v>
      </c>
      <c r="W328" t="s">
        <v>7739</v>
      </c>
      <c r="X328" t="str">
        <f t="shared" si="5"/>
        <v>Inversión</v>
      </c>
      <c r="Y328" t="s">
        <v>5810</v>
      </c>
    </row>
    <row r="329" spans="1:25" x14ac:dyDescent="0.25">
      <c r="A329" t="s">
        <v>7562</v>
      </c>
      <c r="B329" t="s">
        <v>7704</v>
      </c>
      <c r="C329" t="s">
        <v>7740</v>
      </c>
      <c r="D329" t="s">
        <v>5720</v>
      </c>
      <c r="E329" t="s">
        <v>5721</v>
      </c>
      <c r="F329" t="s">
        <v>5802</v>
      </c>
      <c r="G329" t="s">
        <v>5723</v>
      </c>
      <c r="H329" t="s">
        <v>553</v>
      </c>
      <c r="I329" t="s">
        <v>623</v>
      </c>
      <c r="J329" t="s">
        <v>266</v>
      </c>
      <c r="K329" t="s">
        <v>5724</v>
      </c>
      <c r="L329" t="s">
        <v>267</v>
      </c>
      <c r="M329">
        <v>75015390</v>
      </c>
      <c r="N329">
        <v>5687441</v>
      </c>
      <c r="O329">
        <v>80702831</v>
      </c>
      <c r="P329">
        <v>5687441</v>
      </c>
      <c r="Q329" t="s">
        <v>7741</v>
      </c>
      <c r="R329" t="s">
        <v>6486</v>
      </c>
      <c r="S329" t="s">
        <v>7742</v>
      </c>
      <c r="T329" t="s">
        <v>7743</v>
      </c>
      <c r="U329" t="s">
        <v>7744</v>
      </c>
      <c r="V329" t="s">
        <v>7745</v>
      </c>
      <c r="W329" t="s">
        <v>5731</v>
      </c>
      <c r="X329" t="str">
        <f t="shared" si="5"/>
        <v>Inversión</v>
      </c>
      <c r="Y329" t="s">
        <v>5810</v>
      </c>
    </row>
    <row r="330" spans="1:25" x14ac:dyDescent="0.25">
      <c r="A330" t="s">
        <v>7005</v>
      </c>
      <c r="B330" t="s">
        <v>7704</v>
      </c>
      <c r="C330" t="s">
        <v>7746</v>
      </c>
      <c r="D330" t="s">
        <v>5720</v>
      </c>
      <c r="E330" t="s">
        <v>5721</v>
      </c>
      <c r="F330" t="s">
        <v>5802</v>
      </c>
      <c r="G330" t="s">
        <v>5723</v>
      </c>
      <c r="H330" t="s">
        <v>458</v>
      </c>
      <c r="I330" t="s">
        <v>640</v>
      </c>
      <c r="J330" t="s">
        <v>273</v>
      </c>
      <c r="K330" t="s">
        <v>5734</v>
      </c>
      <c r="L330" t="s">
        <v>267</v>
      </c>
      <c r="M330">
        <v>31247320</v>
      </c>
      <c r="N330">
        <v>-2083155</v>
      </c>
      <c r="O330">
        <v>29164165</v>
      </c>
      <c r="P330">
        <v>0</v>
      </c>
      <c r="Q330" t="s">
        <v>7747</v>
      </c>
      <c r="R330" t="s">
        <v>6906</v>
      </c>
      <c r="S330" t="s">
        <v>7748</v>
      </c>
      <c r="T330" t="s">
        <v>7749</v>
      </c>
      <c r="U330" t="s">
        <v>7750</v>
      </c>
      <c r="V330" t="s">
        <v>7751</v>
      </c>
      <c r="W330" t="s">
        <v>5731</v>
      </c>
      <c r="X330" t="str">
        <f t="shared" si="5"/>
        <v>Inversión</v>
      </c>
      <c r="Y330" t="s">
        <v>5810</v>
      </c>
    </row>
    <row r="331" spans="1:25" x14ac:dyDescent="0.25">
      <c r="A331" t="s">
        <v>7587</v>
      </c>
      <c r="B331" t="s">
        <v>7704</v>
      </c>
      <c r="C331" t="s">
        <v>7752</v>
      </c>
      <c r="D331" t="s">
        <v>5720</v>
      </c>
      <c r="E331" t="s">
        <v>5721</v>
      </c>
      <c r="F331" t="s">
        <v>5802</v>
      </c>
      <c r="G331" t="s">
        <v>5723</v>
      </c>
      <c r="H331" t="s">
        <v>463</v>
      </c>
      <c r="I331" t="s">
        <v>639</v>
      </c>
      <c r="J331" t="s">
        <v>273</v>
      </c>
      <c r="K331" t="s">
        <v>5734</v>
      </c>
      <c r="L331" t="s">
        <v>267</v>
      </c>
      <c r="M331">
        <v>53429660</v>
      </c>
      <c r="N331">
        <v>-2671482</v>
      </c>
      <c r="O331">
        <v>50758178</v>
      </c>
      <c r="P331">
        <v>0</v>
      </c>
      <c r="Q331" t="s">
        <v>6851</v>
      </c>
      <c r="R331" t="s">
        <v>6822</v>
      </c>
      <c r="S331" t="s">
        <v>7753</v>
      </c>
      <c r="T331" t="s">
        <v>7754</v>
      </c>
      <c r="U331" t="s">
        <v>7755</v>
      </c>
      <c r="V331" t="s">
        <v>7756</v>
      </c>
      <c r="W331" t="s">
        <v>5731</v>
      </c>
      <c r="X331" t="str">
        <f t="shared" si="5"/>
        <v>Inversión</v>
      </c>
      <c r="Y331" t="s">
        <v>5810</v>
      </c>
    </row>
    <row r="332" spans="1:25" x14ac:dyDescent="0.25">
      <c r="A332" t="s">
        <v>7757</v>
      </c>
      <c r="B332" t="s">
        <v>7758</v>
      </c>
      <c r="C332" t="s">
        <v>7759</v>
      </c>
      <c r="D332" t="s">
        <v>5720</v>
      </c>
      <c r="E332" t="s">
        <v>5721</v>
      </c>
      <c r="F332" t="s">
        <v>5733</v>
      </c>
      <c r="G332" t="s">
        <v>5723</v>
      </c>
      <c r="H332" t="s">
        <v>461</v>
      </c>
      <c r="I332" t="s">
        <v>644</v>
      </c>
      <c r="J332" t="s">
        <v>266</v>
      </c>
      <c r="K332" t="s">
        <v>5724</v>
      </c>
      <c r="L332" t="s">
        <v>267</v>
      </c>
      <c r="M332">
        <v>3994785</v>
      </c>
      <c r="N332">
        <v>0</v>
      </c>
      <c r="O332">
        <v>3994785</v>
      </c>
      <c r="P332">
        <v>1625480</v>
      </c>
      <c r="Q332" t="s">
        <v>7760</v>
      </c>
      <c r="R332" t="s">
        <v>7645</v>
      </c>
      <c r="S332" t="s">
        <v>7761</v>
      </c>
      <c r="T332" t="s">
        <v>7762</v>
      </c>
      <c r="U332" t="s">
        <v>7763</v>
      </c>
      <c r="V332" t="s">
        <v>7764</v>
      </c>
      <c r="W332" t="s">
        <v>5731</v>
      </c>
      <c r="X332" t="str">
        <f t="shared" si="5"/>
        <v>Inversión</v>
      </c>
      <c r="Y332" t="s">
        <v>5735</v>
      </c>
    </row>
    <row r="333" spans="1:25" x14ac:dyDescent="0.25">
      <c r="A333" t="s">
        <v>7358</v>
      </c>
      <c r="B333" t="s">
        <v>7758</v>
      </c>
      <c r="C333" t="s">
        <v>7765</v>
      </c>
      <c r="D333" t="s">
        <v>5720</v>
      </c>
      <c r="E333" t="s">
        <v>5721</v>
      </c>
      <c r="F333" t="s">
        <v>5733</v>
      </c>
      <c r="G333" t="s">
        <v>5723</v>
      </c>
      <c r="H333" t="s">
        <v>461</v>
      </c>
      <c r="I333" t="s">
        <v>644</v>
      </c>
      <c r="J333" t="s">
        <v>266</v>
      </c>
      <c r="K333" t="s">
        <v>5724</v>
      </c>
      <c r="L333" t="s">
        <v>267</v>
      </c>
      <c r="M333">
        <v>4832500</v>
      </c>
      <c r="N333">
        <v>0</v>
      </c>
      <c r="O333">
        <v>4832500</v>
      </c>
      <c r="P333">
        <v>1490345.5</v>
      </c>
      <c r="Q333" t="s">
        <v>7766</v>
      </c>
      <c r="R333" t="s">
        <v>7638</v>
      </c>
      <c r="S333" t="s">
        <v>7767</v>
      </c>
      <c r="T333" t="s">
        <v>7768</v>
      </c>
      <c r="U333" t="s">
        <v>7769</v>
      </c>
      <c r="V333" t="s">
        <v>7770</v>
      </c>
      <c r="W333" t="s">
        <v>5731</v>
      </c>
      <c r="X333" t="str">
        <f t="shared" si="5"/>
        <v>Inversión</v>
      </c>
      <c r="Y333" t="s">
        <v>5735</v>
      </c>
    </row>
    <row r="334" spans="1:25" x14ac:dyDescent="0.25">
      <c r="A334" t="s">
        <v>7771</v>
      </c>
      <c r="B334" t="s">
        <v>7758</v>
      </c>
      <c r="C334" t="s">
        <v>7772</v>
      </c>
      <c r="D334" t="s">
        <v>5720</v>
      </c>
      <c r="E334" t="s">
        <v>5721</v>
      </c>
      <c r="F334" t="s">
        <v>5722</v>
      </c>
      <c r="G334" t="s">
        <v>5723</v>
      </c>
      <c r="H334" t="s">
        <v>465</v>
      </c>
      <c r="I334" t="s">
        <v>661</v>
      </c>
      <c r="J334" t="s">
        <v>273</v>
      </c>
      <c r="K334" t="s">
        <v>5734</v>
      </c>
      <c r="L334" t="s">
        <v>267</v>
      </c>
      <c r="M334">
        <v>51820137</v>
      </c>
      <c r="N334">
        <v>0</v>
      </c>
      <c r="O334">
        <v>51820137</v>
      </c>
      <c r="P334">
        <v>0</v>
      </c>
      <c r="Q334" t="s">
        <v>7773</v>
      </c>
      <c r="R334" t="s">
        <v>7044</v>
      </c>
      <c r="S334" t="s">
        <v>7774</v>
      </c>
      <c r="T334" t="s">
        <v>7775</v>
      </c>
      <c r="U334" t="s">
        <v>7776</v>
      </c>
      <c r="V334" t="s">
        <v>7777</v>
      </c>
      <c r="W334" t="s">
        <v>5731</v>
      </c>
      <c r="X334" t="str">
        <f t="shared" si="5"/>
        <v>Inversión</v>
      </c>
      <c r="Y334" t="s">
        <v>5732</v>
      </c>
    </row>
    <row r="335" spans="1:25" x14ac:dyDescent="0.25">
      <c r="A335" t="s">
        <v>7611</v>
      </c>
      <c r="B335" t="s">
        <v>7758</v>
      </c>
      <c r="C335" t="s">
        <v>7778</v>
      </c>
      <c r="D335" t="s">
        <v>5720</v>
      </c>
      <c r="E335" t="s">
        <v>5969</v>
      </c>
      <c r="F335" t="s">
        <v>5722</v>
      </c>
      <c r="G335" t="s">
        <v>5723</v>
      </c>
      <c r="H335" t="s">
        <v>465</v>
      </c>
      <c r="I335" t="s">
        <v>661</v>
      </c>
      <c r="J335" t="s">
        <v>273</v>
      </c>
      <c r="K335" t="s">
        <v>5734</v>
      </c>
      <c r="L335" t="s">
        <v>267</v>
      </c>
      <c r="M335">
        <v>44787820</v>
      </c>
      <c r="N335">
        <v>-44787820</v>
      </c>
      <c r="O335">
        <v>0</v>
      </c>
      <c r="P335">
        <v>0</v>
      </c>
      <c r="Q335" t="s">
        <v>7779</v>
      </c>
      <c r="R335" t="s">
        <v>6606</v>
      </c>
      <c r="S335" t="s">
        <v>5731</v>
      </c>
      <c r="T335" t="s">
        <v>5731</v>
      </c>
      <c r="U335" t="s">
        <v>5731</v>
      </c>
      <c r="V335" t="s">
        <v>5731</v>
      </c>
      <c r="W335" t="s">
        <v>5731</v>
      </c>
      <c r="X335" t="str">
        <f t="shared" si="5"/>
        <v>Inversión</v>
      </c>
      <c r="Y335" t="s">
        <v>5732</v>
      </c>
    </row>
    <row r="336" spans="1:25" x14ac:dyDescent="0.25">
      <c r="A336" t="s">
        <v>6544</v>
      </c>
      <c r="B336" t="s">
        <v>7758</v>
      </c>
      <c r="C336" t="s">
        <v>7780</v>
      </c>
      <c r="D336" t="s">
        <v>5720</v>
      </c>
      <c r="E336" t="s">
        <v>5721</v>
      </c>
      <c r="F336" t="s">
        <v>5722</v>
      </c>
      <c r="G336" t="s">
        <v>5723</v>
      </c>
      <c r="H336" t="s">
        <v>465</v>
      </c>
      <c r="I336" t="s">
        <v>661</v>
      </c>
      <c r="J336" t="s">
        <v>273</v>
      </c>
      <c r="K336" t="s">
        <v>5734</v>
      </c>
      <c r="L336" t="s">
        <v>267</v>
      </c>
      <c r="M336">
        <v>78371784</v>
      </c>
      <c r="N336">
        <v>-5224786</v>
      </c>
      <c r="O336">
        <v>73146998</v>
      </c>
      <c r="P336">
        <v>0</v>
      </c>
      <c r="Q336" t="s">
        <v>7781</v>
      </c>
      <c r="R336" t="s">
        <v>7782</v>
      </c>
      <c r="S336" t="s">
        <v>7783</v>
      </c>
      <c r="T336" t="s">
        <v>7784</v>
      </c>
      <c r="U336" t="s">
        <v>7785</v>
      </c>
      <c r="V336" t="s">
        <v>7786</v>
      </c>
      <c r="W336" t="s">
        <v>5731</v>
      </c>
      <c r="X336" t="str">
        <f t="shared" si="5"/>
        <v>Inversión</v>
      </c>
      <c r="Y336" t="s">
        <v>5732</v>
      </c>
    </row>
    <row r="337" spans="1:25" x14ac:dyDescent="0.25">
      <c r="A337" t="s">
        <v>7548</v>
      </c>
      <c r="B337" t="s">
        <v>7787</v>
      </c>
      <c r="C337" t="s">
        <v>7788</v>
      </c>
      <c r="D337" t="s">
        <v>5720</v>
      </c>
      <c r="E337" t="s">
        <v>5721</v>
      </c>
      <c r="F337" t="s">
        <v>5802</v>
      </c>
      <c r="G337" t="s">
        <v>5723</v>
      </c>
      <c r="H337" t="s">
        <v>463</v>
      </c>
      <c r="I337" t="s">
        <v>639</v>
      </c>
      <c r="J337" t="s">
        <v>266</v>
      </c>
      <c r="K337" t="s">
        <v>5724</v>
      </c>
      <c r="L337" t="s">
        <v>267</v>
      </c>
      <c r="M337">
        <v>1694688</v>
      </c>
      <c r="N337">
        <v>0</v>
      </c>
      <c r="O337">
        <v>1694688</v>
      </c>
      <c r="P337">
        <v>0</v>
      </c>
      <c r="Q337" t="s">
        <v>7789</v>
      </c>
      <c r="R337" t="s">
        <v>7790</v>
      </c>
      <c r="S337" t="s">
        <v>7791</v>
      </c>
      <c r="T337" t="s">
        <v>7792</v>
      </c>
      <c r="U337" t="s">
        <v>7793</v>
      </c>
      <c r="V337" t="s">
        <v>7794</v>
      </c>
      <c r="W337" t="s">
        <v>5731</v>
      </c>
      <c r="X337" t="str">
        <f t="shared" si="5"/>
        <v>Inversión</v>
      </c>
      <c r="Y337" t="s">
        <v>5810</v>
      </c>
    </row>
    <row r="338" spans="1:25" x14ac:dyDescent="0.25">
      <c r="A338" t="s">
        <v>7654</v>
      </c>
      <c r="B338" t="s">
        <v>7787</v>
      </c>
      <c r="C338" t="s">
        <v>7795</v>
      </c>
      <c r="D338" t="s">
        <v>5720</v>
      </c>
      <c r="E338" t="s">
        <v>5721</v>
      </c>
      <c r="F338" t="s">
        <v>5802</v>
      </c>
      <c r="G338" t="s">
        <v>5723</v>
      </c>
      <c r="H338" t="s">
        <v>458</v>
      </c>
      <c r="I338" t="s">
        <v>640</v>
      </c>
      <c r="J338" t="s">
        <v>273</v>
      </c>
      <c r="K338" t="s">
        <v>5734</v>
      </c>
      <c r="L338" t="s">
        <v>267</v>
      </c>
      <c r="M338">
        <v>9204775</v>
      </c>
      <c r="N338">
        <v>-1359803</v>
      </c>
      <c r="O338">
        <v>7844972</v>
      </c>
      <c r="P338">
        <v>0</v>
      </c>
      <c r="Q338" t="s">
        <v>7789</v>
      </c>
      <c r="R338" t="s">
        <v>7796</v>
      </c>
      <c r="S338" t="s">
        <v>7797</v>
      </c>
      <c r="T338" t="s">
        <v>7798</v>
      </c>
      <c r="U338" t="s">
        <v>7799</v>
      </c>
      <c r="V338" t="s">
        <v>7800</v>
      </c>
      <c r="W338" t="s">
        <v>7801</v>
      </c>
      <c r="X338" t="str">
        <f t="shared" si="5"/>
        <v>Inversión</v>
      </c>
      <c r="Y338" t="s">
        <v>5810</v>
      </c>
    </row>
    <row r="339" spans="1:25" x14ac:dyDescent="0.25">
      <c r="A339" t="s">
        <v>7625</v>
      </c>
      <c r="B339" t="s">
        <v>7802</v>
      </c>
      <c r="C339" t="s">
        <v>7803</v>
      </c>
      <c r="D339" t="s">
        <v>5720</v>
      </c>
      <c r="E339" t="s">
        <v>5721</v>
      </c>
      <c r="F339" t="s">
        <v>5722</v>
      </c>
      <c r="G339" t="s">
        <v>5723</v>
      </c>
      <c r="H339" t="s">
        <v>465</v>
      </c>
      <c r="I339" t="s">
        <v>661</v>
      </c>
      <c r="J339" t="s">
        <v>273</v>
      </c>
      <c r="K339" t="s">
        <v>5734</v>
      </c>
      <c r="L339" t="s">
        <v>267</v>
      </c>
      <c r="M339">
        <v>24043349</v>
      </c>
      <c r="N339">
        <v>-2</v>
      </c>
      <c r="O339">
        <v>24043347</v>
      </c>
      <c r="P339">
        <v>0</v>
      </c>
      <c r="Q339" t="s">
        <v>7804</v>
      </c>
      <c r="R339" t="s">
        <v>7805</v>
      </c>
      <c r="S339" t="s">
        <v>7501</v>
      </c>
      <c r="T339" t="s">
        <v>7806</v>
      </c>
      <c r="U339" t="s">
        <v>7807</v>
      </c>
      <c r="V339" t="s">
        <v>7808</v>
      </c>
      <c r="W339" t="s">
        <v>5731</v>
      </c>
      <c r="X339" t="str">
        <f t="shared" si="5"/>
        <v>Inversión</v>
      </c>
      <c r="Y339" t="s">
        <v>5732</v>
      </c>
    </row>
    <row r="340" spans="1:25" x14ac:dyDescent="0.25">
      <c r="A340" t="s">
        <v>7662</v>
      </c>
      <c r="B340" t="s">
        <v>7809</v>
      </c>
      <c r="C340" t="s">
        <v>7810</v>
      </c>
      <c r="D340" t="s">
        <v>5720</v>
      </c>
      <c r="E340" t="s">
        <v>5721</v>
      </c>
      <c r="F340" t="s">
        <v>5733</v>
      </c>
      <c r="G340" t="s">
        <v>5723</v>
      </c>
      <c r="H340" t="s">
        <v>461</v>
      </c>
      <c r="I340" t="s">
        <v>644</v>
      </c>
      <c r="J340" t="s">
        <v>273</v>
      </c>
      <c r="K340" t="s">
        <v>5734</v>
      </c>
      <c r="L340" t="s">
        <v>267</v>
      </c>
      <c r="M340">
        <v>25379089</v>
      </c>
      <c r="N340">
        <v>-801445</v>
      </c>
      <c r="O340">
        <v>24577644</v>
      </c>
      <c r="P340">
        <v>0</v>
      </c>
      <c r="Q340" t="s">
        <v>7811</v>
      </c>
      <c r="R340" t="s">
        <v>6378</v>
      </c>
      <c r="S340" t="s">
        <v>7812</v>
      </c>
      <c r="T340" t="s">
        <v>7813</v>
      </c>
      <c r="U340" t="s">
        <v>7814</v>
      </c>
      <c r="V340" t="s">
        <v>7815</v>
      </c>
      <c r="W340" t="s">
        <v>5731</v>
      </c>
      <c r="X340" t="str">
        <f t="shared" si="5"/>
        <v>Inversión</v>
      </c>
      <c r="Y340" t="s">
        <v>5735</v>
      </c>
    </row>
    <row r="341" spans="1:25" x14ac:dyDescent="0.25">
      <c r="A341" t="s">
        <v>7669</v>
      </c>
      <c r="B341" t="s">
        <v>7809</v>
      </c>
      <c r="C341" t="s">
        <v>7816</v>
      </c>
      <c r="D341" t="s">
        <v>5720</v>
      </c>
      <c r="E341" t="s">
        <v>5721</v>
      </c>
      <c r="F341" t="s">
        <v>5733</v>
      </c>
      <c r="G341" t="s">
        <v>5723</v>
      </c>
      <c r="H341" t="s">
        <v>461</v>
      </c>
      <c r="I341" t="s">
        <v>644</v>
      </c>
      <c r="J341" t="s">
        <v>273</v>
      </c>
      <c r="K341" t="s">
        <v>5734</v>
      </c>
      <c r="L341" t="s">
        <v>267</v>
      </c>
      <c r="M341">
        <v>45423000</v>
      </c>
      <c r="N341">
        <v>181692000</v>
      </c>
      <c r="O341">
        <v>227115000</v>
      </c>
      <c r="P341">
        <v>52940160</v>
      </c>
      <c r="Q341" t="s">
        <v>7817</v>
      </c>
      <c r="R341" t="s">
        <v>7818</v>
      </c>
      <c r="S341" t="s">
        <v>7819</v>
      </c>
      <c r="T341" t="s">
        <v>7820</v>
      </c>
      <c r="U341" t="s">
        <v>7821</v>
      </c>
      <c r="V341" t="s">
        <v>7822</v>
      </c>
      <c r="W341" t="s">
        <v>5731</v>
      </c>
      <c r="X341" t="str">
        <f t="shared" si="5"/>
        <v>Inversión</v>
      </c>
      <c r="Y341" t="s">
        <v>5735</v>
      </c>
    </row>
    <row r="342" spans="1:25" x14ac:dyDescent="0.25">
      <c r="A342" t="s">
        <v>7823</v>
      </c>
      <c r="B342" t="s">
        <v>7809</v>
      </c>
      <c r="C342" t="s">
        <v>7824</v>
      </c>
      <c r="D342" t="s">
        <v>5720</v>
      </c>
      <c r="E342" t="s">
        <v>5721</v>
      </c>
      <c r="F342" t="s">
        <v>5854</v>
      </c>
      <c r="G342" t="s">
        <v>5723</v>
      </c>
      <c r="H342" t="s">
        <v>539</v>
      </c>
      <c r="I342" t="s">
        <v>658</v>
      </c>
      <c r="J342" t="s">
        <v>273</v>
      </c>
      <c r="K342" t="s">
        <v>5734</v>
      </c>
      <c r="L342" t="s">
        <v>267</v>
      </c>
      <c r="M342">
        <v>36651830</v>
      </c>
      <c r="N342">
        <v>0</v>
      </c>
      <c r="O342">
        <v>36651830</v>
      </c>
      <c r="P342">
        <v>0</v>
      </c>
      <c r="Q342" t="s">
        <v>7825</v>
      </c>
      <c r="R342" t="s">
        <v>7826</v>
      </c>
      <c r="S342" t="s">
        <v>7827</v>
      </c>
      <c r="T342" t="s">
        <v>7828</v>
      </c>
      <c r="U342" t="s">
        <v>7829</v>
      </c>
      <c r="V342" t="s">
        <v>7830</v>
      </c>
      <c r="W342" t="s">
        <v>5731</v>
      </c>
      <c r="X342" t="str">
        <f t="shared" si="5"/>
        <v>Inversión</v>
      </c>
      <c r="Y342" t="s">
        <v>5861</v>
      </c>
    </row>
    <row r="343" spans="1:25" x14ac:dyDescent="0.25">
      <c r="A343" t="s">
        <v>7831</v>
      </c>
      <c r="B343" t="s">
        <v>7809</v>
      </c>
      <c r="C343" t="s">
        <v>7832</v>
      </c>
      <c r="D343" t="s">
        <v>5720</v>
      </c>
      <c r="E343" t="s">
        <v>5721</v>
      </c>
      <c r="F343" t="s">
        <v>5854</v>
      </c>
      <c r="G343" t="s">
        <v>5723</v>
      </c>
      <c r="H343" t="s">
        <v>543</v>
      </c>
      <c r="I343" t="s">
        <v>656</v>
      </c>
      <c r="J343" t="s">
        <v>273</v>
      </c>
      <c r="K343" t="s">
        <v>5734</v>
      </c>
      <c r="L343" t="s">
        <v>267</v>
      </c>
      <c r="M343">
        <v>53105855</v>
      </c>
      <c r="N343">
        <v>-372673</v>
      </c>
      <c r="O343">
        <v>52733182</v>
      </c>
      <c r="P343">
        <v>0</v>
      </c>
      <c r="Q343" t="s">
        <v>7140</v>
      </c>
      <c r="R343" t="s">
        <v>7833</v>
      </c>
      <c r="S343" t="s">
        <v>7834</v>
      </c>
      <c r="T343" t="s">
        <v>7835</v>
      </c>
      <c r="U343" t="s">
        <v>7836</v>
      </c>
      <c r="V343" t="s">
        <v>7837</v>
      </c>
      <c r="W343" t="s">
        <v>5731</v>
      </c>
      <c r="X343" t="str">
        <f t="shared" si="5"/>
        <v>Inversión</v>
      </c>
      <c r="Y343" t="s">
        <v>5861</v>
      </c>
    </row>
    <row r="344" spans="1:25" x14ac:dyDescent="0.25">
      <c r="A344" t="s">
        <v>7699</v>
      </c>
      <c r="B344" t="s">
        <v>7838</v>
      </c>
      <c r="C344" t="s">
        <v>7839</v>
      </c>
      <c r="D344" t="s">
        <v>5720</v>
      </c>
      <c r="E344" t="s">
        <v>5721</v>
      </c>
      <c r="F344" t="s">
        <v>5802</v>
      </c>
      <c r="G344" t="s">
        <v>5723</v>
      </c>
      <c r="H344" t="s">
        <v>458</v>
      </c>
      <c r="I344" t="s">
        <v>640</v>
      </c>
      <c r="J344" t="s">
        <v>273</v>
      </c>
      <c r="K344" t="s">
        <v>5734</v>
      </c>
      <c r="L344" t="s">
        <v>267</v>
      </c>
      <c r="M344">
        <v>5066638</v>
      </c>
      <c r="N344">
        <v>-513785</v>
      </c>
      <c r="O344">
        <v>4552853</v>
      </c>
      <c r="P344">
        <v>0</v>
      </c>
      <c r="Q344" t="s">
        <v>7840</v>
      </c>
      <c r="R344" t="s">
        <v>7841</v>
      </c>
      <c r="S344" t="s">
        <v>7842</v>
      </c>
      <c r="T344" t="s">
        <v>7843</v>
      </c>
      <c r="U344" t="s">
        <v>7844</v>
      </c>
      <c r="V344" t="s">
        <v>7845</v>
      </c>
      <c r="W344" t="s">
        <v>7846</v>
      </c>
      <c r="X344" t="str">
        <f t="shared" si="5"/>
        <v>Inversión</v>
      </c>
      <c r="Y344" t="s">
        <v>5810</v>
      </c>
    </row>
    <row r="345" spans="1:25" x14ac:dyDescent="0.25">
      <c r="A345" t="s">
        <v>6809</v>
      </c>
      <c r="B345" t="s">
        <v>7838</v>
      </c>
      <c r="C345" t="s">
        <v>7847</v>
      </c>
      <c r="D345" t="s">
        <v>5720</v>
      </c>
      <c r="E345" t="s">
        <v>5721</v>
      </c>
      <c r="F345" t="s">
        <v>5738</v>
      </c>
      <c r="G345" t="s">
        <v>5723</v>
      </c>
      <c r="H345" t="s">
        <v>526</v>
      </c>
      <c r="I345" t="s">
        <v>670</v>
      </c>
      <c r="J345" t="s">
        <v>273</v>
      </c>
      <c r="K345" t="s">
        <v>5734</v>
      </c>
      <c r="L345" t="s">
        <v>267</v>
      </c>
      <c r="M345">
        <v>36402360</v>
      </c>
      <c r="N345">
        <v>0</v>
      </c>
      <c r="O345">
        <v>36402360</v>
      </c>
      <c r="P345">
        <v>0</v>
      </c>
      <c r="Q345" t="s">
        <v>7848</v>
      </c>
      <c r="R345" t="s">
        <v>7849</v>
      </c>
      <c r="S345" t="s">
        <v>7850</v>
      </c>
      <c r="T345" t="s">
        <v>7851</v>
      </c>
      <c r="U345" t="s">
        <v>7852</v>
      </c>
      <c r="V345" t="s">
        <v>7853</v>
      </c>
      <c r="W345" t="s">
        <v>5731</v>
      </c>
      <c r="X345" t="str">
        <f t="shared" si="5"/>
        <v>Inversión</v>
      </c>
      <c r="Y345" t="s">
        <v>5741</v>
      </c>
    </row>
    <row r="346" spans="1:25" x14ac:dyDescent="0.25">
      <c r="A346" t="s">
        <v>6769</v>
      </c>
      <c r="B346" t="s">
        <v>7838</v>
      </c>
      <c r="C346" t="s">
        <v>7854</v>
      </c>
      <c r="D346" t="s">
        <v>5720</v>
      </c>
      <c r="E346" t="s">
        <v>5721</v>
      </c>
      <c r="F346" t="s">
        <v>5738</v>
      </c>
      <c r="G346" t="s">
        <v>5723</v>
      </c>
      <c r="H346" t="s">
        <v>556</v>
      </c>
      <c r="I346" t="s">
        <v>671</v>
      </c>
      <c r="J346" t="s">
        <v>273</v>
      </c>
      <c r="K346" t="s">
        <v>5734</v>
      </c>
      <c r="L346" t="s">
        <v>267</v>
      </c>
      <c r="M346">
        <v>36239937</v>
      </c>
      <c r="N346">
        <v>0</v>
      </c>
      <c r="O346">
        <v>36239937</v>
      </c>
      <c r="P346">
        <v>0</v>
      </c>
      <c r="Q346" t="s">
        <v>7855</v>
      </c>
      <c r="R346" t="s">
        <v>6713</v>
      </c>
      <c r="S346" t="s">
        <v>7856</v>
      </c>
      <c r="T346" t="s">
        <v>7857</v>
      </c>
      <c r="U346" t="s">
        <v>7858</v>
      </c>
      <c r="V346" t="s">
        <v>7859</v>
      </c>
      <c r="W346" t="s">
        <v>5731</v>
      </c>
      <c r="X346" t="str">
        <f t="shared" si="5"/>
        <v>Inversión</v>
      </c>
      <c r="Y346" t="s">
        <v>5741</v>
      </c>
    </row>
    <row r="347" spans="1:25" x14ac:dyDescent="0.25">
      <c r="A347" t="s">
        <v>6752</v>
      </c>
      <c r="B347" t="s">
        <v>7838</v>
      </c>
      <c r="C347" t="s">
        <v>7860</v>
      </c>
      <c r="D347" t="s">
        <v>5720</v>
      </c>
      <c r="E347" t="s">
        <v>5721</v>
      </c>
      <c r="F347" t="s">
        <v>5738</v>
      </c>
      <c r="G347" t="s">
        <v>5723</v>
      </c>
      <c r="H347" t="s">
        <v>526</v>
      </c>
      <c r="I347" t="s">
        <v>670</v>
      </c>
      <c r="J347" t="s">
        <v>273</v>
      </c>
      <c r="K347" t="s">
        <v>5734</v>
      </c>
      <c r="L347" t="s">
        <v>267</v>
      </c>
      <c r="M347">
        <v>29417800</v>
      </c>
      <c r="N347">
        <v>0</v>
      </c>
      <c r="O347">
        <v>29417800</v>
      </c>
      <c r="P347">
        <v>0</v>
      </c>
      <c r="Q347" t="s">
        <v>7861</v>
      </c>
      <c r="R347" t="s">
        <v>7862</v>
      </c>
      <c r="S347" t="s">
        <v>7863</v>
      </c>
      <c r="T347" t="s">
        <v>7864</v>
      </c>
      <c r="U347" t="s">
        <v>7865</v>
      </c>
      <c r="V347" t="s">
        <v>7866</v>
      </c>
      <c r="W347" t="s">
        <v>5731</v>
      </c>
      <c r="X347" t="str">
        <f t="shared" si="5"/>
        <v>Inversión</v>
      </c>
      <c r="Y347" t="s">
        <v>5741</v>
      </c>
    </row>
    <row r="348" spans="1:25" x14ac:dyDescent="0.25">
      <c r="A348" t="s">
        <v>6822</v>
      </c>
      <c r="B348" t="s">
        <v>7838</v>
      </c>
      <c r="C348" t="s">
        <v>7867</v>
      </c>
      <c r="D348" t="s">
        <v>5720</v>
      </c>
      <c r="E348" t="s">
        <v>5721</v>
      </c>
      <c r="F348" t="s">
        <v>5738</v>
      </c>
      <c r="G348" t="s">
        <v>5723</v>
      </c>
      <c r="H348" t="s">
        <v>556</v>
      </c>
      <c r="I348" t="s">
        <v>671</v>
      </c>
      <c r="J348" t="s">
        <v>273</v>
      </c>
      <c r="K348" t="s">
        <v>5734</v>
      </c>
      <c r="L348" t="s">
        <v>267</v>
      </c>
      <c r="M348">
        <v>28193680</v>
      </c>
      <c r="N348">
        <v>0</v>
      </c>
      <c r="O348">
        <v>28193680</v>
      </c>
      <c r="P348">
        <v>0</v>
      </c>
      <c r="Q348" t="s">
        <v>7868</v>
      </c>
      <c r="R348" t="s">
        <v>7869</v>
      </c>
      <c r="S348" t="s">
        <v>7870</v>
      </c>
      <c r="T348" t="s">
        <v>7871</v>
      </c>
      <c r="U348" t="s">
        <v>7872</v>
      </c>
      <c r="V348" t="s">
        <v>7873</v>
      </c>
      <c r="W348" t="s">
        <v>5731</v>
      </c>
      <c r="X348" t="str">
        <f t="shared" si="5"/>
        <v>Inversión</v>
      </c>
      <c r="Y348" t="s">
        <v>5741</v>
      </c>
    </row>
    <row r="349" spans="1:25" x14ac:dyDescent="0.25">
      <c r="A349" t="s">
        <v>6906</v>
      </c>
      <c r="B349" t="s">
        <v>7838</v>
      </c>
      <c r="C349" t="s">
        <v>7874</v>
      </c>
      <c r="D349" t="s">
        <v>5720</v>
      </c>
      <c r="E349" t="s">
        <v>5721</v>
      </c>
      <c r="F349" t="s">
        <v>5738</v>
      </c>
      <c r="G349" t="s">
        <v>5723</v>
      </c>
      <c r="H349" t="s">
        <v>556</v>
      </c>
      <c r="I349" t="s">
        <v>671</v>
      </c>
      <c r="J349" t="s">
        <v>273</v>
      </c>
      <c r="K349" t="s">
        <v>5734</v>
      </c>
      <c r="L349" t="s">
        <v>267</v>
      </c>
      <c r="M349">
        <v>28193680</v>
      </c>
      <c r="N349">
        <v>0</v>
      </c>
      <c r="O349">
        <v>28193680</v>
      </c>
      <c r="P349">
        <v>0</v>
      </c>
      <c r="Q349" t="s">
        <v>7875</v>
      </c>
      <c r="R349" t="s">
        <v>7876</v>
      </c>
      <c r="S349" t="s">
        <v>7877</v>
      </c>
      <c r="T349" t="s">
        <v>7878</v>
      </c>
      <c r="U349" t="s">
        <v>7879</v>
      </c>
      <c r="V349" t="s">
        <v>7880</v>
      </c>
      <c r="W349" t="s">
        <v>5731</v>
      </c>
      <c r="X349" t="str">
        <f t="shared" si="5"/>
        <v>Inversión</v>
      </c>
      <c r="Y349" t="s">
        <v>5741</v>
      </c>
    </row>
    <row r="350" spans="1:25" x14ac:dyDescent="0.25">
      <c r="A350" t="s">
        <v>6486</v>
      </c>
      <c r="B350" t="s">
        <v>7838</v>
      </c>
      <c r="C350" t="s">
        <v>7881</v>
      </c>
      <c r="D350" t="s">
        <v>5720</v>
      </c>
      <c r="E350" t="s">
        <v>5721</v>
      </c>
      <c r="F350" t="s">
        <v>5738</v>
      </c>
      <c r="G350" t="s">
        <v>5723</v>
      </c>
      <c r="H350" t="s">
        <v>556</v>
      </c>
      <c r="I350" t="s">
        <v>671</v>
      </c>
      <c r="J350" t="s">
        <v>266</v>
      </c>
      <c r="K350" t="s">
        <v>5724</v>
      </c>
      <c r="L350" t="s">
        <v>267</v>
      </c>
      <c r="M350">
        <v>8131000</v>
      </c>
      <c r="N350">
        <v>0</v>
      </c>
      <c r="O350">
        <v>8131000</v>
      </c>
      <c r="P350">
        <v>0</v>
      </c>
      <c r="Q350" t="s">
        <v>7882</v>
      </c>
      <c r="R350" t="s">
        <v>7883</v>
      </c>
      <c r="S350" t="s">
        <v>7884</v>
      </c>
      <c r="T350" t="s">
        <v>7885</v>
      </c>
      <c r="U350" t="s">
        <v>7886</v>
      </c>
      <c r="V350" t="s">
        <v>7887</v>
      </c>
      <c r="W350" t="s">
        <v>5731</v>
      </c>
      <c r="X350" t="str">
        <f t="shared" si="5"/>
        <v>Inversión</v>
      </c>
      <c r="Y350" t="s">
        <v>5741</v>
      </c>
    </row>
    <row r="351" spans="1:25" x14ac:dyDescent="0.25">
      <c r="A351" t="s">
        <v>7734</v>
      </c>
      <c r="B351" t="s">
        <v>7888</v>
      </c>
      <c r="C351" t="s">
        <v>7889</v>
      </c>
      <c r="D351" t="s">
        <v>5720</v>
      </c>
      <c r="E351" t="s">
        <v>5721</v>
      </c>
      <c r="F351" t="s">
        <v>5738</v>
      </c>
      <c r="G351" t="s">
        <v>5723</v>
      </c>
      <c r="H351" t="s">
        <v>556</v>
      </c>
      <c r="I351" t="s">
        <v>671</v>
      </c>
      <c r="J351" t="s">
        <v>273</v>
      </c>
      <c r="K351" t="s">
        <v>5734</v>
      </c>
      <c r="L351" t="s">
        <v>267</v>
      </c>
      <c r="M351">
        <v>48941241</v>
      </c>
      <c r="N351">
        <v>0</v>
      </c>
      <c r="O351">
        <v>48941241</v>
      </c>
      <c r="P351">
        <v>0</v>
      </c>
      <c r="Q351" t="s">
        <v>7890</v>
      </c>
      <c r="R351" t="s">
        <v>6701</v>
      </c>
      <c r="S351" t="s">
        <v>7891</v>
      </c>
      <c r="T351" t="s">
        <v>7892</v>
      </c>
      <c r="U351" t="s">
        <v>7893</v>
      </c>
      <c r="V351" t="s">
        <v>7894</v>
      </c>
      <c r="W351" t="s">
        <v>5731</v>
      </c>
      <c r="X351" t="str">
        <f t="shared" si="5"/>
        <v>Inversión</v>
      </c>
      <c r="Y351" t="s">
        <v>5741</v>
      </c>
    </row>
    <row r="352" spans="1:25" x14ac:dyDescent="0.25">
      <c r="A352" t="s">
        <v>6560</v>
      </c>
      <c r="B352" t="s">
        <v>7888</v>
      </c>
      <c r="C352" t="s">
        <v>7895</v>
      </c>
      <c r="D352" t="s">
        <v>5720</v>
      </c>
      <c r="E352" t="s">
        <v>5721</v>
      </c>
      <c r="F352" t="s">
        <v>5738</v>
      </c>
      <c r="G352" t="s">
        <v>5723</v>
      </c>
      <c r="H352" t="s">
        <v>556</v>
      </c>
      <c r="I352" t="s">
        <v>671</v>
      </c>
      <c r="J352" t="s">
        <v>273</v>
      </c>
      <c r="K352" t="s">
        <v>5734</v>
      </c>
      <c r="L352" t="s">
        <v>267</v>
      </c>
      <c r="M352">
        <v>36402360</v>
      </c>
      <c r="N352">
        <v>0</v>
      </c>
      <c r="O352">
        <v>36402360</v>
      </c>
      <c r="P352">
        <v>3033530</v>
      </c>
      <c r="Q352" t="s">
        <v>7896</v>
      </c>
      <c r="R352" t="s">
        <v>6365</v>
      </c>
      <c r="S352" t="s">
        <v>7897</v>
      </c>
      <c r="T352" t="s">
        <v>7898</v>
      </c>
      <c r="U352" t="s">
        <v>7899</v>
      </c>
      <c r="V352" t="s">
        <v>7900</v>
      </c>
      <c r="W352" t="s">
        <v>5731</v>
      </c>
      <c r="X352" t="str">
        <f t="shared" si="5"/>
        <v>Inversión</v>
      </c>
      <c r="Y352" t="s">
        <v>5741</v>
      </c>
    </row>
    <row r="353" spans="1:25" x14ac:dyDescent="0.25">
      <c r="A353" t="s">
        <v>6572</v>
      </c>
      <c r="B353" t="s">
        <v>7901</v>
      </c>
      <c r="C353" t="s">
        <v>7902</v>
      </c>
      <c r="D353" t="s">
        <v>5720</v>
      </c>
      <c r="E353" t="s">
        <v>5721</v>
      </c>
      <c r="F353" t="s">
        <v>5802</v>
      </c>
      <c r="G353" t="s">
        <v>5723</v>
      </c>
      <c r="H353" t="s">
        <v>463</v>
      </c>
      <c r="I353" t="s">
        <v>639</v>
      </c>
      <c r="J353" t="s">
        <v>266</v>
      </c>
      <c r="K353" t="s">
        <v>5724</v>
      </c>
      <c r="L353" t="s">
        <v>267</v>
      </c>
      <c r="M353">
        <v>406725</v>
      </c>
      <c r="N353">
        <v>0</v>
      </c>
      <c r="O353">
        <v>406725</v>
      </c>
      <c r="P353">
        <v>0</v>
      </c>
      <c r="Q353" t="s">
        <v>7903</v>
      </c>
      <c r="R353" t="s">
        <v>7211</v>
      </c>
      <c r="S353" t="s">
        <v>7904</v>
      </c>
      <c r="T353" t="s">
        <v>7905</v>
      </c>
      <c r="U353" t="s">
        <v>7906</v>
      </c>
      <c r="V353" t="s">
        <v>7907</v>
      </c>
      <c r="W353" t="s">
        <v>5731</v>
      </c>
      <c r="X353" t="str">
        <f t="shared" si="5"/>
        <v>Inversión</v>
      </c>
      <c r="Y353" t="s">
        <v>5810</v>
      </c>
    </row>
    <row r="354" spans="1:25" x14ac:dyDescent="0.25">
      <c r="A354" t="s">
        <v>7721</v>
      </c>
      <c r="B354" t="s">
        <v>7901</v>
      </c>
      <c r="C354" t="s">
        <v>7902</v>
      </c>
      <c r="D354" t="s">
        <v>5720</v>
      </c>
      <c r="E354" t="s">
        <v>5721</v>
      </c>
      <c r="F354" t="s">
        <v>5802</v>
      </c>
      <c r="G354" t="s">
        <v>5723</v>
      </c>
      <c r="H354" t="s">
        <v>463</v>
      </c>
      <c r="I354" t="s">
        <v>639</v>
      </c>
      <c r="J354" t="s">
        <v>273</v>
      </c>
      <c r="K354" t="s">
        <v>5734</v>
      </c>
      <c r="L354" t="s">
        <v>267</v>
      </c>
      <c r="M354">
        <v>1529820</v>
      </c>
      <c r="N354">
        <v>-101101</v>
      </c>
      <c r="O354">
        <v>1428719</v>
      </c>
      <c r="P354">
        <v>0</v>
      </c>
      <c r="Q354" t="s">
        <v>7903</v>
      </c>
      <c r="R354" t="s">
        <v>7135</v>
      </c>
      <c r="S354" t="s">
        <v>7908</v>
      </c>
      <c r="T354" t="s">
        <v>7909</v>
      </c>
      <c r="U354" t="s">
        <v>7910</v>
      </c>
      <c r="V354" t="s">
        <v>7911</v>
      </c>
      <c r="W354" t="s">
        <v>5804</v>
      </c>
      <c r="X354" t="str">
        <f t="shared" si="5"/>
        <v>Inversión</v>
      </c>
      <c r="Y354" t="s">
        <v>5810</v>
      </c>
    </row>
    <row r="355" spans="1:25" x14ac:dyDescent="0.25">
      <c r="A355" t="s">
        <v>7714</v>
      </c>
      <c r="B355" t="s">
        <v>7901</v>
      </c>
      <c r="C355" t="s">
        <v>7912</v>
      </c>
      <c r="D355" t="s">
        <v>5720</v>
      </c>
      <c r="E355" t="s">
        <v>5969</v>
      </c>
      <c r="F355" t="s">
        <v>5802</v>
      </c>
      <c r="G355" t="s">
        <v>5723</v>
      </c>
      <c r="H355" t="s">
        <v>458</v>
      </c>
      <c r="I355" t="s">
        <v>640</v>
      </c>
      <c r="J355" t="s">
        <v>273</v>
      </c>
      <c r="K355" t="s">
        <v>5734</v>
      </c>
      <c r="L355" t="s">
        <v>267</v>
      </c>
      <c r="M355">
        <v>26714830</v>
      </c>
      <c r="N355">
        <v>-26714830</v>
      </c>
      <c r="O355">
        <v>0</v>
      </c>
      <c r="P355">
        <v>0</v>
      </c>
      <c r="Q355" t="s">
        <v>6005</v>
      </c>
      <c r="R355" t="s">
        <v>7913</v>
      </c>
      <c r="S355" t="s">
        <v>5731</v>
      </c>
      <c r="T355" t="s">
        <v>5731</v>
      </c>
      <c r="U355" t="s">
        <v>5731</v>
      </c>
      <c r="V355" t="s">
        <v>5731</v>
      </c>
      <c r="W355" t="s">
        <v>5731</v>
      </c>
      <c r="X355" t="str">
        <f t="shared" si="5"/>
        <v>Inversión</v>
      </c>
      <c r="Y355" t="s">
        <v>5810</v>
      </c>
    </row>
    <row r="356" spans="1:25" x14ac:dyDescent="0.25">
      <c r="A356" t="s">
        <v>7805</v>
      </c>
      <c r="B356" t="s">
        <v>7914</v>
      </c>
      <c r="C356" t="s">
        <v>7915</v>
      </c>
      <c r="D356" t="s">
        <v>5720</v>
      </c>
      <c r="E356" t="s">
        <v>5721</v>
      </c>
      <c r="F356" t="s">
        <v>5802</v>
      </c>
      <c r="G356" t="s">
        <v>5723</v>
      </c>
      <c r="H356" t="s">
        <v>458</v>
      </c>
      <c r="I356" t="s">
        <v>640</v>
      </c>
      <c r="J356" t="s">
        <v>273</v>
      </c>
      <c r="K356" t="s">
        <v>5734</v>
      </c>
      <c r="L356" t="s">
        <v>267</v>
      </c>
      <c r="M356">
        <v>26714830</v>
      </c>
      <c r="N356">
        <v>-2582434</v>
      </c>
      <c r="O356">
        <v>24132396</v>
      </c>
      <c r="P356">
        <v>0</v>
      </c>
      <c r="Q356" t="s">
        <v>7469</v>
      </c>
      <c r="R356" t="s">
        <v>7916</v>
      </c>
      <c r="S356" t="s">
        <v>7917</v>
      </c>
      <c r="T356" t="s">
        <v>7918</v>
      </c>
      <c r="U356" t="s">
        <v>7919</v>
      </c>
      <c r="V356" t="s">
        <v>7920</v>
      </c>
      <c r="W356" t="s">
        <v>5731</v>
      </c>
      <c r="X356" t="str">
        <f t="shared" si="5"/>
        <v>Inversión</v>
      </c>
      <c r="Y356" t="s">
        <v>5810</v>
      </c>
    </row>
    <row r="357" spans="1:25" x14ac:dyDescent="0.25">
      <c r="A357" t="s">
        <v>7044</v>
      </c>
      <c r="B357" t="s">
        <v>7914</v>
      </c>
      <c r="C357" t="s">
        <v>7921</v>
      </c>
      <c r="D357" t="s">
        <v>5720</v>
      </c>
      <c r="E357" t="s">
        <v>5969</v>
      </c>
      <c r="F357" t="s">
        <v>5722</v>
      </c>
      <c r="G357" t="s">
        <v>5723</v>
      </c>
      <c r="H357" t="s">
        <v>465</v>
      </c>
      <c r="I357" t="s">
        <v>661</v>
      </c>
      <c r="J357" t="s">
        <v>266</v>
      </c>
      <c r="K357" t="s">
        <v>5724</v>
      </c>
      <c r="L357" t="s">
        <v>267</v>
      </c>
      <c r="M357">
        <v>60000000</v>
      </c>
      <c r="N357">
        <v>-60000000</v>
      </c>
      <c r="O357">
        <v>0</v>
      </c>
      <c r="P357">
        <v>0</v>
      </c>
      <c r="Q357" t="s">
        <v>7922</v>
      </c>
      <c r="R357" t="s">
        <v>7241</v>
      </c>
      <c r="S357" t="s">
        <v>5731</v>
      </c>
      <c r="T357" t="s">
        <v>5731</v>
      </c>
      <c r="U357" t="s">
        <v>5731</v>
      </c>
      <c r="V357" t="s">
        <v>5731</v>
      </c>
      <c r="W357" t="s">
        <v>5731</v>
      </c>
      <c r="X357" t="str">
        <f t="shared" si="5"/>
        <v>Inversión</v>
      </c>
      <c r="Y357" t="s">
        <v>5732</v>
      </c>
    </row>
    <row r="358" spans="1:25" x14ac:dyDescent="0.25">
      <c r="A358" t="s">
        <v>6606</v>
      </c>
      <c r="B358" t="s">
        <v>7914</v>
      </c>
      <c r="C358" t="s">
        <v>7923</v>
      </c>
      <c r="D358" t="s">
        <v>5720</v>
      </c>
      <c r="E358" t="s">
        <v>5721</v>
      </c>
      <c r="F358" t="s">
        <v>5722</v>
      </c>
      <c r="G358" t="s">
        <v>5723</v>
      </c>
      <c r="H358" t="s">
        <v>465</v>
      </c>
      <c r="I358" t="s">
        <v>661</v>
      </c>
      <c r="J358" t="s">
        <v>266</v>
      </c>
      <c r="K358" t="s">
        <v>5724</v>
      </c>
      <c r="L358" t="s">
        <v>267</v>
      </c>
      <c r="M358">
        <v>1481463643</v>
      </c>
      <c r="N358">
        <v>-27301770</v>
      </c>
      <c r="O358">
        <v>1454161873</v>
      </c>
      <c r="P358">
        <v>282703821.27999997</v>
      </c>
      <c r="Q358" t="s">
        <v>7924</v>
      </c>
      <c r="R358" t="s">
        <v>7925</v>
      </c>
      <c r="S358" t="s">
        <v>7359</v>
      </c>
      <c r="T358" t="s">
        <v>5731</v>
      </c>
      <c r="U358" t="s">
        <v>5731</v>
      </c>
      <c r="V358" t="s">
        <v>5731</v>
      </c>
      <c r="W358" t="s">
        <v>5731</v>
      </c>
      <c r="X358" t="str">
        <f t="shared" si="5"/>
        <v>Inversión</v>
      </c>
      <c r="Y358" t="s">
        <v>5732</v>
      </c>
    </row>
    <row r="359" spans="1:25" x14ac:dyDescent="0.25">
      <c r="A359" t="s">
        <v>7869</v>
      </c>
      <c r="B359" t="s">
        <v>7926</v>
      </c>
      <c r="C359" t="s">
        <v>7927</v>
      </c>
      <c r="D359" t="s">
        <v>5720</v>
      </c>
      <c r="E359" t="s">
        <v>5969</v>
      </c>
      <c r="F359" t="s">
        <v>5802</v>
      </c>
      <c r="G359" t="s">
        <v>5723</v>
      </c>
      <c r="H359" t="s">
        <v>553</v>
      </c>
      <c r="I359" t="s">
        <v>623</v>
      </c>
      <c r="J359" t="s">
        <v>273</v>
      </c>
      <c r="K359" t="s">
        <v>5734</v>
      </c>
      <c r="L359" t="s">
        <v>267</v>
      </c>
      <c r="M359">
        <v>2818115</v>
      </c>
      <c r="N359">
        <v>-2818115</v>
      </c>
      <c r="O359">
        <v>0</v>
      </c>
      <c r="P359">
        <v>0</v>
      </c>
      <c r="Q359" t="s">
        <v>7928</v>
      </c>
      <c r="R359" t="s">
        <v>7655</v>
      </c>
      <c r="S359" t="s">
        <v>5731</v>
      </c>
      <c r="T359" t="s">
        <v>5731</v>
      </c>
      <c r="U359" t="s">
        <v>5731</v>
      </c>
      <c r="V359" t="s">
        <v>5731</v>
      </c>
      <c r="W359" t="s">
        <v>5731</v>
      </c>
      <c r="X359" t="str">
        <f t="shared" si="5"/>
        <v>Inversión</v>
      </c>
      <c r="Y359" t="s">
        <v>5810</v>
      </c>
    </row>
    <row r="360" spans="1:25" x14ac:dyDescent="0.25">
      <c r="A360" t="s">
        <v>6713</v>
      </c>
      <c r="B360" t="s">
        <v>7929</v>
      </c>
      <c r="C360" t="s">
        <v>7930</v>
      </c>
      <c r="D360" t="s">
        <v>5720</v>
      </c>
      <c r="E360" t="s">
        <v>5721</v>
      </c>
      <c r="F360" t="s">
        <v>5802</v>
      </c>
      <c r="G360" t="s">
        <v>5723</v>
      </c>
      <c r="H360" t="s">
        <v>458</v>
      </c>
      <c r="I360" t="s">
        <v>640</v>
      </c>
      <c r="J360" t="s">
        <v>273</v>
      </c>
      <c r="K360" t="s">
        <v>5734</v>
      </c>
      <c r="L360" t="s">
        <v>267</v>
      </c>
      <c r="M360">
        <v>536446618</v>
      </c>
      <c r="N360">
        <v>-69356218.400000006</v>
      </c>
      <c r="O360">
        <v>467090399.60000002</v>
      </c>
      <c r="P360">
        <v>0</v>
      </c>
      <c r="Q360" t="s">
        <v>7931</v>
      </c>
      <c r="R360" t="s">
        <v>7932</v>
      </c>
      <c r="S360" t="s">
        <v>6446</v>
      </c>
      <c r="T360" t="s">
        <v>7933</v>
      </c>
      <c r="U360" t="s">
        <v>7934</v>
      </c>
      <c r="V360" t="s">
        <v>7935</v>
      </c>
      <c r="W360" t="s">
        <v>5731</v>
      </c>
      <c r="X360" t="str">
        <f t="shared" si="5"/>
        <v>Inversión</v>
      </c>
      <c r="Y360" t="s">
        <v>5810</v>
      </c>
    </row>
    <row r="361" spans="1:25" x14ac:dyDescent="0.25">
      <c r="A361" t="s">
        <v>7862</v>
      </c>
      <c r="B361" t="s">
        <v>7936</v>
      </c>
      <c r="C361" t="s">
        <v>7937</v>
      </c>
      <c r="D361" t="s">
        <v>5720</v>
      </c>
      <c r="E361" t="s">
        <v>5721</v>
      </c>
      <c r="F361" t="s">
        <v>5733</v>
      </c>
      <c r="G361" t="s">
        <v>5723</v>
      </c>
      <c r="H361" t="s">
        <v>461</v>
      </c>
      <c r="I361" t="s">
        <v>644</v>
      </c>
      <c r="J361" t="s">
        <v>273</v>
      </c>
      <c r="K361" t="s">
        <v>5734</v>
      </c>
      <c r="L361" t="s">
        <v>267</v>
      </c>
      <c r="M361">
        <v>300000000</v>
      </c>
      <c r="N361">
        <v>0</v>
      </c>
      <c r="O361">
        <v>300000000</v>
      </c>
      <c r="P361">
        <v>63961214</v>
      </c>
      <c r="Q361" t="s">
        <v>7938</v>
      </c>
      <c r="R361" t="s">
        <v>7437</v>
      </c>
      <c r="S361" t="s">
        <v>7939</v>
      </c>
      <c r="T361" t="s">
        <v>7940</v>
      </c>
      <c r="U361" t="s">
        <v>7941</v>
      </c>
      <c r="V361" t="s">
        <v>7942</v>
      </c>
      <c r="W361" t="s">
        <v>7943</v>
      </c>
      <c r="X361" t="str">
        <f t="shared" si="5"/>
        <v>Inversión</v>
      </c>
      <c r="Y361" t="s">
        <v>5735</v>
      </c>
    </row>
    <row r="362" spans="1:25" x14ac:dyDescent="0.25">
      <c r="A362" t="s">
        <v>7833</v>
      </c>
      <c r="B362" t="s">
        <v>7936</v>
      </c>
      <c r="C362" t="s">
        <v>7944</v>
      </c>
      <c r="D362" t="s">
        <v>5720</v>
      </c>
      <c r="E362" t="s">
        <v>5721</v>
      </c>
      <c r="F362" t="s">
        <v>5733</v>
      </c>
      <c r="G362" t="s">
        <v>5723</v>
      </c>
      <c r="H362" t="s">
        <v>461</v>
      </c>
      <c r="I362" t="s">
        <v>644</v>
      </c>
      <c r="J362" t="s">
        <v>273</v>
      </c>
      <c r="K362" t="s">
        <v>5734</v>
      </c>
      <c r="L362" t="s">
        <v>267</v>
      </c>
      <c r="M362">
        <v>339762465</v>
      </c>
      <c r="N362">
        <v>-15100555</v>
      </c>
      <c r="O362">
        <v>324661910</v>
      </c>
      <c r="P362">
        <v>0</v>
      </c>
      <c r="Q362" t="s">
        <v>7945</v>
      </c>
      <c r="R362" t="s">
        <v>6803</v>
      </c>
      <c r="S362" t="s">
        <v>7946</v>
      </c>
      <c r="T362" t="s">
        <v>7947</v>
      </c>
      <c r="U362" t="s">
        <v>7948</v>
      </c>
      <c r="V362" t="s">
        <v>7949</v>
      </c>
      <c r="W362" t="s">
        <v>5731</v>
      </c>
      <c r="X362" t="str">
        <f t="shared" si="5"/>
        <v>Inversión</v>
      </c>
      <c r="Y362" t="s">
        <v>5735</v>
      </c>
    </row>
    <row r="363" spans="1:25" x14ac:dyDescent="0.25">
      <c r="A363" t="s">
        <v>7826</v>
      </c>
      <c r="B363" t="s">
        <v>7936</v>
      </c>
      <c r="C363" t="s">
        <v>7950</v>
      </c>
      <c r="D363" t="s">
        <v>5720</v>
      </c>
      <c r="E363" t="s">
        <v>5721</v>
      </c>
      <c r="F363" t="s">
        <v>5733</v>
      </c>
      <c r="G363" t="s">
        <v>5723</v>
      </c>
      <c r="H363" t="s">
        <v>461</v>
      </c>
      <c r="I363" t="s">
        <v>644</v>
      </c>
      <c r="J363" t="s">
        <v>273</v>
      </c>
      <c r="K363" t="s">
        <v>5734</v>
      </c>
      <c r="L363" t="s">
        <v>267</v>
      </c>
      <c r="M363">
        <v>69663808</v>
      </c>
      <c r="N363">
        <v>0</v>
      </c>
      <c r="O363">
        <v>69663808</v>
      </c>
      <c r="P363">
        <v>1885839</v>
      </c>
      <c r="Q363" t="s">
        <v>7951</v>
      </c>
      <c r="R363" t="s">
        <v>6855</v>
      </c>
      <c r="S363" t="s">
        <v>7952</v>
      </c>
      <c r="T363" t="s">
        <v>7953</v>
      </c>
      <c r="U363" t="s">
        <v>7954</v>
      </c>
      <c r="V363" t="s">
        <v>7955</v>
      </c>
      <c r="W363" t="s">
        <v>5731</v>
      </c>
      <c r="X363" t="str">
        <f t="shared" si="5"/>
        <v>Inversión</v>
      </c>
      <c r="Y363" t="s">
        <v>5735</v>
      </c>
    </row>
    <row r="364" spans="1:25" x14ac:dyDescent="0.25">
      <c r="A364" t="s">
        <v>7956</v>
      </c>
      <c r="B364" t="s">
        <v>7936</v>
      </c>
      <c r="C364" t="s">
        <v>7957</v>
      </c>
      <c r="D364" t="s">
        <v>5720</v>
      </c>
      <c r="E364" t="s">
        <v>5721</v>
      </c>
      <c r="F364" t="s">
        <v>5733</v>
      </c>
      <c r="G364" t="s">
        <v>5723</v>
      </c>
      <c r="H364" t="s">
        <v>461</v>
      </c>
      <c r="I364" t="s">
        <v>644</v>
      </c>
      <c r="J364" t="s">
        <v>273</v>
      </c>
      <c r="K364" t="s">
        <v>5734</v>
      </c>
      <c r="L364" t="s">
        <v>267</v>
      </c>
      <c r="M364">
        <v>112490352</v>
      </c>
      <c r="N364">
        <v>0</v>
      </c>
      <c r="O364">
        <v>112490352</v>
      </c>
      <c r="P364">
        <v>18748392</v>
      </c>
      <c r="Q364" t="s">
        <v>7958</v>
      </c>
      <c r="R364" t="s">
        <v>6680</v>
      </c>
      <c r="S364" t="s">
        <v>7959</v>
      </c>
      <c r="T364" t="s">
        <v>7960</v>
      </c>
      <c r="U364" t="s">
        <v>7961</v>
      </c>
      <c r="V364" t="s">
        <v>7962</v>
      </c>
      <c r="W364" t="s">
        <v>5731</v>
      </c>
      <c r="X364" t="str">
        <f t="shared" si="5"/>
        <v>Inversión</v>
      </c>
      <c r="Y364" t="s">
        <v>5735</v>
      </c>
    </row>
    <row r="365" spans="1:25" x14ac:dyDescent="0.25">
      <c r="A365" t="s">
        <v>7963</v>
      </c>
      <c r="B365" t="s">
        <v>7936</v>
      </c>
      <c r="C365" t="s">
        <v>7964</v>
      </c>
      <c r="D365" t="s">
        <v>5720</v>
      </c>
      <c r="E365" t="s">
        <v>5721</v>
      </c>
      <c r="F365" t="s">
        <v>5733</v>
      </c>
      <c r="G365" t="s">
        <v>5723</v>
      </c>
      <c r="H365" t="s">
        <v>461</v>
      </c>
      <c r="I365" t="s">
        <v>644</v>
      </c>
      <c r="J365" t="s">
        <v>273</v>
      </c>
      <c r="K365" t="s">
        <v>5734</v>
      </c>
      <c r="L365" t="s">
        <v>267</v>
      </c>
      <c r="M365">
        <v>21630000</v>
      </c>
      <c r="N365">
        <v>0</v>
      </c>
      <c r="O365">
        <v>21630000</v>
      </c>
      <c r="P365">
        <v>7210000</v>
      </c>
      <c r="Q365" t="s">
        <v>7965</v>
      </c>
      <c r="R365" t="s">
        <v>7966</v>
      </c>
      <c r="S365" t="s">
        <v>7967</v>
      </c>
      <c r="T365" t="s">
        <v>5731</v>
      </c>
      <c r="U365" t="s">
        <v>5731</v>
      </c>
      <c r="V365" t="s">
        <v>5731</v>
      </c>
      <c r="W365" t="s">
        <v>5731</v>
      </c>
      <c r="X365" t="str">
        <f t="shared" si="5"/>
        <v>Inversión</v>
      </c>
      <c r="Y365" t="s">
        <v>5735</v>
      </c>
    </row>
    <row r="366" spans="1:25" x14ac:dyDescent="0.25">
      <c r="A366" t="s">
        <v>7968</v>
      </c>
      <c r="B366" t="s">
        <v>7936</v>
      </c>
      <c r="C366" t="s">
        <v>7969</v>
      </c>
      <c r="D366" t="s">
        <v>5720</v>
      </c>
      <c r="E366" t="s">
        <v>5737</v>
      </c>
      <c r="F366" t="s">
        <v>5733</v>
      </c>
      <c r="G366" t="s">
        <v>5723</v>
      </c>
      <c r="H366" t="s">
        <v>461</v>
      </c>
      <c r="I366" t="s">
        <v>644</v>
      </c>
      <c r="J366" t="s">
        <v>273</v>
      </c>
      <c r="K366" t="s">
        <v>5734</v>
      </c>
      <c r="L366" t="s">
        <v>267</v>
      </c>
      <c r="M366">
        <v>16028898</v>
      </c>
      <c r="N366">
        <v>0</v>
      </c>
      <c r="O366">
        <v>16028898</v>
      </c>
      <c r="P366">
        <v>16028898</v>
      </c>
      <c r="Q366" t="s">
        <v>7970</v>
      </c>
      <c r="R366" t="s">
        <v>7971</v>
      </c>
      <c r="S366" t="s">
        <v>5731</v>
      </c>
      <c r="T366" t="s">
        <v>5731</v>
      </c>
      <c r="U366" t="s">
        <v>5731</v>
      </c>
      <c r="V366" t="s">
        <v>5731</v>
      </c>
      <c r="W366" t="s">
        <v>5731</v>
      </c>
      <c r="X366" t="str">
        <f t="shared" si="5"/>
        <v>Inversión</v>
      </c>
      <c r="Y366" t="s">
        <v>5735</v>
      </c>
    </row>
    <row r="367" spans="1:25" x14ac:dyDescent="0.25">
      <c r="A367" t="s">
        <v>7972</v>
      </c>
      <c r="B367" t="s">
        <v>7936</v>
      </c>
      <c r="C367" t="s">
        <v>7973</v>
      </c>
      <c r="D367" t="s">
        <v>5720</v>
      </c>
      <c r="E367" t="s">
        <v>5721</v>
      </c>
      <c r="F367" t="s">
        <v>5733</v>
      </c>
      <c r="G367" t="s">
        <v>5723</v>
      </c>
      <c r="H367" t="s">
        <v>461</v>
      </c>
      <c r="I367" t="s">
        <v>644</v>
      </c>
      <c r="J367" t="s">
        <v>273</v>
      </c>
      <c r="K367" t="s">
        <v>5734</v>
      </c>
      <c r="L367" t="s">
        <v>267</v>
      </c>
      <c r="M367">
        <v>29121888</v>
      </c>
      <c r="N367">
        <v>0</v>
      </c>
      <c r="O367">
        <v>29121888</v>
      </c>
      <c r="P367">
        <v>1820118</v>
      </c>
      <c r="Q367" t="s">
        <v>7974</v>
      </c>
      <c r="R367" t="s">
        <v>7975</v>
      </c>
      <c r="S367" t="s">
        <v>7976</v>
      </c>
      <c r="T367" t="s">
        <v>7977</v>
      </c>
      <c r="U367" t="s">
        <v>7978</v>
      </c>
      <c r="V367" t="s">
        <v>7979</v>
      </c>
      <c r="W367" t="s">
        <v>5731</v>
      </c>
      <c r="X367" t="str">
        <f t="shared" si="5"/>
        <v>Inversión</v>
      </c>
      <c r="Y367" t="s">
        <v>5735</v>
      </c>
    </row>
    <row r="368" spans="1:25" x14ac:dyDescent="0.25">
      <c r="A368" t="s">
        <v>7883</v>
      </c>
      <c r="B368" t="s">
        <v>7936</v>
      </c>
      <c r="C368" t="s">
        <v>7980</v>
      </c>
      <c r="D368" t="s">
        <v>5720</v>
      </c>
      <c r="E368" t="s">
        <v>5737</v>
      </c>
      <c r="F368" t="s">
        <v>5733</v>
      </c>
      <c r="G368" t="s">
        <v>5723</v>
      </c>
      <c r="H368" t="s">
        <v>461</v>
      </c>
      <c r="I368" t="s">
        <v>644</v>
      </c>
      <c r="J368" t="s">
        <v>273</v>
      </c>
      <c r="K368" t="s">
        <v>5734</v>
      </c>
      <c r="L368" t="s">
        <v>267</v>
      </c>
      <c r="M368">
        <v>29858544</v>
      </c>
      <c r="N368">
        <v>0</v>
      </c>
      <c r="O368">
        <v>29858544</v>
      </c>
      <c r="P368">
        <v>29858544</v>
      </c>
      <c r="Q368" t="s">
        <v>7981</v>
      </c>
      <c r="R368" t="s">
        <v>7982</v>
      </c>
      <c r="S368" t="s">
        <v>5731</v>
      </c>
      <c r="T368" t="s">
        <v>5731</v>
      </c>
      <c r="U368" t="s">
        <v>5731</v>
      </c>
      <c r="V368" t="s">
        <v>5731</v>
      </c>
      <c r="W368" t="s">
        <v>5731</v>
      </c>
      <c r="X368" t="str">
        <f t="shared" si="5"/>
        <v>Inversión</v>
      </c>
      <c r="Y368" t="s">
        <v>5735</v>
      </c>
    </row>
    <row r="369" spans="1:25" x14ac:dyDescent="0.25">
      <c r="A369" t="s">
        <v>7983</v>
      </c>
      <c r="B369" t="s">
        <v>7936</v>
      </c>
      <c r="C369" t="s">
        <v>7984</v>
      </c>
      <c r="D369" t="s">
        <v>5720</v>
      </c>
      <c r="E369" t="s">
        <v>5737</v>
      </c>
      <c r="F369" t="s">
        <v>5733</v>
      </c>
      <c r="G369" t="s">
        <v>5723</v>
      </c>
      <c r="H369" t="s">
        <v>461</v>
      </c>
      <c r="I369" t="s">
        <v>644</v>
      </c>
      <c r="J369" t="s">
        <v>273</v>
      </c>
      <c r="K369" t="s">
        <v>5734</v>
      </c>
      <c r="L369" t="s">
        <v>267</v>
      </c>
      <c r="M369">
        <v>34546758</v>
      </c>
      <c r="N369">
        <v>0</v>
      </c>
      <c r="O369">
        <v>34546758</v>
      </c>
      <c r="P369">
        <v>34546758</v>
      </c>
      <c r="Q369" t="s">
        <v>7985</v>
      </c>
      <c r="R369" t="s">
        <v>6613</v>
      </c>
      <c r="S369" t="s">
        <v>5731</v>
      </c>
      <c r="T369" t="s">
        <v>5731</v>
      </c>
      <c r="U369" t="s">
        <v>5731</v>
      </c>
      <c r="V369" t="s">
        <v>5731</v>
      </c>
      <c r="W369" t="s">
        <v>5731</v>
      </c>
      <c r="X369" t="str">
        <f t="shared" si="5"/>
        <v>Inversión</v>
      </c>
      <c r="Y369" t="s">
        <v>5735</v>
      </c>
    </row>
    <row r="370" spans="1:25" x14ac:dyDescent="0.25">
      <c r="A370" t="s">
        <v>7841</v>
      </c>
      <c r="B370" t="s">
        <v>7936</v>
      </c>
      <c r="C370" t="s">
        <v>7986</v>
      </c>
      <c r="D370" t="s">
        <v>5720</v>
      </c>
      <c r="E370" t="s">
        <v>5721</v>
      </c>
      <c r="F370" t="s">
        <v>5733</v>
      </c>
      <c r="G370" t="s">
        <v>5723</v>
      </c>
      <c r="H370" t="s">
        <v>461</v>
      </c>
      <c r="I370" t="s">
        <v>644</v>
      </c>
      <c r="J370" t="s">
        <v>273</v>
      </c>
      <c r="K370" t="s">
        <v>5734</v>
      </c>
      <c r="L370" t="s">
        <v>267</v>
      </c>
      <c r="M370">
        <v>20414916</v>
      </c>
      <c r="N370">
        <v>0</v>
      </c>
      <c r="O370">
        <v>20414916</v>
      </c>
      <c r="P370">
        <v>0</v>
      </c>
      <c r="Q370" t="s">
        <v>7987</v>
      </c>
      <c r="R370" t="s">
        <v>7255</v>
      </c>
      <c r="S370" t="s">
        <v>7988</v>
      </c>
      <c r="T370" t="s">
        <v>7989</v>
      </c>
      <c r="U370" t="s">
        <v>7990</v>
      </c>
      <c r="V370" t="s">
        <v>7991</v>
      </c>
      <c r="W370" t="s">
        <v>5731</v>
      </c>
      <c r="X370" t="str">
        <f t="shared" si="5"/>
        <v>Inversión</v>
      </c>
      <c r="Y370" t="s">
        <v>5735</v>
      </c>
    </row>
    <row r="371" spans="1:25" x14ac:dyDescent="0.25">
      <c r="A371" t="s">
        <v>7211</v>
      </c>
      <c r="B371" t="s">
        <v>7992</v>
      </c>
      <c r="C371" t="s">
        <v>7993</v>
      </c>
      <c r="D371" t="s">
        <v>5720</v>
      </c>
      <c r="E371" t="s">
        <v>5721</v>
      </c>
      <c r="F371" t="s">
        <v>5854</v>
      </c>
      <c r="G371" t="s">
        <v>5723</v>
      </c>
      <c r="H371" t="s">
        <v>539</v>
      </c>
      <c r="I371" t="s">
        <v>658</v>
      </c>
      <c r="J371" t="s">
        <v>273</v>
      </c>
      <c r="K371" t="s">
        <v>5734</v>
      </c>
      <c r="L371" t="s">
        <v>267</v>
      </c>
      <c r="M371">
        <v>21873124</v>
      </c>
      <c r="N371">
        <v>0</v>
      </c>
      <c r="O371">
        <v>21873124</v>
      </c>
      <c r="P371">
        <v>0</v>
      </c>
      <c r="Q371" t="s">
        <v>7994</v>
      </c>
      <c r="R371" t="s">
        <v>7995</v>
      </c>
      <c r="S371" t="s">
        <v>7996</v>
      </c>
      <c r="T371" t="s">
        <v>7997</v>
      </c>
      <c r="U371" t="s">
        <v>7998</v>
      </c>
      <c r="V371" t="s">
        <v>7999</v>
      </c>
      <c r="W371" t="s">
        <v>5731</v>
      </c>
      <c r="X371" t="str">
        <f t="shared" si="5"/>
        <v>Inversión</v>
      </c>
      <c r="Y371" t="s">
        <v>5861</v>
      </c>
    </row>
    <row r="372" spans="1:25" x14ac:dyDescent="0.25">
      <c r="A372" t="s">
        <v>7135</v>
      </c>
      <c r="B372" t="s">
        <v>8000</v>
      </c>
      <c r="C372" t="s">
        <v>8001</v>
      </c>
      <c r="D372" t="s">
        <v>5720</v>
      </c>
      <c r="E372" t="s">
        <v>5721</v>
      </c>
      <c r="F372" t="s">
        <v>5802</v>
      </c>
      <c r="G372" t="s">
        <v>5723</v>
      </c>
      <c r="H372" t="s">
        <v>463</v>
      </c>
      <c r="I372" t="s">
        <v>639</v>
      </c>
      <c r="J372" t="s">
        <v>266</v>
      </c>
      <c r="K372" t="s">
        <v>5724</v>
      </c>
      <c r="L372" t="s">
        <v>267</v>
      </c>
      <c r="M372">
        <v>3372230</v>
      </c>
      <c r="N372">
        <v>0</v>
      </c>
      <c r="O372">
        <v>3372230</v>
      </c>
      <c r="P372">
        <v>0</v>
      </c>
      <c r="Q372" t="s">
        <v>8002</v>
      </c>
      <c r="R372" t="s">
        <v>6840</v>
      </c>
      <c r="S372" t="s">
        <v>8003</v>
      </c>
      <c r="T372" t="s">
        <v>8004</v>
      </c>
      <c r="U372" t="s">
        <v>8005</v>
      </c>
      <c r="V372" t="s">
        <v>8006</v>
      </c>
      <c r="W372" t="s">
        <v>5731</v>
      </c>
      <c r="X372" t="str">
        <f t="shared" si="5"/>
        <v>Inversión</v>
      </c>
      <c r="Y372" t="s">
        <v>5810</v>
      </c>
    </row>
    <row r="373" spans="1:25" x14ac:dyDescent="0.25">
      <c r="A373" t="s">
        <v>7913</v>
      </c>
      <c r="B373" t="s">
        <v>8000</v>
      </c>
      <c r="C373" t="s">
        <v>8007</v>
      </c>
      <c r="D373" t="s">
        <v>5720</v>
      </c>
      <c r="E373" t="s">
        <v>5721</v>
      </c>
      <c r="F373" t="s">
        <v>5802</v>
      </c>
      <c r="G373" t="s">
        <v>5723</v>
      </c>
      <c r="H373" t="s">
        <v>458</v>
      </c>
      <c r="I373" t="s">
        <v>640</v>
      </c>
      <c r="J373" t="s">
        <v>266</v>
      </c>
      <c r="K373" t="s">
        <v>5724</v>
      </c>
      <c r="L373" t="s">
        <v>267</v>
      </c>
      <c r="M373">
        <v>15961728</v>
      </c>
      <c r="N373">
        <v>-1583626</v>
      </c>
      <c r="O373">
        <v>14378102</v>
      </c>
      <c r="P373">
        <v>0</v>
      </c>
      <c r="Q373" t="s">
        <v>8008</v>
      </c>
      <c r="R373" t="s">
        <v>8009</v>
      </c>
      <c r="S373" t="s">
        <v>8010</v>
      </c>
      <c r="T373" t="s">
        <v>8011</v>
      </c>
      <c r="U373" t="s">
        <v>8012</v>
      </c>
      <c r="V373" t="s">
        <v>8013</v>
      </c>
      <c r="W373" t="s">
        <v>8014</v>
      </c>
      <c r="X373" t="str">
        <f t="shared" si="5"/>
        <v>Inversión</v>
      </c>
      <c r="Y373" t="s">
        <v>5810</v>
      </c>
    </row>
    <row r="374" spans="1:25" x14ac:dyDescent="0.25">
      <c r="A374" t="s">
        <v>7916</v>
      </c>
      <c r="B374" t="s">
        <v>8000</v>
      </c>
      <c r="C374" t="s">
        <v>8015</v>
      </c>
      <c r="D374" t="s">
        <v>5720</v>
      </c>
      <c r="E374" t="s">
        <v>5721</v>
      </c>
      <c r="F374" t="s">
        <v>5802</v>
      </c>
      <c r="G374" t="s">
        <v>5723</v>
      </c>
      <c r="H374" t="s">
        <v>458</v>
      </c>
      <c r="I374" t="s">
        <v>640</v>
      </c>
      <c r="J374" t="s">
        <v>273</v>
      </c>
      <c r="K374" t="s">
        <v>5734</v>
      </c>
      <c r="L374" t="s">
        <v>267</v>
      </c>
      <c r="M374">
        <v>10542441</v>
      </c>
      <c r="N374">
        <v>-3598679.66</v>
      </c>
      <c r="O374">
        <v>6943761.3399999999</v>
      </c>
      <c r="P374">
        <v>0</v>
      </c>
      <c r="Q374" t="s">
        <v>8016</v>
      </c>
      <c r="R374" t="s">
        <v>8017</v>
      </c>
      <c r="S374" t="s">
        <v>8018</v>
      </c>
      <c r="T374" t="s">
        <v>8019</v>
      </c>
      <c r="U374" t="s">
        <v>8020</v>
      </c>
      <c r="V374" t="s">
        <v>8021</v>
      </c>
      <c r="W374" t="s">
        <v>8022</v>
      </c>
      <c r="X374" t="str">
        <f t="shared" si="5"/>
        <v>Inversión</v>
      </c>
      <c r="Y374" t="s">
        <v>5810</v>
      </c>
    </row>
    <row r="375" spans="1:25" x14ac:dyDescent="0.25">
      <c r="A375" t="s">
        <v>7241</v>
      </c>
      <c r="B375" t="s">
        <v>8000</v>
      </c>
      <c r="C375" t="s">
        <v>8023</v>
      </c>
      <c r="D375" t="s">
        <v>5720</v>
      </c>
      <c r="E375" t="s">
        <v>5721</v>
      </c>
      <c r="F375" t="s">
        <v>5802</v>
      </c>
      <c r="G375" t="s">
        <v>5723</v>
      </c>
      <c r="H375" t="s">
        <v>463</v>
      </c>
      <c r="I375" t="s">
        <v>639</v>
      </c>
      <c r="J375" t="s">
        <v>273</v>
      </c>
      <c r="K375" t="s">
        <v>5734</v>
      </c>
      <c r="L375" t="s">
        <v>267</v>
      </c>
      <c r="M375">
        <v>2943713</v>
      </c>
      <c r="N375">
        <v>271150</v>
      </c>
      <c r="O375">
        <v>3214863</v>
      </c>
      <c r="P375">
        <v>0</v>
      </c>
      <c r="Q375" t="s">
        <v>8016</v>
      </c>
      <c r="R375" t="s">
        <v>7443</v>
      </c>
      <c r="S375" t="s">
        <v>8024</v>
      </c>
      <c r="T375" t="s">
        <v>8025</v>
      </c>
      <c r="U375" t="s">
        <v>8026</v>
      </c>
      <c r="V375" t="s">
        <v>8027</v>
      </c>
      <c r="W375" t="s">
        <v>6003</v>
      </c>
      <c r="X375" t="str">
        <f t="shared" si="5"/>
        <v>Inversión</v>
      </c>
      <c r="Y375" t="s">
        <v>5810</v>
      </c>
    </row>
    <row r="376" spans="1:25" x14ac:dyDescent="0.25">
      <c r="A376" t="s">
        <v>7925</v>
      </c>
      <c r="B376" t="s">
        <v>8000</v>
      </c>
      <c r="C376" t="s">
        <v>8028</v>
      </c>
      <c r="D376" t="s">
        <v>5720</v>
      </c>
      <c r="E376" t="s">
        <v>5721</v>
      </c>
      <c r="F376" t="s">
        <v>5802</v>
      </c>
      <c r="G376" t="s">
        <v>5723</v>
      </c>
      <c r="H376" t="s">
        <v>463</v>
      </c>
      <c r="I376" t="s">
        <v>639</v>
      </c>
      <c r="J376" t="s">
        <v>266</v>
      </c>
      <c r="K376" t="s">
        <v>5724</v>
      </c>
      <c r="L376" t="s">
        <v>267</v>
      </c>
      <c r="M376">
        <v>2943713</v>
      </c>
      <c r="N376">
        <v>271150</v>
      </c>
      <c r="O376">
        <v>3214863</v>
      </c>
      <c r="P376">
        <v>0</v>
      </c>
      <c r="Q376" t="s">
        <v>8016</v>
      </c>
      <c r="R376" t="s">
        <v>6719</v>
      </c>
      <c r="S376" t="s">
        <v>8029</v>
      </c>
      <c r="T376" t="s">
        <v>8030</v>
      </c>
      <c r="U376" t="s">
        <v>8031</v>
      </c>
      <c r="V376" t="s">
        <v>8032</v>
      </c>
      <c r="W376" t="s">
        <v>5981</v>
      </c>
      <c r="X376" t="str">
        <f t="shared" si="5"/>
        <v>Inversión</v>
      </c>
      <c r="Y376" t="s">
        <v>5810</v>
      </c>
    </row>
    <row r="377" spans="1:25" x14ac:dyDescent="0.25">
      <c r="A377" t="s">
        <v>8033</v>
      </c>
      <c r="B377" t="s">
        <v>8000</v>
      </c>
      <c r="C377" t="s">
        <v>8034</v>
      </c>
      <c r="D377" t="s">
        <v>5720</v>
      </c>
      <c r="E377" t="s">
        <v>5721</v>
      </c>
      <c r="F377" t="s">
        <v>5802</v>
      </c>
      <c r="G377" t="s">
        <v>5723</v>
      </c>
      <c r="H377" t="s">
        <v>458</v>
      </c>
      <c r="I377" t="s">
        <v>640</v>
      </c>
      <c r="J377" t="s">
        <v>273</v>
      </c>
      <c r="K377" t="s">
        <v>5734</v>
      </c>
      <c r="L377" t="s">
        <v>267</v>
      </c>
      <c r="M377">
        <v>10445503</v>
      </c>
      <c r="N377">
        <v>-1731862</v>
      </c>
      <c r="O377">
        <v>8713641</v>
      </c>
      <c r="P377">
        <v>0</v>
      </c>
      <c r="Q377" t="s">
        <v>8035</v>
      </c>
      <c r="R377" t="s">
        <v>8036</v>
      </c>
      <c r="S377" t="s">
        <v>8037</v>
      </c>
      <c r="T377" t="s">
        <v>8038</v>
      </c>
      <c r="U377" t="s">
        <v>8039</v>
      </c>
      <c r="V377" t="s">
        <v>8040</v>
      </c>
      <c r="W377" t="s">
        <v>8041</v>
      </c>
      <c r="X377" t="str">
        <f t="shared" si="5"/>
        <v>Inversión</v>
      </c>
      <c r="Y377" t="s">
        <v>5810</v>
      </c>
    </row>
    <row r="378" spans="1:25" x14ac:dyDescent="0.25">
      <c r="A378" t="s">
        <v>8042</v>
      </c>
      <c r="B378" t="s">
        <v>8000</v>
      </c>
      <c r="C378" t="s">
        <v>8043</v>
      </c>
      <c r="D378" t="s">
        <v>5720</v>
      </c>
      <c r="E378" t="s">
        <v>5721</v>
      </c>
      <c r="F378" t="s">
        <v>5802</v>
      </c>
      <c r="G378" t="s">
        <v>5723</v>
      </c>
      <c r="H378" t="s">
        <v>463</v>
      </c>
      <c r="I378" t="s">
        <v>639</v>
      </c>
      <c r="J378" t="s">
        <v>266</v>
      </c>
      <c r="K378" t="s">
        <v>5724</v>
      </c>
      <c r="L378" t="s">
        <v>267</v>
      </c>
      <c r="M378">
        <v>8929726</v>
      </c>
      <c r="N378">
        <v>-583698.06000000006</v>
      </c>
      <c r="O378">
        <v>8346027.9400000004</v>
      </c>
      <c r="P378">
        <v>0</v>
      </c>
      <c r="Q378" t="s">
        <v>8044</v>
      </c>
      <c r="R378" t="s">
        <v>6786</v>
      </c>
      <c r="S378" t="s">
        <v>8045</v>
      </c>
      <c r="T378" t="s">
        <v>8046</v>
      </c>
      <c r="U378" t="s">
        <v>8047</v>
      </c>
      <c r="V378" t="s">
        <v>8048</v>
      </c>
      <c r="W378" t="s">
        <v>8049</v>
      </c>
      <c r="X378" t="str">
        <f t="shared" si="5"/>
        <v>Inversión</v>
      </c>
      <c r="Y378" t="s">
        <v>5810</v>
      </c>
    </row>
    <row r="379" spans="1:25" x14ac:dyDescent="0.25">
      <c r="A379" t="s">
        <v>8050</v>
      </c>
      <c r="B379" t="s">
        <v>8000</v>
      </c>
      <c r="C379" t="s">
        <v>8051</v>
      </c>
      <c r="D379" t="s">
        <v>5720</v>
      </c>
      <c r="E379" t="s">
        <v>5721</v>
      </c>
      <c r="F379" t="s">
        <v>5802</v>
      </c>
      <c r="G379" t="s">
        <v>5723</v>
      </c>
      <c r="H379" t="s">
        <v>463</v>
      </c>
      <c r="I379" t="s">
        <v>639</v>
      </c>
      <c r="J379" t="s">
        <v>273</v>
      </c>
      <c r="K379" t="s">
        <v>5734</v>
      </c>
      <c r="L379" t="s">
        <v>267</v>
      </c>
      <c r="M379">
        <v>21778770</v>
      </c>
      <c r="N379">
        <v>-1413888.82</v>
      </c>
      <c r="O379">
        <v>20364881.18</v>
      </c>
      <c r="P379">
        <v>0</v>
      </c>
      <c r="Q379" t="s">
        <v>8052</v>
      </c>
      <c r="R379" t="s">
        <v>8053</v>
      </c>
      <c r="S379" t="s">
        <v>8054</v>
      </c>
      <c r="T379" t="s">
        <v>8055</v>
      </c>
      <c r="U379" t="s">
        <v>8056</v>
      </c>
      <c r="V379" t="s">
        <v>8057</v>
      </c>
      <c r="W379" t="s">
        <v>8058</v>
      </c>
      <c r="X379" t="str">
        <f t="shared" si="5"/>
        <v>Inversión</v>
      </c>
      <c r="Y379" t="s">
        <v>5810</v>
      </c>
    </row>
    <row r="380" spans="1:25" x14ac:dyDescent="0.25">
      <c r="A380" t="s">
        <v>8059</v>
      </c>
      <c r="B380" t="s">
        <v>8000</v>
      </c>
      <c r="C380" t="s">
        <v>8060</v>
      </c>
      <c r="D380" t="s">
        <v>5720</v>
      </c>
      <c r="E380" t="s">
        <v>5721</v>
      </c>
      <c r="F380" t="s">
        <v>5802</v>
      </c>
      <c r="G380" t="s">
        <v>5723</v>
      </c>
      <c r="H380" t="s">
        <v>463</v>
      </c>
      <c r="I380" t="s">
        <v>639</v>
      </c>
      <c r="J380" t="s">
        <v>266</v>
      </c>
      <c r="K380" t="s">
        <v>5724</v>
      </c>
      <c r="L380" t="s">
        <v>267</v>
      </c>
      <c r="M380">
        <v>4030226</v>
      </c>
      <c r="N380">
        <v>0</v>
      </c>
      <c r="O380">
        <v>4030226</v>
      </c>
      <c r="P380">
        <v>0</v>
      </c>
      <c r="Q380" t="s">
        <v>8061</v>
      </c>
      <c r="R380" t="s">
        <v>8062</v>
      </c>
      <c r="S380" t="s">
        <v>7563</v>
      </c>
      <c r="T380" t="s">
        <v>8063</v>
      </c>
      <c r="U380" t="s">
        <v>8064</v>
      </c>
      <c r="V380" t="s">
        <v>8065</v>
      </c>
      <c r="W380" t="s">
        <v>5731</v>
      </c>
      <c r="X380" t="str">
        <f t="shared" si="5"/>
        <v>Inversión</v>
      </c>
      <c r="Y380" t="s">
        <v>5810</v>
      </c>
    </row>
    <row r="381" spans="1:25" x14ac:dyDescent="0.25">
      <c r="A381" t="s">
        <v>6252</v>
      </c>
      <c r="B381" t="s">
        <v>8000</v>
      </c>
      <c r="C381" t="s">
        <v>8066</v>
      </c>
      <c r="D381" t="s">
        <v>5720</v>
      </c>
      <c r="E381" t="s">
        <v>5721</v>
      </c>
      <c r="F381" t="s">
        <v>5802</v>
      </c>
      <c r="G381" t="s">
        <v>5723</v>
      </c>
      <c r="H381" t="s">
        <v>463</v>
      </c>
      <c r="I381" t="s">
        <v>639</v>
      </c>
      <c r="J381" t="s">
        <v>273</v>
      </c>
      <c r="K381" t="s">
        <v>5734</v>
      </c>
      <c r="L381" t="s">
        <v>267</v>
      </c>
      <c r="M381">
        <v>14856952</v>
      </c>
      <c r="N381">
        <v>-3848515.8</v>
      </c>
      <c r="O381">
        <v>11008436.199999999</v>
      </c>
      <c r="P381">
        <v>0</v>
      </c>
      <c r="Q381" t="s">
        <v>8061</v>
      </c>
      <c r="R381" t="s">
        <v>8067</v>
      </c>
      <c r="S381" t="s">
        <v>8068</v>
      </c>
      <c r="T381" t="s">
        <v>8069</v>
      </c>
      <c r="U381" t="s">
        <v>8070</v>
      </c>
      <c r="V381" t="s">
        <v>8071</v>
      </c>
      <c r="W381" t="s">
        <v>8072</v>
      </c>
      <c r="X381" t="str">
        <f t="shared" si="5"/>
        <v>Inversión</v>
      </c>
      <c r="Y381" t="s">
        <v>5810</v>
      </c>
    </row>
    <row r="382" spans="1:25" x14ac:dyDescent="0.25">
      <c r="A382" t="s">
        <v>7932</v>
      </c>
      <c r="B382" t="s">
        <v>8073</v>
      </c>
      <c r="C382" t="s">
        <v>8074</v>
      </c>
      <c r="D382" t="s">
        <v>5720</v>
      </c>
      <c r="E382" t="s">
        <v>5737</v>
      </c>
      <c r="F382" t="s">
        <v>5802</v>
      </c>
      <c r="G382" t="s">
        <v>5723</v>
      </c>
      <c r="H382" t="s">
        <v>553</v>
      </c>
      <c r="I382" t="s">
        <v>623</v>
      </c>
      <c r="J382" t="s">
        <v>266</v>
      </c>
      <c r="K382" t="s">
        <v>5724</v>
      </c>
      <c r="L382" t="s">
        <v>267</v>
      </c>
      <c r="M382">
        <v>0</v>
      </c>
      <c r="N382">
        <v>55024</v>
      </c>
      <c r="O382">
        <v>55024</v>
      </c>
      <c r="P382">
        <v>55024</v>
      </c>
      <c r="Q382" t="s">
        <v>8075</v>
      </c>
      <c r="R382" t="s">
        <v>6506</v>
      </c>
      <c r="S382" t="s">
        <v>5731</v>
      </c>
      <c r="T382" t="s">
        <v>5731</v>
      </c>
      <c r="U382" t="s">
        <v>5731</v>
      </c>
      <c r="V382" t="s">
        <v>5731</v>
      </c>
      <c r="W382" t="s">
        <v>5731</v>
      </c>
      <c r="X382" t="str">
        <f t="shared" si="5"/>
        <v>Inversión</v>
      </c>
      <c r="Y382" t="s">
        <v>5810</v>
      </c>
    </row>
    <row r="383" spans="1:25" x14ac:dyDescent="0.25">
      <c r="A383" t="s">
        <v>7932</v>
      </c>
      <c r="B383" t="s">
        <v>8073</v>
      </c>
      <c r="C383" t="s">
        <v>8074</v>
      </c>
      <c r="D383" t="s">
        <v>5720</v>
      </c>
      <c r="E383" t="s">
        <v>5737</v>
      </c>
      <c r="F383" t="s">
        <v>5802</v>
      </c>
      <c r="G383" t="s">
        <v>5723</v>
      </c>
      <c r="H383" t="s">
        <v>524</v>
      </c>
      <c r="I383" t="s">
        <v>624</v>
      </c>
      <c r="J383" t="s">
        <v>273</v>
      </c>
      <c r="K383" t="s">
        <v>5734</v>
      </c>
      <c r="L383" t="s">
        <v>267</v>
      </c>
      <c r="M383">
        <v>0</v>
      </c>
      <c r="N383">
        <v>26237537</v>
      </c>
      <c r="O383">
        <v>26237537</v>
      </c>
      <c r="P383">
        <v>26237537</v>
      </c>
      <c r="Q383" t="s">
        <v>8075</v>
      </c>
      <c r="R383" t="s">
        <v>6506</v>
      </c>
      <c r="S383" t="s">
        <v>5731</v>
      </c>
      <c r="T383" t="s">
        <v>5731</v>
      </c>
      <c r="U383" t="s">
        <v>5731</v>
      </c>
      <c r="V383" t="s">
        <v>5731</v>
      </c>
      <c r="W383" t="s">
        <v>5731</v>
      </c>
      <c r="X383" t="str">
        <f t="shared" si="5"/>
        <v>Inversión</v>
      </c>
      <c r="Y383" t="s">
        <v>5810</v>
      </c>
    </row>
    <row r="384" spans="1:25" x14ac:dyDescent="0.25">
      <c r="A384" t="s">
        <v>7932</v>
      </c>
      <c r="B384" t="s">
        <v>8073</v>
      </c>
      <c r="C384" t="s">
        <v>8074</v>
      </c>
      <c r="D384" t="s">
        <v>5720</v>
      </c>
      <c r="E384" t="s">
        <v>5737</v>
      </c>
      <c r="F384" t="s">
        <v>5802</v>
      </c>
      <c r="G384" t="s">
        <v>5723</v>
      </c>
      <c r="H384" t="s">
        <v>553</v>
      </c>
      <c r="I384" t="s">
        <v>623</v>
      </c>
      <c r="J384" t="s">
        <v>273</v>
      </c>
      <c r="K384" t="s">
        <v>5734</v>
      </c>
      <c r="L384" t="s">
        <v>267</v>
      </c>
      <c r="M384">
        <v>0</v>
      </c>
      <c r="N384">
        <v>3573144</v>
      </c>
      <c r="O384">
        <v>3573144</v>
      </c>
      <c r="P384">
        <v>3573144</v>
      </c>
      <c r="Q384" t="s">
        <v>8075</v>
      </c>
      <c r="R384" t="s">
        <v>6506</v>
      </c>
      <c r="S384" t="s">
        <v>5731</v>
      </c>
      <c r="T384" t="s">
        <v>5731</v>
      </c>
      <c r="U384" t="s">
        <v>5731</v>
      </c>
      <c r="V384" t="s">
        <v>5731</v>
      </c>
      <c r="W384" t="s">
        <v>5731</v>
      </c>
      <c r="X384" t="str">
        <f t="shared" si="5"/>
        <v>Inversión</v>
      </c>
      <c r="Y384" t="s">
        <v>5810</v>
      </c>
    </row>
    <row r="385" spans="1:25" x14ac:dyDescent="0.25">
      <c r="A385" t="s">
        <v>7932</v>
      </c>
      <c r="B385" t="s">
        <v>8073</v>
      </c>
      <c r="C385" t="s">
        <v>8074</v>
      </c>
      <c r="D385" t="s">
        <v>5720</v>
      </c>
      <c r="E385" t="s">
        <v>5737</v>
      </c>
      <c r="F385" t="s">
        <v>5802</v>
      </c>
      <c r="G385" t="s">
        <v>5723</v>
      </c>
      <c r="H385" t="s">
        <v>555</v>
      </c>
      <c r="I385" t="s">
        <v>638</v>
      </c>
      <c r="J385" t="s">
        <v>273</v>
      </c>
      <c r="K385" t="s">
        <v>5734</v>
      </c>
      <c r="L385" t="s">
        <v>267</v>
      </c>
      <c r="M385">
        <v>0</v>
      </c>
      <c r="N385">
        <v>12536090</v>
      </c>
      <c r="O385">
        <v>12536090</v>
      </c>
      <c r="P385">
        <v>12536090</v>
      </c>
      <c r="Q385" t="s">
        <v>8075</v>
      </c>
      <c r="R385" t="s">
        <v>6506</v>
      </c>
      <c r="S385" t="s">
        <v>5731</v>
      </c>
      <c r="T385" t="s">
        <v>5731</v>
      </c>
      <c r="U385" t="s">
        <v>5731</v>
      </c>
      <c r="V385" t="s">
        <v>5731</v>
      </c>
      <c r="W385" t="s">
        <v>5731</v>
      </c>
      <c r="X385" t="str">
        <f t="shared" si="5"/>
        <v>Inversión</v>
      </c>
      <c r="Y385" t="s">
        <v>5810</v>
      </c>
    </row>
    <row r="386" spans="1:25" x14ac:dyDescent="0.25">
      <c r="A386" t="s">
        <v>7932</v>
      </c>
      <c r="B386" t="s">
        <v>8073</v>
      </c>
      <c r="C386" t="s">
        <v>8074</v>
      </c>
      <c r="D386" t="s">
        <v>5720</v>
      </c>
      <c r="E386" t="s">
        <v>5737</v>
      </c>
      <c r="F386" t="s">
        <v>5802</v>
      </c>
      <c r="G386" t="s">
        <v>5723</v>
      </c>
      <c r="H386" t="s">
        <v>555</v>
      </c>
      <c r="I386" t="s">
        <v>638</v>
      </c>
      <c r="J386" t="s">
        <v>266</v>
      </c>
      <c r="K386" t="s">
        <v>5724</v>
      </c>
      <c r="L386" t="s">
        <v>267</v>
      </c>
      <c r="M386">
        <v>0</v>
      </c>
      <c r="N386">
        <v>9003541</v>
      </c>
      <c r="O386">
        <v>9003541</v>
      </c>
      <c r="P386">
        <v>9003541</v>
      </c>
      <c r="Q386" t="s">
        <v>8075</v>
      </c>
      <c r="R386" t="s">
        <v>6506</v>
      </c>
      <c r="S386" t="s">
        <v>5731</v>
      </c>
      <c r="T386" t="s">
        <v>5731</v>
      </c>
      <c r="U386" t="s">
        <v>5731</v>
      </c>
      <c r="V386" t="s">
        <v>5731</v>
      </c>
      <c r="W386" t="s">
        <v>5731</v>
      </c>
      <c r="X386" t="str">
        <f t="shared" ref="X386:X449" si="6">IF(LEFT(H386,1)="C","Inversión","Funcionamiento")</f>
        <v>Inversión</v>
      </c>
      <c r="Y386" t="s">
        <v>5810</v>
      </c>
    </row>
    <row r="387" spans="1:25" x14ac:dyDescent="0.25">
      <c r="A387" t="s">
        <v>7932</v>
      </c>
      <c r="B387" t="s">
        <v>8073</v>
      </c>
      <c r="C387" t="s">
        <v>8074</v>
      </c>
      <c r="D387" t="s">
        <v>5720</v>
      </c>
      <c r="E387" t="s">
        <v>5737</v>
      </c>
      <c r="F387" t="s">
        <v>5802</v>
      </c>
      <c r="G387" t="s">
        <v>5723</v>
      </c>
      <c r="H387" t="s">
        <v>463</v>
      </c>
      <c r="I387" t="s">
        <v>639</v>
      </c>
      <c r="J387" t="s">
        <v>273</v>
      </c>
      <c r="K387" t="s">
        <v>5734</v>
      </c>
      <c r="L387" t="s">
        <v>267</v>
      </c>
      <c r="M387">
        <v>0</v>
      </c>
      <c r="N387">
        <v>19948472</v>
      </c>
      <c r="O387">
        <v>19948472</v>
      </c>
      <c r="P387">
        <v>19948472</v>
      </c>
      <c r="Q387" t="s">
        <v>8075</v>
      </c>
      <c r="R387" t="s">
        <v>6506</v>
      </c>
      <c r="S387" t="s">
        <v>5731</v>
      </c>
      <c r="T387" t="s">
        <v>5731</v>
      </c>
      <c r="U387" t="s">
        <v>5731</v>
      </c>
      <c r="V387" t="s">
        <v>5731</v>
      </c>
      <c r="W387" t="s">
        <v>5731</v>
      </c>
      <c r="X387" t="str">
        <f t="shared" si="6"/>
        <v>Inversión</v>
      </c>
      <c r="Y387" t="s">
        <v>5810</v>
      </c>
    </row>
    <row r="388" spans="1:25" x14ac:dyDescent="0.25">
      <c r="A388" t="s">
        <v>7932</v>
      </c>
      <c r="B388" t="s">
        <v>8073</v>
      </c>
      <c r="C388" t="s">
        <v>8074</v>
      </c>
      <c r="D388" t="s">
        <v>5720</v>
      </c>
      <c r="E388" t="s">
        <v>5737</v>
      </c>
      <c r="F388" t="s">
        <v>5802</v>
      </c>
      <c r="G388" t="s">
        <v>5723</v>
      </c>
      <c r="H388" t="s">
        <v>524</v>
      </c>
      <c r="I388" t="s">
        <v>624</v>
      </c>
      <c r="J388" t="s">
        <v>266</v>
      </c>
      <c r="K388" t="s">
        <v>5724</v>
      </c>
      <c r="L388" t="s">
        <v>267</v>
      </c>
      <c r="M388">
        <v>0</v>
      </c>
      <c r="N388">
        <v>84344</v>
      </c>
      <c r="O388">
        <v>84344</v>
      </c>
      <c r="P388">
        <v>84344</v>
      </c>
      <c r="Q388" t="s">
        <v>8075</v>
      </c>
      <c r="R388" t="s">
        <v>6506</v>
      </c>
      <c r="S388" t="s">
        <v>5731</v>
      </c>
      <c r="T388" t="s">
        <v>5731</v>
      </c>
      <c r="U388" t="s">
        <v>5731</v>
      </c>
      <c r="V388" t="s">
        <v>5731</v>
      </c>
      <c r="W388" t="s">
        <v>5731</v>
      </c>
      <c r="X388" t="str">
        <f t="shared" si="6"/>
        <v>Inversión</v>
      </c>
      <c r="Y388" t="s">
        <v>5810</v>
      </c>
    </row>
    <row r="389" spans="1:25" x14ac:dyDescent="0.25">
      <c r="A389" t="s">
        <v>7932</v>
      </c>
      <c r="B389" t="s">
        <v>8073</v>
      </c>
      <c r="C389" t="s">
        <v>8074</v>
      </c>
      <c r="D389" t="s">
        <v>5720</v>
      </c>
      <c r="E389" t="s">
        <v>5737</v>
      </c>
      <c r="F389" t="s">
        <v>5802</v>
      </c>
      <c r="G389" t="s">
        <v>5723</v>
      </c>
      <c r="H389" t="s">
        <v>458</v>
      </c>
      <c r="I389" t="s">
        <v>640</v>
      </c>
      <c r="J389" t="s">
        <v>266</v>
      </c>
      <c r="K389" t="s">
        <v>5724</v>
      </c>
      <c r="L389" t="s">
        <v>267</v>
      </c>
      <c r="M389">
        <v>0</v>
      </c>
      <c r="N389">
        <v>17528364</v>
      </c>
      <c r="O389">
        <v>17528364</v>
      </c>
      <c r="P389">
        <v>17528364</v>
      </c>
      <c r="Q389" t="s">
        <v>8075</v>
      </c>
      <c r="R389" t="s">
        <v>6506</v>
      </c>
      <c r="S389" t="s">
        <v>5731</v>
      </c>
      <c r="T389" t="s">
        <v>5731</v>
      </c>
      <c r="U389" t="s">
        <v>5731</v>
      </c>
      <c r="V389" t="s">
        <v>5731</v>
      </c>
      <c r="W389" t="s">
        <v>5731</v>
      </c>
      <c r="X389" t="str">
        <f t="shared" si="6"/>
        <v>Inversión</v>
      </c>
      <c r="Y389" t="s">
        <v>5810</v>
      </c>
    </row>
    <row r="390" spans="1:25" x14ac:dyDescent="0.25">
      <c r="A390" t="s">
        <v>7932</v>
      </c>
      <c r="B390" t="s">
        <v>8073</v>
      </c>
      <c r="C390" t="s">
        <v>8074</v>
      </c>
      <c r="D390" t="s">
        <v>5720</v>
      </c>
      <c r="E390" t="s">
        <v>5737</v>
      </c>
      <c r="F390" t="s">
        <v>5802</v>
      </c>
      <c r="G390" t="s">
        <v>5723</v>
      </c>
      <c r="H390" t="s">
        <v>458</v>
      </c>
      <c r="I390" t="s">
        <v>640</v>
      </c>
      <c r="J390" t="s">
        <v>273</v>
      </c>
      <c r="K390" t="s">
        <v>5734</v>
      </c>
      <c r="L390" t="s">
        <v>267</v>
      </c>
      <c r="M390">
        <v>350000000</v>
      </c>
      <c r="N390">
        <v>66038434</v>
      </c>
      <c r="O390">
        <v>416038434</v>
      </c>
      <c r="P390">
        <v>416038434</v>
      </c>
      <c r="Q390" t="s">
        <v>8075</v>
      </c>
      <c r="R390" t="s">
        <v>6506</v>
      </c>
      <c r="S390" t="s">
        <v>5731</v>
      </c>
      <c r="T390" t="s">
        <v>5731</v>
      </c>
      <c r="U390" t="s">
        <v>5731</v>
      </c>
      <c r="V390" t="s">
        <v>5731</v>
      </c>
      <c r="W390" t="s">
        <v>5731</v>
      </c>
      <c r="X390" t="str">
        <f t="shared" si="6"/>
        <v>Inversión</v>
      </c>
      <c r="Y390" t="s">
        <v>5810</v>
      </c>
    </row>
    <row r="391" spans="1:25" x14ac:dyDescent="0.25">
      <c r="A391" t="s">
        <v>8076</v>
      </c>
      <c r="B391" t="s">
        <v>8077</v>
      </c>
      <c r="C391" t="s">
        <v>8078</v>
      </c>
      <c r="D391" t="s">
        <v>5720</v>
      </c>
      <c r="E391" t="s">
        <v>5721</v>
      </c>
      <c r="F391" t="s">
        <v>5854</v>
      </c>
      <c r="G391" t="s">
        <v>5723</v>
      </c>
      <c r="H391" t="s">
        <v>543</v>
      </c>
      <c r="I391" t="s">
        <v>656</v>
      </c>
      <c r="J391" t="s">
        <v>273</v>
      </c>
      <c r="K391" t="s">
        <v>5734</v>
      </c>
      <c r="L391" t="s">
        <v>267</v>
      </c>
      <c r="M391">
        <v>47021976</v>
      </c>
      <c r="N391">
        <v>-191926</v>
      </c>
      <c r="O391">
        <v>46830050</v>
      </c>
      <c r="P391">
        <v>0</v>
      </c>
      <c r="Q391" t="s">
        <v>8079</v>
      </c>
      <c r="R391" t="s">
        <v>7186</v>
      </c>
      <c r="S391" t="s">
        <v>8080</v>
      </c>
      <c r="T391" t="s">
        <v>8081</v>
      </c>
      <c r="U391" t="s">
        <v>8082</v>
      </c>
      <c r="V391" t="s">
        <v>8083</v>
      </c>
      <c r="W391" t="s">
        <v>5731</v>
      </c>
      <c r="X391" t="str">
        <f t="shared" si="6"/>
        <v>Inversión</v>
      </c>
      <c r="Y391" t="s">
        <v>5861</v>
      </c>
    </row>
    <row r="392" spans="1:25" x14ac:dyDescent="0.25">
      <c r="A392" t="s">
        <v>7995</v>
      </c>
      <c r="B392" t="s">
        <v>8077</v>
      </c>
      <c r="C392" t="s">
        <v>8084</v>
      </c>
      <c r="D392" t="s">
        <v>5720</v>
      </c>
      <c r="E392" t="s">
        <v>5721</v>
      </c>
      <c r="F392" t="s">
        <v>5722</v>
      </c>
      <c r="G392" t="s">
        <v>5723</v>
      </c>
      <c r="H392" t="s">
        <v>453</v>
      </c>
      <c r="I392" t="s">
        <v>664</v>
      </c>
      <c r="J392" t="s">
        <v>273</v>
      </c>
      <c r="K392" t="s">
        <v>5734</v>
      </c>
      <c r="L392" t="s">
        <v>267</v>
      </c>
      <c r="M392">
        <v>60000000</v>
      </c>
      <c r="N392">
        <v>-41670400</v>
      </c>
      <c r="O392">
        <v>18329600</v>
      </c>
      <c r="P392">
        <v>0</v>
      </c>
      <c r="Q392" t="s">
        <v>8085</v>
      </c>
      <c r="R392" t="s">
        <v>8086</v>
      </c>
      <c r="S392" t="s">
        <v>8087</v>
      </c>
      <c r="T392" t="s">
        <v>8088</v>
      </c>
      <c r="U392" t="s">
        <v>8089</v>
      </c>
      <c r="V392" t="s">
        <v>5731</v>
      </c>
      <c r="W392" t="s">
        <v>5731</v>
      </c>
      <c r="X392" t="str">
        <f t="shared" si="6"/>
        <v>Inversión</v>
      </c>
      <c r="Y392" t="s">
        <v>5732</v>
      </c>
    </row>
    <row r="393" spans="1:25" x14ac:dyDescent="0.25">
      <c r="A393" t="s">
        <v>6803</v>
      </c>
      <c r="B393" t="s">
        <v>8077</v>
      </c>
      <c r="C393" t="s">
        <v>8090</v>
      </c>
      <c r="D393" t="s">
        <v>5720</v>
      </c>
      <c r="E393" t="s">
        <v>5721</v>
      </c>
      <c r="F393" t="s">
        <v>5802</v>
      </c>
      <c r="G393" t="s">
        <v>5723</v>
      </c>
      <c r="H393" t="s">
        <v>458</v>
      </c>
      <c r="I393" t="s">
        <v>640</v>
      </c>
      <c r="J393" t="s">
        <v>273</v>
      </c>
      <c r="K393" t="s">
        <v>5734</v>
      </c>
      <c r="L393" t="s">
        <v>267</v>
      </c>
      <c r="M393">
        <v>18000000</v>
      </c>
      <c r="N393">
        <v>-6225885</v>
      </c>
      <c r="O393">
        <v>11774115</v>
      </c>
      <c r="P393">
        <v>0</v>
      </c>
      <c r="Q393" t="s">
        <v>8091</v>
      </c>
      <c r="R393" t="s">
        <v>8092</v>
      </c>
      <c r="S393" t="s">
        <v>8093</v>
      </c>
      <c r="T393" t="s">
        <v>8094</v>
      </c>
      <c r="U393" t="s">
        <v>8095</v>
      </c>
      <c r="V393" t="s">
        <v>8096</v>
      </c>
      <c r="W393" t="s">
        <v>5731</v>
      </c>
      <c r="X393" t="str">
        <f t="shared" si="6"/>
        <v>Inversión</v>
      </c>
      <c r="Y393" t="s">
        <v>5810</v>
      </c>
    </row>
    <row r="394" spans="1:25" x14ac:dyDescent="0.25">
      <c r="A394" t="s">
        <v>6855</v>
      </c>
      <c r="B394" t="s">
        <v>8097</v>
      </c>
      <c r="C394" t="s">
        <v>8098</v>
      </c>
      <c r="D394" t="s">
        <v>5720</v>
      </c>
      <c r="E394" t="s">
        <v>5721</v>
      </c>
      <c r="F394" t="s">
        <v>5722</v>
      </c>
      <c r="G394" t="s">
        <v>5723</v>
      </c>
      <c r="H394" t="s">
        <v>529</v>
      </c>
      <c r="I394" t="s">
        <v>659</v>
      </c>
      <c r="J394" t="s">
        <v>266</v>
      </c>
      <c r="K394" t="s">
        <v>5724</v>
      </c>
      <c r="L394" t="s">
        <v>267</v>
      </c>
      <c r="M394">
        <v>63492813</v>
      </c>
      <c r="N394">
        <v>-10025181</v>
      </c>
      <c r="O394">
        <v>53467632</v>
      </c>
      <c r="P394">
        <v>0</v>
      </c>
      <c r="Q394" t="s">
        <v>8099</v>
      </c>
      <c r="R394" t="s">
        <v>8100</v>
      </c>
      <c r="S394" t="s">
        <v>8101</v>
      </c>
      <c r="T394" t="s">
        <v>8102</v>
      </c>
      <c r="U394" t="s">
        <v>8103</v>
      </c>
      <c r="V394" t="s">
        <v>8104</v>
      </c>
      <c r="W394" t="s">
        <v>5731</v>
      </c>
      <c r="X394" t="str">
        <f t="shared" si="6"/>
        <v>Inversión</v>
      </c>
      <c r="Y394" t="s">
        <v>5732</v>
      </c>
    </row>
    <row r="395" spans="1:25" x14ac:dyDescent="0.25">
      <c r="A395" t="s">
        <v>6680</v>
      </c>
      <c r="B395" t="s">
        <v>8097</v>
      </c>
      <c r="C395" t="s">
        <v>8105</v>
      </c>
      <c r="D395" t="s">
        <v>5720</v>
      </c>
      <c r="E395" t="s">
        <v>5721</v>
      </c>
      <c r="F395" t="s">
        <v>5802</v>
      </c>
      <c r="G395" t="s">
        <v>5723</v>
      </c>
      <c r="H395" t="s">
        <v>463</v>
      </c>
      <c r="I395" t="s">
        <v>639</v>
      </c>
      <c r="J395" t="s">
        <v>266</v>
      </c>
      <c r="K395" t="s">
        <v>5724</v>
      </c>
      <c r="L395" t="s">
        <v>267</v>
      </c>
      <c r="M395">
        <v>1324699</v>
      </c>
      <c r="N395">
        <v>-19437</v>
      </c>
      <c r="O395">
        <v>1305262</v>
      </c>
      <c r="P395">
        <v>0</v>
      </c>
      <c r="Q395" t="s">
        <v>8106</v>
      </c>
      <c r="R395" t="s">
        <v>8107</v>
      </c>
      <c r="S395" t="s">
        <v>8108</v>
      </c>
      <c r="T395" t="s">
        <v>8109</v>
      </c>
      <c r="U395" t="s">
        <v>8110</v>
      </c>
      <c r="V395" t="s">
        <v>8111</v>
      </c>
      <c r="W395" t="s">
        <v>5928</v>
      </c>
      <c r="X395" t="str">
        <f t="shared" si="6"/>
        <v>Inversión</v>
      </c>
      <c r="Y395" t="s">
        <v>5810</v>
      </c>
    </row>
    <row r="396" spans="1:25" x14ac:dyDescent="0.25">
      <c r="A396" t="s">
        <v>7255</v>
      </c>
      <c r="B396" t="s">
        <v>8112</v>
      </c>
      <c r="C396" t="s">
        <v>8113</v>
      </c>
      <c r="D396" t="s">
        <v>5720</v>
      </c>
      <c r="E396" t="s">
        <v>5721</v>
      </c>
      <c r="F396" t="s">
        <v>5802</v>
      </c>
      <c r="G396" t="s">
        <v>5723</v>
      </c>
      <c r="H396" t="s">
        <v>444</v>
      </c>
      <c r="I396" t="s">
        <v>634</v>
      </c>
      <c r="J396" t="s">
        <v>266</v>
      </c>
      <c r="K396" t="s">
        <v>5724</v>
      </c>
      <c r="L396" t="s">
        <v>267</v>
      </c>
      <c r="M396">
        <v>1847240</v>
      </c>
      <c r="N396">
        <v>0</v>
      </c>
      <c r="O396">
        <v>1847240</v>
      </c>
      <c r="P396">
        <v>0</v>
      </c>
      <c r="Q396" t="s">
        <v>8114</v>
      </c>
      <c r="R396" t="s">
        <v>8115</v>
      </c>
      <c r="S396" t="s">
        <v>8116</v>
      </c>
      <c r="T396" t="s">
        <v>8117</v>
      </c>
      <c r="U396" t="s">
        <v>8118</v>
      </c>
      <c r="V396" t="s">
        <v>8119</v>
      </c>
      <c r="W396" t="s">
        <v>5731</v>
      </c>
      <c r="X396" t="str">
        <f t="shared" si="6"/>
        <v>Inversión</v>
      </c>
      <c r="Y396" t="s">
        <v>5810</v>
      </c>
    </row>
    <row r="397" spans="1:25" x14ac:dyDescent="0.25">
      <c r="A397" t="s">
        <v>7975</v>
      </c>
      <c r="B397" t="s">
        <v>8112</v>
      </c>
      <c r="C397" t="s">
        <v>8120</v>
      </c>
      <c r="D397" t="s">
        <v>5720</v>
      </c>
      <c r="E397" t="s">
        <v>5721</v>
      </c>
      <c r="F397" t="s">
        <v>5722</v>
      </c>
      <c r="G397" t="s">
        <v>5723</v>
      </c>
      <c r="H397" t="s">
        <v>541</v>
      </c>
      <c r="I397" t="s">
        <v>660</v>
      </c>
      <c r="J397" t="s">
        <v>273</v>
      </c>
      <c r="K397" t="s">
        <v>5734</v>
      </c>
      <c r="L397" t="s">
        <v>267</v>
      </c>
      <c r="M397">
        <v>174494211</v>
      </c>
      <c r="N397">
        <v>0</v>
      </c>
      <c r="O397">
        <v>174494211</v>
      </c>
      <c r="P397">
        <v>0</v>
      </c>
      <c r="Q397" t="s">
        <v>8121</v>
      </c>
      <c r="R397" t="s">
        <v>7626</v>
      </c>
      <c r="S397" t="s">
        <v>8122</v>
      </c>
      <c r="T397" t="s">
        <v>8123</v>
      </c>
      <c r="U397" t="s">
        <v>8124</v>
      </c>
      <c r="V397" t="s">
        <v>8125</v>
      </c>
      <c r="W397" t="s">
        <v>5731</v>
      </c>
      <c r="X397" t="str">
        <f t="shared" si="6"/>
        <v>Inversión</v>
      </c>
      <c r="Y397" t="s">
        <v>5732</v>
      </c>
    </row>
    <row r="398" spans="1:25" x14ac:dyDescent="0.25">
      <c r="A398" t="s">
        <v>7982</v>
      </c>
      <c r="B398" t="s">
        <v>8112</v>
      </c>
      <c r="C398" t="s">
        <v>8126</v>
      </c>
      <c r="D398" t="s">
        <v>5720</v>
      </c>
      <c r="E398" t="s">
        <v>5721</v>
      </c>
      <c r="F398" t="s">
        <v>5722</v>
      </c>
      <c r="G398" t="s">
        <v>5723</v>
      </c>
      <c r="H398" t="s">
        <v>465</v>
      </c>
      <c r="I398" t="s">
        <v>661</v>
      </c>
      <c r="J398" t="s">
        <v>266</v>
      </c>
      <c r="K398" t="s">
        <v>5724</v>
      </c>
      <c r="L398" t="s">
        <v>267</v>
      </c>
      <c r="M398">
        <v>162242850</v>
      </c>
      <c r="N398">
        <v>0</v>
      </c>
      <c r="O398">
        <v>162242850</v>
      </c>
      <c r="P398">
        <v>28062141</v>
      </c>
      <c r="Q398" t="s">
        <v>8127</v>
      </c>
      <c r="R398" t="s">
        <v>8128</v>
      </c>
      <c r="S398" t="s">
        <v>8129</v>
      </c>
      <c r="T398" t="s">
        <v>5731</v>
      </c>
      <c r="U398" t="s">
        <v>5731</v>
      </c>
      <c r="V398" t="s">
        <v>5731</v>
      </c>
      <c r="W398" t="s">
        <v>5731</v>
      </c>
      <c r="X398" t="str">
        <f t="shared" si="6"/>
        <v>Inversión</v>
      </c>
      <c r="Y398" t="s">
        <v>5732</v>
      </c>
    </row>
    <row r="399" spans="1:25" x14ac:dyDescent="0.25">
      <c r="A399" t="s">
        <v>6613</v>
      </c>
      <c r="B399" t="s">
        <v>8112</v>
      </c>
      <c r="C399" t="s">
        <v>8130</v>
      </c>
      <c r="D399" t="s">
        <v>5720</v>
      </c>
      <c r="E399" t="s">
        <v>5721</v>
      </c>
      <c r="F399" t="s">
        <v>5802</v>
      </c>
      <c r="G399" t="s">
        <v>5723</v>
      </c>
      <c r="H399" t="s">
        <v>458</v>
      </c>
      <c r="I399" t="s">
        <v>640</v>
      </c>
      <c r="J399" t="s">
        <v>266</v>
      </c>
      <c r="K399" t="s">
        <v>5724</v>
      </c>
      <c r="L399" t="s">
        <v>267</v>
      </c>
      <c r="M399">
        <v>33571440</v>
      </c>
      <c r="N399">
        <v>0</v>
      </c>
      <c r="O399">
        <v>33571440</v>
      </c>
      <c r="P399">
        <v>0</v>
      </c>
      <c r="Q399" t="s">
        <v>8131</v>
      </c>
      <c r="R399" t="s">
        <v>6090</v>
      </c>
      <c r="S399" t="s">
        <v>8132</v>
      </c>
      <c r="T399" t="s">
        <v>8133</v>
      </c>
      <c r="U399" t="s">
        <v>8134</v>
      </c>
      <c r="V399" t="s">
        <v>8135</v>
      </c>
      <c r="W399" t="s">
        <v>5731</v>
      </c>
      <c r="X399" t="str">
        <f t="shared" si="6"/>
        <v>Inversión</v>
      </c>
      <c r="Y399" t="s">
        <v>5810</v>
      </c>
    </row>
    <row r="400" spans="1:25" x14ac:dyDescent="0.25">
      <c r="A400" t="s">
        <v>7437</v>
      </c>
      <c r="B400" t="s">
        <v>8112</v>
      </c>
      <c r="C400" t="s">
        <v>8136</v>
      </c>
      <c r="D400" t="s">
        <v>5720</v>
      </c>
      <c r="E400" t="s">
        <v>5721</v>
      </c>
      <c r="F400" t="s">
        <v>5802</v>
      </c>
      <c r="G400" t="s">
        <v>5723</v>
      </c>
      <c r="H400" t="s">
        <v>458</v>
      </c>
      <c r="I400" t="s">
        <v>640</v>
      </c>
      <c r="J400" t="s">
        <v>266</v>
      </c>
      <c r="K400" t="s">
        <v>5724</v>
      </c>
      <c r="L400" t="s">
        <v>267</v>
      </c>
      <c r="M400">
        <v>42743728</v>
      </c>
      <c r="N400">
        <v>0</v>
      </c>
      <c r="O400">
        <v>42743728</v>
      </c>
      <c r="P400">
        <v>0</v>
      </c>
      <c r="Q400" t="s">
        <v>8137</v>
      </c>
      <c r="R400" t="s">
        <v>8138</v>
      </c>
      <c r="S400" t="s">
        <v>8139</v>
      </c>
      <c r="T400" t="s">
        <v>8140</v>
      </c>
      <c r="U400" t="s">
        <v>8141</v>
      </c>
      <c r="V400" t="s">
        <v>8142</v>
      </c>
      <c r="W400" t="s">
        <v>5731</v>
      </c>
      <c r="X400" t="str">
        <f t="shared" si="6"/>
        <v>Inversión</v>
      </c>
      <c r="Y400" t="s">
        <v>5810</v>
      </c>
    </row>
    <row r="401" spans="1:25" x14ac:dyDescent="0.25">
      <c r="A401" t="s">
        <v>8067</v>
      </c>
      <c r="B401" t="s">
        <v>8143</v>
      </c>
      <c r="C401" t="s">
        <v>8144</v>
      </c>
      <c r="D401" t="s">
        <v>5720</v>
      </c>
      <c r="E401" t="s">
        <v>5721</v>
      </c>
      <c r="F401" t="s">
        <v>5722</v>
      </c>
      <c r="G401" t="s">
        <v>5723</v>
      </c>
      <c r="H401" t="s">
        <v>453</v>
      </c>
      <c r="I401" t="s">
        <v>664</v>
      </c>
      <c r="J401" t="s">
        <v>266</v>
      </c>
      <c r="K401" t="s">
        <v>5724</v>
      </c>
      <c r="L401" t="s">
        <v>267</v>
      </c>
      <c r="M401">
        <v>219802</v>
      </c>
      <c r="N401">
        <v>3357426</v>
      </c>
      <c r="O401">
        <v>3577228</v>
      </c>
      <c r="P401">
        <v>0</v>
      </c>
      <c r="Q401" t="s">
        <v>8145</v>
      </c>
      <c r="R401" t="s">
        <v>8146</v>
      </c>
      <c r="S401" t="s">
        <v>8147</v>
      </c>
      <c r="T401" t="s">
        <v>8148</v>
      </c>
      <c r="U401" t="s">
        <v>8149</v>
      </c>
      <c r="V401" t="s">
        <v>8150</v>
      </c>
      <c r="W401" t="s">
        <v>5731</v>
      </c>
      <c r="X401" t="str">
        <f t="shared" si="6"/>
        <v>Inversión</v>
      </c>
      <c r="Y401" t="s">
        <v>5732</v>
      </c>
    </row>
    <row r="402" spans="1:25" x14ac:dyDescent="0.25">
      <c r="A402" t="s">
        <v>8062</v>
      </c>
      <c r="B402" t="s">
        <v>8143</v>
      </c>
      <c r="C402" t="s">
        <v>8151</v>
      </c>
      <c r="D402" t="s">
        <v>5720</v>
      </c>
      <c r="E402" t="s">
        <v>5721</v>
      </c>
      <c r="F402" t="s">
        <v>6356</v>
      </c>
      <c r="G402" t="s">
        <v>5723</v>
      </c>
      <c r="H402" t="s">
        <v>550</v>
      </c>
      <c r="I402" t="s">
        <v>642</v>
      </c>
      <c r="J402" t="s">
        <v>266</v>
      </c>
      <c r="K402" t="s">
        <v>5724</v>
      </c>
      <c r="L402" t="s">
        <v>267</v>
      </c>
      <c r="M402">
        <v>942800</v>
      </c>
      <c r="N402">
        <v>-942800</v>
      </c>
      <c r="O402">
        <v>0</v>
      </c>
      <c r="P402">
        <v>0</v>
      </c>
      <c r="Q402" t="s">
        <v>8152</v>
      </c>
      <c r="R402" t="s">
        <v>8153</v>
      </c>
      <c r="S402" t="s">
        <v>8154</v>
      </c>
      <c r="T402" t="s">
        <v>8155</v>
      </c>
      <c r="U402" t="s">
        <v>8156</v>
      </c>
      <c r="V402" t="s">
        <v>8157</v>
      </c>
      <c r="W402" t="s">
        <v>5935</v>
      </c>
      <c r="X402" t="str">
        <f t="shared" si="6"/>
        <v>Inversión</v>
      </c>
      <c r="Y402" t="s">
        <v>6362</v>
      </c>
    </row>
    <row r="403" spans="1:25" x14ac:dyDescent="0.25">
      <c r="A403" t="s">
        <v>8053</v>
      </c>
      <c r="B403" t="s">
        <v>8158</v>
      </c>
      <c r="C403" t="s">
        <v>8159</v>
      </c>
      <c r="D403" t="s">
        <v>5720</v>
      </c>
      <c r="E403" t="s">
        <v>5721</v>
      </c>
      <c r="F403" t="s">
        <v>5802</v>
      </c>
      <c r="G403" t="s">
        <v>5723</v>
      </c>
      <c r="H403" t="s">
        <v>553</v>
      </c>
      <c r="I403" t="s">
        <v>623</v>
      </c>
      <c r="J403" t="s">
        <v>266</v>
      </c>
      <c r="K403" t="s">
        <v>5724</v>
      </c>
      <c r="L403" t="s">
        <v>267</v>
      </c>
      <c r="M403">
        <v>2818115</v>
      </c>
      <c r="N403">
        <v>0</v>
      </c>
      <c r="O403">
        <v>2818115</v>
      </c>
      <c r="P403">
        <v>0</v>
      </c>
      <c r="Q403" t="s">
        <v>7928</v>
      </c>
      <c r="R403" t="s">
        <v>8160</v>
      </c>
      <c r="S403" t="s">
        <v>8161</v>
      </c>
      <c r="T403" t="s">
        <v>8162</v>
      </c>
      <c r="U403" t="s">
        <v>8163</v>
      </c>
      <c r="V403" t="s">
        <v>8164</v>
      </c>
      <c r="W403" t="s">
        <v>5731</v>
      </c>
      <c r="X403" t="str">
        <f t="shared" si="6"/>
        <v>Inversión</v>
      </c>
      <c r="Y403" t="s">
        <v>5810</v>
      </c>
    </row>
    <row r="404" spans="1:25" x14ac:dyDescent="0.25">
      <c r="A404" t="s">
        <v>8053</v>
      </c>
      <c r="B404" t="s">
        <v>8158</v>
      </c>
      <c r="C404" t="s">
        <v>8159</v>
      </c>
      <c r="D404" t="s">
        <v>5720</v>
      </c>
      <c r="E404" t="s">
        <v>5721</v>
      </c>
      <c r="F404" t="s">
        <v>5802</v>
      </c>
      <c r="G404" t="s">
        <v>5723</v>
      </c>
      <c r="H404" t="s">
        <v>524</v>
      </c>
      <c r="I404" t="s">
        <v>624</v>
      </c>
      <c r="J404" t="s">
        <v>266</v>
      </c>
      <c r="K404" t="s">
        <v>5724</v>
      </c>
      <c r="L404" t="s">
        <v>267</v>
      </c>
      <c r="M404">
        <v>172912</v>
      </c>
      <c r="N404">
        <v>0</v>
      </c>
      <c r="O404">
        <v>172912</v>
      </c>
      <c r="P404">
        <v>0</v>
      </c>
      <c r="Q404" t="s">
        <v>7928</v>
      </c>
      <c r="R404" t="s">
        <v>8160</v>
      </c>
      <c r="S404" t="s">
        <v>8161</v>
      </c>
      <c r="T404" t="s">
        <v>8162</v>
      </c>
      <c r="U404" t="s">
        <v>8163</v>
      </c>
      <c r="V404" t="s">
        <v>8164</v>
      </c>
      <c r="W404" t="s">
        <v>5731</v>
      </c>
      <c r="X404" t="str">
        <f t="shared" si="6"/>
        <v>Inversión</v>
      </c>
      <c r="Y404" t="s">
        <v>5810</v>
      </c>
    </row>
    <row r="405" spans="1:25" x14ac:dyDescent="0.25">
      <c r="A405" t="s">
        <v>8053</v>
      </c>
      <c r="B405" t="s">
        <v>8158</v>
      </c>
      <c r="C405" t="s">
        <v>8159</v>
      </c>
      <c r="D405" t="s">
        <v>5720</v>
      </c>
      <c r="E405" t="s">
        <v>5721</v>
      </c>
      <c r="F405" t="s">
        <v>5802</v>
      </c>
      <c r="G405" t="s">
        <v>5723</v>
      </c>
      <c r="H405" t="s">
        <v>444</v>
      </c>
      <c r="I405" t="s">
        <v>634</v>
      </c>
      <c r="J405" t="s">
        <v>266</v>
      </c>
      <c r="K405" t="s">
        <v>5724</v>
      </c>
      <c r="L405" t="s">
        <v>267</v>
      </c>
      <c r="M405">
        <v>5890350</v>
      </c>
      <c r="N405">
        <v>0</v>
      </c>
      <c r="O405">
        <v>5890350</v>
      </c>
      <c r="P405">
        <v>0</v>
      </c>
      <c r="Q405" t="s">
        <v>7928</v>
      </c>
      <c r="R405" t="s">
        <v>8160</v>
      </c>
      <c r="S405" t="s">
        <v>8161</v>
      </c>
      <c r="T405" t="s">
        <v>8162</v>
      </c>
      <c r="U405" t="s">
        <v>8163</v>
      </c>
      <c r="V405" t="s">
        <v>8164</v>
      </c>
      <c r="W405" t="s">
        <v>5731</v>
      </c>
      <c r="X405" t="str">
        <f t="shared" si="6"/>
        <v>Inversión</v>
      </c>
      <c r="Y405" t="s">
        <v>5810</v>
      </c>
    </row>
    <row r="406" spans="1:25" x14ac:dyDescent="0.25">
      <c r="A406" t="s">
        <v>6840</v>
      </c>
      <c r="B406" t="s">
        <v>8158</v>
      </c>
      <c r="C406" t="s">
        <v>8165</v>
      </c>
      <c r="D406" t="s">
        <v>5720</v>
      </c>
      <c r="E406" t="s">
        <v>5737</v>
      </c>
      <c r="F406" t="s">
        <v>5738</v>
      </c>
      <c r="G406" t="s">
        <v>5723</v>
      </c>
      <c r="H406" t="s">
        <v>556</v>
      </c>
      <c r="I406" t="s">
        <v>671</v>
      </c>
      <c r="J406" t="s">
        <v>273</v>
      </c>
      <c r="K406" t="s">
        <v>5734</v>
      </c>
      <c r="L406" t="s">
        <v>267</v>
      </c>
      <c r="M406">
        <v>2600000</v>
      </c>
      <c r="N406">
        <v>0</v>
      </c>
      <c r="O406">
        <v>2600000</v>
      </c>
      <c r="P406">
        <v>2600000</v>
      </c>
      <c r="Q406" t="s">
        <v>8166</v>
      </c>
      <c r="R406" t="s">
        <v>8167</v>
      </c>
      <c r="S406" t="s">
        <v>5731</v>
      </c>
      <c r="T406" t="s">
        <v>5731</v>
      </c>
      <c r="U406" t="s">
        <v>5731</v>
      </c>
      <c r="V406" t="s">
        <v>5731</v>
      </c>
      <c r="W406" t="s">
        <v>5731</v>
      </c>
      <c r="X406" t="str">
        <f t="shared" si="6"/>
        <v>Inversión</v>
      </c>
      <c r="Y406" t="s">
        <v>5741</v>
      </c>
    </row>
    <row r="407" spans="1:25" x14ac:dyDescent="0.25">
      <c r="A407" t="s">
        <v>6840</v>
      </c>
      <c r="B407" t="s">
        <v>8158</v>
      </c>
      <c r="C407" t="s">
        <v>8165</v>
      </c>
      <c r="D407" t="s">
        <v>5720</v>
      </c>
      <c r="E407" t="s">
        <v>5737</v>
      </c>
      <c r="F407" t="s">
        <v>5802</v>
      </c>
      <c r="G407" t="s">
        <v>5723</v>
      </c>
      <c r="H407" t="s">
        <v>458</v>
      </c>
      <c r="I407" t="s">
        <v>640</v>
      </c>
      <c r="J407" t="s">
        <v>273</v>
      </c>
      <c r="K407" t="s">
        <v>5734</v>
      </c>
      <c r="L407" t="s">
        <v>267</v>
      </c>
      <c r="M407">
        <v>70000000</v>
      </c>
      <c r="N407">
        <v>0</v>
      </c>
      <c r="O407">
        <v>70000000</v>
      </c>
      <c r="P407">
        <v>70000000</v>
      </c>
      <c r="Q407" t="s">
        <v>8166</v>
      </c>
      <c r="R407" t="s">
        <v>8167</v>
      </c>
      <c r="S407" t="s">
        <v>5731</v>
      </c>
      <c r="T407" t="s">
        <v>5731</v>
      </c>
      <c r="U407" t="s">
        <v>5731</v>
      </c>
      <c r="V407" t="s">
        <v>5731</v>
      </c>
      <c r="W407" t="s">
        <v>5731</v>
      </c>
      <c r="X407" t="str">
        <f t="shared" si="6"/>
        <v>Inversión</v>
      </c>
      <c r="Y407" t="s">
        <v>5810</v>
      </c>
    </row>
    <row r="408" spans="1:25" x14ac:dyDescent="0.25">
      <c r="A408" t="s">
        <v>6840</v>
      </c>
      <c r="B408" t="s">
        <v>8158</v>
      </c>
      <c r="C408" t="s">
        <v>8165</v>
      </c>
      <c r="D408" t="s">
        <v>5720</v>
      </c>
      <c r="E408" t="s">
        <v>5737</v>
      </c>
      <c r="F408" t="s">
        <v>5854</v>
      </c>
      <c r="G408" t="s">
        <v>5723</v>
      </c>
      <c r="H408" t="s">
        <v>543</v>
      </c>
      <c r="I408" t="s">
        <v>656</v>
      </c>
      <c r="J408" t="s">
        <v>273</v>
      </c>
      <c r="K408" t="s">
        <v>5734</v>
      </c>
      <c r="L408" t="s">
        <v>267</v>
      </c>
      <c r="M408">
        <v>13000000</v>
      </c>
      <c r="N408">
        <v>0</v>
      </c>
      <c r="O408">
        <v>13000000</v>
      </c>
      <c r="P408">
        <v>13000000</v>
      </c>
      <c r="Q408" t="s">
        <v>8166</v>
      </c>
      <c r="R408" t="s">
        <v>8167</v>
      </c>
      <c r="S408" t="s">
        <v>5731</v>
      </c>
      <c r="T408" t="s">
        <v>5731</v>
      </c>
      <c r="U408" t="s">
        <v>5731</v>
      </c>
      <c r="V408" t="s">
        <v>5731</v>
      </c>
      <c r="W408" t="s">
        <v>5731</v>
      </c>
      <c r="X408" t="str">
        <f t="shared" si="6"/>
        <v>Inversión</v>
      </c>
      <c r="Y408" t="s">
        <v>5861</v>
      </c>
    </row>
    <row r="409" spans="1:25" x14ac:dyDescent="0.25">
      <c r="A409" t="s">
        <v>6840</v>
      </c>
      <c r="B409" t="s">
        <v>8158</v>
      </c>
      <c r="C409" t="s">
        <v>8165</v>
      </c>
      <c r="D409" t="s">
        <v>5720</v>
      </c>
      <c r="E409" t="s">
        <v>5737</v>
      </c>
      <c r="F409" t="s">
        <v>5733</v>
      </c>
      <c r="G409" t="s">
        <v>5723</v>
      </c>
      <c r="H409" t="s">
        <v>461</v>
      </c>
      <c r="I409" t="s">
        <v>644</v>
      </c>
      <c r="J409" t="s">
        <v>273</v>
      </c>
      <c r="K409" t="s">
        <v>5734</v>
      </c>
      <c r="L409" t="s">
        <v>267</v>
      </c>
      <c r="M409">
        <v>100000000</v>
      </c>
      <c r="N409">
        <v>0</v>
      </c>
      <c r="O409">
        <v>100000000</v>
      </c>
      <c r="P409">
        <v>100000000</v>
      </c>
      <c r="Q409" t="s">
        <v>8166</v>
      </c>
      <c r="R409" t="s">
        <v>8167</v>
      </c>
      <c r="S409" t="s">
        <v>5731</v>
      </c>
      <c r="T409" t="s">
        <v>5731</v>
      </c>
      <c r="U409" t="s">
        <v>5731</v>
      </c>
      <c r="V409" t="s">
        <v>5731</v>
      </c>
      <c r="W409" t="s">
        <v>5731</v>
      </c>
      <c r="X409" t="str">
        <f t="shared" si="6"/>
        <v>Inversión</v>
      </c>
      <c r="Y409" t="s">
        <v>5735</v>
      </c>
    </row>
    <row r="410" spans="1:25" x14ac:dyDescent="0.25">
      <c r="A410" t="s">
        <v>6786</v>
      </c>
      <c r="B410" t="s">
        <v>8158</v>
      </c>
      <c r="C410" t="s">
        <v>8168</v>
      </c>
      <c r="D410" t="s">
        <v>5720</v>
      </c>
      <c r="E410" t="s">
        <v>5721</v>
      </c>
      <c r="F410" t="s">
        <v>5854</v>
      </c>
      <c r="G410" t="s">
        <v>5723</v>
      </c>
      <c r="H410" t="s">
        <v>543</v>
      </c>
      <c r="I410" t="s">
        <v>656</v>
      </c>
      <c r="J410" t="s">
        <v>273</v>
      </c>
      <c r="K410" t="s">
        <v>5734</v>
      </c>
      <c r="L410" t="s">
        <v>267</v>
      </c>
      <c r="M410">
        <v>13000000</v>
      </c>
      <c r="N410">
        <v>0</v>
      </c>
      <c r="O410">
        <v>13000000</v>
      </c>
      <c r="P410">
        <v>0</v>
      </c>
      <c r="Q410" t="s">
        <v>8169</v>
      </c>
      <c r="R410" t="s">
        <v>8170</v>
      </c>
      <c r="S410" t="s">
        <v>8171</v>
      </c>
      <c r="T410" t="s">
        <v>8172</v>
      </c>
      <c r="U410" t="s">
        <v>8173</v>
      </c>
      <c r="V410" t="s">
        <v>8174</v>
      </c>
      <c r="W410" t="s">
        <v>5731</v>
      </c>
      <c r="X410" t="str">
        <f t="shared" si="6"/>
        <v>Inversión</v>
      </c>
      <c r="Y410" t="s">
        <v>5861</v>
      </c>
    </row>
    <row r="411" spans="1:25" x14ac:dyDescent="0.25">
      <c r="A411" t="s">
        <v>6786</v>
      </c>
      <c r="B411" t="s">
        <v>8158</v>
      </c>
      <c r="C411" t="s">
        <v>8168</v>
      </c>
      <c r="D411" t="s">
        <v>5720</v>
      </c>
      <c r="E411" t="s">
        <v>5721</v>
      </c>
      <c r="F411" t="s">
        <v>5738</v>
      </c>
      <c r="G411" t="s">
        <v>5723</v>
      </c>
      <c r="H411" t="s">
        <v>556</v>
      </c>
      <c r="I411" t="s">
        <v>671</v>
      </c>
      <c r="J411" t="s">
        <v>266</v>
      </c>
      <c r="K411" t="s">
        <v>5724</v>
      </c>
      <c r="L411" t="s">
        <v>267</v>
      </c>
      <c r="M411">
        <v>1247146</v>
      </c>
      <c r="N411">
        <v>0</v>
      </c>
      <c r="O411">
        <v>1247146</v>
      </c>
      <c r="P411">
        <v>1247146</v>
      </c>
      <c r="Q411" t="s">
        <v>8169</v>
      </c>
      <c r="R411" t="s">
        <v>8170</v>
      </c>
      <c r="S411" t="s">
        <v>8171</v>
      </c>
      <c r="T411" t="s">
        <v>8172</v>
      </c>
      <c r="U411" t="s">
        <v>8173</v>
      </c>
      <c r="V411" t="s">
        <v>8174</v>
      </c>
      <c r="W411" t="s">
        <v>5731</v>
      </c>
      <c r="X411" t="str">
        <f t="shared" si="6"/>
        <v>Inversión</v>
      </c>
      <c r="Y411" t="s">
        <v>5741</v>
      </c>
    </row>
    <row r="412" spans="1:25" x14ac:dyDescent="0.25">
      <c r="A412" t="s">
        <v>6786</v>
      </c>
      <c r="B412" t="s">
        <v>8158</v>
      </c>
      <c r="C412" t="s">
        <v>8168</v>
      </c>
      <c r="D412" t="s">
        <v>5720</v>
      </c>
      <c r="E412" t="s">
        <v>5721</v>
      </c>
      <c r="F412" t="s">
        <v>5733</v>
      </c>
      <c r="G412" t="s">
        <v>5723</v>
      </c>
      <c r="H412" t="s">
        <v>461</v>
      </c>
      <c r="I412" t="s">
        <v>644</v>
      </c>
      <c r="J412" t="s">
        <v>273</v>
      </c>
      <c r="K412" t="s">
        <v>5734</v>
      </c>
      <c r="L412" t="s">
        <v>267</v>
      </c>
      <c r="M412">
        <v>100000000</v>
      </c>
      <c r="N412">
        <v>-50000000</v>
      </c>
      <c r="O412">
        <v>50000000</v>
      </c>
      <c r="P412">
        <v>50000000</v>
      </c>
      <c r="Q412" t="s">
        <v>8169</v>
      </c>
      <c r="R412" t="s">
        <v>8170</v>
      </c>
      <c r="S412" t="s">
        <v>8171</v>
      </c>
      <c r="T412" t="s">
        <v>8172</v>
      </c>
      <c r="U412" t="s">
        <v>8173</v>
      </c>
      <c r="V412" t="s">
        <v>8174</v>
      </c>
      <c r="W412" t="s">
        <v>5731</v>
      </c>
      <c r="X412" t="str">
        <f t="shared" si="6"/>
        <v>Inversión</v>
      </c>
      <c r="Y412" t="s">
        <v>5735</v>
      </c>
    </row>
    <row r="413" spans="1:25" x14ac:dyDescent="0.25">
      <c r="A413" t="s">
        <v>6786</v>
      </c>
      <c r="B413" t="s">
        <v>8158</v>
      </c>
      <c r="C413" t="s">
        <v>8168</v>
      </c>
      <c r="D413" t="s">
        <v>5720</v>
      </c>
      <c r="E413" t="s">
        <v>5721</v>
      </c>
      <c r="F413" t="s">
        <v>5802</v>
      </c>
      <c r="G413" t="s">
        <v>5723</v>
      </c>
      <c r="H413" t="s">
        <v>458</v>
      </c>
      <c r="I413" t="s">
        <v>640</v>
      </c>
      <c r="J413" t="s">
        <v>273</v>
      </c>
      <c r="K413" t="s">
        <v>5734</v>
      </c>
      <c r="L413" t="s">
        <v>267</v>
      </c>
      <c r="M413">
        <v>20000000</v>
      </c>
      <c r="N413">
        <v>-10000000</v>
      </c>
      <c r="O413">
        <v>10000000</v>
      </c>
      <c r="P413">
        <v>10000000</v>
      </c>
      <c r="Q413" t="s">
        <v>8169</v>
      </c>
      <c r="R413" t="s">
        <v>8170</v>
      </c>
      <c r="S413" t="s">
        <v>8171</v>
      </c>
      <c r="T413" t="s">
        <v>8172</v>
      </c>
      <c r="U413" t="s">
        <v>8173</v>
      </c>
      <c r="V413" t="s">
        <v>8174</v>
      </c>
      <c r="W413" t="s">
        <v>5731</v>
      </c>
      <c r="X413" t="str">
        <f t="shared" si="6"/>
        <v>Inversión</v>
      </c>
      <c r="Y413" t="s">
        <v>5810</v>
      </c>
    </row>
    <row r="414" spans="1:25" x14ac:dyDescent="0.25">
      <c r="A414" t="s">
        <v>6786</v>
      </c>
      <c r="B414" t="s">
        <v>8158</v>
      </c>
      <c r="C414" t="s">
        <v>8168</v>
      </c>
      <c r="D414" t="s">
        <v>5720</v>
      </c>
      <c r="E414" t="s">
        <v>5721</v>
      </c>
      <c r="F414" t="s">
        <v>5854</v>
      </c>
      <c r="G414" t="s">
        <v>5723</v>
      </c>
      <c r="H414" t="s">
        <v>539</v>
      </c>
      <c r="I414" t="s">
        <v>658</v>
      </c>
      <c r="J414" t="s">
        <v>273</v>
      </c>
      <c r="K414" t="s">
        <v>5734</v>
      </c>
      <c r="L414" t="s">
        <v>267</v>
      </c>
      <c r="M414">
        <v>34284000</v>
      </c>
      <c r="N414">
        <v>-15404005.18</v>
      </c>
      <c r="O414">
        <v>18879994.82</v>
      </c>
      <c r="P414">
        <v>15000000</v>
      </c>
      <c r="Q414" t="s">
        <v>8169</v>
      </c>
      <c r="R414" t="s">
        <v>8170</v>
      </c>
      <c r="S414" t="s">
        <v>8171</v>
      </c>
      <c r="T414" t="s">
        <v>8172</v>
      </c>
      <c r="U414" t="s">
        <v>8173</v>
      </c>
      <c r="V414" t="s">
        <v>8174</v>
      </c>
      <c r="W414" t="s">
        <v>5731</v>
      </c>
      <c r="X414" t="str">
        <f t="shared" si="6"/>
        <v>Inversión</v>
      </c>
      <c r="Y414" t="s">
        <v>5861</v>
      </c>
    </row>
    <row r="415" spans="1:25" x14ac:dyDescent="0.25">
      <c r="A415" t="s">
        <v>6719</v>
      </c>
      <c r="B415" t="s">
        <v>8175</v>
      </c>
      <c r="C415" t="s">
        <v>8176</v>
      </c>
      <c r="D415" t="s">
        <v>5720</v>
      </c>
      <c r="E415" t="s">
        <v>5721</v>
      </c>
      <c r="F415" t="s">
        <v>6356</v>
      </c>
      <c r="G415" t="s">
        <v>5723</v>
      </c>
      <c r="H415" t="s">
        <v>550</v>
      </c>
      <c r="I415" t="s">
        <v>642</v>
      </c>
      <c r="J415" t="s">
        <v>273</v>
      </c>
      <c r="K415" t="s">
        <v>5734</v>
      </c>
      <c r="L415" t="s">
        <v>267</v>
      </c>
      <c r="M415">
        <v>14929272</v>
      </c>
      <c r="N415">
        <v>0</v>
      </c>
      <c r="O415">
        <v>14929272</v>
      </c>
      <c r="P415">
        <v>0</v>
      </c>
      <c r="Q415" t="s">
        <v>8177</v>
      </c>
      <c r="R415" t="s">
        <v>8178</v>
      </c>
      <c r="S415" t="s">
        <v>5781</v>
      </c>
      <c r="T415" t="s">
        <v>8179</v>
      </c>
      <c r="U415" t="s">
        <v>8180</v>
      </c>
      <c r="V415" t="s">
        <v>8181</v>
      </c>
      <c r="W415" t="s">
        <v>5731</v>
      </c>
      <c r="X415" t="str">
        <f t="shared" si="6"/>
        <v>Inversión</v>
      </c>
      <c r="Y415" t="s">
        <v>6362</v>
      </c>
    </row>
    <row r="416" spans="1:25" x14ac:dyDescent="0.25">
      <c r="A416" t="s">
        <v>7443</v>
      </c>
      <c r="B416" t="s">
        <v>8175</v>
      </c>
      <c r="C416" t="s">
        <v>8182</v>
      </c>
      <c r="D416" t="s">
        <v>5720</v>
      </c>
      <c r="E416" t="s">
        <v>5721</v>
      </c>
      <c r="F416" t="s">
        <v>6356</v>
      </c>
      <c r="G416" t="s">
        <v>5723</v>
      </c>
      <c r="H416" t="s">
        <v>550</v>
      </c>
      <c r="I416" t="s">
        <v>642</v>
      </c>
      <c r="J416" t="s">
        <v>273</v>
      </c>
      <c r="K416" t="s">
        <v>5734</v>
      </c>
      <c r="L416" t="s">
        <v>267</v>
      </c>
      <c r="M416">
        <v>12790566</v>
      </c>
      <c r="N416">
        <v>0</v>
      </c>
      <c r="O416">
        <v>12790566</v>
      </c>
      <c r="P416">
        <v>0</v>
      </c>
      <c r="Q416" t="s">
        <v>8183</v>
      </c>
      <c r="R416" t="s">
        <v>8184</v>
      </c>
      <c r="S416" t="s">
        <v>5939</v>
      </c>
      <c r="T416" t="s">
        <v>8185</v>
      </c>
      <c r="U416" t="s">
        <v>8186</v>
      </c>
      <c r="V416" t="s">
        <v>8187</v>
      </c>
      <c r="W416" t="s">
        <v>5731</v>
      </c>
      <c r="X416" t="str">
        <f t="shared" si="6"/>
        <v>Inversión</v>
      </c>
      <c r="Y416" t="s">
        <v>6362</v>
      </c>
    </row>
    <row r="417" spans="1:25" x14ac:dyDescent="0.25">
      <c r="A417" t="s">
        <v>8009</v>
      </c>
      <c r="B417" t="s">
        <v>8188</v>
      </c>
      <c r="C417" t="s">
        <v>8189</v>
      </c>
      <c r="D417" t="s">
        <v>5720</v>
      </c>
      <c r="E417" t="s">
        <v>5721</v>
      </c>
      <c r="F417" t="s">
        <v>5722</v>
      </c>
      <c r="G417" t="s">
        <v>5723</v>
      </c>
      <c r="H417" t="s">
        <v>541</v>
      </c>
      <c r="I417" t="s">
        <v>660</v>
      </c>
      <c r="J417" t="s">
        <v>266</v>
      </c>
      <c r="K417" t="s">
        <v>5724</v>
      </c>
      <c r="L417" t="s">
        <v>267</v>
      </c>
      <c r="M417">
        <v>34546758</v>
      </c>
      <c r="N417">
        <v>0</v>
      </c>
      <c r="O417">
        <v>34546758</v>
      </c>
      <c r="P417">
        <v>0</v>
      </c>
      <c r="Q417" t="s">
        <v>8190</v>
      </c>
      <c r="R417" t="s">
        <v>8191</v>
      </c>
      <c r="S417" t="s">
        <v>8192</v>
      </c>
      <c r="T417" t="s">
        <v>8193</v>
      </c>
      <c r="U417" t="s">
        <v>8194</v>
      </c>
      <c r="V417" t="s">
        <v>8195</v>
      </c>
      <c r="W417" t="s">
        <v>5731</v>
      </c>
      <c r="X417" t="str">
        <f t="shared" si="6"/>
        <v>Inversión</v>
      </c>
      <c r="Y417" t="s">
        <v>5732</v>
      </c>
    </row>
    <row r="418" spans="1:25" x14ac:dyDescent="0.25">
      <c r="A418" t="s">
        <v>7186</v>
      </c>
      <c r="B418" t="s">
        <v>8196</v>
      </c>
      <c r="C418" t="s">
        <v>8197</v>
      </c>
      <c r="D418" t="s">
        <v>5720</v>
      </c>
      <c r="E418" t="s">
        <v>5721</v>
      </c>
      <c r="F418" t="s">
        <v>5802</v>
      </c>
      <c r="G418" t="s">
        <v>5723</v>
      </c>
      <c r="H418" t="s">
        <v>463</v>
      </c>
      <c r="I418" t="s">
        <v>639</v>
      </c>
      <c r="J418" t="s">
        <v>266</v>
      </c>
      <c r="K418" t="s">
        <v>5724</v>
      </c>
      <c r="L418" t="s">
        <v>267</v>
      </c>
      <c r="M418">
        <v>3030663</v>
      </c>
      <c r="N418">
        <v>-3030663</v>
      </c>
      <c r="O418">
        <v>0</v>
      </c>
      <c r="P418">
        <v>0</v>
      </c>
      <c r="Q418" t="s">
        <v>8198</v>
      </c>
      <c r="R418" t="s">
        <v>8199</v>
      </c>
      <c r="S418" t="s">
        <v>7326</v>
      </c>
      <c r="T418" t="s">
        <v>8200</v>
      </c>
      <c r="U418" t="s">
        <v>8201</v>
      </c>
      <c r="V418" t="s">
        <v>8202</v>
      </c>
      <c r="W418" t="s">
        <v>5995</v>
      </c>
      <c r="X418" t="str">
        <f t="shared" si="6"/>
        <v>Inversión</v>
      </c>
      <c r="Y418" t="s">
        <v>5810</v>
      </c>
    </row>
    <row r="419" spans="1:25" x14ac:dyDescent="0.25">
      <c r="A419" t="s">
        <v>8092</v>
      </c>
      <c r="B419" t="s">
        <v>8203</v>
      </c>
      <c r="C419" t="s">
        <v>8204</v>
      </c>
      <c r="D419" t="s">
        <v>5720</v>
      </c>
      <c r="E419" t="s">
        <v>5721</v>
      </c>
      <c r="F419" t="s">
        <v>5802</v>
      </c>
      <c r="G419" t="s">
        <v>5723</v>
      </c>
      <c r="H419" t="s">
        <v>458</v>
      </c>
      <c r="I419" t="s">
        <v>640</v>
      </c>
      <c r="J419" t="s">
        <v>266</v>
      </c>
      <c r="K419" t="s">
        <v>5724</v>
      </c>
      <c r="L419" t="s">
        <v>267</v>
      </c>
      <c r="M419">
        <v>9659154</v>
      </c>
      <c r="N419">
        <v>-1356493</v>
      </c>
      <c r="O419">
        <v>8302661</v>
      </c>
      <c r="P419">
        <v>0</v>
      </c>
      <c r="Q419" t="s">
        <v>8205</v>
      </c>
      <c r="R419" t="s">
        <v>8206</v>
      </c>
      <c r="S419" t="s">
        <v>8207</v>
      </c>
      <c r="T419" t="s">
        <v>8208</v>
      </c>
      <c r="U419" t="s">
        <v>8209</v>
      </c>
      <c r="V419" t="s">
        <v>8210</v>
      </c>
      <c r="W419" t="s">
        <v>6022</v>
      </c>
      <c r="X419" t="str">
        <f t="shared" si="6"/>
        <v>Inversión</v>
      </c>
      <c r="Y419" t="s">
        <v>5810</v>
      </c>
    </row>
    <row r="420" spans="1:25" x14ac:dyDescent="0.25">
      <c r="A420" t="s">
        <v>6506</v>
      </c>
      <c r="B420" t="s">
        <v>8203</v>
      </c>
      <c r="C420" t="s">
        <v>8211</v>
      </c>
      <c r="D420" t="s">
        <v>5720</v>
      </c>
      <c r="E420" t="s">
        <v>5721</v>
      </c>
      <c r="F420" t="s">
        <v>5854</v>
      </c>
      <c r="G420" t="s">
        <v>5723</v>
      </c>
      <c r="H420" t="s">
        <v>539</v>
      </c>
      <c r="I420" t="s">
        <v>658</v>
      </c>
      <c r="J420" t="s">
        <v>273</v>
      </c>
      <c r="K420" t="s">
        <v>5734</v>
      </c>
      <c r="L420" t="s">
        <v>267</v>
      </c>
      <c r="M420">
        <v>19466370</v>
      </c>
      <c r="N420">
        <v>0</v>
      </c>
      <c r="O420">
        <v>19466370</v>
      </c>
      <c r="P420">
        <v>0</v>
      </c>
      <c r="Q420" t="s">
        <v>8212</v>
      </c>
      <c r="R420" t="s">
        <v>8213</v>
      </c>
      <c r="S420" t="s">
        <v>8214</v>
      </c>
      <c r="T420" t="s">
        <v>8215</v>
      </c>
      <c r="U420" t="s">
        <v>8216</v>
      </c>
      <c r="V420" t="s">
        <v>8217</v>
      </c>
      <c r="W420" t="s">
        <v>5731</v>
      </c>
      <c r="X420" t="str">
        <f t="shared" si="6"/>
        <v>Inversión</v>
      </c>
      <c r="Y420" t="s">
        <v>5861</v>
      </c>
    </row>
    <row r="421" spans="1:25" x14ac:dyDescent="0.25">
      <c r="A421" t="s">
        <v>8086</v>
      </c>
      <c r="B421" t="s">
        <v>8203</v>
      </c>
      <c r="C421" t="s">
        <v>8218</v>
      </c>
      <c r="D421" t="s">
        <v>5720</v>
      </c>
      <c r="E421" t="s">
        <v>5721</v>
      </c>
      <c r="F421" t="s">
        <v>6619</v>
      </c>
      <c r="G421" t="s">
        <v>5723</v>
      </c>
      <c r="H421" t="s">
        <v>455</v>
      </c>
      <c r="I421" t="s">
        <v>643</v>
      </c>
      <c r="J421" t="s">
        <v>273</v>
      </c>
      <c r="K421" t="s">
        <v>5734</v>
      </c>
      <c r="L421" t="s">
        <v>267</v>
      </c>
      <c r="M421">
        <v>128354709</v>
      </c>
      <c r="N421">
        <v>-30201109</v>
      </c>
      <c r="O421">
        <v>98153600</v>
      </c>
      <c r="P421">
        <v>0</v>
      </c>
      <c r="Q421" t="s">
        <v>8219</v>
      </c>
      <c r="R421" t="s">
        <v>6892</v>
      </c>
      <c r="S421" t="s">
        <v>8220</v>
      </c>
      <c r="T421" t="s">
        <v>8221</v>
      </c>
      <c r="U421" t="s">
        <v>8222</v>
      </c>
      <c r="V421" t="s">
        <v>8223</v>
      </c>
      <c r="W421" t="s">
        <v>5731</v>
      </c>
      <c r="X421" t="str">
        <f t="shared" si="6"/>
        <v>Inversión</v>
      </c>
      <c r="Y421" t="s">
        <v>6626</v>
      </c>
    </row>
    <row r="422" spans="1:25" x14ac:dyDescent="0.25">
      <c r="A422" t="s">
        <v>8100</v>
      </c>
      <c r="B422" t="s">
        <v>8203</v>
      </c>
      <c r="C422" t="s">
        <v>8224</v>
      </c>
      <c r="D422" t="s">
        <v>5720</v>
      </c>
      <c r="E422" t="s">
        <v>5721</v>
      </c>
      <c r="F422" t="s">
        <v>6619</v>
      </c>
      <c r="G422" t="s">
        <v>5723</v>
      </c>
      <c r="H422" t="s">
        <v>455</v>
      </c>
      <c r="I422" t="s">
        <v>643</v>
      </c>
      <c r="J422" t="s">
        <v>273</v>
      </c>
      <c r="K422" t="s">
        <v>5734</v>
      </c>
      <c r="L422" t="s">
        <v>267</v>
      </c>
      <c r="M422">
        <v>293647443</v>
      </c>
      <c r="N422">
        <v>-177148098.03</v>
      </c>
      <c r="O422">
        <v>116499344.97</v>
      </c>
      <c r="P422">
        <v>0</v>
      </c>
      <c r="Q422" t="s">
        <v>8225</v>
      </c>
      <c r="R422" t="s">
        <v>7692</v>
      </c>
      <c r="S422" t="s">
        <v>8226</v>
      </c>
      <c r="T422" t="s">
        <v>8227</v>
      </c>
      <c r="U422" t="s">
        <v>8228</v>
      </c>
      <c r="V422" t="s">
        <v>8229</v>
      </c>
      <c r="W422" t="s">
        <v>5731</v>
      </c>
      <c r="X422" t="str">
        <f t="shared" si="6"/>
        <v>Inversión</v>
      </c>
      <c r="Y422" t="s">
        <v>6626</v>
      </c>
    </row>
    <row r="423" spans="1:25" x14ac:dyDescent="0.25">
      <c r="A423" t="s">
        <v>8178</v>
      </c>
      <c r="B423" t="s">
        <v>8203</v>
      </c>
      <c r="C423" t="s">
        <v>8230</v>
      </c>
      <c r="D423" t="s">
        <v>5720</v>
      </c>
      <c r="E423" t="s">
        <v>5721</v>
      </c>
      <c r="F423" t="s">
        <v>6619</v>
      </c>
      <c r="G423" t="s">
        <v>5723</v>
      </c>
      <c r="H423" t="s">
        <v>455</v>
      </c>
      <c r="I423" t="s">
        <v>643</v>
      </c>
      <c r="J423" t="s">
        <v>273</v>
      </c>
      <c r="K423" t="s">
        <v>5734</v>
      </c>
      <c r="L423" t="s">
        <v>267</v>
      </c>
      <c r="M423">
        <v>100020520</v>
      </c>
      <c r="N423">
        <v>0</v>
      </c>
      <c r="O423">
        <v>100020520</v>
      </c>
      <c r="P423">
        <v>68641533</v>
      </c>
      <c r="Q423" t="s">
        <v>8231</v>
      </c>
      <c r="R423" t="s">
        <v>7686</v>
      </c>
      <c r="S423" t="s">
        <v>8232</v>
      </c>
      <c r="T423" t="s">
        <v>8233</v>
      </c>
      <c r="U423" t="s">
        <v>8234</v>
      </c>
      <c r="V423" t="s">
        <v>8235</v>
      </c>
      <c r="W423" t="s">
        <v>5731</v>
      </c>
      <c r="X423" t="str">
        <f t="shared" si="6"/>
        <v>Inversión</v>
      </c>
      <c r="Y423" t="s">
        <v>6626</v>
      </c>
    </row>
    <row r="424" spans="1:25" x14ac:dyDescent="0.25">
      <c r="A424" t="s">
        <v>8184</v>
      </c>
      <c r="B424" t="s">
        <v>8203</v>
      </c>
      <c r="C424" t="s">
        <v>8236</v>
      </c>
      <c r="D424" t="s">
        <v>5720</v>
      </c>
      <c r="E424" t="s">
        <v>5721</v>
      </c>
      <c r="F424" t="s">
        <v>5733</v>
      </c>
      <c r="G424" t="s">
        <v>5723</v>
      </c>
      <c r="H424" t="s">
        <v>461</v>
      </c>
      <c r="I424" t="s">
        <v>644</v>
      </c>
      <c r="J424" t="s">
        <v>273</v>
      </c>
      <c r="K424" t="s">
        <v>5734</v>
      </c>
      <c r="L424" t="s">
        <v>267</v>
      </c>
      <c r="M424">
        <v>106935264</v>
      </c>
      <c r="N424">
        <v>-13366908</v>
      </c>
      <c r="O424">
        <v>93568356</v>
      </c>
      <c r="P424">
        <v>0</v>
      </c>
      <c r="Q424" t="s">
        <v>8237</v>
      </c>
      <c r="R424" t="s">
        <v>6874</v>
      </c>
      <c r="S424" t="s">
        <v>8238</v>
      </c>
      <c r="T424" t="s">
        <v>8239</v>
      </c>
      <c r="U424" t="s">
        <v>8240</v>
      </c>
      <c r="V424" t="s">
        <v>8241</v>
      </c>
      <c r="W424" t="s">
        <v>5731</v>
      </c>
      <c r="X424" t="str">
        <f t="shared" si="6"/>
        <v>Inversión</v>
      </c>
      <c r="Y424" t="s">
        <v>5735</v>
      </c>
    </row>
    <row r="425" spans="1:25" x14ac:dyDescent="0.25">
      <c r="A425" t="s">
        <v>8242</v>
      </c>
      <c r="B425" t="s">
        <v>8203</v>
      </c>
      <c r="C425" t="s">
        <v>8243</v>
      </c>
      <c r="D425" t="s">
        <v>5720</v>
      </c>
      <c r="E425" t="s">
        <v>5721</v>
      </c>
      <c r="F425" t="s">
        <v>5733</v>
      </c>
      <c r="G425" t="s">
        <v>5723</v>
      </c>
      <c r="H425" t="s">
        <v>461</v>
      </c>
      <c r="I425" t="s">
        <v>644</v>
      </c>
      <c r="J425" t="s">
        <v>273</v>
      </c>
      <c r="K425" t="s">
        <v>5734</v>
      </c>
      <c r="L425" t="s">
        <v>267</v>
      </c>
      <c r="M425">
        <v>58243776</v>
      </c>
      <c r="N425">
        <v>-7280472</v>
      </c>
      <c r="O425">
        <v>50963304</v>
      </c>
      <c r="P425">
        <v>0</v>
      </c>
      <c r="Q425" t="s">
        <v>8244</v>
      </c>
      <c r="R425" t="s">
        <v>8245</v>
      </c>
      <c r="S425" t="s">
        <v>8246</v>
      </c>
      <c r="T425" t="s">
        <v>8247</v>
      </c>
      <c r="U425" t="s">
        <v>8248</v>
      </c>
      <c r="V425" t="s">
        <v>8249</v>
      </c>
      <c r="W425" t="s">
        <v>5731</v>
      </c>
      <c r="X425" t="str">
        <f t="shared" si="6"/>
        <v>Inversión</v>
      </c>
      <c r="Y425" t="s">
        <v>5735</v>
      </c>
    </row>
    <row r="426" spans="1:25" x14ac:dyDescent="0.25">
      <c r="A426" t="s">
        <v>8250</v>
      </c>
      <c r="B426" t="s">
        <v>8251</v>
      </c>
      <c r="C426" t="s">
        <v>8252</v>
      </c>
      <c r="D426" t="s">
        <v>5720</v>
      </c>
      <c r="E426" t="s">
        <v>5721</v>
      </c>
      <c r="F426" t="s">
        <v>5733</v>
      </c>
      <c r="G426" t="s">
        <v>5723</v>
      </c>
      <c r="H426" t="s">
        <v>461</v>
      </c>
      <c r="I426" t="s">
        <v>644</v>
      </c>
      <c r="J426" t="s">
        <v>273</v>
      </c>
      <c r="K426" t="s">
        <v>5734</v>
      </c>
      <c r="L426" t="s">
        <v>267</v>
      </c>
      <c r="M426">
        <v>111493518</v>
      </c>
      <c r="N426">
        <v>0</v>
      </c>
      <c r="O426">
        <v>111493518</v>
      </c>
      <c r="P426">
        <v>15021047</v>
      </c>
      <c r="Q426" t="s">
        <v>8253</v>
      </c>
      <c r="R426" t="s">
        <v>8254</v>
      </c>
      <c r="S426" t="s">
        <v>8255</v>
      </c>
      <c r="T426" t="s">
        <v>8256</v>
      </c>
      <c r="U426" t="s">
        <v>8257</v>
      </c>
      <c r="V426" t="s">
        <v>8258</v>
      </c>
      <c r="W426" t="s">
        <v>5731</v>
      </c>
      <c r="X426" t="str">
        <f t="shared" si="6"/>
        <v>Inversión</v>
      </c>
      <c r="Y426" t="s">
        <v>5735</v>
      </c>
    </row>
    <row r="427" spans="1:25" x14ac:dyDescent="0.25">
      <c r="A427" t="s">
        <v>8259</v>
      </c>
      <c r="B427" t="s">
        <v>8251</v>
      </c>
      <c r="C427" t="s">
        <v>8260</v>
      </c>
      <c r="D427" t="s">
        <v>5720</v>
      </c>
      <c r="E427" t="s">
        <v>5721</v>
      </c>
      <c r="F427" t="s">
        <v>5802</v>
      </c>
      <c r="G427" t="s">
        <v>5723</v>
      </c>
      <c r="H427" t="s">
        <v>463</v>
      </c>
      <c r="I427" t="s">
        <v>639</v>
      </c>
      <c r="J427" t="s">
        <v>273</v>
      </c>
      <c r="K427" t="s">
        <v>5734</v>
      </c>
      <c r="L427" t="s">
        <v>267</v>
      </c>
      <c r="M427">
        <v>333940127</v>
      </c>
      <c r="N427">
        <v>17095873</v>
      </c>
      <c r="O427">
        <v>351036000</v>
      </c>
      <c r="P427">
        <v>0</v>
      </c>
      <c r="Q427" t="s">
        <v>8261</v>
      </c>
      <c r="R427" t="s">
        <v>7556</v>
      </c>
      <c r="S427" t="s">
        <v>8262</v>
      </c>
      <c r="T427" t="s">
        <v>5731</v>
      </c>
      <c r="U427" t="s">
        <v>5731</v>
      </c>
      <c r="V427" t="s">
        <v>5731</v>
      </c>
      <c r="W427" t="s">
        <v>5731</v>
      </c>
      <c r="X427" t="str">
        <f t="shared" si="6"/>
        <v>Inversión</v>
      </c>
      <c r="Y427" t="s">
        <v>5810</v>
      </c>
    </row>
    <row r="428" spans="1:25" x14ac:dyDescent="0.25">
      <c r="A428" t="s">
        <v>8107</v>
      </c>
      <c r="B428" t="s">
        <v>8263</v>
      </c>
      <c r="C428" t="s">
        <v>8264</v>
      </c>
      <c r="D428" t="s">
        <v>5720</v>
      </c>
      <c r="E428" t="s">
        <v>5721</v>
      </c>
      <c r="F428" t="s">
        <v>5802</v>
      </c>
      <c r="G428" t="s">
        <v>5723</v>
      </c>
      <c r="H428" t="s">
        <v>463</v>
      </c>
      <c r="I428" t="s">
        <v>639</v>
      </c>
      <c r="J428" t="s">
        <v>266</v>
      </c>
      <c r="K428" t="s">
        <v>5724</v>
      </c>
      <c r="L428" t="s">
        <v>267</v>
      </c>
      <c r="M428">
        <v>2236988</v>
      </c>
      <c r="N428">
        <v>0</v>
      </c>
      <c r="O428">
        <v>2236988</v>
      </c>
      <c r="P428">
        <v>0</v>
      </c>
      <c r="Q428" t="s">
        <v>8265</v>
      </c>
      <c r="R428" t="s">
        <v>7420</v>
      </c>
      <c r="S428" t="s">
        <v>7332</v>
      </c>
      <c r="T428" t="s">
        <v>8266</v>
      </c>
      <c r="U428" t="s">
        <v>8267</v>
      </c>
      <c r="V428" t="s">
        <v>8268</v>
      </c>
      <c r="W428" t="s">
        <v>5731</v>
      </c>
      <c r="X428" t="str">
        <f t="shared" si="6"/>
        <v>Inversión</v>
      </c>
      <c r="Y428" t="s">
        <v>5810</v>
      </c>
    </row>
    <row r="429" spans="1:25" x14ac:dyDescent="0.25">
      <c r="A429" t="s">
        <v>7556</v>
      </c>
      <c r="B429" t="s">
        <v>8263</v>
      </c>
      <c r="C429" t="s">
        <v>8269</v>
      </c>
      <c r="D429" t="s">
        <v>5720</v>
      </c>
      <c r="E429" t="s">
        <v>5721</v>
      </c>
      <c r="F429" t="s">
        <v>5802</v>
      </c>
      <c r="G429" t="s">
        <v>5723</v>
      </c>
      <c r="H429" t="s">
        <v>458</v>
      </c>
      <c r="I429" t="s">
        <v>640</v>
      </c>
      <c r="J429" t="s">
        <v>266</v>
      </c>
      <c r="K429" t="s">
        <v>5724</v>
      </c>
      <c r="L429" t="s">
        <v>267</v>
      </c>
      <c r="M429">
        <v>13923934</v>
      </c>
      <c r="N429">
        <v>-13923934</v>
      </c>
      <c r="O429">
        <v>0</v>
      </c>
      <c r="P429">
        <v>0</v>
      </c>
      <c r="Q429" t="s">
        <v>8265</v>
      </c>
      <c r="R429" t="s">
        <v>6082</v>
      </c>
      <c r="S429" t="s">
        <v>8270</v>
      </c>
      <c r="T429" t="s">
        <v>8271</v>
      </c>
      <c r="U429" t="s">
        <v>8272</v>
      </c>
      <c r="V429" t="s">
        <v>8273</v>
      </c>
      <c r="W429" t="s">
        <v>6144</v>
      </c>
      <c r="X429" t="str">
        <f t="shared" si="6"/>
        <v>Inversión</v>
      </c>
      <c r="Y429" t="s">
        <v>5810</v>
      </c>
    </row>
    <row r="430" spans="1:25" x14ac:dyDescent="0.25">
      <c r="A430" t="s">
        <v>8213</v>
      </c>
      <c r="B430" t="s">
        <v>8274</v>
      </c>
      <c r="C430" t="s">
        <v>8275</v>
      </c>
      <c r="D430" t="s">
        <v>5720</v>
      </c>
      <c r="E430" t="s">
        <v>5721</v>
      </c>
      <c r="F430" t="s">
        <v>5802</v>
      </c>
      <c r="G430" t="s">
        <v>5723</v>
      </c>
      <c r="H430" t="s">
        <v>463</v>
      </c>
      <c r="I430" t="s">
        <v>639</v>
      </c>
      <c r="J430" t="s">
        <v>273</v>
      </c>
      <c r="K430" t="s">
        <v>5734</v>
      </c>
      <c r="L430" t="s">
        <v>267</v>
      </c>
      <c r="M430">
        <v>4791388</v>
      </c>
      <c r="N430">
        <v>-1062336</v>
      </c>
      <c r="O430">
        <v>3729052</v>
      </c>
      <c r="P430">
        <v>0</v>
      </c>
      <c r="Q430" t="s">
        <v>8276</v>
      </c>
      <c r="R430" t="s">
        <v>8277</v>
      </c>
      <c r="S430" t="s">
        <v>6305</v>
      </c>
      <c r="T430" t="s">
        <v>8278</v>
      </c>
      <c r="U430" t="s">
        <v>8279</v>
      </c>
      <c r="V430" t="s">
        <v>8280</v>
      </c>
      <c r="W430" t="s">
        <v>6014</v>
      </c>
      <c r="X430" t="str">
        <f t="shared" si="6"/>
        <v>Inversión</v>
      </c>
      <c r="Y430" t="s">
        <v>5810</v>
      </c>
    </row>
    <row r="431" spans="1:25" x14ac:dyDescent="0.25">
      <c r="A431" t="s">
        <v>8160</v>
      </c>
      <c r="B431" t="s">
        <v>8281</v>
      </c>
      <c r="C431" t="s">
        <v>8282</v>
      </c>
      <c r="D431" t="s">
        <v>5720</v>
      </c>
      <c r="E431" t="s">
        <v>5721</v>
      </c>
      <c r="F431" t="s">
        <v>5802</v>
      </c>
      <c r="G431" t="s">
        <v>5723</v>
      </c>
      <c r="H431" t="s">
        <v>458</v>
      </c>
      <c r="I431" t="s">
        <v>640</v>
      </c>
      <c r="J431" t="s">
        <v>266</v>
      </c>
      <c r="K431" t="s">
        <v>5724</v>
      </c>
      <c r="L431" t="s">
        <v>267</v>
      </c>
      <c r="M431">
        <v>9585685</v>
      </c>
      <c r="N431">
        <v>-3062817</v>
      </c>
      <c r="O431">
        <v>6522868</v>
      </c>
      <c r="P431">
        <v>0</v>
      </c>
      <c r="Q431" t="s">
        <v>8283</v>
      </c>
      <c r="R431" t="s">
        <v>8284</v>
      </c>
      <c r="S431" t="s">
        <v>8285</v>
      </c>
      <c r="T431" t="s">
        <v>8286</v>
      </c>
      <c r="U431" t="s">
        <v>8287</v>
      </c>
      <c r="V431" t="s">
        <v>8288</v>
      </c>
      <c r="W431" t="s">
        <v>8289</v>
      </c>
      <c r="X431" t="str">
        <f t="shared" si="6"/>
        <v>Inversión</v>
      </c>
      <c r="Y431" t="s">
        <v>5810</v>
      </c>
    </row>
    <row r="432" spans="1:25" x14ac:dyDescent="0.25">
      <c r="A432" t="s">
        <v>8170</v>
      </c>
      <c r="B432" t="s">
        <v>8281</v>
      </c>
      <c r="C432" t="s">
        <v>8290</v>
      </c>
      <c r="D432" t="s">
        <v>5720</v>
      </c>
      <c r="E432" t="s">
        <v>5721</v>
      </c>
      <c r="F432" t="s">
        <v>5722</v>
      </c>
      <c r="G432" t="s">
        <v>5723</v>
      </c>
      <c r="H432" t="s">
        <v>529</v>
      </c>
      <c r="I432" t="s">
        <v>659</v>
      </c>
      <c r="J432" t="s">
        <v>273</v>
      </c>
      <c r="K432" t="s">
        <v>5734</v>
      </c>
      <c r="L432" t="s">
        <v>267</v>
      </c>
      <c r="M432">
        <v>82401904</v>
      </c>
      <c r="N432">
        <v>-99884</v>
      </c>
      <c r="O432">
        <v>82302020</v>
      </c>
      <c r="P432">
        <v>0</v>
      </c>
      <c r="Q432" t="s">
        <v>8291</v>
      </c>
      <c r="R432" t="s">
        <v>8292</v>
      </c>
      <c r="S432" t="s">
        <v>8293</v>
      </c>
      <c r="T432" t="s">
        <v>8294</v>
      </c>
      <c r="U432" t="s">
        <v>8295</v>
      </c>
      <c r="V432" t="s">
        <v>8296</v>
      </c>
      <c r="W432" t="s">
        <v>5731</v>
      </c>
      <c r="X432" t="str">
        <f t="shared" si="6"/>
        <v>Inversión</v>
      </c>
      <c r="Y432" t="s">
        <v>5732</v>
      </c>
    </row>
    <row r="433" spans="1:25" x14ac:dyDescent="0.25">
      <c r="A433" t="s">
        <v>8167</v>
      </c>
      <c r="B433" t="s">
        <v>8297</v>
      </c>
      <c r="C433" t="s">
        <v>8298</v>
      </c>
      <c r="D433" t="s">
        <v>5720</v>
      </c>
      <c r="E433" t="s">
        <v>5721</v>
      </c>
      <c r="F433" t="s">
        <v>5722</v>
      </c>
      <c r="G433" t="s">
        <v>5723</v>
      </c>
      <c r="H433" t="s">
        <v>465</v>
      </c>
      <c r="I433" t="s">
        <v>661</v>
      </c>
      <c r="J433" t="s">
        <v>273</v>
      </c>
      <c r="K433" t="s">
        <v>5734</v>
      </c>
      <c r="L433" t="s">
        <v>267</v>
      </c>
      <c r="M433">
        <v>69663808</v>
      </c>
      <c r="N433">
        <v>-8707976</v>
      </c>
      <c r="O433">
        <v>60955832</v>
      </c>
      <c r="P433">
        <v>0</v>
      </c>
      <c r="Q433" t="s">
        <v>8299</v>
      </c>
      <c r="R433" t="s">
        <v>8300</v>
      </c>
      <c r="S433" t="s">
        <v>8301</v>
      </c>
      <c r="T433" t="s">
        <v>8302</v>
      </c>
      <c r="U433" t="s">
        <v>8303</v>
      </c>
      <c r="V433" t="s">
        <v>8304</v>
      </c>
      <c r="W433" t="s">
        <v>5731</v>
      </c>
      <c r="X433" t="str">
        <f t="shared" si="6"/>
        <v>Inversión</v>
      </c>
      <c r="Y433" t="s">
        <v>5732</v>
      </c>
    </row>
    <row r="434" spans="1:25" x14ac:dyDescent="0.25">
      <c r="A434" t="s">
        <v>8128</v>
      </c>
      <c r="B434" t="s">
        <v>8305</v>
      </c>
      <c r="C434" t="s">
        <v>8306</v>
      </c>
      <c r="D434" t="s">
        <v>5720</v>
      </c>
      <c r="E434" t="s">
        <v>5721</v>
      </c>
      <c r="F434" t="s">
        <v>5738</v>
      </c>
      <c r="G434" t="s">
        <v>5723</v>
      </c>
      <c r="H434" t="s">
        <v>556</v>
      </c>
      <c r="I434" t="s">
        <v>671</v>
      </c>
      <c r="J434" t="s">
        <v>273</v>
      </c>
      <c r="K434" t="s">
        <v>5734</v>
      </c>
      <c r="L434" t="s">
        <v>267</v>
      </c>
      <c r="M434">
        <v>91574258</v>
      </c>
      <c r="N434">
        <v>0</v>
      </c>
      <c r="O434">
        <v>91574258</v>
      </c>
      <c r="P434">
        <v>69786</v>
      </c>
      <c r="Q434" t="s">
        <v>8307</v>
      </c>
      <c r="R434" t="s">
        <v>8308</v>
      </c>
      <c r="S434" t="s">
        <v>8309</v>
      </c>
      <c r="T434" t="s">
        <v>8310</v>
      </c>
      <c r="U434" t="s">
        <v>8311</v>
      </c>
      <c r="V434" t="s">
        <v>8312</v>
      </c>
      <c r="W434" t="s">
        <v>5731</v>
      </c>
      <c r="X434" t="str">
        <f t="shared" si="6"/>
        <v>Inversión</v>
      </c>
      <c r="Y434" t="s">
        <v>5741</v>
      </c>
    </row>
    <row r="435" spans="1:25" x14ac:dyDescent="0.25">
      <c r="A435" t="s">
        <v>7626</v>
      </c>
      <c r="B435" t="s">
        <v>8305</v>
      </c>
      <c r="C435" t="s">
        <v>8313</v>
      </c>
      <c r="D435" t="s">
        <v>5720</v>
      </c>
      <c r="E435" t="s">
        <v>5721</v>
      </c>
      <c r="F435" t="s">
        <v>5802</v>
      </c>
      <c r="G435" t="s">
        <v>5723</v>
      </c>
      <c r="H435" t="s">
        <v>458</v>
      </c>
      <c r="I435" t="s">
        <v>640</v>
      </c>
      <c r="J435" t="s">
        <v>266</v>
      </c>
      <c r="K435" t="s">
        <v>5724</v>
      </c>
      <c r="L435" t="s">
        <v>267</v>
      </c>
      <c r="M435">
        <v>52851939</v>
      </c>
      <c r="N435">
        <v>-10067036</v>
      </c>
      <c r="O435">
        <v>42784903</v>
      </c>
      <c r="P435">
        <v>0</v>
      </c>
      <c r="Q435" t="s">
        <v>8314</v>
      </c>
      <c r="R435" t="s">
        <v>6868</v>
      </c>
      <c r="S435" t="s">
        <v>6366</v>
      </c>
      <c r="T435" t="s">
        <v>8315</v>
      </c>
      <c r="U435" t="s">
        <v>8316</v>
      </c>
      <c r="V435" t="s">
        <v>8317</v>
      </c>
      <c r="W435" t="s">
        <v>5731</v>
      </c>
      <c r="X435" t="str">
        <f t="shared" si="6"/>
        <v>Inversión</v>
      </c>
      <c r="Y435" t="s">
        <v>5810</v>
      </c>
    </row>
    <row r="436" spans="1:25" x14ac:dyDescent="0.25">
      <c r="A436" t="s">
        <v>8318</v>
      </c>
      <c r="B436" t="s">
        <v>8319</v>
      </c>
      <c r="C436" t="s">
        <v>8320</v>
      </c>
      <c r="D436" t="s">
        <v>5720</v>
      </c>
      <c r="E436" t="s">
        <v>5721</v>
      </c>
      <c r="F436" t="s">
        <v>5733</v>
      </c>
      <c r="G436" t="s">
        <v>5723</v>
      </c>
      <c r="H436" t="s">
        <v>461</v>
      </c>
      <c r="I436" t="s">
        <v>644</v>
      </c>
      <c r="J436" t="s">
        <v>266</v>
      </c>
      <c r="K436" t="s">
        <v>5724</v>
      </c>
      <c r="L436" t="s">
        <v>267</v>
      </c>
      <c r="M436">
        <v>37425655</v>
      </c>
      <c r="N436">
        <v>0</v>
      </c>
      <c r="O436">
        <v>37425655</v>
      </c>
      <c r="P436">
        <v>12091366</v>
      </c>
      <c r="Q436" t="s">
        <v>8321</v>
      </c>
      <c r="R436" t="s">
        <v>6493</v>
      </c>
      <c r="S436" t="s">
        <v>8322</v>
      </c>
      <c r="T436" t="s">
        <v>5731</v>
      </c>
      <c r="U436" t="s">
        <v>5731</v>
      </c>
      <c r="V436" t="s">
        <v>5731</v>
      </c>
      <c r="W436" t="s">
        <v>5731</v>
      </c>
      <c r="X436" t="str">
        <f t="shared" si="6"/>
        <v>Inversión</v>
      </c>
      <c r="Y436" t="s">
        <v>5735</v>
      </c>
    </row>
    <row r="437" spans="1:25" x14ac:dyDescent="0.25">
      <c r="A437" t="s">
        <v>8323</v>
      </c>
      <c r="B437" t="s">
        <v>8319</v>
      </c>
      <c r="C437" t="s">
        <v>8324</v>
      </c>
      <c r="D437" t="s">
        <v>5720</v>
      </c>
      <c r="E437" t="s">
        <v>5721</v>
      </c>
      <c r="F437" t="s">
        <v>5733</v>
      </c>
      <c r="G437" t="s">
        <v>5723</v>
      </c>
      <c r="H437" t="s">
        <v>461</v>
      </c>
      <c r="I437" t="s">
        <v>644</v>
      </c>
      <c r="J437" t="s">
        <v>266</v>
      </c>
      <c r="K437" t="s">
        <v>5724</v>
      </c>
      <c r="L437" t="s">
        <v>267</v>
      </c>
      <c r="M437">
        <v>18025000</v>
      </c>
      <c r="N437">
        <v>0</v>
      </c>
      <c r="O437">
        <v>18025000</v>
      </c>
      <c r="P437">
        <v>0</v>
      </c>
      <c r="Q437" t="s">
        <v>8325</v>
      </c>
      <c r="R437" t="s">
        <v>6861</v>
      </c>
      <c r="S437" t="s">
        <v>8326</v>
      </c>
      <c r="T437" t="s">
        <v>8327</v>
      </c>
      <c r="U437" t="s">
        <v>8328</v>
      </c>
      <c r="V437" t="s">
        <v>8329</v>
      </c>
      <c r="W437" t="s">
        <v>5731</v>
      </c>
      <c r="X437" t="str">
        <f t="shared" si="6"/>
        <v>Inversión</v>
      </c>
      <c r="Y437" t="s">
        <v>5735</v>
      </c>
    </row>
    <row r="438" spans="1:25" x14ac:dyDescent="0.25">
      <c r="A438" t="s">
        <v>8330</v>
      </c>
      <c r="B438" t="s">
        <v>8319</v>
      </c>
      <c r="C438" t="s">
        <v>8331</v>
      </c>
      <c r="D438" t="s">
        <v>5720</v>
      </c>
      <c r="E438" t="s">
        <v>5721</v>
      </c>
      <c r="F438" t="s">
        <v>5733</v>
      </c>
      <c r="G438" t="s">
        <v>5723</v>
      </c>
      <c r="H438" t="s">
        <v>461</v>
      </c>
      <c r="I438" t="s">
        <v>644</v>
      </c>
      <c r="J438" t="s">
        <v>266</v>
      </c>
      <c r="K438" t="s">
        <v>5724</v>
      </c>
      <c r="L438" t="s">
        <v>267</v>
      </c>
      <c r="M438">
        <v>62494640</v>
      </c>
      <c r="N438">
        <v>0</v>
      </c>
      <c r="O438">
        <v>62494640</v>
      </c>
      <c r="P438">
        <v>0</v>
      </c>
      <c r="Q438" t="s">
        <v>8332</v>
      </c>
      <c r="R438" t="s">
        <v>7591</v>
      </c>
      <c r="S438" t="s">
        <v>8333</v>
      </c>
      <c r="T438" t="s">
        <v>8334</v>
      </c>
      <c r="U438" t="s">
        <v>8335</v>
      </c>
      <c r="V438" t="s">
        <v>8336</v>
      </c>
      <c r="W438" t="s">
        <v>5731</v>
      </c>
      <c r="X438" t="str">
        <f t="shared" si="6"/>
        <v>Inversión</v>
      </c>
      <c r="Y438" t="s">
        <v>5735</v>
      </c>
    </row>
    <row r="439" spans="1:25" x14ac:dyDescent="0.25">
      <c r="A439" t="s">
        <v>8337</v>
      </c>
      <c r="B439" t="s">
        <v>8319</v>
      </c>
      <c r="C439" t="s">
        <v>8338</v>
      </c>
      <c r="D439" t="s">
        <v>5720</v>
      </c>
      <c r="E439" t="s">
        <v>5721</v>
      </c>
      <c r="F439" t="s">
        <v>5733</v>
      </c>
      <c r="G439" t="s">
        <v>5723</v>
      </c>
      <c r="H439" t="s">
        <v>461</v>
      </c>
      <c r="I439" t="s">
        <v>644</v>
      </c>
      <c r="J439" t="s">
        <v>266</v>
      </c>
      <c r="K439" t="s">
        <v>5724</v>
      </c>
      <c r="L439" t="s">
        <v>267</v>
      </c>
      <c r="M439">
        <v>13357415</v>
      </c>
      <c r="N439">
        <v>0</v>
      </c>
      <c r="O439">
        <v>13357415</v>
      </c>
      <c r="P439">
        <v>0</v>
      </c>
      <c r="Q439" t="s">
        <v>8339</v>
      </c>
      <c r="R439" t="s">
        <v>7378</v>
      </c>
      <c r="S439" t="s">
        <v>8340</v>
      </c>
      <c r="T439" t="s">
        <v>8341</v>
      </c>
      <c r="U439" t="s">
        <v>8342</v>
      </c>
      <c r="V439" t="s">
        <v>8343</v>
      </c>
      <c r="W439" t="s">
        <v>5731</v>
      </c>
      <c r="X439" t="str">
        <f t="shared" si="6"/>
        <v>Inversión</v>
      </c>
      <c r="Y439" t="s">
        <v>5735</v>
      </c>
    </row>
    <row r="440" spans="1:25" x14ac:dyDescent="0.25">
      <c r="A440" t="s">
        <v>8344</v>
      </c>
      <c r="B440" t="s">
        <v>8319</v>
      </c>
      <c r="C440" t="s">
        <v>8345</v>
      </c>
      <c r="D440" t="s">
        <v>5720</v>
      </c>
      <c r="E440" t="s">
        <v>5721</v>
      </c>
      <c r="F440" t="s">
        <v>5733</v>
      </c>
      <c r="G440" t="s">
        <v>5723</v>
      </c>
      <c r="H440" t="s">
        <v>461</v>
      </c>
      <c r="I440" t="s">
        <v>644</v>
      </c>
      <c r="J440" t="s">
        <v>266</v>
      </c>
      <c r="K440" t="s">
        <v>5724</v>
      </c>
      <c r="L440" t="s">
        <v>267</v>
      </c>
      <c r="M440">
        <v>13357415</v>
      </c>
      <c r="N440">
        <v>0</v>
      </c>
      <c r="O440">
        <v>13357415</v>
      </c>
      <c r="P440">
        <v>0</v>
      </c>
      <c r="Q440" t="s">
        <v>8346</v>
      </c>
      <c r="R440" t="s">
        <v>6598</v>
      </c>
      <c r="S440" t="s">
        <v>8347</v>
      </c>
      <c r="T440" t="s">
        <v>8348</v>
      </c>
      <c r="U440" t="s">
        <v>8349</v>
      </c>
      <c r="V440" t="s">
        <v>8350</v>
      </c>
      <c r="W440" t="s">
        <v>5731</v>
      </c>
      <c r="X440" t="str">
        <f t="shared" si="6"/>
        <v>Inversión</v>
      </c>
      <c r="Y440" t="s">
        <v>5735</v>
      </c>
    </row>
    <row r="441" spans="1:25" x14ac:dyDescent="0.25">
      <c r="A441" t="s">
        <v>6537</v>
      </c>
      <c r="B441" t="s">
        <v>8319</v>
      </c>
      <c r="C441" t="s">
        <v>8351</v>
      </c>
      <c r="D441" t="s">
        <v>5720</v>
      </c>
      <c r="E441" t="s">
        <v>5721</v>
      </c>
      <c r="F441" t="s">
        <v>5733</v>
      </c>
      <c r="G441" t="s">
        <v>5723</v>
      </c>
      <c r="H441" t="s">
        <v>461</v>
      </c>
      <c r="I441" t="s">
        <v>644</v>
      </c>
      <c r="J441" t="s">
        <v>266</v>
      </c>
      <c r="K441" t="s">
        <v>5724</v>
      </c>
      <c r="L441" t="s">
        <v>267</v>
      </c>
      <c r="M441">
        <v>24882120</v>
      </c>
      <c r="N441">
        <v>0</v>
      </c>
      <c r="O441">
        <v>24882120</v>
      </c>
      <c r="P441">
        <v>0</v>
      </c>
      <c r="Q441" t="s">
        <v>8352</v>
      </c>
      <c r="R441" t="s">
        <v>7663</v>
      </c>
      <c r="S441" t="s">
        <v>8353</v>
      </c>
      <c r="T441" t="s">
        <v>8354</v>
      </c>
      <c r="U441" t="s">
        <v>8355</v>
      </c>
      <c r="V441" t="s">
        <v>8356</v>
      </c>
      <c r="W441" t="s">
        <v>5731</v>
      </c>
      <c r="X441" t="str">
        <f t="shared" si="6"/>
        <v>Inversión</v>
      </c>
      <c r="Y441" t="s">
        <v>5735</v>
      </c>
    </row>
    <row r="442" spans="1:25" x14ac:dyDescent="0.25">
      <c r="A442" t="s">
        <v>8115</v>
      </c>
      <c r="B442" t="s">
        <v>8319</v>
      </c>
      <c r="C442" t="s">
        <v>8357</v>
      </c>
      <c r="D442" t="s">
        <v>5720</v>
      </c>
      <c r="E442" t="s">
        <v>5721</v>
      </c>
      <c r="F442" t="s">
        <v>5733</v>
      </c>
      <c r="G442" t="s">
        <v>5723</v>
      </c>
      <c r="H442" t="s">
        <v>461</v>
      </c>
      <c r="I442" t="s">
        <v>644</v>
      </c>
      <c r="J442" t="s">
        <v>266</v>
      </c>
      <c r="K442" t="s">
        <v>5724</v>
      </c>
      <c r="L442" t="s">
        <v>267</v>
      </c>
      <c r="M442">
        <v>27370332</v>
      </c>
      <c r="N442">
        <v>0</v>
      </c>
      <c r="O442">
        <v>27370332</v>
      </c>
      <c r="P442">
        <v>0</v>
      </c>
      <c r="Q442" t="s">
        <v>8358</v>
      </c>
      <c r="R442" t="s">
        <v>7707</v>
      </c>
      <c r="S442" t="s">
        <v>8359</v>
      </c>
      <c r="T442" t="s">
        <v>8360</v>
      </c>
      <c r="U442" t="s">
        <v>8361</v>
      </c>
      <c r="V442" t="s">
        <v>8362</v>
      </c>
      <c r="W442" t="s">
        <v>5731</v>
      </c>
      <c r="X442" t="str">
        <f t="shared" si="6"/>
        <v>Inversión</v>
      </c>
      <c r="Y442" t="s">
        <v>5735</v>
      </c>
    </row>
    <row r="443" spans="1:25" x14ac:dyDescent="0.25">
      <c r="A443" t="s">
        <v>8363</v>
      </c>
      <c r="B443" t="s">
        <v>8319</v>
      </c>
      <c r="C443" t="s">
        <v>8364</v>
      </c>
      <c r="D443" t="s">
        <v>5720</v>
      </c>
      <c r="E443" t="s">
        <v>5721</v>
      </c>
      <c r="F443" t="s">
        <v>5733</v>
      </c>
      <c r="G443" t="s">
        <v>5723</v>
      </c>
      <c r="H443" t="s">
        <v>461</v>
      </c>
      <c r="I443" t="s">
        <v>644</v>
      </c>
      <c r="J443" t="s">
        <v>266</v>
      </c>
      <c r="K443" t="s">
        <v>5724</v>
      </c>
      <c r="L443" t="s">
        <v>267</v>
      </c>
      <c r="M443">
        <v>23661534</v>
      </c>
      <c r="N443">
        <v>0</v>
      </c>
      <c r="O443">
        <v>23661534</v>
      </c>
      <c r="P443">
        <v>2426824</v>
      </c>
      <c r="Q443" t="s">
        <v>8365</v>
      </c>
      <c r="R443" t="s">
        <v>7728</v>
      </c>
      <c r="S443" t="s">
        <v>8366</v>
      </c>
      <c r="T443" t="s">
        <v>8367</v>
      </c>
      <c r="U443" t="s">
        <v>8368</v>
      </c>
      <c r="V443" t="s">
        <v>8369</v>
      </c>
      <c r="W443" t="s">
        <v>5731</v>
      </c>
      <c r="X443" t="str">
        <f t="shared" si="6"/>
        <v>Inversión</v>
      </c>
      <c r="Y443" t="s">
        <v>5735</v>
      </c>
    </row>
    <row r="444" spans="1:25" x14ac:dyDescent="0.25">
      <c r="A444" t="s">
        <v>8370</v>
      </c>
      <c r="B444" t="s">
        <v>8319</v>
      </c>
      <c r="C444" t="s">
        <v>8371</v>
      </c>
      <c r="D444" t="s">
        <v>5720</v>
      </c>
      <c r="E444" t="s">
        <v>5721</v>
      </c>
      <c r="F444" t="s">
        <v>5733</v>
      </c>
      <c r="G444" t="s">
        <v>5723</v>
      </c>
      <c r="H444" t="s">
        <v>461</v>
      </c>
      <c r="I444" t="s">
        <v>644</v>
      </c>
      <c r="J444" t="s">
        <v>266</v>
      </c>
      <c r="K444" t="s">
        <v>5724</v>
      </c>
      <c r="L444" t="s">
        <v>267</v>
      </c>
      <c r="M444">
        <v>19827500</v>
      </c>
      <c r="N444">
        <v>0</v>
      </c>
      <c r="O444">
        <v>19827500</v>
      </c>
      <c r="P444">
        <v>5665000</v>
      </c>
      <c r="Q444" t="s">
        <v>8372</v>
      </c>
      <c r="R444" t="s">
        <v>7365</v>
      </c>
      <c r="S444" t="s">
        <v>8373</v>
      </c>
      <c r="T444" t="s">
        <v>8374</v>
      </c>
      <c r="U444" t="s">
        <v>8375</v>
      </c>
      <c r="V444" t="s">
        <v>8376</v>
      </c>
      <c r="W444" t="s">
        <v>5731</v>
      </c>
      <c r="X444" t="str">
        <f t="shared" si="6"/>
        <v>Inversión</v>
      </c>
      <c r="Y444" t="s">
        <v>5735</v>
      </c>
    </row>
    <row r="445" spans="1:25" x14ac:dyDescent="0.25">
      <c r="A445" t="s">
        <v>6892</v>
      </c>
      <c r="B445" t="s">
        <v>8377</v>
      </c>
      <c r="C445" t="s">
        <v>8378</v>
      </c>
      <c r="D445" t="s">
        <v>5720</v>
      </c>
      <c r="E445" t="s">
        <v>5721</v>
      </c>
      <c r="F445" t="s">
        <v>5802</v>
      </c>
      <c r="G445" t="s">
        <v>5723</v>
      </c>
      <c r="H445" t="s">
        <v>463</v>
      </c>
      <c r="I445" t="s">
        <v>639</v>
      </c>
      <c r="J445" t="s">
        <v>273</v>
      </c>
      <c r="K445" t="s">
        <v>5734</v>
      </c>
      <c r="L445" t="s">
        <v>267</v>
      </c>
      <c r="M445">
        <v>38000000</v>
      </c>
      <c r="N445">
        <v>-4550780</v>
      </c>
      <c r="O445">
        <v>33449220</v>
      </c>
      <c r="P445">
        <v>0</v>
      </c>
      <c r="Q445" t="s">
        <v>8379</v>
      </c>
      <c r="R445" t="s">
        <v>7670</v>
      </c>
      <c r="S445" t="s">
        <v>8380</v>
      </c>
      <c r="T445" t="s">
        <v>8381</v>
      </c>
      <c r="U445" t="s">
        <v>8382</v>
      </c>
      <c r="V445" t="s">
        <v>8383</v>
      </c>
      <c r="W445" t="s">
        <v>5731</v>
      </c>
      <c r="X445" t="str">
        <f t="shared" si="6"/>
        <v>Inversión</v>
      </c>
      <c r="Y445" t="s">
        <v>5810</v>
      </c>
    </row>
    <row r="446" spans="1:25" x14ac:dyDescent="0.25">
      <c r="A446" t="s">
        <v>7692</v>
      </c>
      <c r="B446" t="s">
        <v>8377</v>
      </c>
      <c r="C446" t="s">
        <v>8384</v>
      </c>
      <c r="D446" t="s">
        <v>5720</v>
      </c>
      <c r="E446" t="s">
        <v>5721</v>
      </c>
      <c r="F446" t="s">
        <v>5802</v>
      </c>
      <c r="G446" t="s">
        <v>5723</v>
      </c>
      <c r="H446" t="s">
        <v>444</v>
      </c>
      <c r="I446" t="s">
        <v>634</v>
      </c>
      <c r="J446" t="s">
        <v>266</v>
      </c>
      <c r="K446" t="s">
        <v>5724</v>
      </c>
      <c r="L446" t="s">
        <v>267</v>
      </c>
      <c r="M446">
        <v>5035948</v>
      </c>
      <c r="N446">
        <v>-2009816</v>
      </c>
      <c r="O446">
        <v>3026132</v>
      </c>
      <c r="P446">
        <v>0</v>
      </c>
      <c r="Q446" t="s">
        <v>8385</v>
      </c>
      <c r="R446" t="s">
        <v>6797</v>
      </c>
      <c r="S446" t="s">
        <v>8386</v>
      </c>
      <c r="T446" t="s">
        <v>8387</v>
      </c>
      <c r="U446" t="s">
        <v>8388</v>
      </c>
      <c r="V446" t="s">
        <v>8389</v>
      </c>
      <c r="W446" t="s">
        <v>5731</v>
      </c>
      <c r="X446" t="str">
        <f t="shared" si="6"/>
        <v>Inversión</v>
      </c>
      <c r="Y446" t="s">
        <v>5810</v>
      </c>
    </row>
    <row r="447" spans="1:25" x14ac:dyDescent="0.25">
      <c r="A447" t="s">
        <v>7686</v>
      </c>
      <c r="B447" t="s">
        <v>8377</v>
      </c>
      <c r="C447" t="s">
        <v>8390</v>
      </c>
      <c r="D447" t="s">
        <v>5720</v>
      </c>
      <c r="E447" t="s">
        <v>5737</v>
      </c>
      <c r="F447" t="s">
        <v>5802</v>
      </c>
      <c r="G447" t="s">
        <v>5723</v>
      </c>
      <c r="H447" t="s">
        <v>463</v>
      </c>
      <c r="I447" t="s">
        <v>639</v>
      </c>
      <c r="J447" t="s">
        <v>266</v>
      </c>
      <c r="K447" t="s">
        <v>5724</v>
      </c>
      <c r="L447" t="s">
        <v>267</v>
      </c>
      <c r="M447">
        <v>5868915</v>
      </c>
      <c r="N447">
        <v>-5868915</v>
      </c>
      <c r="O447">
        <v>0</v>
      </c>
      <c r="P447">
        <v>0</v>
      </c>
      <c r="Q447" t="s">
        <v>8391</v>
      </c>
      <c r="R447" t="s">
        <v>8392</v>
      </c>
      <c r="S447" t="s">
        <v>5731</v>
      </c>
      <c r="T447" t="s">
        <v>5731</v>
      </c>
      <c r="U447" t="s">
        <v>5731</v>
      </c>
      <c r="V447" t="s">
        <v>5731</v>
      </c>
      <c r="W447" t="s">
        <v>5731</v>
      </c>
      <c r="X447" t="str">
        <f t="shared" si="6"/>
        <v>Inversión</v>
      </c>
      <c r="Y447" t="s">
        <v>5810</v>
      </c>
    </row>
    <row r="448" spans="1:25" x14ac:dyDescent="0.25">
      <c r="A448" t="s">
        <v>6874</v>
      </c>
      <c r="B448" t="s">
        <v>8393</v>
      </c>
      <c r="C448" t="s">
        <v>8394</v>
      </c>
      <c r="D448" t="s">
        <v>5720</v>
      </c>
      <c r="E448" t="s">
        <v>5721</v>
      </c>
      <c r="F448" t="s">
        <v>5802</v>
      </c>
      <c r="G448" t="s">
        <v>5723</v>
      </c>
      <c r="H448" t="s">
        <v>463</v>
      </c>
      <c r="I448" t="s">
        <v>639</v>
      </c>
      <c r="J448" t="s">
        <v>266</v>
      </c>
      <c r="K448" t="s">
        <v>5724</v>
      </c>
      <c r="L448" t="s">
        <v>267</v>
      </c>
      <c r="M448">
        <v>1212265</v>
      </c>
      <c r="N448">
        <v>0</v>
      </c>
      <c r="O448">
        <v>1212265</v>
      </c>
      <c r="P448">
        <v>0</v>
      </c>
      <c r="Q448" t="s">
        <v>8395</v>
      </c>
      <c r="R448" t="s">
        <v>8396</v>
      </c>
      <c r="S448" t="s">
        <v>6156</v>
      </c>
      <c r="T448" t="s">
        <v>8397</v>
      </c>
      <c r="U448" t="s">
        <v>8398</v>
      </c>
      <c r="V448" t="s">
        <v>8399</v>
      </c>
      <c r="W448" t="s">
        <v>5731</v>
      </c>
      <c r="X448" t="str">
        <f t="shared" si="6"/>
        <v>Inversión</v>
      </c>
      <c r="Y448" t="s">
        <v>5810</v>
      </c>
    </row>
    <row r="449" spans="1:25" x14ac:dyDescent="0.25">
      <c r="A449" t="s">
        <v>6090</v>
      </c>
      <c r="B449" t="s">
        <v>8400</v>
      </c>
      <c r="C449" t="s">
        <v>8401</v>
      </c>
      <c r="D449" t="s">
        <v>5720</v>
      </c>
      <c r="E449" t="s">
        <v>5721</v>
      </c>
      <c r="F449" t="s">
        <v>5733</v>
      </c>
      <c r="G449" t="s">
        <v>5723</v>
      </c>
      <c r="H449" t="s">
        <v>461</v>
      </c>
      <c r="I449" t="s">
        <v>644</v>
      </c>
      <c r="J449" t="s">
        <v>273</v>
      </c>
      <c r="K449" t="s">
        <v>5734</v>
      </c>
      <c r="L449" t="s">
        <v>267</v>
      </c>
      <c r="M449">
        <v>46062344</v>
      </c>
      <c r="N449">
        <v>-9980174</v>
      </c>
      <c r="O449">
        <v>36082170</v>
      </c>
      <c r="P449">
        <v>0</v>
      </c>
      <c r="Q449" t="s">
        <v>8402</v>
      </c>
      <c r="R449" t="s">
        <v>7400</v>
      </c>
      <c r="S449" t="s">
        <v>8403</v>
      </c>
      <c r="T449" t="s">
        <v>8404</v>
      </c>
      <c r="U449" t="s">
        <v>8405</v>
      </c>
      <c r="V449" t="s">
        <v>8406</v>
      </c>
      <c r="W449" t="s">
        <v>5731</v>
      </c>
      <c r="X449" t="str">
        <f t="shared" si="6"/>
        <v>Inversión</v>
      </c>
      <c r="Y449" t="s">
        <v>5735</v>
      </c>
    </row>
    <row r="450" spans="1:25" x14ac:dyDescent="0.25">
      <c r="A450" t="s">
        <v>8138</v>
      </c>
      <c r="B450" t="s">
        <v>8400</v>
      </c>
      <c r="C450" t="s">
        <v>8407</v>
      </c>
      <c r="D450" t="s">
        <v>5720</v>
      </c>
      <c r="E450" t="s">
        <v>5721</v>
      </c>
      <c r="F450" t="s">
        <v>5733</v>
      </c>
      <c r="G450" t="s">
        <v>5723</v>
      </c>
      <c r="H450" t="s">
        <v>461</v>
      </c>
      <c r="I450" t="s">
        <v>644</v>
      </c>
      <c r="J450" t="s">
        <v>273</v>
      </c>
      <c r="K450" t="s">
        <v>5734</v>
      </c>
      <c r="L450" t="s">
        <v>267</v>
      </c>
      <c r="M450">
        <v>69663808</v>
      </c>
      <c r="N450">
        <v>0</v>
      </c>
      <c r="O450">
        <v>69663808</v>
      </c>
      <c r="P450">
        <v>23221269</v>
      </c>
      <c r="Q450" t="s">
        <v>8408</v>
      </c>
      <c r="R450" t="s">
        <v>8409</v>
      </c>
      <c r="S450" t="s">
        <v>8410</v>
      </c>
      <c r="T450" t="s">
        <v>8411</v>
      </c>
      <c r="U450" t="s">
        <v>8412</v>
      </c>
      <c r="V450" t="s">
        <v>8413</v>
      </c>
      <c r="W450" t="s">
        <v>5731</v>
      </c>
      <c r="X450" t="str">
        <f t="shared" ref="X450:X513" si="7">IF(LEFT(H450,1)="C","Inversión","Funcionamiento")</f>
        <v>Inversión</v>
      </c>
      <c r="Y450" t="s">
        <v>5735</v>
      </c>
    </row>
    <row r="451" spans="1:25" x14ac:dyDescent="0.25">
      <c r="A451" t="s">
        <v>8414</v>
      </c>
      <c r="B451" t="s">
        <v>8400</v>
      </c>
      <c r="C451" t="s">
        <v>8407</v>
      </c>
      <c r="D451" t="s">
        <v>5720</v>
      </c>
      <c r="E451" t="s">
        <v>5737</v>
      </c>
      <c r="F451" t="s">
        <v>5733</v>
      </c>
      <c r="G451" t="s">
        <v>5723</v>
      </c>
      <c r="H451" t="s">
        <v>461</v>
      </c>
      <c r="I451" t="s">
        <v>644</v>
      </c>
      <c r="J451" t="s">
        <v>273</v>
      </c>
      <c r="K451" t="s">
        <v>5734</v>
      </c>
      <c r="L451" t="s">
        <v>267</v>
      </c>
      <c r="M451">
        <v>29121888</v>
      </c>
      <c r="N451">
        <v>0</v>
      </c>
      <c r="O451">
        <v>29121888</v>
      </c>
      <c r="P451">
        <v>29121888</v>
      </c>
      <c r="Q451" t="s">
        <v>8415</v>
      </c>
      <c r="R451" t="s">
        <v>8416</v>
      </c>
      <c r="S451" t="s">
        <v>5731</v>
      </c>
      <c r="T451" t="s">
        <v>5731</v>
      </c>
      <c r="U451" t="s">
        <v>5731</v>
      </c>
      <c r="V451" t="s">
        <v>5731</v>
      </c>
      <c r="W451" t="s">
        <v>5731</v>
      </c>
      <c r="X451" t="str">
        <f t="shared" si="7"/>
        <v>Inversión</v>
      </c>
      <c r="Y451" t="s">
        <v>5735</v>
      </c>
    </row>
    <row r="452" spans="1:25" x14ac:dyDescent="0.25">
      <c r="A452" t="s">
        <v>8146</v>
      </c>
      <c r="B452" t="s">
        <v>8400</v>
      </c>
      <c r="C452" t="s">
        <v>8417</v>
      </c>
      <c r="D452" t="s">
        <v>5720</v>
      </c>
      <c r="E452" t="s">
        <v>5721</v>
      </c>
      <c r="F452" t="s">
        <v>5733</v>
      </c>
      <c r="G452" t="s">
        <v>5723</v>
      </c>
      <c r="H452" t="s">
        <v>461</v>
      </c>
      <c r="I452" t="s">
        <v>644</v>
      </c>
      <c r="J452" t="s">
        <v>273</v>
      </c>
      <c r="K452" t="s">
        <v>5734</v>
      </c>
      <c r="L452" t="s">
        <v>267</v>
      </c>
      <c r="M452">
        <v>97439200</v>
      </c>
      <c r="N452">
        <v>0</v>
      </c>
      <c r="O452">
        <v>97439200</v>
      </c>
      <c r="P452">
        <v>38569683</v>
      </c>
      <c r="Q452" t="s">
        <v>8418</v>
      </c>
      <c r="R452" t="s">
        <v>7426</v>
      </c>
      <c r="S452" t="s">
        <v>8419</v>
      </c>
      <c r="T452" t="s">
        <v>5731</v>
      </c>
      <c r="U452" t="s">
        <v>5731</v>
      </c>
      <c r="V452" t="s">
        <v>5731</v>
      </c>
      <c r="W452" t="s">
        <v>5731</v>
      </c>
      <c r="X452" t="str">
        <f t="shared" si="7"/>
        <v>Inversión</v>
      </c>
      <c r="Y452" t="s">
        <v>5735</v>
      </c>
    </row>
    <row r="453" spans="1:25" x14ac:dyDescent="0.25">
      <c r="A453" t="s">
        <v>8153</v>
      </c>
      <c r="B453" t="s">
        <v>8400</v>
      </c>
      <c r="C453" t="s">
        <v>8420</v>
      </c>
      <c r="D453" t="s">
        <v>5720</v>
      </c>
      <c r="E453" t="s">
        <v>5969</v>
      </c>
      <c r="F453" t="s">
        <v>5733</v>
      </c>
      <c r="G453" t="s">
        <v>5723</v>
      </c>
      <c r="H453" t="s">
        <v>461</v>
      </c>
      <c r="I453" t="s">
        <v>644</v>
      </c>
      <c r="J453" t="s">
        <v>273</v>
      </c>
      <c r="K453" t="s">
        <v>5734</v>
      </c>
      <c r="L453" t="s">
        <v>267</v>
      </c>
      <c r="M453">
        <v>11250000</v>
      </c>
      <c r="N453">
        <v>-11250000</v>
      </c>
      <c r="O453">
        <v>0</v>
      </c>
      <c r="P453">
        <v>0</v>
      </c>
      <c r="Q453" t="s">
        <v>8421</v>
      </c>
      <c r="R453" t="s">
        <v>7406</v>
      </c>
      <c r="S453" t="s">
        <v>5731</v>
      </c>
      <c r="T453" t="s">
        <v>5731</v>
      </c>
      <c r="U453" t="s">
        <v>5731</v>
      </c>
      <c r="V453" t="s">
        <v>5731</v>
      </c>
      <c r="W453" t="s">
        <v>5731</v>
      </c>
      <c r="X453" t="str">
        <f t="shared" si="7"/>
        <v>Inversión</v>
      </c>
      <c r="Y453" t="s">
        <v>5735</v>
      </c>
    </row>
    <row r="454" spans="1:25" x14ac:dyDescent="0.25">
      <c r="A454" t="s">
        <v>8422</v>
      </c>
      <c r="B454" t="s">
        <v>8400</v>
      </c>
      <c r="C454" t="s">
        <v>8423</v>
      </c>
      <c r="D454" t="s">
        <v>5720</v>
      </c>
      <c r="E454" t="s">
        <v>5721</v>
      </c>
      <c r="F454" t="s">
        <v>5733</v>
      </c>
      <c r="G454" t="s">
        <v>5723</v>
      </c>
      <c r="H454" t="s">
        <v>461</v>
      </c>
      <c r="I454" t="s">
        <v>644</v>
      </c>
      <c r="J454" t="s">
        <v>273</v>
      </c>
      <c r="K454" t="s">
        <v>5734</v>
      </c>
      <c r="L454" t="s">
        <v>267</v>
      </c>
      <c r="M454">
        <v>20036123</v>
      </c>
      <c r="N454">
        <v>-1335742</v>
      </c>
      <c r="O454">
        <v>18700381</v>
      </c>
      <c r="P454">
        <v>0</v>
      </c>
      <c r="Q454" t="s">
        <v>8421</v>
      </c>
      <c r="R454" t="s">
        <v>7385</v>
      </c>
      <c r="S454" t="s">
        <v>8424</v>
      </c>
      <c r="T454" t="s">
        <v>8425</v>
      </c>
      <c r="U454" t="s">
        <v>8426</v>
      </c>
      <c r="V454" t="s">
        <v>8427</v>
      </c>
      <c r="W454" t="s">
        <v>5731</v>
      </c>
      <c r="X454" t="str">
        <f t="shared" si="7"/>
        <v>Inversión</v>
      </c>
      <c r="Y454" t="s">
        <v>5735</v>
      </c>
    </row>
    <row r="455" spans="1:25" x14ac:dyDescent="0.25">
      <c r="A455" t="s">
        <v>8191</v>
      </c>
      <c r="B455" t="s">
        <v>8400</v>
      </c>
      <c r="C455" t="s">
        <v>8428</v>
      </c>
      <c r="D455" t="s">
        <v>5720</v>
      </c>
      <c r="E455" t="s">
        <v>5721</v>
      </c>
      <c r="F455" t="s">
        <v>5733</v>
      </c>
      <c r="G455" t="s">
        <v>5723</v>
      </c>
      <c r="H455" t="s">
        <v>461</v>
      </c>
      <c r="I455" t="s">
        <v>644</v>
      </c>
      <c r="J455" t="s">
        <v>273</v>
      </c>
      <c r="K455" t="s">
        <v>5734</v>
      </c>
      <c r="L455" t="s">
        <v>267</v>
      </c>
      <c r="M455">
        <v>11250000</v>
      </c>
      <c r="N455">
        <v>0</v>
      </c>
      <c r="O455">
        <v>11250000</v>
      </c>
      <c r="P455">
        <v>1500000</v>
      </c>
      <c r="Q455" t="s">
        <v>8429</v>
      </c>
      <c r="R455" t="s">
        <v>7406</v>
      </c>
      <c r="S455" t="s">
        <v>8430</v>
      </c>
      <c r="T455" t="s">
        <v>5731</v>
      </c>
      <c r="U455" t="s">
        <v>5731</v>
      </c>
      <c r="V455" t="s">
        <v>5731</v>
      </c>
      <c r="W455" t="s">
        <v>5731</v>
      </c>
      <c r="X455" t="str">
        <f t="shared" si="7"/>
        <v>Inversión</v>
      </c>
      <c r="Y455" t="s">
        <v>5735</v>
      </c>
    </row>
    <row r="456" spans="1:25" x14ac:dyDescent="0.25">
      <c r="A456" t="s">
        <v>8431</v>
      </c>
      <c r="B456" t="s">
        <v>8432</v>
      </c>
      <c r="C456" t="s">
        <v>8433</v>
      </c>
      <c r="D456" t="s">
        <v>5720</v>
      </c>
      <c r="E456" t="s">
        <v>5737</v>
      </c>
      <c r="F456" t="s">
        <v>5722</v>
      </c>
      <c r="G456" t="s">
        <v>5723</v>
      </c>
      <c r="H456" t="s">
        <v>465</v>
      </c>
      <c r="I456" t="s">
        <v>661</v>
      </c>
      <c r="J456" t="s">
        <v>266</v>
      </c>
      <c r="K456" t="s">
        <v>5724</v>
      </c>
      <c r="L456" t="s">
        <v>267</v>
      </c>
      <c r="M456">
        <v>60000000</v>
      </c>
      <c r="N456">
        <v>0</v>
      </c>
      <c r="O456">
        <v>60000000</v>
      </c>
      <c r="P456">
        <v>60000000</v>
      </c>
      <c r="Q456" t="s">
        <v>8434</v>
      </c>
      <c r="R456" t="s">
        <v>7476</v>
      </c>
      <c r="S456" t="s">
        <v>5731</v>
      </c>
      <c r="T456" t="s">
        <v>5731</v>
      </c>
      <c r="U456" t="s">
        <v>5731</v>
      </c>
      <c r="V456" t="s">
        <v>5731</v>
      </c>
      <c r="W456" t="s">
        <v>5731</v>
      </c>
      <c r="X456" t="str">
        <f t="shared" si="7"/>
        <v>Inversión</v>
      </c>
      <c r="Y456" t="s">
        <v>5732</v>
      </c>
    </row>
    <row r="457" spans="1:25" x14ac:dyDescent="0.25">
      <c r="A457" t="s">
        <v>8206</v>
      </c>
      <c r="B457" t="s">
        <v>8435</v>
      </c>
      <c r="C457" t="s">
        <v>8436</v>
      </c>
      <c r="D457" t="s">
        <v>5720</v>
      </c>
      <c r="E457" t="s">
        <v>5721</v>
      </c>
      <c r="F457" t="s">
        <v>6356</v>
      </c>
      <c r="G457" t="s">
        <v>5723</v>
      </c>
      <c r="H457" t="s">
        <v>550</v>
      </c>
      <c r="I457" t="s">
        <v>642</v>
      </c>
      <c r="J457" t="s">
        <v>266</v>
      </c>
      <c r="K457" t="s">
        <v>5724</v>
      </c>
      <c r="L457" t="s">
        <v>267</v>
      </c>
      <c r="M457">
        <v>864567</v>
      </c>
      <c r="N457">
        <v>0</v>
      </c>
      <c r="O457">
        <v>864567</v>
      </c>
      <c r="P457">
        <v>9</v>
      </c>
      <c r="Q457" t="s">
        <v>7928</v>
      </c>
      <c r="R457" t="s">
        <v>8437</v>
      </c>
      <c r="S457" t="s">
        <v>8438</v>
      </c>
      <c r="T457" t="s">
        <v>8439</v>
      </c>
      <c r="U457" t="s">
        <v>8440</v>
      </c>
      <c r="V457" t="s">
        <v>8441</v>
      </c>
      <c r="W457" t="s">
        <v>5731</v>
      </c>
      <c r="X457" t="str">
        <f t="shared" si="7"/>
        <v>Inversión</v>
      </c>
      <c r="Y457" t="s">
        <v>6362</v>
      </c>
    </row>
    <row r="458" spans="1:25" x14ac:dyDescent="0.25">
      <c r="A458" t="s">
        <v>7420</v>
      </c>
      <c r="B458" t="s">
        <v>8442</v>
      </c>
      <c r="C458" t="s">
        <v>8443</v>
      </c>
      <c r="D458" t="s">
        <v>5720</v>
      </c>
      <c r="E458" t="s">
        <v>5721</v>
      </c>
      <c r="F458" t="s">
        <v>5722</v>
      </c>
      <c r="G458" t="s">
        <v>5723</v>
      </c>
      <c r="H458" t="s">
        <v>558</v>
      </c>
      <c r="I458" t="s">
        <v>669</v>
      </c>
      <c r="J458" t="s">
        <v>266</v>
      </c>
      <c r="K458" t="s">
        <v>5724</v>
      </c>
      <c r="L458" t="s">
        <v>267</v>
      </c>
      <c r="M458">
        <v>43135393</v>
      </c>
      <c r="N458">
        <v>0</v>
      </c>
      <c r="O458">
        <v>43135393</v>
      </c>
      <c r="P458">
        <v>0</v>
      </c>
      <c r="Q458" t="s">
        <v>8444</v>
      </c>
      <c r="R458" t="s">
        <v>7634</v>
      </c>
      <c r="S458" t="s">
        <v>8445</v>
      </c>
      <c r="T458" t="s">
        <v>8446</v>
      </c>
      <c r="U458" t="s">
        <v>8447</v>
      </c>
      <c r="V458" t="s">
        <v>8448</v>
      </c>
      <c r="W458" t="s">
        <v>5731</v>
      </c>
      <c r="X458" t="str">
        <f t="shared" si="7"/>
        <v>Inversión</v>
      </c>
      <c r="Y458" t="s">
        <v>5732</v>
      </c>
    </row>
    <row r="459" spans="1:25" x14ac:dyDescent="0.25">
      <c r="A459" t="s">
        <v>6082</v>
      </c>
      <c r="B459" t="s">
        <v>8442</v>
      </c>
      <c r="C459" t="s">
        <v>8449</v>
      </c>
      <c r="D459" t="s">
        <v>5720</v>
      </c>
      <c r="E459" t="s">
        <v>5721</v>
      </c>
      <c r="F459" t="s">
        <v>6356</v>
      </c>
      <c r="G459" t="s">
        <v>5723</v>
      </c>
      <c r="H459" t="s">
        <v>550</v>
      </c>
      <c r="I459" t="s">
        <v>642</v>
      </c>
      <c r="J459" t="s">
        <v>266</v>
      </c>
      <c r="K459" t="s">
        <v>5724</v>
      </c>
      <c r="L459" t="s">
        <v>267</v>
      </c>
      <c r="M459">
        <v>95706</v>
      </c>
      <c r="N459">
        <v>0</v>
      </c>
      <c r="O459">
        <v>95706</v>
      </c>
      <c r="P459">
        <v>0</v>
      </c>
      <c r="Q459" t="s">
        <v>8450</v>
      </c>
      <c r="R459" t="s">
        <v>8451</v>
      </c>
      <c r="S459" t="s">
        <v>6385</v>
      </c>
      <c r="T459" t="s">
        <v>8452</v>
      </c>
      <c r="U459" t="s">
        <v>8453</v>
      </c>
      <c r="V459" t="s">
        <v>8454</v>
      </c>
      <c r="W459" t="s">
        <v>5731</v>
      </c>
      <c r="X459" t="str">
        <f t="shared" si="7"/>
        <v>Inversión</v>
      </c>
      <c r="Y459" t="s">
        <v>6362</v>
      </c>
    </row>
    <row r="460" spans="1:25" x14ac:dyDescent="0.25">
      <c r="A460" t="s">
        <v>6391</v>
      </c>
      <c r="B460" t="s">
        <v>8442</v>
      </c>
      <c r="C460" t="s">
        <v>8455</v>
      </c>
      <c r="D460" t="s">
        <v>5720</v>
      </c>
      <c r="E460" t="s">
        <v>5721</v>
      </c>
      <c r="F460" t="s">
        <v>6356</v>
      </c>
      <c r="G460" t="s">
        <v>5723</v>
      </c>
      <c r="H460" t="s">
        <v>550</v>
      </c>
      <c r="I460" t="s">
        <v>642</v>
      </c>
      <c r="J460" t="s">
        <v>266</v>
      </c>
      <c r="K460" t="s">
        <v>5724</v>
      </c>
      <c r="L460" t="s">
        <v>267</v>
      </c>
      <c r="M460">
        <v>240292</v>
      </c>
      <c r="N460">
        <v>0</v>
      </c>
      <c r="O460">
        <v>240292</v>
      </c>
      <c r="P460">
        <v>0</v>
      </c>
      <c r="Q460" t="s">
        <v>8456</v>
      </c>
      <c r="R460" t="s">
        <v>7487</v>
      </c>
      <c r="S460" t="s">
        <v>5875</v>
      </c>
      <c r="T460" t="s">
        <v>8457</v>
      </c>
      <c r="U460" t="s">
        <v>8458</v>
      </c>
      <c r="V460" t="s">
        <v>8459</v>
      </c>
      <c r="W460" t="s">
        <v>5731</v>
      </c>
      <c r="X460" t="str">
        <f t="shared" si="7"/>
        <v>Inversión</v>
      </c>
      <c r="Y460" t="s">
        <v>6362</v>
      </c>
    </row>
    <row r="461" spans="1:25" x14ac:dyDescent="0.25">
      <c r="A461" t="s">
        <v>8460</v>
      </c>
      <c r="B461" t="s">
        <v>8442</v>
      </c>
      <c r="C461" t="s">
        <v>8461</v>
      </c>
      <c r="D461" t="s">
        <v>5720</v>
      </c>
      <c r="E461" t="s">
        <v>5721</v>
      </c>
      <c r="F461" t="s">
        <v>5802</v>
      </c>
      <c r="G461" t="s">
        <v>5723</v>
      </c>
      <c r="H461" t="s">
        <v>463</v>
      </c>
      <c r="I461" t="s">
        <v>639</v>
      </c>
      <c r="J461" t="s">
        <v>266</v>
      </c>
      <c r="K461" t="s">
        <v>5724</v>
      </c>
      <c r="L461" t="s">
        <v>267</v>
      </c>
      <c r="M461">
        <v>6210644</v>
      </c>
      <c r="N461">
        <v>-3484531</v>
      </c>
      <c r="O461">
        <v>2726113</v>
      </c>
      <c r="P461">
        <v>0</v>
      </c>
      <c r="Q461" t="s">
        <v>8462</v>
      </c>
      <c r="R461" t="s">
        <v>8463</v>
      </c>
      <c r="S461" t="s">
        <v>8464</v>
      </c>
      <c r="T461" t="s">
        <v>8465</v>
      </c>
      <c r="U461" t="s">
        <v>8466</v>
      </c>
      <c r="V461" t="s">
        <v>8467</v>
      </c>
      <c r="W461" t="s">
        <v>6323</v>
      </c>
      <c r="X461" t="str">
        <f t="shared" si="7"/>
        <v>Inversión</v>
      </c>
      <c r="Y461" t="s">
        <v>5810</v>
      </c>
    </row>
    <row r="462" spans="1:25" x14ac:dyDescent="0.25">
      <c r="A462" t="s">
        <v>8292</v>
      </c>
      <c r="B462" t="s">
        <v>8442</v>
      </c>
      <c r="C462" t="s">
        <v>8468</v>
      </c>
      <c r="D462" t="s">
        <v>5720</v>
      </c>
      <c r="E462" t="s">
        <v>5721</v>
      </c>
      <c r="F462" t="s">
        <v>5802</v>
      </c>
      <c r="G462" t="s">
        <v>5723</v>
      </c>
      <c r="H462" t="s">
        <v>463</v>
      </c>
      <c r="I462" t="s">
        <v>639</v>
      </c>
      <c r="J462" t="s">
        <v>266</v>
      </c>
      <c r="K462" t="s">
        <v>5724</v>
      </c>
      <c r="L462" t="s">
        <v>267</v>
      </c>
      <c r="M462">
        <v>16230922</v>
      </c>
      <c r="N462">
        <v>-9045300</v>
      </c>
      <c r="O462">
        <v>7185622</v>
      </c>
      <c r="P462">
        <v>0</v>
      </c>
      <c r="Q462" t="s">
        <v>8265</v>
      </c>
      <c r="R462" t="s">
        <v>8469</v>
      </c>
      <c r="S462" t="s">
        <v>8470</v>
      </c>
      <c r="T462" t="s">
        <v>8471</v>
      </c>
      <c r="U462" t="s">
        <v>8472</v>
      </c>
      <c r="V462" t="s">
        <v>8473</v>
      </c>
      <c r="W462" t="s">
        <v>6375</v>
      </c>
      <c r="X462" t="str">
        <f t="shared" si="7"/>
        <v>Inversión</v>
      </c>
      <c r="Y462" t="s">
        <v>5810</v>
      </c>
    </row>
    <row r="463" spans="1:25" x14ac:dyDescent="0.25">
      <c r="A463" t="s">
        <v>8284</v>
      </c>
      <c r="B463" t="s">
        <v>8442</v>
      </c>
      <c r="C463" t="s">
        <v>8474</v>
      </c>
      <c r="D463" t="s">
        <v>5720</v>
      </c>
      <c r="E463" t="s">
        <v>5721</v>
      </c>
      <c r="F463" t="s">
        <v>5802</v>
      </c>
      <c r="G463" t="s">
        <v>5723</v>
      </c>
      <c r="H463" t="s">
        <v>463</v>
      </c>
      <c r="I463" t="s">
        <v>639</v>
      </c>
      <c r="J463" t="s">
        <v>266</v>
      </c>
      <c r="K463" t="s">
        <v>5724</v>
      </c>
      <c r="L463" t="s">
        <v>267</v>
      </c>
      <c r="M463">
        <v>11109518</v>
      </c>
      <c r="N463">
        <v>1676891</v>
      </c>
      <c r="O463">
        <v>12786409</v>
      </c>
      <c r="P463">
        <v>0</v>
      </c>
      <c r="Q463" t="s">
        <v>8475</v>
      </c>
      <c r="R463" t="s">
        <v>8476</v>
      </c>
      <c r="S463" t="s">
        <v>8477</v>
      </c>
      <c r="T463" t="s">
        <v>8478</v>
      </c>
      <c r="U463" t="s">
        <v>8479</v>
      </c>
      <c r="V463" t="s">
        <v>8480</v>
      </c>
      <c r="W463" t="s">
        <v>8481</v>
      </c>
      <c r="X463" t="str">
        <f t="shared" si="7"/>
        <v>Inversión</v>
      </c>
      <c r="Y463" t="s">
        <v>5810</v>
      </c>
    </row>
    <row r="464" spans="1:25" x14ac:dyDescent="0.25">
      <c r="A464" t="s">
        <v>8308</v>
      </c>
      <c r="B464" t="s">
        <v>8442</v>
      </c>
      <c r="C464" t="s">
        <v>8482</v>
      </c>
      <c r="D464" t="s">
        <v>5720</v>
      </c>
      <c r="E464" t="s">
        <v>5721</v>
      </c>
      <c r="F464" t="s">
        <v>5802</v>
      </c>
      <c r="G464" t="s">
        <v>5723</v>
      </c>
      <c r="H464" t="s">
        <v>463</v>
      </c>
      <c r="I464" t="s">
        <v>639</v>
      </c>
      <c r="J464" t="s">
        <v>266</v>
      </c>
      <c r="K464" t="s">
        <v>5724</v>
      </c>
      <c r="L464" t="s">
        <v>267</v>
      </c>
      <c r="M464">
        <v>3863888</v>
      </c>
      <c r="N464">
        <v>0</v>
      </c>
      <c r="O464">
        <v>3863888</v>
      </c>
      <c r="P464">
        <v>0</v>
      </c>
      <c r="Q464" t="s">
        <v>8483</v>
      </c>
      <c r="R464" t="s">
        <v>6668</v>
      </c>
      <c r="S464" t="s">
        <v>8484</v>
      </c>
      <c r="T464" t="s">
        <v>8485</v>
      </c>
      <c r="U464" t="s">
        <v>8486</v>
      </c>
      <c r="V464" t="s">
        <v>8487</v>
      </c>
      <c r="W464" t="s">
        <v>5731</v>
      </c>
      <c r="X464" t="str">
        <f t="shared" si="7"/>
        <v>Inversión</v>
      </c>
      <c r="Y464" t="s">
        <v>5810</v>
      </c>
    </row>
    <row r="465" spans="1:25" x14ac:dyDescent="0.25">
      <c r="A465" t="s">
        <v>8300</v>
      </c>
      <c r="B465" t="s">
        <v>8442</v>
      </c>
      <c r="C465" t="s">
        <v>8488</v>
      </c>
      <c r="D465" t="s">
        <v>5720</v>
      </c>
      <c r="E465" t="s">
        <v>5721</v>
      </c>
      <c r="F465" t="s">
        <v>5802</v>
      </c>
      <c r="G465" t="s">
        <v>5723</v>
      </c>
      <c r="H465" t="s">
        <v>458</v>
      </c>
      <c r="I465" t="s">
        <v>640</v>
      </c>
      <c r="J465" t="s">
        <v>266</v>
      </c>
      <c r="K465" t="s">
        <v>5724</v>
      </c>
      <c r="L465" t="s">
        <v>267</v>
      </c>
      <c r="M465">
        <v>11093458</v>
      </c>
      <c r="N465">
        <v>-829520</v>
      </c>
      <c r="O465">
        <v>10263938</v>
      </c>
      <c r="P465">
        <v>0</v>
      </c>
      <c r="Q465" t="s">
        <v>8483</v>
      </c>
      <c r="R465" t="s">
        <v>8489</v>
      </c>
      <c r="S465" t="s">
        <v>8490</v>
      </c>
      <c r="T465" t="s">
        <v>8491</v>
      </c>
      <c r="U465" t="s">
        <v>8492</v>
      </c>
      <c r="V465" t="s">
        <v>8493</v>
      </c>
      <c r="W465" t="s">
        <v>8494</v>
      </c>
      <c r="X465" t="str">
        <f t="shared" si="7"/>
        <v>Inversión</v>
      </c>
      <c r="Y465" t="s">
        <v>5810</v>
      </c>
    </row>
    <row r="466" spans="1:25" x14ac:dyDescent="0.25">
      <c r="A466" t="s">
        <v>8437</v>
      </c>
      <c r="B466" t="s">
        <v>8495</v>
      </c>
      <c r="C466" t="s">
        <v>8496</v>
      </c>
      <c r="D466" t="s">
        <v>5720</v>
      </c>
      <c r="E466" t="s">
        <v>5721</v>
      </c>
      <c r="F466" t="s">
        <v>5802</v>
      </c>
      <c r="G466" t="s">
        <v>5723</v>
      </c>
      <c r="H466" t="s">
        <v>463</v>
      </c>
      <c r="I466" t="s">
        <v>639</v>
      </c>
      <c r="J466" t="s">
        <v>266</v>
      </c>
      <c r="K466" t="s">
        <v>5724</v>
      </c>
      <c r="L466" t="s">
        <v>267</v>
      </c>
      <c r="M466">
        <v>4133511</v>
      </c>
      <c r="N466">
        <v>-1882955</v>
      </c>
      <c r="O466">
        <v>2250556</v>
      </c>
      <c r="P466">
        <v>0</v>
      </c>
      <c r="Q466" t="s">
        <v>8497</v>
      </c>
      <c r="R466" t="s">
        <v>6732</v>
      </c>
      <c r="S466" t="s">
        <v>8498</v>
      </c>
      <c r="T466" t="s">
        <v>8499</v>
      </c>
      <c r="U466" t="s">
        <v>8500</v>
      </c>
      <c r="V466" t="s">
        <v>8501</v>
      </c>
      <c r="W466" t="s">
        <v>5731</v>
      </c>
      <c r="X466" t="str">
        <f t="shared" si="7"/>
        <v>Inversión</v>
      </c>
      <c r="Y466" t="s">
        <v>5810</v>
      </c>
    </row>
    <row r="467" spans="1:25" x14ac:dyDescent="0.25">
      <c r="A467" t="s">
        <v>6868</v>
      </c>
      <c r="B467" t="s">
        <v>8502</v>
      </c>
      <c r="C467" t="s">
        <v>8503</v>
      </c>
      <c r="D467" t="s">
        <v>5720</v>
      </c>
      <c r="E467" t="s">
        <v>5721</v>
      </c>
      <c r="F467" t="s">
        <v>5802</v>
      </c>
      <c r="G467" t="s">
        <v>5723</v>
      </c>
      <c r="H467" t="s">
        <v>458</v>
      </c>
      <c r="I467" t="s">
        <v>640</v>
      </c>
      <c r="J467" t="s">
        <v>273</v>
      </c>
      <c r="K467" t="s">
        <v>5734</v>
      </c>
      <c r="L467" t="s">
        <v>267</v>
      </c>
      <c r="M467">
        <v>143441038</v>
      </c>
      <c r="N467">
        <v>0</v>
      </c>
      <c r="O467">
        <v>143441038</v>
      </c>
      <c r="P467">
        <v>0</v>
      </c>
      <c r="Q467" t="s">
        <v>8504</v>
      </c>
      <c r="R467" t="s">
        <v>8505</v>
      </c>
      <c r="S467" t="s">
        <v>7012</v>
      </c>
      <c r="T467" t="s">
        <v>8506</v>
      </c>
      <c r="U467" t="s">
        <v>8507</v>
      </c>
      <c r="V467" t="s">
        <v>8508</v>
      </c>
      <c r="W467" t="s">
        <v>5731</v>
      </c>
      <c r="X467" t="str">
        <f t="shared" si="7"/>
        <v>Inversión</v>
      </c>
      <c r="Y467" t="s">
        <v>5810</v>
      </c>
    </row>
    <row r="468" spans="1:25" x14ac:dyDescent="0.25">
      <c r="A468" t="s">
        <v>6592</v>
      </c>
      <c r="B468" t="s">
        <v>8509</v>
      </c>
      <c r="C468" t="s">
        <v>8510</v>
      </c>
      <c r="D468" t="s">
        <v>5720</v>
      </c>
      <c r="E468" t="s">
        <v>5721</v>
      </c>
      <c r="F468" t="s">
        <v>6356</v>
      </c>
      <c r="G468" t="s">
        <v>5723</v>
      </c>
      <c r="H468" t="s">
        <v>550</v>
      </c>
      <c r="I468" t="s">
        <v>642</v>
      </c>
      <c r="J468" t="s">
        <v>273</v>
      </c>
      <c r="K468" t="s">
        <v>5734</v>
      </c>
      <c r="L468" t="s">
        <v>267</v>
      </c>
      <c r="M468">
        <v>861350</v>
      </c>
      <c r="N468">
        <v>0</v>
      </c>
      <c r="O468">
        <v>861350</v>
      </c>
      <c r="P468">
        <v>0</v>
      </c>
      <c r="Q468" t="s">
        <v>8511</v>
      </c>
      <c r="R468" t="s">
        <v>8512</v>
      </c>
      <c r="S468" t="s">
        <v>8513</v>
      </c>
      <c r="T468" t="s">
        <v>8514</v>
      </c>
      <c r="U468" t="s">
        <v>8515</v>
      </c>
      <c r="V468" t="s">
        <v>8516</v>
      </c>
      <c r="W468" t="s">
        <v>5731</v>
      </c>
      <c r="X468" t="str">
        <f t="shared" si="7"/>
        <v>Inversión</v>
      </c>
      <c r="Y468" t="s">
        <v>6362</v>
      </c>
    </row>
    <row r="469" spans="1:25" x14ac:dyDescent="0.25">
      <c r="A469" t="s">
        <v>7591</v>
      </c>
      <c r="B469" t="s">
        <v>8509</v>
      </c>
      <c r="C469" t="s">
        <v>8517</v>
      </c>
      <c r="D469" t="s">
        <v>5720</v>
      </c>
      <c r="E469" t="s">
        <v>5721</v>
      </c>
      <c r="F469" t="s">
        <v>6356</v>
      </c>
      <c r="G469" t="s">
        <v>5723</v>
      </c>
      <c r="H469" t="s">
        <v>550</v>
      </c>
      <c r="I469" t="s">
        <v>642</v>
      </c>
      <c r="J469" t="s">
        <v>273</v>
      </c>
      <c r="K469" t="s">
        <v>5734</v>
      </c>
      <c r="L469" t="s">
        <v>267</v>
      </c>
      <c r="M469">
        <v>861350</v>
      </c>
      <c r="N469">
        <v>0</v>
      </c>
      <c r="O469">
        <v>861350</v>
      </c>
      <c r="P469">
        <v>0</v>
      </c>
      <c r="Q469" t="s">
        <v>8518</v>
      </c>
      <c r="R469" t="s">
        <v>8519</v>
      </c>
      <c r="S469" t="s">
        <v>7482</v>
      </c>
      <c r="T469" t="s">
        <v>8520</v>
      </c>
      <c r="U469" t="s">
        <v>8521</v>
      </c>
      <c r="V469" t="s">
        <v>8522</v>
      </c>
      <c r="W469" t="s">
        <v>5731</v>
      </c>
      <c r="X469" t="str">
        <f t="shared" si="7"/>
        <v>Inversión</v>
      </c>
      <c r="Y469" t="s">
        <v>6362</v>
      </c>
    </row>
    <row r="470" spans="1:25" x14ac:dyDescent="0.25">
      <c r="A470" t="s">
        <v>8523</v>
      </c>
      <c r="B470" t="s">
        <v>8509</v>
      </c>
      <c r="C470" t="s">
        <v>8524</v>
      </c>
      <c r="D470" t="s">
        <v>5720</v>
      </c>
      <c r="E470" t="s">
        <v>5737</v>
      </c>
      <c r="F470" t="s">
        <v>5802</v>
      </c>
      <c r="G470" t="s">
        <v>5723</v>
      </c>
      <c r="H470" t="s">
        <v>463</v>
      </c>
      <c r="I470" t="s">
        <v>639</v>
      </c>
      <c r="J470" t="s">
        <v>266</v>
      </c>
      <c r="K470" t="s">
        <v>5724</v>
      </c>
      <c r="L470" t="s">
        <v>267</v>
      </c>
      <c r="M470">
        <v>18468340</v>
      </c>
      <c r="N470">
        <v>-18468340</v>
      </c>
      <c r="O470">
        <v>0</v>
      </c>
      <c r="P470">
        <v>0</v>
      </c>
      <c r="Q470" t="s">
        <v>8525</v>
      </c>
      <c r="R470" t="s">
        <v>8526</v>
      </c>
      <c r="S470" t="s">
        <v>5731</v>
      </c>
      <c r="T470" t="s">
        <v>5731</v>
      </c>
      <c r="U470" t="s">
        <v>5731</v>
      </c>
      <c r="V470" t="s">
        <v>5731</v>
      </c>
      <c r="W470" t="s">
        <v>5731</v>
      </c>
      <c r="X470" t="str">
        <f t="shared" si="7"/>
        <v>Inversión</v>
      </c>
      <c r="Y470" t="s">
        <v>5810</v>
      </c>
    </row>
    <row r="471" spans="1:25" x14ac:dyDescent="0.25">
      <c r="A471" t="s">
        <v>7378</v>
      </c>
      <c r="B471" t="s">
        <v>8527</v>
      </c>
      <c r="C471" t="s">
        <v>8528</v>
      </c>
      <c r="D471" t="s">
        <v>5720</v>
      </c>
      <c r="E471" t="s">
        <v>5721</v>
      </c>
      <c r="F471" t="s">
        <v>5733</v>
      </c>
      <c r="G471" t="s">
        <v>5723</v>
      </c>
      <c r="H471" t="s">
        <v>461</v>
      </c>
      <c r="I471" t="s">
        <v>644</v>
      </c>
      <c r="J471" t="s">
        <v>266</v>
      </c>
      <c r="K471" t="s">
        <v>5724</v>
      </c>
      <c r="L471" t="s">
        <v>267</v>
      </c>
      <c r="M471">
        <v>18025000</v>
      </c>
      <c r="N471">
        <v>0</v>
      </c>
      <c r="O471">
        <v>18025000</v>
      </c>
      <c r="P471">
        <v>0</v>
      </c>
      <c r="Q471" t="s">
        <v>8529</v>
      </c>
      <c r="R471" t="s">
        <v>8530</v>
      </c>
      <c r="S471" t="s">
        <v>8531</v>
      </c>
      <c r="T471" t="s">
        <v>8532</v>
      </c>
      <c r="U471" t="s">
        <v>8533</v>
      </c>
      <c r="V471" t="s">
        <v>8534</v>
      </c>
      <c r="W471" t="s">
        <v>5731</v>
      </c>
      <c r="X471" t="str">
        <f t="shared" si="7"/>
        <v>Inversión</v>
      </c>
      <c r="Y471" t="s">
        <v>5735</v>
      </c>
    </row>
    <row r="472" spans="1:25" x14ac:dyDescent="0.25">
      <c r="A472" t="s">
        <v>6598</v>
      </c>
      <c r="B472" t="s">
        <v>8527</v>
      </c>
      <c r="C472" t="s">
        <v>8535</v>
      </c>
      <c r="D472" t="s">
        <v>5720</v>
      </c>
      <c r="E472" t="s">
        <v>5721</v>
      </c>
      <c r="F472" t="s">
        <v>5733</v>
      </c>
      <c r="G472" t="s">
        <v>5723</v>
      </c>
      <c r="H472" t="s">
        <v>461</v>
      </c>
      <c r="I472" t="s">
        <v>644</v>
      </c>
      <c r="J472" t="s">
        <v>266</v>
      </c>
      <c r="K472" t="s">
        <v>5724</v>
      </c>
      <c r="L472" t="s">
        <v>267</v>
      </c>
      <c r="M472">
        <v>12498928</v>
      </c>
      <c r="N472">
        <v>0</v>
      </c>
      <c r="O472">
        <v>12498928</v>
      </c>
      <c r="P472">
        <v>0</v>
      </c>
      <c r="Q472" t="s">
        <v>8536</v>
      </c>
      <c r="R472" t="s">
        <v>8537</v>
      </c>
      <c r="S472" t="s">
        <v>8538</v>
      </c>
      <c r="T472" t="s">
        <v>8539</v>
      </c>
      <c r="U472" t="s">
        <v>8540</v>
      </c>
      <c r="V472" t="s">
        <v>8541</v>
      </c>
      <c r="W472" t="s">
        <v>5731</v>
      </c>
      <c r="X472" t="str">
        <f t="shared" si="7"/>
        <v>Inversión</v>
      </c>
      <c r="Y472" t="s">
        <v>5735</v>
      </c>
    </row>
    <row r="473" spans="1:25" x14ac:dyDescent="0.25">
      <c r="A473" t="s">
        <v>7663</v>
      </c>
      <c r="B473" t="s">
        <v>8527</v>
      </c>
      <c r="C473" t="s">
        <v>8542</v>
      </c>
      <c r="D473" t="s">
        <v>5720</v>
      </c>
      <c r="E473" t="s">
        <v>5721</v>
      </c>
      <c r="F473" t="s">
        <v>6356</v>
      </c>
      <c r="G473" t="s">
        <v>5723</v>
      </c>
      <c r="H473" t="s">
        <v>550</v>
      </c>
      <c r="I473" t="s">
        <v>642</v>
      </c>
      <c r="J473" t="s">
        <v>266</v>
      </c>
      <c r="K473" t="s">
        <v>5724</v>
      </c>
      <c r="L473" t="s">
        <v>267</v>
      </c>
      <c r="M473">
        <v>139197</v>
      </c>
      <c r="N473">
        <v>-46600</v>
      </c>
      <c r="O473">
        <v>92597</v>
      </c>
      <c r="P473">
        <v>0</v>
      </c>
      <c r="Q473" t="s">
        <v>8543</v>
      </c>
      <c r="R473" t="s">
        <v>8544</v>
      </c>
      <c r="S473" t="s">
        <v>7708</v>
      </c>
      <c r="T473" t="s">
        <v>8545</v>
      </c>
      <c r="U473" t="s">
        <v>8546</v>
      </c>
      <c r="V473" t="s">
        <v>8547</v>
      </c>
      <c r="W473" t="s">
        <v>5963</v>
      </c>
      <c r="X473" t="str">
        <f t="shared" si="7"/>
        <v>Inversión</v>
      </c>
      <c r="Y473" t="s">
        <v>6362</v>
      </c>
    </row>
    <row r="474" spans="1:25" x14ac:dyDescent="0.25">
      <c r="A474" t="s">
        <v>7707</v>
      </c>
      <c r="B474" t="s">
        <v>8527</v>
      </c>
      <c r="C474" t="s">
        <v>8548</v>
      </c>
      <c r="D474" t="s">
        <v>5720</v>
      </c>
      <c r="E474" t="s">
        <v>5721</v>
      </c>
      <c r="F474" t="s">
        <v>6356</v>
      </c>
      <c r="G474" t="s">
        <v>5723</v>
      </c>
      <c r="H474" t="s">
        <v>550</v>
      </c>
      <c r="I474" t="s">
        <v>642</v>
      </c>
      <c r="J474" t="s">
        <v>266</v>
      </c>
      <c r="K474" t="s">
        <v>5724</v>
      </c>
      <c r="L474" t="s">
        <v>267</v>
      </c>
      <c r="M474">
        <v>95706</v>
      </c>
      <c r="N474">
        <v>0</v>
      </c>
      <c r="O474">
        <v>95706</v>
      </c>
      <c r="P474">
        <v>0</v>
      </c>
      <c r="Q474" t="s">
        <v>8549</v>
      </c>
      <c r="R474" t="s">
        <v>8550</v>
      </c>
      <c r="S474" t="s">
        <v>8551</v>
      </c>
      <c r="T474" t="s">
        <v>8552</v>
      </c>
      <c r="U474" t="s">
        <v>8553</v>
      </c>
      <c r="V474" t="s">
        <v>8554</v>
      </c>
      <c r="W474" t="s">
        <v>5731</v>
      </c>
      <c r="X474" t="str">
        <f t="shared" si="7"/>
        <v>Inversión</v>
      </c>
      <c r="Y474" t="s">
        <v>6362</v>
      </c>
    </row>
    <row r="475" spans="1:25" x14ac:dyDescent="0.25">
      <c r="A475" t="s">
        <v>7728</v>
      </c>
      <c r="B475" t="s">
        <v>8555</v>
      </c>
      <c r="C475" t="s">
        <v>8556</v>
      </c>
      <c r="D475" t="s">
        <v>5720</v>
      </c>
      <c r="E475" t="s">
        <v>5737</v>
      </c>
      <c r="F475" t="s">
        <v>5802</v>
      </c>
      <c r="G475" t="s">
        <v>5723</v>
      </c>
      <c r="H475" t="s">
        <v>463</v>
      </c>
      <c r="I475" t="s">
        <v>639</v>
      </c>
      <c r="J475" t="s">
        <v>273</v>
      </c>
      <c r="K475" t="s">
        <v>5734</v>
      </c>
      <c r="L475" t="s">
        <v>267</v>
      </c>
      <c r="M475">
        <v>76844250</v>
      </c>
      <c r="N475">
        <v>0</v>
      </c>
      <c r="O475">
        <v>76844250</v>
      </c>
      <c r="P475">
        <v>76844250</v>
      </c>
      <c r="Q475" t="s">
        <v>8557</v>
      </c>
      <c r="R475" t="s">
        <v>8558</v>
      </c>
      <c r="S475" t="s">
        <v>5731</v>
      </c>
      <c r="T475" t="s">
        <v>5731</v>
      </c>
      <c r="U475" t="s">
        <v>5731</v>
      </c>
      <c r="V475" t="s">
        <v>5731</v>
      </c>
      <c r="W475" t="s">
        <v>5731</v>
      </c>
      <c r="X475" t="str">
        <f t="shared" si="7"/>
        <v>Inversión</v>
      </c>
      <c r="Y475" t="s">
        <v>5810</v>
      </c>
    </row>
    <row r="476" spans="1:25" x14ac:dyDescent="0.25">
      <c r="A476" t="s">
        <v>7400</v>
      </c>
      <c r="B476" t="s">
        <v>8555</v>
      </c>
      <c r="C476" t="s">
        <v>8559</v>
      </c>
      <c r="D476" t="s">
        <v>5720</v>
      </c>
      <c r="E476" t="s">
        <v>5721</v>
      </c>
      <c r="F476" t="s">
        <v>6356</v>
      </c>
      <c r="G476" t="s">
        <v>5723</v>
      </c>
      <c r="H476" t="s">
        <v>550</v>
      </c>
      <c r="I476" t="s">
        <v>642</v>
      </c>
      <c r="J476" t="s">
        <v>266</v>
      </c>
      <c r="K476" t="s">
        <v>5724</v>
      </c>
      <c r="L476" t="s">
        <v>267</v>
      </c>
      <c r="M476">
        <v>842044</v>
      </c>
      <c r="N476">
        <v>-240584</v>
      </c>
      <c r="O476">
        <v>601460</v>
      </c>
      <c r="P476">
        <v>0</v>
      </c>
      <c r="Q476" t="s">
        <v>8560</v>
      </c>
      <c r="R476" t="s">
        <v>8561</v>
      </c>
      <c r="S476" t="s">
        <v>8562</v>
      </c>
      <c r="T476" t="s">
        <v>8563</v>
      </c>
      <c r="U476" t="s">
        <v>8564</v>
      </c>
      <c r="V476" t="s">
        <v>8565</v>
      </c>
      <c r="W476" t="s">
        <v>5731</v>
      </c>
      <c r="X476" t="str">
        <f t="shared" si="7"/>
        <v>Inversión</v>
      </c>
      <c r="Y476" t="s">
        <v>6362</v>
      </c>
    </row>
    <row r="477" spans="1:25" x14ac:dyDescent="0.25">
      <c r="A477" t="s">
        <v>8409</v>
      </c>
      <c r="B477" t="s">
        <v>8555</v>
      </c>
      <c r="C477" t="s">
        <v>8566</v>
      </c>
      <c r="D477" t="s">
        <v>5720</v>
      </c>
      <c r="E477" t="s">
        <v>5721</v>
      </c>
      <c r="F477" t="s">
        <v>6356</v>
      </c>
      <c r="G477" t="s">
        <v>5723</v>
      </c>
      <c r="H477" t="s">
        <v>550</v>
      </c>
      <c r="I477" t="s">
        <v>642</v>
      </c>
      <c r="J477" t="s">
        <v>266</v>
      </c>
      <c r="K477" t="s">
        <v>5724</v>
      </c>
      <c r="L477" t="s">
        <v>267</v>
      </c>
      <c r="M477">
        <v>3975627</v>
      </c>
      <c r="N477">
        <v>-3504</v>
      </c>
      <c r="O477">
        <v>3972123</v>
      </c>
      <c r="P477">
        <v>720000</v>
      </c>
      <c r="Q477" t="s">
        <v>8567</v>
      </c>
      <c r="R477" t="s">
        <v>8568</v>
      </c>
      <c r="S477" t="s">
        <v>8569</v>
      </c>
      <c r="T477" t="s">
        <v>8570</v>
      </c>
      <c r="U477" t="s">
        <v>8571</v>
      </c>
      <c r="V477" t="s">
        <v>8572</v>
      </c>
      <c r="W477" t="s">
        <v>6332</v>
      </c>
      <c r="X477" t="str">
        <f t="shared" si="7"/>
        <v>Inversión</v>
      </c>
      <c r="Y477" t="s">
        <v>6362</v>
      </c>
    </row>
    <row r="478" spans="1:25" x14ac:dyDescent="0.25">
      <c r="A478" t="s">
        <v>8416</v>
      </c>
      <c r="B478" t="s">
        <v>8555</v>
      </c>
      <c r="C478" t="s">
        <v>8573</v>
      </c>
      <c r="D478" t="s">
        <v>5720</v>
      </c>
      <c r="E478" t="s">
        <v>5721</v>
      </c>
      <c r="F478" t="s">
        <v>6356</v>
      </c>
      <c r="G478" t="s">
        <v>5723</v>
      </c>
      <c r="H478" t="s">
        <v>550</v>
      </c>
      <c r="I478" t="s">
        <v>642</v>
      </c>
      <c r="J478" t="s">
        <v>266</v>
      </c>
      <c r="K478" t="s">
        <v>5724</v>
      </c>
      <c r="L478" t="s">
        <v>267</v>
      </c>
      <c r="M478">
        <v>985876</v>
      </c>
      <c r="N478">
        <v>-240584</v>
      </c>
      <c r="O478">
        <v>745292</v>
      </c>
      <c r="P478">
        <v>0</v>
      </c>
      <c r="Q478" t="s">
        <v>8574</v>
      </c>
      <c r="R478" t="s">
        <v>8575</v>
      </c>
      <c r="S478" t="s">
        <v>8576</v>
      </c>
      <c r="T478" t="s">
        <v>8577</v>
      </c>
      <c r="U478" t="s">
        <v>8578</v>
      </c>
      <c r="V478" t="s">
        <v>8579</v>
      </c>
      <c r="W478" t="s">
        <v>5731</v>
      </c>
      <c r="X478" t="str">
        <f t="shared" si="7"/>
        <v>Inversión</v>
      </c>
      <c r="Y478" t="s">
        <v>6362</v>
      </c>
    </row>
    <row r="479" spans="1:25" x14ac:dyDescent="0.25">
      <c r="A479" t="s">
        <v>7426</v>
      </c>
      <c r="B479" t="s">
        <v>8580</v>
      </c>
      <c r="C479" t="s">
        <v>8581</v>
      </c>
      <c r="D479" t="s">
        <v>5720</v>
      </c>
      <c r="E479" t="s">
        <v>5721</v>
      </c>
      <c r="F479" t="s">
        <v>5802</v>
      </c>
      <c r="G479" t="s">
        <v>5723</v>
      </c>
      <c r="H479" t="s">
        <v>463</v>
      </c>
      <c r="I479" t="s">
        <v>639</v>
      </c>
      <c r="J479" t="s">
        <v>266</v>
      </c>
      <c r="K479" t="s">
        <v>5724</v>
      </c>
      <c r="L479" t="s">
        <v>267</v>
      </c>
      <c r="M479">
        <v>2424530</v>
      </c>
      <c r="N479">
        <v>0</v>
      </c>
      <c r="O479">
        <v>2424530</v>
      </c>
      <c r="P479">
        <v>0</v>
      </c>
      <c r="Q479" t="s">
        <v>8395</v>
      </c>
      <c r="R479" t="s">
        <v>8582</v>
      </c>
      <c r="S479" t="s">
        <v>8583</v>
      </c>
      <c r="T479" t="s">
        <v>8584</v>
      </c>
      <c r="U479" t="s">
        <v>8585</v>
      </c>
      <c r="V479" t="s">
        <v>8586</v>
      </c>
      <c r="W479" t="s">
        <v>5731</v>
      </c>
      <c r="X479" t="str">
        <f t="shared" si="7"/>
        <v>Inversión</v>
      </c>
      <c r="Y479" t="s">
        <v>5810</v>
      </c>
    </row>
    <row r="480" spans="1:25" x14ac:dyDescent="0.25">
      <c r="A480" t="s">
        <v>7365</v>
      </c>
      <c r="B480" t="s">
        <v>8580</v>
      </c>
      <c r="C480" t="s">
        <v>8587</v>
      </c>
      <c r="D480" t="s">
        <v>5720</v>
      </c>
      <c r="E480" t="s">
        <v>5721</v>
      </c>
      <c r="F480" t="s">
        <v>6356</v>
      </c>
      <c r="G480" t="s">
        <v>5723</v>
      </c>
      <c r="H480" t="s">
        <v>550</v>
      </c>
      <c r="I480" t="s">
        <v>642</v>
      </c>
      <c r="J480" t="s">
        <v>266</v>
      </c>
      <c r="K480" t="s">
        <v>5724</v>
      </c>
      <c r="L480" t="s">
        <v>267</v>
      </c>
      <c r="M480">
        <v>95706</v>
      </c>
      <c r="N480">
        <v>0</v>
      </c>
      <c r="O480">
        <v>95706</v>
      </c>
      <c r="P480">
        <v>0</v>
      </c>
      <c r="Q480" t="s">
        <v>8588</v>
      </c>
      <c r="R480" t="s">
        <v>7748</v>
      </c>
      <c r="S480" t="s">
        <v>8589</v>
      </c>
      <c r="T480" t="s">
        <v>8590</v>
      </c>
      <c r="U480" t="s">
        <v>8591</v>
      </c>
      <c r="V480" t="s">
        <v>8592</v>
      </c>
      <c r="W480" t="s">
        <v>5731</v>
      </c>
      <c r="X480" t="str">
        <f t="shared" si="7"/>
        <v>Inversión</v>
      </c>
      <c r="Y480" t="s">
        <v>6362</v>
      </c>
    </row>
    <row r="481" spans="1:25" x14ac:dyDescent="0.25">
      <c r="A481" t="s">
        <v>7385</v>
      </c>
      <c r="B481" t="s">
        <v>8593</v>
      </c>
      <c r="C481" t="s">
        <v>8594</v>
      </c>
      <c r="D481" t="s">
        <v>5720</v>
      </c>
      <c r="E481" t="s">
        <v>5721</v>
      </c>
      <c r="F481" t="s">
        <v>5802</v>
      </c>
      <c r="G481" t="s">
        <v>5723</v>
      </c>
      <c r="H481" t="s">
        <v>444</v>
      </c>
      <c r="I481" t="s">
        <v>634</v>
      </c>
      <c r="J481" t="s">
        <v>266</v>
      </c>
      <c r="K481" t="s">
        <v>5724</v>
      </c>
      <c r="L481" t="s">
        <v>267</v>
      </c>
      <c r="M481">
        <v>2103053</v>
      </c>
      <c r="N481">
        <v>0</v>
      </c>
      <c r="O481">
        <v>2103053</v>
      </c>
      <c r="P481">
        <v>0</v>
      </c>
      <c r="Q481" t="s">
        <v>8595</v>
      </c>
      <c r="R481" t="s">
        <v>8596</v>
      </c>
      <c r="S481" t="s">
        <v>8597</v>
      </c>
      <c r="T481" t="s">
        <v>8598</v>
      </c>
      <c r="U481" t="s">
        <v>8599</v>
      </c>
      <c r="V481" t="s">
        <v>8600</v>
      </c>
      <c r="W481" t="s">
        <v>5731</v>
      </c>
      <c r="X481" t="str">
        <f t="shared" si="7"/>
        <v>Inversión</v>
      </c>
      <c r="Y481" t="s">
        <v>5810</v>
      </c>
    </row>
    <row r="482" spans="1:25" x14ac:dyDescent="0.25">
      <c r="A482" t="s">
        <v>7670</v>
      </c>
      <c r="B482" t="s">
        <v>8601</v>
      </c>
      <c r="C482" t="s">
        <v>8602</v>
      </c>
      <c r="D482" t="s">
        <v>5720</v>
      </c>
      <c r="E482" t="s">
        <v>5721</v>
      </c>
      <c r="F482" t="s">
        <v>5733</v>
      </c>
      <c r="G482" t="s">
        <v>5723</v>
      </c>
      <c r="H482" t="s">
        <v>461</v>
      </c>
      <c r="I482" t="s">
        <v>644</v>
      </c>
      <c r="J482" t="s">
        <v>273</v>
      </c>
      <c r="K482" t="s">
        <v>5734</v>
      </c>
      <c r="L482" t="s">
        <v>267</v>
      </c>
      <c r="M482">
        <v>40304551</v>
      </c>
      <c r="N482">
        <v>-5757793</v>
      </c>
      <c r="O482">
        <v>34546758</v>
      </c>
      <c r="P482">
        <v>0</v>
      </c>
      <c r="Q482" t="s">
        <v>8603</v>
      </c>
      <c r="R482" t="s">
        <v>8604</v>
      </c>
      <c r="S482" t="s">
        <v>8605</v>
      </c>
      <c r="T482" t="s">
        <v>8606</v>
      </c>
      <c r="U482" t="s">
        <v>8607</v>
      </c>
      <c r="V482" t="s">
        <v>8608</v>
      </c>
      <c r="W482" t="s">
        <v>5731</v>
      </c>
      <c r="X482" t="str">
        <f t="shared" si="7"/>
        <v>Inversión</v>
      </c>
      <c r="Y482" t="s">
        <v>5735</v>
      </c>
    </row>
    <row r="483" spans="1:25" x14ac:dyDescent="0.25">
      <c r="A483" t="s">
        <v>8609</v>
      </c>
      <c r="B483" t="s">
        <v>8601</v>
      </c>
      <c r="C483" t="s">
        <v>8610</v>
      </c>
      <c r="D483" t="s">
        <v>5720</v>
      </c>
      <c r="E483" t="s">
        <v>5721</v>
      </c>
      <c r="F483" t="s">
        <v>5802</v>
      </c>
      <c r="G483" t="s">
        <v>5723</v>
      </c>
      <c r="H483" t="s">
        <v>463</v>
      </c>
      <c r="I483" t="s">
        <v>639</v>
      </c>
      <c r="J483" t="s">
        <v>266</v>
      </c>
      <c r="K483" t="s">
        <v>5724</v>
      </c>
      <c r="L483" t="s">
        <v>267</v>
      </c>
      <c r="M483">
        <v>8000000</v>
      </c>
      <c r="N483">
        <v>-96000</v>
      </c>
      <c r="O483">
        <v>7904000</v>
      </c>
      <c r="P483">
        <v>0</v>
      </c>
      <c r="Q483" t="s">
        <v>8611</v>
      </c>
      <c r="R483" t="s">
        <v>6319</v>
      </c>
      <c r="S483" t="s">
        <v>8612</v>
      </c>
      <c r="T483" t="s">
        <v>8613</v>
      </c>
      <c r="U483" t="s">
        <v>8614</v>
      </c>
      <c r="V483" t="s">
        <v>8615</v>
      </c>
      <c r="W483" t="s">
        <v>5731</v>
      </c>
      <c r="X483" t="str">
        <f t="shared" si="7"/>
        <v>Inversión</v>
      </c>
      <c r="Y483" t="s">
        <v>5810</v>
      </c>
    </row>
    <row r="484" spans="1:25" x14ac:dyDescent="0.25">
      <c r="A484" t="s">
        <v>8616</v>
      </c>
      <c r="B484" t="s">
        <v>8617</v>
      </c>
      <c r="C484" t="s">
        <v>8618</v>
      </c>
      <c r="D484" t="s">
        <v>5720</v>
      </c>
      <c r="E484" t="s">
        <v>5721</v>
      </c>
      <c r="F484" t="s">
        <v>6619</v>
      </c>
      <c r="G484" t="s">
        <v>5723</v>
      </c>
      <c r="H484" t="s">
        <v>455</v>
      </c>
      <c r="I484" t="s">
        <v>643</v>
      </c>
      <c r="J484" t="s">
        <v>273</v>
      </c>
      <c r="K484" t="s">
        <v>5734</v>
      </c>
      <c r="L484" t="s">
        <v>267</v>
      </c>
      <c r="M484">
        <v>200000000</v>
      </c>
      <c r="N484">
        <v>0</v>
      </c>
      <c r="O484">
        <v>200000000</v>
      </c>
      <c r="P484">
        <v>120000000</v>
      </c>
      <c r="Q484" t="s">
        <v>8619</v>
      </c>
      <c r="R484" t="s">
        <v>8620</v>
      </c>
      <c r="S484" t="s">
        <v>8621</v>
      </c>
      <c r="T484" t="s">
        <v>5731</v>
      </c>
      <c r="U484" t="s">
        <v>5731</v>
      </c>
      <c r="V484" t="s">
        <v>5731</v>
      </c>
      <c r="W484" t="s">
        <v>5731</v>
      </c>
      <c r="X484" t="str">
        <f t="shared" si="7"/>
        <v>Inversión</v>
      </c>
      <c r="Y484" t="s">
        <v>6626</v>
      </c>
    </row>
    <row r="485" spans="1:25" x14ac:dyDescent="0.25">
      <c r="A485" t="s">
        <v>8622</v>
      </c>
      <c r="B485" t="s">
        <v>8617</v>
      </c>
      <c r="C485" t="s">
        <v>8623</v>
      </c>
      <c r="D485" t="s">
        <v>5720</v>
      </c>
      <c r="E485" t="s">
        <v>5969</v>
      </c>
      <c r="F485" t="s">
        <v>5722</v>
      </c>
      <c r="G485" t="s">
        <v>5723</v>
      </c>
      <c r="H485" t="s">
        <v>465</v>
      </c>
      <c r="I485" t="s">
        <v>661</v>
      </c>
      <c r="J485" t="s">
        <v>273</v>
      </c>
      <c r="K485" t="s">
        <v>5734</v>
      </c>
      <c r="L485" t="s">
        <v>267</v>
      </c>
      <c r="M485">
        <v>71646848</v>
      </c>
      <c r="N485">
        <v>-71646848</v>
      </c>
      <c r="O485">
        <v>0</v>
      </c>
      <c r="P485">
        <v>0</v>
      </c>
      <c r="Q485" t="s">
        <v>8624</v>
      </c>
      <c r="R485" t="s">
        <v>8625</v>
      </c>
      <c r="S485" t="s">
        <v>5731</v>
      </c>
      <c r="T485" t="s">
        <v>5731</v>
      </c>
      <c r="U485" t="s">
        <v>5731</v>
      </c>
      <c r="V485" t="s">
        <v>5731</v>
      </c>
      <c r="W485" t="s">
        <v>5731</v>
      </c>
      <c r="X485" t="str">
        <f t="shared" si="7"/>
        <v>Inversión</v>
      </c>
      <c r="Y485" t="s">
        <v>5732</v>
      </c>
    </row>
    <row r="486" spans="1:25" x14ac:dyDescent="0.25">
      <c r="A486" t="s">
        <v>7476</v>
      </c>
      <c r="B486" t="s">
        <v>8617</v>
      </c>
      <c r="C486" t="s">
        <v>8626</v>
      </c>
      <c r="D486" t="s">
        <v>5720</v>
      </c>
      <c r="E486" t="s">
        <v>5721</v>
      </c>
      <c r="F486" t="s">
        <v>6356</v>
      </c>
      <c r="G486" t="s">
        <v>5723</v>
      </c>
      <c r="H486" t="s">
        <v>550</v>
      </c>
      <c r="I486" t="s">
        <v>642</v>
      </c>
      <c r="J486" t="s">
        <v>273</v>
      </c>
      <c r="K486" t="s">
        <v>5734</v>
      </c>
      <c r="L486" t="s">
        <v>267</v>
      </c>
      <c r="M486">
        <v>16072500</v>
      </c>
      <c r="N486">
        <v>0</v>
      </c>
      <c r="O486">
        <v>16072500</v>
      </c>
      <c r="P486">
        <v>10640475</v>
      </c>
      <c r="Q486" t="s">
        <v>8627</v>
      </c>
      <c r="R486" t="s">
        <v>7225</v>
      </c>
      <c r="S486" t="s">
        <v>8628</v>
      </c>
      <c r="T486" t="s">
        <v>8629</v>
      </c>
      <c r="U486" t="s">
        <v>8630</v>
      </c>
      <c r="V486" t="s">
        <v>8631</v>
      </c>
      <c r="W486" t="s">
        <v>8632</v>
      </c>
      <c r="X486" t="str">
        <f t="shared" si="7"/>
        <v>Inversión</v>
      </c>
      <c r="Y486" t="s">
        <v>6362</v>
      </c>
    </row>
    <row r="487" spans="1:25" x14ac:dyDescent="0.25">
      <c r="A487" t="s">
        <v>8633</v>
      </c>
      <c r="B487" t="s">
        <v>8617</v>
      </c>
      <c r="C487" t="s">
        <v>8634</v>
      </c>
      <c r="D487" t="s">
        <v>5720</v>
      </c>
      <c r="E487" t="s">
        <v>5721</v>
      </c>
      <c r="F487" t="s">
        <v>6356</v>
      </c>
      <c r="G487" t="s">
        <v>5723</v>
      </c>
      <c r="H487" t="s">
        <v>550</v>
      </c>
      <c r="I487" t="s">
        <v>642</v>
      </c>
      <c r="J487" t="s">
        <v>273</v>
      </c>
      <c r="K487" t="s">
        <v>5734</v>
      </c>
      <c r="L487" t="s">
        <v>267</v>
      </c>
      <c r="M487">
        <v>50279000</v>
      </c>
      <c r="N487">
        <v>0</v>
      </c>
      <c r="O487">
        <v>50279000</v>
      </c>
      <c r="P487">
        <v>19816368.219999999</v>
      </c>
      <c r="Q487" t="s">
        <v>8635</v>
      </c>
      <c r="R487" t="s">
        <v>8636</v>
      </c>
      <c r="S487" t="s">
        <v>8637</v>
      </c>
      <c r="T487" t="s">
        <v>8638</v>
      </c>
      <c r="U487" t="s">
        <v>8639</v>
      </c>
      <c r="V487" t="s">
        <v>8640</v>
      </c>
      <c r="W487" t="s">
        <v>8641</v>
      </c>
      <c r="X487" t="str">
        <f t="shared" si="7"/>
        <v>Inversión</v>
      </c>
      <c r="Y487" t="s">
        <v>6362</v>
      </c>
    </row>
    <row r="488" spans="1:25" x14ac:dyDescent="0.25">
      <c r="A488" t="s">
        <v>7791</v>
      </c>
      <c r="B488" t="s">
        <v>8617</v>
      </c>
      <c r="C488" t="s">
        <v>8642</v>
      </c>
      <c r="D488" t="s">
        <v>5720</v>
      </c>
      <c r="E488" t="s">
        <v>5721</v>
      </c>
      <c r="F488" t="s">
        <v>6356</v>
      </c>
      <c r="G488" t="s">
        <v>5723</v>
      </c>
      <c r="H488" t="s">
        <v>550</v>
      </c>
      <c r="I488" t="s">
        <v>642</v>
      </c>
      <c r="J488" t="s">
        <v>273</v>
      </c>
      <c r="K488" t="s">
        <v>5734</v>
      </c>
      <c r="L488" t="s">
        <v>267</v>
      </c>
      <c r="M488">
        <v>48587500</v>
      </c>
      <c r="N488">
        <v>0</v>
      </c>
      <c r="O488">
        <v>48587500</v>
      </c>
      <c r="P488">
        <v>1836458</v>
      </c>
      <c r="Q488" t="s">
        <v>8643</v>
      </c>
      <c r="R488" t="s">
        <v>6886</v>
      </c>
      <c r="S488" t="s">
        <v>8644</v>
      </c>
      <c r="T488" t="s">
        <v>8645</v>
      </c>
      <c r="U488" t="s">
        <v>8646</v>
      </c>
      <c r="V488" t="s">
        <v>8647</v>
      </c>
      <c r="W488" t="s">
        <v>5731</v>
      </c>
      <c r="X488" t="str">
        <f t="shared" si="7"/>
        <v>Inversión</v>
      </c>
      <c r="Y488" t="s">
        <v>6362</v>
      </c>
    </row>
    <row r="489" spans="1:25" x14ac:dyDescent="0.25">
      <c r="A489" t="s">
        <v>8476</v>
      </c>
      <c r="B489" t="s">
        <v>8617</v>
      </c>
      <c r="C489" t="s">
        <v>8648</v>
      </c>
      <c r="D489" t="s">
        <v>5720</v>
      </c>
      <c r="E489" t="s">
        <v>5721</v>
      </c>
      <c r="F489" t="s">
        <v>5802</v>
      </c>
      <c r="G489" t="s">
        <v>5723</v>
      </c>
      <c r="H489" t="s">
        <v>463</v>
      </c>
      <c r="I489" t="s">
        <v>639</v>
      </c>
      <c r="J489" t="s">
        <v>266</v>
      </c>
      <c r="K489" t="s">
        <v>5724</v>
      </c>
      <c r="L489" t="s">
        <v>267</v>
      </c>
      <c r="M489">
        <v>2625955</v>
      </c>
      <c r="N489">
        <v>-140850</v>
      </c>
      <c r="O489">
        <v>2485105</v>
      </c>
      <c r="P489">
        <v>0</v>
      </c>
      <c r="Q489" t="s">
        <v>8649</v>
      </c>
      <c r="R489" t="s">
        <v>7870</v>
      </c>
      <c r="S489" t="s">
        <v>8650</v>
      </c>
      <c r="T489" t="s">
        <v>8651</v>
      </c>
      <c r="U489" t="s">
        <v>8652</v>
      </c>
      <c r="V489" t="s">
        <v>8653</v>
      </c>
      <c r="W489" t="s">
        <v>6335</v>
      </c>
      <c r="X489" t="str">
        <f t="shared" si="7"/>
        <v>Inversión</v>
      </c>
      <c r="Y489" t="s">
        <v>5810</v>
      </c>
    </row>
    <row r="490" spans="1:25" x14ac:dyDescent="0.25">
      <c r="A490" t="s">
        <v>8489</v>
      </c>
      <c r="B490" t="s">
        <v>8654</v>
      </c>
      <c r="C490" t="s">
        <v>8655</v>
      </c>
      <c r="D490" t="s">
        <v>5720</v>
      </c>
      <c r="E490" t="s">
        <v>5721</v>
      </c>
      <c r="F490" t="s">
        <v>6356</v>
      </c>
      <c r="G490" t="s">
        <v>5723</v>
      </c>
      <c r="H490" t="s">
        <v>550</v>
      </c>
      <c r="I490" t="s">
        <v>642</v>
      </c>
      <c r="J490" t="s">
        <v>273</v>
      </c>
      <c r="K490" t="s">
        <v>5734</v>
      </c>
      <c r="L490" t="s">
        <v>267</v>
      </c>
      <c r="M490">
        <v>9952848</v>
      </c>
      <c r="N490">
        <v>0</v>
      </c>
      <c r="O490">
        <v>9952848</v>
      </c>
      <c r="P490">
        <v>0</v>
      </c>
      <c r="Q490" t="s">
        <v>8656</v>
      </c>
      <c r="R490" t="s">
        <v>8657</v>
      </c>
      <c r="S490" t="s">
        <v>8658</v>
      </c>
      <c r="T490" t="s">
        <v>8659</v>
      </c>
      <c r="U490" t="s">
        <v>8660</v>
      </c>
      <c r="V490" t="s">
        <v>8661</v>
      </c>
      <c r="W490" t="s">
        <v>5731</v>
      </c>
      <c r="X490" t="str">
        <f t="shared" si="7"/>
        <v>Inversión</v>
      </c>
      <c r="Y490" t="s">
        <v>6362</v>
      </c>
    </row>
    <row r="491" spans="1:25" x14ac:dyDescent="0.25">
      <c r="A491" t="s">
        <v>8463</v>
      </c>
      <c r="B491" t="s">
        <v>8654</v>
      </c>
      <c r="C491" t="s">
        <v>8662</v>
      </c>
      <c r="D491" t="s">
        <v>5720</v>
      </c>
      <c r="E491" t="s">
        <v>5721</v>
      </c>
      <c r="F491" t="s">
        <v>6356</v>
      </c>
      <c r="G491" t="s">
        <v>5723</v>
      </c>
      <c r="H491" t="s">
        <v>550</v>
      </c>
      <c r="I491" t="s">
        <v>642</v>
      </c>
      <c r="J491" t="s">
        <v>273</v>
      </c>
      <c r="K491" t="s">
        <v>5734</v>
      </c>
      <c r="L491" t="s">
        <v>267</v>
      </c>
      <c r="M491">
        <v>8527044</v>
      </c>
      <c r="N491">
        <v>0</v>
      </c>
      <c r="O491">
        <v>8527044</v>
      </c>
      <c r="P491">
        <v>0</v>
      </c>
      <c r="Q491" t="s">
        <v>8177</v>
      </c>
      <c r="R491" t="s">
        <v>8663</v>
      </c>
      <c r="S491" t="s">
        <v>8664</v>
      </c>
      <c r="T491" t="s">
        <v>8665</v>
      </c>
      <c r="U491" t="s">
        <v>8666</v>
      </c>
      <c r="V491" t="s">
        <v>8667</v>
      </c>
      <c r="W491" t="s">
        <v>5731</v>
      </c>
      <c r="X491" t="str">
        <f t="shared" si="7"/>
        <v>Inversión</v>
      </c>
      <c r="Y491" t="s">
        <v>6362</v>
      </c>
    </row>
    <row r="492" spans="1:25" x14ac:dyDescent="0.25">
      <c r="A492" t="s">
        <v>7634</v>
      </c>
      <c r="B492" t="s">
        <v>8654</v>
      </c>
      <c r="C492" t="s">
        <v>8668</v>
      </c>
      <c r="D492" t="s">
        <v>5720</v>
      </c>
      <c r="E492" t="s">
        <v>5721</v>
      </c>
      <c r="F492" t="s">
        <v>6356</v>
      </c>
      <c r="G492" t="s">
        <v>5723</v>
      </c>
      <c r="H492" t="s">
        <v>550</v>
      </c>
      <c r="I492" t="s">
        <v>642</v>
      </c>
      <c r="J492" t="s">
        <v>273</v>
      </c>
      <c r="K492" t="s">
        <v>5734</v>
      </c>
      <c r="L492" t="s">
        <v>267</v>
      </c>
      <c r="M492">
        <v>8527044</v>
      </c>
      <c r="N492">
        <v>0</v>
      </c>
      <c r="O492">
        <v>8527044</v>
      </c>
      <c r="P492">
        <v>0</v>
      </c>
      <c r="Q492" t="s">
        <v>8669</v>
      </c>
      <c r="R492" t="s">
        <v>8670</v>
      </c>
      <c r="S492" t="s">
        <v>8671</v>
      </c>
      <c r="T492" t="s">
        <v>8672</v>
      </c>
      <c r="U492" t="s">
        <v>8673</v>
      </c>
      <c r="V492" t="s">
        <v>8674</v>
      </c>
      <c r="W492" t="s">
        <v>5731</v>
      </c>
      <c r="X492" t="str">
        <f t="shared" si="7"/>
        <v>Inversión</v>
      </c>
      <c r="Y492" t="s">
        <v>6362</v>
      </c>
    </row>
    <row r="493" spans="1:25" x14ac:dyDescent="0.25">
      <c r="A493" t="s">
        <v>8675</v>
      </c>
      <c r="B493" t="s">
        <v>8676</v>
      </c>
      <c r="C493" t="s">
        <v>8677</v>
      </c>
      <c r="D493" t="s">
        <v>5720</v>
      </c>
      <c r="E493" t="s">
        <v>5721</v>
      </c>
      <c r="F493" t="s">
        <v>5854</v>
      </c>
      <c r="G493" t="s">
        <v>5723</v>
      </c>
      <c r="H493" t="s">
        <v>539</v>
      </c>
      <c r="I493" t="s">
        <v>658</v>
      </c>
      <c r="J493" t="s">
        <v>273</v>
      </c>
      <c r="K493" t="s">
        <v>5734</v>
      </c>
      <c r="L493" t="s">
        <v>267</v>
      </c>
      <c r="M493">
        <v>52678703</v>
      </c>
      <c r="N493">
        <v>0</v>
      </c>
      <c r="O493">
        <v>52678703</v>
      </c>
      <c r="P493">
        <v>0</v>
      </c>
      <c r="Q493" t="s">
        <v>8678</v>
      </c>
      <c r="R493" t="s">
        <v>8633</v>
      </c>
      <c r="S493" t="s">
        <v>8679</v>
      </c>
      <c r="T493" t="s">
        <v>8680</v>
      </c>
      <c r="U493" t="s">
        <v>8681</v>
      </c>
      <c r="V493" t="s">
        <v>8682</v>
      </c>
      <c r="W493" t="s">
        <v>5731</v>
      </c>
      <c r="X493" t="str">
        <f t="shared" si="7"/>
        <v>Inversión</v>
      </c>
      <c r="Y493" t="s">
        <v>5861</v>
      </c>
    </row>
    <row r="494" spans="1:25" x14ac:dyDescent="0.25">
      <c r="A494" t="s">
        <v>8683</v>
      </c>
      <c r="B494" t="s">
        <v>8676</v>
      </c>
      <c r="C494" t="s">
        <v>8684</v>
      </c>
      <c r="D494" t="s">
        <v>5720</v>
      </c>
      <c r="E494" t="s">
        <v>5969</v>
      </c>
      <c r="F494" t="s">
        <v>5854</v>
      </c>
      <c r="G494" t="s">
        <v>5723</v>
      </c>
      <c r="H494" t="s">
        <v>543</v>
      </c>
      <c r="I494" t="s">
        <v>656</v>
      </c>
      <c r="J494" t="s">
        <v>273</v>
      </c>
      <c r="K494" t="s">
        <v>5734</v>
      </c>
      <c r="L494" t="s">
        <v>267</v>
      </c>
      <c r="M494">
        <v>16910180</v>
      </c>
      <c r="N494">
        <v>-16910180</v>
      </c>
      <c r="O494">
        <v>0</v>
      </c>
      <c r="P494">
        <v>0</v>
      </c>
      <c r="Q494" t="s">
        <v>8685</v>
      </c>
      <c r="R494" t="s">
        <v>8622</v>
      </c>
      <c r="S494" t="s">
        <v>5731</v>
      </c>
      <c r="T494" t="s">
        <v>5731</v>
      </c>
      <c r="U494" t="s">
        <v>5731</v>
      </c>
      <c r="V494" t="s">
        <v>5731</v>
      </c>
      <c r="W494" t="s">
        <v>5731</v>
      </c>
      <c r="X494" t="str">
        <f t="shared" si="7"/>
        <v>Inversión</v>
      </c>
      <c r="Y494" t="s">
        <v>5861</v>
      </c>
    </row>
    <row r="495" spans="1:25" x14ac:dyDescent="0.25">
      <c r="A495" t="s">
        <v>7487</v>
      </c>
      <c r="B495" t="s">
        <v>8686</v>
      </c>
      <c r="C495" t="s">
        <v>8687</v>
      </c>
      <c r="D495" t="s">
        <v>5720</v>
      </c>
      <c r="E495" t="s">
        <v>5721</v>
      </c>
      <c r="F495" t="s">
        <v>5802</v>
      </c>
      <c r="G495" t="s">
        <v>5723</v>
      </c>
      <c r="H495" t="s">
        <v>463</v>
      </c>
      <c r="I495" t="s">
        <v>639</v>
      </c>
      <c r="J495" t="s">
        <v>266</v>
      </c>
      <c r="K495" t="s">
        <v>5724</v>
      </c>
      <c r="L495" t="s">
        <v>267</v>
      </c>
      <c r="M495">
        <v>10720532</v>
      </c>
      <c r="N495">
        <v>0</v>
      </c>
      <c r="O495">
        <v>10720532</v>
      </c>
      <c r="P495">
        <v>0</v>
      </c>
      <c r="Q495" t="s">
        <v>8688</v>
      </c>
      <c r="R495" t="s">
        <v>8689</v>
      </c>
      <c r="S495" t="s">
        <v>8690</v>
      </c>
      <c r="T495" t="s">
        <v>8691</v>
      </c>
      <c r="U495" t="s">
        <v>8692</v>
      </c>
      <c r="V495" t="s">
        <v>8693</v>
      </c>
      <c r="W495" t="s">
        <v>5731</v>
      </c>
      <c r="X495" t="str">
        <f t="shared" si="7"/>
        <v>Inversión</v>
      </c>
      <c r="Y495" t="s">
        <v>5810</v>
      </c>
    </row>
    <row r="496" spans="1:25" x14ac:dyDescent="0.25">
      <c r="A496" t="s">
        <v>6732</v>
      </c>
      <c r="B496" t="s">
        <v>8694</v>
      </c>
      <c r="C496" t="s">
        <v>8695</v>
      </c>
      <c r="D496" t="s">
        <v>5720</v>
      </c>
      <c r="E496" t="s">
        <v>5721</v>
      </c>
      <c r="F496" t="s">
        <v>5802</v>
      </c>
      <c r="G496" t="s">
        <v>5723</v>
      </c>
      <c r="H496" t="s">
        <v>463</v>
      </c>
      <c r="I496" t="s">
        <v>639</v>
      </c>
      <c r="J496" t="s">
        <v>266</v>
      </c>
      <c r="K496" t="s">
        <v>5724</v>
      </c>
      <c r="L496" t="s">
        <v>267</v>
      </c>
      <c r="M496">
        <v>419114</v>
      </c>
      <c r="N496">
        <v>-53607</v>
      </c>
      <c r="O496">
        <v>365507</v>
      </c>
      <c r="P496">
        <v>0</v>
      </c>
      <c r="Q496" t="s">
        <v>8696</v>
      </c>
      <c r="R496" t="s">
        <v>8697</v>
      </c>
      <c r="S496" t="s">
        <v>8698</v>
      </c>
      <c r="T496" t="s">
        <v>8699</v>
      </c>
      <c r="U496" t="s">
        <v>8700</v>
      </c>
      <c r="V496" t="s">
        <v>8701</v>
      </c>
      <c r="W496" t="s">
        <v>6049</v>
      </c>
      <c r="X496" t="str">
        <f t="shared" si="7"/>
        <v>Inversión</v>
      </c>
      <c r="Y496" t="s">
        <v>5810</v>
      </c>
    </row>
    <row r="497" spans="1:25" x14ac:dyDescent="0.25">
      <c r="A497" t="s">
        <v>8505</v>
      </c>
      <c r="B497" t="s">
        <v>8702</v>
      </c>
      <c r="C497" t="s">
        <v>8703</v>
      </c>
      <c r="D497" t="s">
        <v>5720</v>
      </c>
      <c r="E497" t="s">
        <v>5721</v>
      </c>
      <c r="F497" t="s">
        <v>5802</v>
      </c>
      <c r="G497" t="s">
        <v>5723</v>
      </c>
      <c r="H497" t="s">
        <v>463</v>
      </c>
      <c r="I497" t="s">
        <v>639</v>
      </c>
      <c r="J497" t="s">
        <v>266</v>
      </c>
      <c r="K497" t="s">
        <v>5724</v>
      </c>
      <c r="L497" t="s">
        <v>267</v>
      </c>
      <c r="M497">
        <v>8191520</v>
      </c>
      <c r="N497">
        <v>-6758620</v>
      </c>
      <c r="O497">
        <v>1432900</v>
      </c>
      <c r="P497">
        <v>0</v>
      </c>
      <c r="Q497" t="s">
        <v>8704</v>
      </c>
      <c r="R497" t="s">
        <v>8705</v>
      </c>
      <c r="S497" t="s">
        <v>8706</v>
      </c>
      <c r="T497" t="s">
        <v>8707</v>
      </c>
      <c r="U497" t="s">
        <v>8708</v>
      </c>
      <c r="V497" t="s">
        <v>8709</v>
      </c>
      <c r="W497" t="s">
        <v>6610</v>
      </c>
      <c r="X497" t="str">
        <f t="shared" si="7"/>
        <v>Inversión</v>
      </c>
      <c r="Y497" t="s">
        <v>5810</v>
      </c>
    </row>
    <row r="498" spans="1:25" x14ac:dyDescent="0.25">
      <c r="A498" t="s">
        <v>8710</v>
      </c>
      <c r="B498" t="s">
        <v>8711</v>
      </c>
      <c r="C498" t="s">
        <v>8712</v>
      </c>
      <c r="D498" t="s">
        <v>5720</v>
      </c>
      <c r="E498" t="s">
        <v>5721</v>
      </c>
      <c r="F498" t="s">
        <v>5802</v>
      </c>
      <c r="G498" t="s">
        <v>5723</v>
      </c>
      <c r="H498" t="s">
        <v>463</v>
      </c>
      <c r="I498" t="s">
        <v>639</v>
      </c>
      <c r="J498" t="s">
        <v>266</v>
      </c>
      <c r="K498" t="s">
        <v>5724</v>
      </c>
      <c r="L498" t="s">
        <v>267</v>
      </c>
      <c r="M498">
        <v>3852484</v>
      </c>
      <c r="N498">
        <v>-2289743</v>
      </c>
      <c r="O498">
        <v>1562741</v>
      </c>
      <c r="P498">
        <v>0</v>
      </c>
      <c r="Q498" t="s">
        <v>8713</v>
      </c>
      <c r="R498" t="s">
        <v>8714</v>
      </c>
      <c r="S498" t="s">
        <v>8715</v>
      </c>
      <c r="T498" t="s">
        <v>8716</v>
      </c>
      <c r="U498" t="s">
        <v>8717</v>
      </c>
      <c r="V498" t="s">
        <v>8718</v>
      </c>
      <c r="W498" t="s">
        <v>5731</v>
      </c>
      <c r="X498" t="str">
        <f t="shared" si="7"/>
        <v>Inversión</v>
      </c>
      <c r="Y498" t="s">
        <v>5810</v>
      </c>
    </row>
    <row r="499" spans="1:25" x14ac:dyDescent="0.25">
      <c r="A499" t="s">
        <v>8719</v>
      </c>
      <c r="B499" t="s">
        <v>8711</v>
      </c>
      <c r="C499" t="s">
        <v>8720</v>
      </c>
      <c r="D499" t="s">
        <v>5720</v>
      </c>
      <c r="E499" t="s">
        <v>5721</v>
      </c>
      <c r="F499" t="s">
        <v>5802</v>
      </c>
      <c r="G499" t="s">
        <v>5723</v>
      </c>
      <c r="H499" t="s">
        <v>463</v>
      </c>
      <c r="I499" t="s">
        <v>639</v>
      </c>
      <c r="J499" t="s">
        <v>266</v>
      </c>
      <c r="K499" t="s">
        <v>5724</v>
      </c>
      <c r="L499" t="s">
        <v>267</v>
      </c>
      <c r="M499">
        <v>18408999</v>
      </c>
      <c r="N499">
        <v>-6689091</v>
      </c>
      <c r="O499">
        <v>11719908</v>
      </c>
      <c r="P499">
        <v>0</v>
      </c>
      <c r="Q499" t="s">
        <v>8525</v>
      </c>
      <c r="R499" t="s">
        <v>8721</v>
      </c>
      <c r="S499" t="s">
        <v>8722</v>
      </c>
      <c r="T499" t="s">
        <v>8723</v>
      </c>
      <c r="U499" t="s">
        <v>8724</v>
      </c>
      <c r="V499" t="s">
        <v>8725</v>
      </c>
      <c r="W499" t="s">
        <v>8726</v>
      </c>
      <c r="X499" t="str">
        <f t="shared" si="7"/>
        <v>Inversión</v>
      </c>
      <c r="Y499" t="s">
        <v>5810</v>
      </c>
    </row>
    <row r="500" spans="1:25" x14ac:dyDescent="0.25">
      <c r="A500" t="s">
        <v>8519</v>
      </c>
      <c r="B500" t="s">
        <v>8711</v>
      </c>
      <c r="C500" t="s">
        <v>8727</v>
      </c>
      <c r="D500" t="s">
        <v>5720</v>
      </c>
      <c r="E500" t="s">
        <v>5721</v>
      </c>
      <c r="F500" t="s">
        <v>5802</v>
      </c>
      <c r="G500" t="s">
        <v>5723</v>
      </c>
      <c r="H500" t="s">
        <v>458</v>
      </c>
      <c r="I500" t="s">
        <v>640</v>
      </c>
      <c r="J500" t="s">
        <v>266</v>
      </c>
      <c r="K500" t="s">
        <v>5724</v>
      </c>
      <c r="L500" t="s">
        <v>267</v>
      </c>
      <c r="M500">
        <v>15127323</v>
      </c>
      <c r="N500">
        <v>-10594882</v>
      </c>
      <c r="O500">
        <v>4532441</v>
      </c>
      <c r="P500">
        <v>0</v>
      </c>
      <c r="Q500" t="s">
        <v>8728</v>
      </c>
      <c r="R500" t="s">
        <v>7904</v>
      </c>
      <c r="S500" t="s">
        <v>8729</v>
      </c>
      <c r="T500" t="s">
        <v>8730</v>
      </c>
      <c r="U500" t="s">
        <v>8731</v>
      </c>
      <c r="V500" t="s">
        <v>8732</v>
      </c>
      <c r="W500" t="s">
        <v>6643</v>
      </c>
      <c r="X500" t="str">
        <f t="shared" si="7"/>
        <v>Inversión</v>
      </c>
      <c r="Y500" t="s">
        <v>5810</v>
      </c>
    </row>
    <row r="501" spans="1:25" x14ac:dyDescent="0.25">
      <c r="A501" t="s">
        <v>8512</v>
      </c>
      <c r="B501" t="s">
        <v>8711</v>
      </c>
      <c r="C501" t="s">
        <v>8733</v>
      </c>
      <c r="D501" t="s">
        <v>5720</v>
      </c>
      <c r="E501" t="s">
        <v>5721</v>
      </c>
      <c r="F501" t="s">
        <v>6356</v>
      </c>
      <c r="G501" t="s">
        <v>5723</v>
      </c>
      <c r="H501" t="s">
        <v>550</v>
      </c>
      <c r="I501" t="s">
        <v>642</v>
      </c>
      <c r="J501" t="s">
        <v>266</v>
      </c>
      <c r="K501" t="s">
        <v>5724</v>
      </c>
      <c r="L501" t="s">
        <v>267</v>
      </c>
      <c r="M501">
        <v>6690572</v>
      </c>
      <c r="N501">
        <v>0</v>
      </c>
      <c r="O501">
        <v>6690572</v>
      </c>
      <c r="P501">
        <v>0</v>
      </c>
      <c r="Q501" t="s">
        <v>8734</v>
      </c>
      <c r="R501" t="s">
        <v>7286</v>
      </c>
      <c r="S501" t="s">
        <v>8735</v>
      </c>
      <c r="T501" t="s">
        <v>5731</v>
      </c>
      <c r="U501" t="s">
        <v>5731</v>
      </c>
      <c r="V501" t="s">
        <v>5731</v>
      </c>
      <c r="W501" t="s">
        <v>5731</v>
      </c>
      <c r="X501" t="str">
        <f t="shared" si="7"/>
        <v>Inversión</v>
      </c>
      <c r="Y501" t="s">
        <v>6362</v>
      </c>
    </row>
    <row r="502" spans="1:25" x14ac:dyDescent="0.25">
      <c r="A502" t="s">
        <v>8620</v>
      </c>
      <c r="B502" t="s">
        <v>8711</v>
      </c>
      <c r="C502" t="s">
        <v>8736</v>
      </c>
      <c r="D502" t="s">
        <v>5720</v>
      </c>
      <c r="E502" t="s">
        <v>5721</v>
      </c>
      <c r="F502" t="s">
        <v>6356</v>
      </c>
      <c r="G502" t="s">
        <v>5723</v>
      </c>
      <c r="H502" t="s">
        <v>550</v>
      </c>
      <c r="I502" t="s">
        <v>642</v>
      </c>
      <c r="J502" t="s">
        <v>266</v>
      </c>
      <c r="K502" t="s">
        <v>5724</v>
      </c>
      <c r="L502" t="s">
        <v>267</v>
      </c>
      <c r="M502">
        <v>1426045</v>
      </c>
      <c r="N502">
        <v>0</v>
      </c>
      <c r="O502">
        <v>1426045</v>
      </c>
      <c r="P502">
        <v>0</v>
      </c>
      <c r="Q502" t="s">
        <v>8737</v>
      </c>
      <c r="R502" t="s">
        <v>7812</v>
      </c>
      <c r="S502" t="s">
        <v>8738</v>
      </c>
      <c r="T502" t="s">
        <v>8739</v>
      </c>
      <c r="U502" t="s">
        <v>8740</v>
      </c>
      <c r="V502" t="s">
        <v>8741</v>
      </c>
      <c r="W502" t="s">
        <v>5731</v>
      </c>
      <c r="X502" t="str">
        <f t="shared" si="7"/>
        <v>Inversión</v>
      </c>
      <c r="Y502" t="s">
        <v>6362</v>
      </c>
    </row>
    <row r="503" spans="1:25" x14ac:dyDescent="0.25">
      <c r="A503" t="s">
        <v>8604</v>
      </c>
      <c r="B503" t="s">
        <v>8711</v>
      </c>
      <c r="C503" t="s">
        <v>8736</v>
      </c>
      <c r="D503" t="s">
        <v>5720</v>
      </c>
      <c r="E503" t="s">
        <v>5721</v>
      </c>
      <c r="F503" t="s">
        <v>6356</v>
      </c>
      <c r="G503" t="s">
        <v>5723</v>
      </c>
      <c r="H503" t="s">
        <v>550</v>
      </c>
      <c r="I503" t="s">
        <v>642</v>
      </c>
      <c r="J503" t="s">
        <v>266</v>
      </c>
      <c r="K503" t="s">
        <v>5724</v>
      </c>
      <c r="L503" t="s">
        <v>267</v>
      </c>
      <c r="M503">
        <v>10616396</v>
      </c>
      <c r="N503">
        <v>0</v>
      </c>
      <c r="O503">
        <v>10616396</v>
      </c>
      <c r="P503">
        <v>0</v>
      </c>
      <c r="Q503" t="s">
        <v>8742</v>
      </c>
      <c r="R503" t="s">
        <v>8743</v>
      </c>
      <c r="S503" t="s">
        <v>8744</v>
      </c>
      <c r="T503" t="s">
        <v>5731</v>
      </c>
      <c r="U503" t="s">
        <v>5731</v>
      </c>
      <c r="V503" t="s">
        <v>5731</v>
      </c>
      <c r="W503" t="s">
        <v>5731</v>
      </c>
      <c r="X503" t="str">
        <f t="shared" si="7"/>
        <v>Inversión</v>
      </c>
      <c r="Y503" t="s">
        <v>6362</v>
      </c>
    </row>
    <row r="504" spans="1:25" x14ac:dyDescent="0.25">
      <c r="A504" t="s">
        <v>8530</v>
      </c>
      <c r="B504" t="s">
        <v>8711</v>
      </c>
      <c r="C504" t="s">
        <v>8745</v>
      </c>
      <c r="D504" t="s">
        <v>5720</v>
      </c>
      <c r="E504" t="s">
        <v>5721</v>
      </c>
      <c r="F504" t="s">
        <v>5802</v>
      </c>
      <c r="G504" t="s">
        <v>5723</v>
      </c>
      <c r="H504" t="s">
        <v>463</v>
      </c>
      <c r="I504" t="s">
        <v>639</v>
      </c>
      <c r="J504" t="s">
        <v>273</v>
      </c>
      <c r="K504" t="s">
        <v>5734</v>
      </c>
      <c r="L504" t="s">
        <v>267</v>
      </c>
      <c r="M504">
        <v>2101413</v>
      </c>
      <c r="N504">
        <v>0</v>
      </c>
      <c r="O504">
        <v>2101413</v>
      </c>
      <c r="P504">
        <v>0</v>
      </c>
      <c r="Q504" t="s">
        <v>8704</v>
      </c>
      <c r="R504" t="s">
        <v>8746</v>
      </c>
      <c r="S504" t="s">
        <v>8747</v>
      </c>
      <c r="T504" t="s">
        <v>8748</v>
      </c>
      <c r="U504" t="s">
        <v>8749</v>
      </c>
      <c r="V504" t="s">
        <v>8750</v>
      </c>
      <c r="W504" t="s">
        <v>5731</v>
      </c>
      <c r="X504" t="str">
        <f t="shared" si="7"/>
        <v>Inversión</v>
      </c>
      <c r="Y504" t="s">
        <v>5810</v>
      </c>
    </row>
    <row r="505" spans="1:25" x14ac:dyDescent="0.25">
      <c r="A505" t="s">
        <v>8526</v>
      </c>
      <c r="B505" t="s">
        <v>8751</v>
      </c>
      <c r="C505" t="s">
        <v>8752</v>
      </c>
      <c r="D505" t="s">
        <v>5720</v>
      </c>
      <c r="E505" t="s">
        <v>5737</v>
      </c>
      <c r="F505" t="s">
        <v>5802</v>
      </c>
      <c r="G505" t="s">
        <v>5723</v>
      </c>
      <c r="H505" t="s">
        <v>463</v>
      </c>
      <c r="I505" t="s">
        <v>639</v>
      </c>
      <c r="J505" t="s">
        <v>266</v>
      </c>
      <c r="K505" t="s">
        <v>5724</v>
      </c>
      <c r="L505" t="s">
        <v>267</v>
      </c>
      <c r="M505">
        <v>7044298</v>
      </c>
      <c r="N505">
        <v>-7044298</v>
      </c>
      <c r="O505">
        <v>0</v>
      </c>
      <c r="P505">
        <v>0</v>
      </c>
      <c r="Q505" t="s">
        <v>8753</v>
      </c>
      <c r="R505" t="s">
        <v>8754</v>
      </c>
      <c r="S505" t="s">
        <v>5731</v>
      </c>
      <c r="T505" t="s">
        <v>5731</v>
      </c>
      <c r="U505" t="s">
        <v>5731</v>
      </c>
      <c r="V505" t="s">
        <v>5731</v>
      </c>
      <c r="W505" t="s">
        <v>5731</v>
      </c>
      <c r="X505" t="str">
        <f t="shared" si="7"/>
        <v>Inversión</v>
      </c>
      <c r="Y505" t="s">
        <v>5810</v>
      </c>
    </row>
    <row r="506" spans="1:25" x14ac:dyDescent="0.25">
      <c r="A506" t="s">
        <v>8550</v>
      </c>
      <c r="B506" t="s">
        <v>8755</v>
      </c>
      <c r="C506" t="s">
        <v>8756</v>
      </c>
      <c r="D506" t="s">
        <v>5720</v>
      </c>
      <c r="E506" t="s">
        <v>5721</v>
      </c>
      <c r="F506" t="s">
        <v>5733</v>
      </c>
      <c r="G506" t="s">
        <v>5723</v>
      </c>
      <c r="H506" t="s">
        <v>461</v>
      </c>
      <c r="I506" t="s">
        <v>644</v>
      </c>
      <c r="J506" t="s">
        <v>266</v>
      </c>
      <c r="K506" t="s">
        <v>5724</v>
      </c>
      <c r="L506" t="s">
        <v>267</v>
      </c>
      <c r="M506">
        <v>135904986</v>
      </c>
      <c r="N506">
        <v>0</v>
      </c>
      <c r="O506">
        <v>135904986</v>
      </c>
      <c r="P506">
        <v>15100554</v>
      </c>
      <c r="Q506" t="s">
        <v>8757</v>
      </c>
      <c r="R506" t="s">
        <v>7850</v>
      </c>
      <c r="S506" t="s">
        <v>8758</v>
      </c>
      <c r="T506" t="s">
        <v>8759</v>
      </c>
      <c r="U506" t="s">
        <v>8760</v>
      </c>
      <c r="V506" t="s">
        <v>8761</v>
      </c>
      <c r="W506" t="s">
        <v>5731</v>
      </c>
      <c r="X506" t="str">
        <f t="shared" si="7"/>
        <v>Inversión</v>
      </c>
      <c r="Y506" t="s">
        <v>5735</v>
      </c>
    </row>
    <row r="507" spans="1:25" x14ac:dyDescent="0.25">
      <c r="A507" t="s">
        <v>8544</v>
      </c>
      <c r="B507" t="s">
        <v>8755</v>
      </c>
      <c r="C507" t="s">
        <v>8762</v>
      </c>
      <c r="D507" t="s">
        <v>5720</v>
      </c>
      <c r="E507" t="s">
        <v>5721</v>
      </c>
      <c r="F507" t="s">
        <v>5722</v>
      </c>
      <c r="G507" t="s">
        <v>5723</v>
      </c>
      <c r="H507" t="s">
        <v>465</v>
      </c>
      <c r="I507" t="s">
        <v>661</v>
      </c>
      <c r="J507" t="s">
        <v>273</v>
      </c>
      <c r="K507" t="s">
        <v>5734</v>
      </c>
      <c r="L507" t="s">
        <v>267</v>
      </c>
      <c r="M507">
        <v>66135552</v>
      </c>
      <c r="N507">
        <v>-9552913</v>
      </c>
      <c r="O507">
        <v>56582639</v>
      </c>
      <c r="P507">
        <v>0</v>
      </c>
      <c r="Q507" t="s">
        <v>8763</v>
      </c>
      <c r="R507" t="s">
        <v>7863</v>
      </c>
      <c r="S507" t="s">
        <v>8764</v>
      </c>
      <c r="T507" t="s">
        <v>5731</v>
      </c>
      <c r="U507" t="s">
        <v>5731</v>
      </c>
      <c r="V507" t="s">
        <v>5731</v>
      </c>
      <c r="W507" t="s">
        <v>5731</v>
      </c>
      <c r="X507" t="str">
        <f t="shared" si="7"/>
        <v>Inversión</v>
      </c>
      <c r="Y507" t="s">
        <v>5732</v>
      </c>
    </row>
    <row r="508" spans="1:25" x14ac:dyDescent="0.25">
      <c r="A508" t="s">
        <v>8765</v>
      </c>
      <c r="B508" t="s">
        <v>8755</v>
      </c>
      <c r="C508" t="s">
        <v>8766</v>
      </c>
      <c r="D508" t="s">
        <v>5720</v>
      </c>
      <c r="E508" t="s">
        <v>5721</v>
      </c>
      <c r="F508" t="s">
        <v>6356</v>
      </c>
      <c r="G508" t="s">
        <v>5723</v>
      </c>
      <c r="H508" t="s">
        <v>536</v>
      </c>
      <c r="I508" t="s">
        <v>641</v>
      </c>
      <c r="J508" t="s">
        <v>266</v>
      </c>
      <c r="K508" t="s">
        <v>5724</v>
      </c>
      <c r="L508" t="s">
        <v>267</v>
      </c>
      <c r="M508">
        <v>10000000</v>
      </c>
      <c r="N508">
        <v>0</v>
      </c>
      <c r="O508">
        <v>10000000</v>
      </c>
      <c r="P508">
        <v>3494484</v>
      </c>
      <c r="Q508" t="s">
        <v>8767</v>
      </c>
      <c r="R508" t="s">
        <v>8768</v>
      </c>
      <c r="S508" t="s">
        <v>8769</v>
      </c>
      <c r="T508" t="s">
        <v>5731</v>
      </c>
      <c r="U508" t="s">
        <v>5731</v>
      </c>
      <c r="V508" t="s">
        <v>5731</v>
      </c>
      <c r="W508" t="s">
        <v>5731</v>
      </c>
      <c r="X508" t="str">
        <f t="shared" si="7"/>
        <v>Inversión</v>
      </c>
      <c r="Y508" t="s">
        <v>6362</v>
      </c>
    </row>
    <row r="509" spans="1:25" x14ac:dyDescent="0.25">
      <c r="A509" t="s">
        <v>8582</v>
      </c>
      <c r="B509" t="s">
        <v>8755</v>
      </c>
      <c r="C509" t="s">
        <v>8770</v>
      </c>
      <c r="D509" t="s">
        <v>5720</v>
      </c>
      <c r="E509" t="s">
        <v>5721</v>
      </c>
      <c r="F509" t="s">
        <v>5802</v>
      </c>
      <c r="G509" t="s">
        <v>5723</v>
      </c>
      <c r="H509" t="s">
        <v>444</v>
      </c>
      <c r="I509" t="s">
        <v>634</v>
      </c>
      <c r="J509" t="s">
        <v>266</v>
      </c>
      <c r="K509" t="s">
        <v>5724</v>
      </c>
      <c r="L509" t="s">
        <v>267</v>
      </c>
      <c r="M509">
        <v>441248</v>
      </c>
      <c r="N509">
        <v>0</v>
      </c>
      <c r="O509">
        <v>441248</v>
      </c>
      <c r="P509">
        <v>0</v>
      </c>
      <c r="Q509" t="s">
        <v>8771</v>
      </c>
      <c r="R509" t="s">
        <v>8772</v>
      </c>
      <c r="S509" t="s">
        <v>8773</v>
      </c>
      <c r="T509" t="s">
        <v>8774</v>
      </c>
      <c r="U509" t="s">
        <v>8775</v>
      </c>
      <c r="V509" t="s">
        <v>8776</v>
      </c>
      <c r="W509" t="s">
        <v>5731</v>
      </c>
      <c r="X509" t="str">
        <f t="shared" si="7"/>
        <v>Inversión</v>
      </c>
      <c r="Y509" t="s">
        <v>5810</v>
      </c>
    </row>
    <row r="510" spans="1:25" x14ac:dyDescent="0.25">
      <c r="A510" t="s">
        <v>8575</v>
      </c>
      <c r="B510" t="s">
        <v>8755</v>
      </c>
      <c r="C510" t="s">
        <v>8777</v>
      </c>
      <c r="D510" t="s">
        <v>5720</v>
      </c>
      <c r="E510" t="s">
        <v>5721</v>
      </c>
      <c r="F510" t="s">
        <v>5802</v>
      </c>
      <c r="G510" t="s">
        <v>5723</v>
      </c>
      <c r="H510" t="s">
        <v>463</v>
      </c>
      <c r="I510" t="s">
        <v>639</v>
      </c>
      <c r="J510" t="s">
        <v>266</v>
      </c>
      <c r="K510" t="s">
        <v>5724</v>
      </c>
      <c r="L510" t="s">
        <v>267</v>
      </c>
      <c r="M510">
        <v>2424530</v>
      </c>
      <c r="N510">
        <v>-1215265</v>
      </c>
      <c r="O510">
        <v>1209265</v>
      </c>
      <c r="P510">
        <v>0</v>
      </c>
      <c r="Q510" t="s">
        <v>8778</v>
      </c>
      <c r="R510" t="s">
        <v>8779</v>
      </c>
      <c r="S510" t="s">
        <v>8780</v>
      </c>
      <c r="T510" t="s">
        <v>8781</v>
      </c>
      <c r="U510" t="s">
        <v>8782</v>
      </c>
      <c r="V510" t="s">
        <v>8783</v>
      </c>
      <c r="W510" t="s">
        <v>6617</v>
      </c>
      <c r="X510" t="str">
        <f t="shared" si="7"/>
        <v>Inversión</v>
      </c>
      <c r="Y510" t="s">
        <v>5810</v>
      </c>
    </row>
    <row r="511" spans="1:25" x14ac:dyDescent="0.25">
      <c r="A511" t="s">
        <v>8568</v>
      </c>
      <c r="B511" t="s">
        <v>8784</v>
      </c>
      <c r="C511" t="s">
        <v>8785</v>
      </c>
      <c r="D511" t="s">
        <v>5720</v>
      </c>
      <c r="E511" t="s">
        <v>5721</v>
      </c>
      <c r="F511" t="s">
        <v>5802</v>
      </c>
      <c r="G511" t="s">
        <v>5723</v>
      </c>
      <c r="H511" t="s">
        <v>444</v>
      </c>
      <c r="I511" t="s">
        <v>634</v>
      </c>
      <c r="J511" t="s">
        <v>266</v>
      </c>
      <c r="K511" t="s">
        <v>5724</v>
      </c>
      <c r="L511" t="s">
        <v>267</v>
      </c>
      <c r="M511">
        <v>2083307</v>
      </c>
      <c r="N511">
        <v>0</v>
      </c>
      <c r="O511">
        <v>2083307</v>
      </c>
      <c r="P511">
        <v>0</v>
      </c>
      <c r="Q511" t="s">
        <v>8786</v>
      </c>
      <c r="R511" t="s">
        <v>8787</v>
      </c>
      <c r="S511" t="s">
        <v>8788</v>
      </c>
      <c r="T511" t="s">
        <v>8789</v>
      </c>
      <c r="U511" t="s">
        <v>8790</v>
      </c>
      <c r="V511" t="s">
        <v>8791</v>
      </c>
      <c r="W511" t="s">
        <v>5731</v>
      </c>
      <c r="X511" t="str">
        <f t="shared" si="7"/>
        <v>Inversión</v>
      </c>
      <c r="Y511" t="s">
        <v>5810</v>
      </c>
    </row>
    <row r="512" spans="1:25" x14ac:dyDescent="0.25">
      <c r="A512" t="s">
        <v>8561</v>
      </c>
      <c r="B512" t="s">
        <v>8784</v>
      </c>
      <c r="C512" t="s">
        <v>8792</v>
      </c>
      <c r="D512" t="s">
        <v>5720</v>
      </c>
      <c r="E512" t="s">
        <v>5721</v>
      </c>
      <c r="F512" t="s">
        <v>5802</v>
      </c>
      <c r="G512" t="s">
        <v>5723</v>
      </c>
      <c r="H512" t="s">
        <v>444</v>
      </c>
      <c r="I512" t="s">
        <v>634</v>
      </c>
      <c r="J512" t="s">
        <v>266</v>
      </c>
      <c r="K512" t="s">
        <v>5724</v>
      </c>
      <c r="L512" t="s">
        <v>267</v>
      </c>
      <c r="M512">
        <v>2043053</v>
      </c>
      <c r="N512">
        <v>0</v>
      </c>
      <c r="O512">
        <v>2043053</v>
      </c>
      <c r="P512">
        <v>0</v>
      </c>
      <c r="Q512" t="s">
        <v>8793</v>
      </c>
      <c r="R512" t="s">
        <v>8794</v>
      </c>
      <c r="S512" t="s">
        <v>8795</v>
      </c>
      <c r="T512" t="s">
        <v>8796</v>
      </c>
      <c r="U512" t="s">
        <v>8797</v>
      </c>
      <c r="V512" t="s">
        <v>8798</v>
      </c>
      <c r="W512" t="s">
        <v>5731</v>
      </c>
      <c r="X512" t="str">
        <f t="shared" si="7"/>
        <v>Inversión</v>
      </c>
      <c r="Y512" t="s">
        <v>5810</v>
      </c>
    </row>
    <row r="513" spans="1:25" x14ac:dyDescent="0.25">
      <c r="A513" t="s">
        <v>8636</v>
      </c>
      <c r="B513" t="s">
        <v>8799</v>
      </c>
      <c r="C513" t="s">
        <v>8800</v>
      </c>
      <c r="D513" t="s">
        <v>5720</v>
      </c>
      <c r="E513" t="s">
        <v>5721</v>
      </c>
      <c r="F513" t="s">
        <v>6356</v>
      </c>
      <c r="G513" t="s">
        <v>5723</v>
      </c>
      <c r="H513" t="s">
        <v>550</v>
      </c>
      <c r="I513" t="s">
        <v>642</v>
      </c>
      <c r="J513" t="s">
        <v>266</v>
      </c>
      <c r="K513" t="s">
        <v>5724</v>
      </c>
      <c r="L513" t="s">
        <v>267</v>
      </c>
      <c r="M513">
        <v>667773</v>
      </c>
      <c r="N513">
        <v>414855</v>
      </c>
      <c r="O513">
        <v>1082628</v>
      </c>
      <c r="P513">
        <v>1082628</v>
      </c>
      <c r="Q513" t="s">
        <v>8801</v>
      </c>
      <c r="R513" t="s">
        <v>7774</v>
      </c>
      <c r="S513" t="s">
        <v>8802</v>
      </c>
      <c r="T513" t="s">
        <v>8803</v>
      </c>
      <c r="U513" t="s">
        <v>8804</v>
      </c>
      <c r="V513" t="s">
        <v>8805</v>
      </c>
      <c r="W513" t="s">
        <v>6898</v>
      </c>
      <c r="X513" t="str">
        <f t="shared" si="7"/>
        <v>Inversión</v>
      </c>
      <c r="Y513" t="s">
        <v>6362</v>
      </c>
    </row>
    <row r="514" spans="1:25" x14ac:dyDescent="0.25">
      <c r="A514" t="s">
        <v>8806</v>
      </c>
      <c r="B514" t="s">
        <v>8807</v>
      </c>
      <c r="C514" t="s">
        <v>8808</v>
      </c>
      <c r="D514" t="s">
        <v>5720</v>
      </c>
      <c r="E514" t="s">
        <v>5721</v>
      </c>
      <c r="F514" t="s">
        <v>5802</v>
      </c>
      <c r="G514" t="s">
        <v>5723</v>
      </c>
      <c r="H514" t="s">
        <v>463</v>
      </c>
      <c r="I514" t="s">
        <v>639</v>
      </c>
      <c r="J514" t="s">
        <v>266</v>
      </c>
      <c r="K514" t="s">
        <v>5724</v>
      </c>
      <c r="L514" t="s">
        <v>267</v>
      </c>
      <c r="M514">
        <v>22396177</v>
      </c>
      <c r="N514">
        <v>339553</v>
      </c>
      <c r="O514">
        <v>22735730</v>
      </c>
      <c r="P514">
        <v>0</v>
      </c>
      <c r="Q514" t="s">
        <v>8809</v>
      </c>
      <c r="R514" t="s">
        <v>8810</v>
      </c>
      <c r="S514" t="s">
        <v>8811</v>
      </c>
      <c r="T514" t="s">
        <v>8812</v>
      </c>
      <c r="U514" t="s">
        <v>8813</v>
      </c>
      <c r="V514" t="s">
        <v>8814</v>
      </c>
      <c r="W514" t="s">
        <v>5731</v>
      </c>
      <c r="X514" t="str">
        <f t="shared" ref="X514:X577" si="8">IF(LEFT(H514,1)="C","Inversión","Funcionamiento")</f>
        <v>Inversión</v>
      </c>
      <c r="Y514" t="s">
        <v>5810</v>
      </c>
    </row>
    <row r="515" spans="1:25" x14ac:dyDescent="0.25">
      <c r="A515" t="s">
        <v>6886</v>
      </c>
      <c r="B515" t="s">
        <v>8815</v>
      </c>
      <c r="C515" t="s">
        <v>8816</v>
      </c>
      <c r="D515" t="s">
        <v>5720</v>
      </c>
      <c r="E515" t="s">
        <v>5721</v>
      </c>
      <c r="F515" t="s">
        <v>5802</v>
      </c>
      <c r="G515" t="s">
        <v>5723</v>
      </c>
      <c r="H515" t="s">
        <v>463</v>
      </c>
      <c r="I515" t="s">
        <v>639</v>
      </c>
      <c r="J515" t="s">
        <v>266</v>
      </c>
      <c r="K515" t="s">
        <v>5724</v>
      </c>
      <c r="L515" t="s">
        <v>267</v>
      </c>
      <c r="M515">
        <v>942800</v>
      </c>
      <c r="N515">
        <v>-132561</v>
      </c>
      <c r="O515">
        <v>810239</v>
      </c>
      <c r="P515">
        <v>0</v>
      </c>
      <c r="Q515" t="s">
        <v>8817</v>
      </c>
      <c r="R515" t="s">
        <v>8818</v>
      </c>
      <c r="S515" t="s">
        <v>8819</v>
      </c>
      <c r="T515" t="s">
        <v>8820</v>
      </c>
      <c r="U515" t="s">
        <v>8821</v>
      </c>
      <c r="V515" t="s">
        <v>8822</v>
      </c>
      <c r="W515" t="s">
        <v>5731</v>
      </c>
      <c r="X515" t="str">
        <f t="shared" si="8"/>
        <v>Inversión</v>
      </c>
      <c r="Y515" t="s">
        <v>5810</v>
      </c>
    </row>
    <row r="516" spans="1:25" x14ac:dyDescent="0.25">
      <c r="A516" t="s">
        <v>8823</v>
      </c>
      <c r="B516" t="s">
        <v>8815</v>
      </c>
      <c r="C516" t="s">
        <v>8824</v>
      </c>
      <c r="D516" t="s">
        <v>5720</v>
      </c>
      <c r="E516" t="s">
        <v>5721</v>
      </c>
      <c r="F516" t="s">
        <v>5802</v>
      </c>
      <c r="G516" t="s">
        <v>5723</v>
      </c>
      <c r="H516" t="s">
        <v>463</v>
      </c>
      <c r="I516" t="s">
        <v>639</v>
      </c>
      <c r="J516" t="s">
        <v>266</v>
      </c>
      <c r="K516" t="s">
        <v>5724</v>
      </c>
      <c r="L516" t="s">
        <v>267</v>
      </c>
      <c r="M516">
        <v>3999463</v>
      </c>
      <c r="N516">
        <v>0</v>
      </c>
      <c r="O516">
        <v>3999463</v>
      </c>
      <c r="P516">
        <v>0</v>
      </c>
      <c r="Q516" t="s">
        <v>8825</v>
      </c>
      <c r="R516" t="s">
        <v>8826</v>
      </c>
      <c r="S516" t="s">
        <v>8827</v>
      </c>
      <c r="T516" t="s">
        <v>8828</v>
      </c>
      <c r="U516" t="s">
        <v>8829</v>
      </c>
      <c r="V516" t="s">
        <v>8830</v>
      </c>
      <c r="W516" t="s">
        <v>5731</v>
      </c>
      <c r="X516" t="str">
        <f t="shared" si="8"/>
        <v>Inversión</v>
      </c>
      <c r="Y516" t="s">
        <v>5810</v>
      </c>
    </row>
    <row r="517" spans="1:25" x14ac:dyDescent="0.25">
      <c r="A517" t="s">
        <v>8831</v>
      </c>
      <c r="B517" t="s">
        <v>8815</v>
      </c>
      <c r="C517" t="s">
        <v>8832</v>
      </c>
      <c r="D517" t="s">
        <v>5720</v>
      </c>
      <c r="E517" t="s">
        <v>5721</v>
      </c>
      <c r="F517" t="s">
        <v>5802</v>
      </c>
      <c r="G517" t="s">
        <v>5723</v>
      </c>
      <c r="H517" t="s">
        <v>458</v>
      </c>
      <c r="I517" t="s">
        <v>640</v>
      </c>
      <c r="J517" t="s">
        <v>266</v>
      </c>
      <c r="K517" t="s">
        <v>5724</v>
      </c>
      <c r="L517" t="s">
        <v>267</v>
      </c>
      <c r="M517">
        <v>24776810</v>
      </c>
      <c r="N517">
        <v>0</v>
      </c>
      <c r="O517">
        <v>24776810</v>
      </c>
      <c r="P517">
        <v>7012623</v>
      </c>
      <c r="Q517" t="s">
        <v>8825</v>
      </c>
      <c r="R517" t="s">
        <v>7827</v>
      </c>
      <c r="S517" t="s">
        <v>8833</v>
      </c>
      <c r="T517" t="s">
        <v>8834</v>
      </c>
      <c r="U517" t="s">
        <v>8835</v>
      </c>
      <c r="V517" t="s">
        <v>8836</v>
      </c>
      <c r="W517" t="s">
        <v>5731</v>
      </c>
      <c r="X517" t="str">
        <f t="shared" si="8"/>
        <v>Inversión</v>
      </c>
      <c r="Y517" t="s">
        <v>5810</v>
      </c>
    </row>
    <row r="518" spans="1:25" x14ac:dyDescent="0.25">
      <c r="A518" t="s">
        <v>8837</v>
      </c>
      <c r="B518" t="s">
        <v>8815</v>
      </c>
      <c r="C518" t="s">
        <v>8838</v>
      </c>
      <c r="D518" t="s">
        <v>5720</v>
      </c>
      <c r="E518" t="s">
        <v>5721</v>
      </c>
      <c r="F518" t="s">
        <v>5802</v>
      </c>
      <c r="G518" t="s">
        <v>5723</v>
      </c>
      <c r="H518" t="s">
        <v>463</v>
      </c>
      <c r="I518" t="s">
        <v>639</v>
      </c>
      <c r="J518" t="s">
        <v>266</v>
      </c>
      <c r="K518" t="s">
        <v>5724</v>
      </c>
      <c r="L518" t="s">
        <v>267</v>
      </c>
      <c r="M518">
        <v>27464172</v>
      </c>
      <c r="N518">
        <v>0</v>
      </c>
      <c r="O518">
        <v>27464172</v>
      </c>
      <c r="P518">
        <v>0</v>
      </c>
      <c r="Q518" t="s">
        <v>8839</v>
      </c>
      <c r="R518" t="s">
        <v>8840</v>
      </c>
      <c r="S518" t="s">
        <v>8841</v>
      </c>
      <c r="T518" t="s">
        <v>8842</v>
      </c>
      <c r="U518" t="s">
        <v>8843</v>
      </c>
      <c r="V518" t="s">
        <v>8844</v>
      </c>
      <c r="W518" t="s">
        <v>5731</v>
      </c>
      <c r="X518" t="str">
        <f t="shared" si="8"/>
        <v>Inversión</v>
      </c>
      <c r="Y518" t="s">
        <v>5810</v>
      </c>
    </row>
    <row r="519" spans="1:25" x14ac:dyDescent="0.25">
      <c r="A519" t="s">
        <v>8625</v>
      </c>
      <c r="B519" t="s">
        <v>8845</v>
      </c>
      <c r="C519" t="s">
        <v>8846</v>
      </c>
      <c r="D519" t="s">
        <v>5720</v>
      </c>
      <c r="E519" t="s">
        <v>5721</v>
      </c>
      <c r="F519" t="s">
        <v>5738</v>
      </c>
      <c r="G519" t="s">
        <v>5723</v>
      </c>
      <c r="H519" t="s">
        <v>526</v>
      </c>
      <c r="I519" t="s">
        <v>670</v>
      </c>
      <c r="J519" t="s">
        <v>273</v>
      </c>
      <c r="K519" t="s">
        <v>5734</v>
      </c>
      <c r="L519" t="s">
        <v>267</v>
      </c>
      <c r="M519">
        <v>15562038</v>
      </c>
      <c r="N519">
        <v>0</v>
      </c>
      <c r="O519">
        <v>15562038</v>
      </c>
      <c r="P519">
        <v>30364</v>
      </c>
      <c r="Q519" t="s">
        <v>8847</v>
      </c>
      <c r="R519" t="s">
        <v>8848</v>
      </c>
      <c r="S519" t="s">
        <v>8849</v>
      </c>
      <c r="T519" t="s">
        <v>5731</v>
      </c>
      <c r="U519" t="s">
        <v>5731</v>
      </c>
      <c r="V519" t="s">
        <v>5731</v>
      </c>
      <c r="W519" t="s">
        <v>5731</v>
      </c>
      <c r="X519" t="str">
        <f t="shared" si="8"/>
        <v>Inversión</v>
      </c>
      <c r="Y519" t="s">
        <v>5741</v>
      </c>
    </row>
    <row r="520" spans="1:25" x14ac:dyDescent="0.25">
      <c r="A520" t="s">
        <v>7870</v>
      </c>
      <c r="B520" t="s">
        <v>8845</v>
      </c>
      <c r="C520" t="s">
        <v>8850</v>
      </c>
      <c r="D520" t="s">
        <v>5720</v>
      </c>
      <c r="E520" t="s">
        <v>5721</v>
      </c>
      <c r="F520" t="s">
        <v>5802</v>
      </c>
      <c r="G520" t="s">
        <v>5723</v>
      </c>
      <c r="H520" t="s">
        <v>444</v>
      </c>
      <c r="I520" t="s">
        <v>634</v>
      </c>
      <c r="J520" t="s">
        <v>266</v>
      </c>
      <c r="K520" t="s">
        <v>5724</v>
      </c>
      <c r="L520" t="s">
        <v>267</v>
      </c>
      <c r="M520">
        <v>2878733</v>
      </c>
      <c r="N520">
        <v>0</v>
      </c>
      <c r="O520">
        <v>2878733</v>
      </c>
      <c r="P520">
        <v>0</v>
      </c>
      <c r="Q520" t="s">
        <v>8851</v>
      </c>
      <c r="R520" t="s">
        <v>8852</v>
      </c>
      <c r="S520" t="s">
        <v>8853</v>
      </c>
      <c r="T520" t="s">
        <v>8854</v>
      </c>
      <c r="U520" t="s">
        <v>8855</v>
      </c>
      <c r="V520" t="s">
        <v>8856</v>
      </c>
      <c r="W520" t="s">
        <v>5731</v>
      </c>
      <c r="X520" t="str">
        <f t="shared" si="8"/>
        <v>Inversión</v>
      </c>
      <c r="Y520" t="s">
        <v>5810</v>
      </c>
    </row>
    <row r="521" spans="1:25" x14ac:dyDescent="0.25">
      <c r="A521" t="s">
        <v>8857</v>
      </c>
      <c r="B521" t="s">
        <v>8845</v>
      </c>
      <c r="C521" t="s">
        <v>8858</v>
      </c>
      <c r="D521" t="s">
        <v>5720</v>
      </c>
      <c r="E521" t="s">
        <v>5721</v>
      </c>
      <c r="F521" t="s">
        <v>5802</v>
      </c>
      <c r="G521" t="s">
        <v>5723</v>
      </c>
      <c r="H521" t="s">
        <v>463</v>
      </c>
      <c r="I521" t="s">
        <v>639</v>
      </c>
      <c r="J521" t="s">
        <v>266</v>
      </c>
      <c r="K521" t="s">
        <v>5724</v>
      </c>
      <c r="L521" t="s">
        <v>267</v>
      </c>
      <c r="M521">
        <v>5072563</v>
      </c>
      <c r="N521">
        <v>0</v>
      </c>
      <c r="O521">
        <v>5072563</v>
      </c>
      <c r="P521">
        <v>522000</v>
      </c>
      <c r="Q521" t="s">
        <v>8859</v>
      </c>
      <c r="R521" t="s">
        <v>6514</v>
      </c>
      <c r="S521" t="s">
        <v>8860</v>
      </c>
      <c r="T521" t="s">
        <v>8861</v>
      </c>
      <c r="U521" t="s">
        <v>8862</v>
      </c>
      <c r="V521" t="s">
        <v>8863</v>
      </c>
      <c r="W521" t="s">
        <v>6216</v>
      </c>
      <c r="X521" t="str">
        <f t="shared" si="8"/>
        <v>Inversión</v>
      </c>
      <c r="Y521" t="s">
        <v>5810</v>
      </c>
    </row>
    <row r="522" spans="1:25" x14ac:dyDescent="0.25">
      <c r="A522" t="s">
        <v>8864</v>
      </c>
      <c r="B522" t="s">
        <v>8865</v>
      </c>
      <c r="C522" t="s">
        <v>8866</v>
      </c>
      <c r="D522" t="s">
        <v>5720</v>
      </c>
      <c r="E522" t="s">
        <v>5721</v>
      </c>
      <c r="F522" t="s">
        <v>5802</v>
      </c>
      <c r="G522" t="s">
        <v>5723</v>
      </c>
      <c r="H522" t="s">
        <v>444</v>
      </c>
      <c r="I522" t="s">
        <v>634</v>
      </c>
      <c r="J522" t="s">
        <v>266</v>
      </c>
      <c r="K522" t="s">
        <v>5724</v>
      </c>
      <c r="L522" t="s">
        <v>267</v>
      </c>
      <c r="M522">
        <v>7640169</v>
      </c>
      <c r="N522">
        <v>0</v>
      </c>
      <c r="O522">
        <v>7640169</v>
      </c>
      <c r="P522">
        <v>0</v>
      </c>
      <c r="Q522" t="s">
        <v>8867</v>
      </c>
      <c r="R522" t="s">
        <v>8868</v>
      </c>
      <c r="S522" t="s">
        <v>8869</v>
      </c>
      <c r="T522" t="s">
        <v>8870</v>
      </c>
      <c r="U522" t="s">
        <v>8871</v>
      </c>
      <c r="V522" t="s">
        <v>8872</v>
      </c>
      <c r="W522" t="s">
        <v>5731</v>
      </c>
      <c r="X522" t="str">
        <f t="shared" si="8"/>
        <v>Inversión</v>
      </c>
      <c r="Y522" t="s">
        <v>5810</v>
      </c>
    </row>
    <row r="523" spans="1:25" x14ac:dyDescent="0.25">
      <c r="A523" t="s">
        <v>8873</v>
      </c>
      <c r="B523" t="s">
        <v>8865</v>
      </c>
      <c r="C523" t="s">
        <v>8874</v>
      </c>
      <c r="D523" t="s">
        <v>5720</v>
      </c>
      <c r="E523" t="s">
        <v>5721</v>
      </c>
      <c r="F523" t="s">
        <v>5802</v>
      </c>
      <c r="G523" t="s">
        <v>5723</v>
      </c>
      <c r="H523" t="s">
        <v>463</v>
      </c>
      <c r="I523" t="s">
        <v>639</v>
      </c>
      <c r="J523" t="s">
        <v>266</v>
      </c>
      <c r="K523" t="s">
        <v>5724</v>
      </c>
      <c r="L523" t="s">
        <v>267</v>
      </c>
      <c r="M523">
        <v>4327106</v>
      </c>
      <c r="N523">
        <v>0</v>
      </c>
      <c r="O523">
        <v>4327106</v>
      </c>
      <c r="P523">
        <v>0</v>
      </c>
      <c r="Q523" t="s">
        <v>8875</v>
      </c>
      <c r="R523" t="s">
        <v>8876</v>
      </c>
      <c r="S523" t="s">
        <v>8877</v>
      </c>
      <c r="T523" t="s">
        <v>8878</v>
      </c>
      <c r="U523" t="s">
        <v>8879</v>
      </c>
      <c r="V523" t="s">
        <v>8880</v>
      </c>
      <c r="W523" t="s">
        <v>5731</v>
      </c>
      <c r="X523" t="str">
        <f t="shared" si="8"/>
        <v>Inversión</v>
      </c>
      <c r="Y523" t="s">
        <v>5810</v>
      </c>
    </row>
    <row r="524" spans="1:25" x14ac:dyDescent="0.25">
      <c r="A524" t="s">
        <v>8670</v>
      </c>
      <c r="B524" t="s">
        <v>8865</v>
      </c>
      <c r="C524" t="s">
        <v>8881</v>
      </c>
      <c r="D524" t="s">
        <v>5720</v>
      </c>
      <c r="E524" t="s">
        <v>5721</v>
      </c>
      <c r="F524" t="s">
        <v>5802</v>
      </c>
      <c r="G524" t="s">
        <v>5723</v>
      </c>
      <c r="H524" t="s">
        <v>463</v>
      </c>
      <c r="I524" t="s">
        <v>639</v>
      </c>
      <c r="J524" t="s">
        <v>266</v>
      </c>
      <c r="K524" t="s">
        <v>5724</v>
      </c>
      <c r="L524" t="s">
        <v>267</v>
      </c>
      <c r="M524">
        <v>5571222</v>
      </c>
      <c r="N524">
        <v>0</v>
      </c>
      <c r="O524">
        <v>5571222</v>
      </c>
      <c r="P524">
        <v>0</v>
      </c>
      <c r="Q524" t="s">
        <v>8882</v>
      </c>
      <c r="R524" t="s">
        <v>6521</v>
      </c>
      <c r="S524" t="s">
        <v>8883</v>
      </c>
      <c r="T524" t="s">
        <v>8884</v>
      </c>
      <c r="U524" t="s">
        <v>8885</v>
      </c>
      <c r="V524" t="s">
        <v>8886</v>
      </c>
      <c r="W524" t="s">
        <v>5731</v>
      </c>
      <c r="X524" t="str">
        <f t="shared" si="8"/>
        <v>Inversión</v>
      </c>
      <c r="Y524" t="s">
        <v>5810</v>
      </c>
    </row>
    <row r="525" spans="1:25" x14ac:dyDescent="0.25">
      <c r="A525" t="s">
        <v>8663</v>
      </c>
      <c r="B525" t="s">
        <v>8865</v>
      </c>
      <c r="C525" t="s">
        <v>8887</v>
      </c>
      <c r="D525" t="s">
        <v>5720</v>
      </c>
      <c r="E525" t="s">
        <v>5721</v>
      </c>
      <c r="F525" t="s">
        <v>5802</v>
      </c>
      <c r="G525" t="s">
        <v>5723</v>
      </c>
      <c r="H525" t="s">
        <v>463</v>
      </c>
      <c r="I525" t="s">
        <v>639</v>
      </c>
      <c r="J525" t="s">
        <v>273</v>
      </c>
      <c r="K525" t="s">
        <v>5734</v>
      </c>
      <c r="L525" t="s">
        <v>267</v>
      </c>
      <c r="M525">
        <v>10180038</v>
      </c>
      <c r="N525">
        <v>0</v>
      </c>
      <c r="O525">
        <v>10180038</v>
      </c>
      <c r="P525">
        <v>0</v>
      </c>
      <c r="Q525" t="s">
        <v>8888</v>
      </c>
      <c r="R525" t="s">
        <v>8889</v>
      </c>
      <c r="S525" t="s">
        <v>8890</v>
      </c>
      <c r="T525" t="s">
        <v>8891</v>
      </c>
      <c r="U525" t="s">
        <v>8892</v>
      </c>
      <c r="V525" t="s">
        <v>8893</v>
      </c>
      <c r="W525" t="s">
        <v>5731</v>
      </c>
      <c r="X525" t="str">
        <f t="shared" si="8"/>
        <v>Inversión</v>
      </c>
      <c r="Y525" t="s">
        <v>5810</v>
      </c>
    </row>
    <row r="526" spans="1:25" x14ac:dyDescent="0.25">
      <c r="A526" t="s">
        <v>8768</v>
      </c>
      <c r="B526" t="s">
        <v>8865</v>
      </c>
      <c r="C526" t="s">
        <v>8894</v>
      </c>
      <c r="D526" t="s">
        <v>5720</v>
      </c>
      <c r="E526" t="s">
        <v>5737</v>
      </c>
      <c r="F526" t="s">
        <v>6356</v>
      </c>
      <c r="G526" t="s">
        <v>5723</v>
      </c>
      <c r="H526" t="s">
        <v>550</v>
      </c>
      <c r="I526" t="s">
        <v>642</v>
      </c>
      <c r="J526" t="s">
        <v>273</v>
      </c>
      <c r="K526" t="s">
        <v>5734</v>
      </c>
      <c r="L526" t="s">
        <v>267</v>
      </c>
      <c r="M526">
        <v>29858544</v>
      </c>
      <c r="N526">
        <v>0</v>
      </c>
      <c r="O526">
        <v>29858544</v>
      </c>
      <c r="P526">
        <v>29858544</v>
      </c>
      <c r="Q526" t="s">
        <v>8895</v>
      </c>
      <c r="R526" t="s">
        <v>8896</v>
      </c>
      <c r="S526" t="s">
        <v>5731</v>
      </c>
      <c r="T526" t="s">
        <v>5731</v>
      </c>
      <c r="U526" t="s">
        <v>5731</v>
      </c>
      <c r="V526" t="s">
        <v>5731</v>
      </c>
      <c r="W526" t="s">
        <v>5731</v>
      </c>
      <c r="X526" t="str">
        <f t="shared" si="8"/>
        <v>Inversión</v>
      </c>
      <c r="Y526" t="s">
        <v>6362</v>
      </c>
    </row>
    <row r="527" spans="1:25" x14ac:dyDescent="0.25">
      <c r="A527" t="s">
        <v>8897</v>
      </c>
      <c r="B527" t="s">
        <v>8898</v>
      </c>
      <c r="C527" t="s">
        <v>8899</v>
      </c>
      <c r="D527" t="s">
        <v>5720</v>
      </c>
      <c r="E527" t="s">
        <v>5721</v>
      </c>
      <c r="F527" t="s">
        <v>5802</v>
      </c>
      <c r="G527" t="s">
        <v>5723</v>
      </c>
      <c r="H527" t="s">
        <v>458</v>
      </c>
      <c r="I527" t="s">
        <v>640</v>
      </c>
      <c r="J527" t="s">
        <v>266</v>
      </c>
      <c r="K527" t="s">
        <v>5724</v>
      </c>
      <c r="L527" t="s">
        <v>267</v>
      </c>
      <c r="M527">
        <v>12659187</v>
      </c>
      <c r="N527">
        <v>0</v>
      </c>
      <c r="O527">
        <v>12659187</v>
      </c>
      <c r="P527">
        <v>0</v>
      </c>
      <c r="Q527" t="s">
        <v>8900</v>
      </c>
      <c r="R527" t="s">
        <v>8901</v>
      </c>
      <c r="S527" t="s">
        <v>8902</v>
      </c>
      <c r="T527" t="s">
        <v>8903</v>
      </c>
      <c r="U527" t="s">
        <v>8904</v>
      </c>
      <c r="V527" t="s">
        <v>8905</v>
      </c>
      <c r="W527" t="s">
        <v>5731</v>
      </c>
      <c r="X527" t="str">
        <f t="shared" si="8"/>
        <v>Inversión</v>
      </c>
      <c r="Y527" t="s">
        <v>5810</v>
      </c>
    </row>
    <row r="528" spans="1:25" x14ac:dyDescent="0.25">
      <c r="A528" t="s">
        <v>8906</v>
      </c>
      <c r="B528" t="s">
        <v>8907</v>
      </c>
      <c r="C528" t="s">
        <v>8908</v>
      </c>
      <c r="D528" t="s">
        <v>5720</v>
      </c>
      <c r="E528" t="s">
        <v>5721</v>
      </c>
      <c r="F528" t="s">
        <v>5802</v>
      </c>
      <c r="G528" t="s">
        <v>5723</v>
      </c>
      <c r="H528" t="s">
        <v>555</v>
      </c>
      <c r="I528" t="s">
        <v>638</v>
      </c>
      <c r="J528" t="s">
        <v>266</v>
      </c>
      <c r="K528" t="s">
        <v>5724</v>
      </c>
      <c r="L528" t="s">
        <v>267</v>
      </c>
      <c r="M528">
        <v>11576426</v>
      </c>
      <c r="N528">
        <v>0</v>
      </c>
      <c r="O528">
        <v>11576426</v>
      </c>
      <c r="P528">
        <v>0</v>
      </c>
      <c r="Q528" t="s">
        <v>8909</v>
      </c>
      <c r="R528" t="s">
        <v>7279</v>
      </c>
      <c r="S528" t="s">
        <v>8910</v>
      </c>
      <c r="T528" t="s">
        <v>5731</v>
      </c>
      <c r="U528" t="s">
        <v>5731</v>
      </c>
      <c r="V528" t="s">
        <v>5731</v>
      </c>
      <c r="W528" t="s">
        <v>5731</v>
      </c>
      <c r="X528" t="str">
        <f t="shared" si="8"/>
        <v>Inversión</v>
      </c>
      <c r="Y528" t="s">
        <v>5810</v>
      </c>
    </row>
    <row r="529" spans="1:25" x14ac:dyDescent="0.25">
      <c r="A529" t="s">
        <v>8705</v>
      </c>
      <c r="B529" t="s">
        <v>8907</v>
      </c>
      <c r="C529" t="s">
        <v>8911</v>
      </c>
      <c r="D529" t="s">
        <v>5720</v>
      </c>
      <c r="E529" t="s">
        <v>5721</v>
      </c>
      <c r="F529" t="s">
        <v>5802</v>
      </c>
      <c r="G529" t="s">
        <v>5723</v>
      </c>
      <c r="H529" t="s">
        <v>555</v>
      </c>
      <c r="I529" t="s">
        <v>638</v>
      </c>
      <c r="J529" t="s">
        <v>266</v>
      </c>
      <c r="K529" t="s">
        <v>5724</v>
      </c>
      <c r="L529" t="s">
        <v>267</v>
      </c>
      <c r="M529">
        <v>24950436</v>
      </c>
      <c r="N529">
        <v>0</v>
      </c>
      <c r="O529">
        <v>24950436</v>
      </c>
      <c r="P529">
        <v>0</v>
      </c>
      <c r="Q529" t="s">
        <v>8912</v>
      </c>
      <c r="R529" t="s">
        <v>7917</v>
      </c>
      <c r="S529" t="s">
        <v>8913</v>
      </c>
      <c r="T529" t="s">
        <v>5731</v>
      </c>
      <c r="U529" t="s">
        <v>5731</v>
      </c>
      <c r="V529" t="s">
        <v>5731</v>
      </c>
      <c r="W529" t="s">
        <v>5731</v>
      </c>
      <c r="X529" t="str">
        <f t="shared" si="8"/>
        <v>Inversión</v>
      </c>
      <c r="Y529" t="s">
        <v>5810</v>
      </c>
    </row>
    <row r="530" spans="1:25" x14ac:dyDescent="0.25">
      <c r="A530" t="s">
        <v>8714</v>
      </c>
      <c r="B530" t="s">
        <v>8907</v>
      </c>
      <c r="C530" t="s">
        <v>8914</v>
      </c>
      <c r="D530" t="s">
        <v>5720</v>
      </c>
      <c r="E530" t="s">
        <v>5721</v>
      </c>
      <c r="F530" t="s">
        <v>5733</v>
      </c>
      <c r="G530" t="s">
        <v>5723</v>
      </c>
      <c r="H530" t="s">
        <v>461</v>
      </c>
      <c r="I530" t="s">
        <v>644</v>
      </c>
      <c r="J530" t="s">
        <v>266</v>
      </c>
      <c r="K530" t="s">
        <v>5724</v>
      </c>
      <c r="L530" t="s">
        <v>267</v>
      </c>
      <c r="M530">
        <v>46062344</v>
      </c>
      <c r="N530">
        <v>0</v>
      </c>
      <c r="O530">
        <v>46062344</v>
      </c>
      <c r="P530">
        <v>0</v>
      </c>
      <c r="Q530" t="s">
        <v>8915</v>
      </c>
      <c r="R530" t="s">
        <v>8916</v>
      </c>
      <c r="S530" t="s">
        <v>8917</v>
      </c>
      <c r="T530" t="s">
        <v>5731</v>
      </c>
      <c r="U530" t="s">
        <v>5731</v>
      </c>
      <c r="V530" t="s">
        <v>5731</v>
      </c>
      <c r="W530" t="s">
        <v>5731</v>
      </c>
      <c r="X530" t="str">
        <f t="shared" si="8"/>
        <v>Inversión</v>
      </c>
      <c r="Y530" t="s">
        <v>5735</v>
      </c>
    </row>
    <row r="531" spans="1:25" x14ac:dyDescent="0.25">
      <c r="A531" t="s">
        <v>8721</v>
      </c>
      <c r="B531" t="s">
        <v>8907</v>
      </c>
      <c r="C531" t="s">
        <v>8918</v>
      </c>
      <c r="D531" t="s">
        <v>5720</v>
      </c>
      <c r="E531" t="s">
        <v>5721</v>
      </c>
      <c r="F531" t="s">
        <v>5733</v>
      </c>
      <c r="G531" t="s">
        <v>5723</v>
      </c>
      <c r="H531" t="s">
        <v>461</v>
      </c>
      <c r="I531" t="s">
        <v>644</v>
      </c>
      <c r="J531" t="s">
        <v>266</v>
      </c>
      <c r="K531" t="s">
        <v>5724</v>
      </c>
      <c r="L531" t="s">
        <v>267</v>
      </c>
      <c r="M531">
        <v>19905696</v>
      </c>
      <c r="N531">
        <v>0</v>
      </c>
      <c r="O531">
        <v>19905696</v>
      </c>
      <c r="P531">
        <v>0</v>
      </c>
      <c r="Q531" t="s">
        <v>8919</v>
      </c>
      <c r="R531" t="s">
        <v>8920</v>
      </c>
      <c r="S531" t="s">
        <v>8921</v>
      </c>
      <c r="T531" t="s">
        <v>5731</v>
      </c>
      <c r="U531" t="s">
        <v>5731</v>
      </c>
      <c r="V531" t="s">
        <v>5731</v>
      </c>
      <c r="W531" t="s">
        <v>5731</v>
      </c>
      <c r="X531" t="str">
        <f t="shared" si="8"/>
        <v>Inversión</v>
      </c>
      <c r="Y531" t="s">
        <v>5735</v>
      </c>
    </row>
    <row r="532" spans="1:25" x14ac:dyDescent="0.25">
      <c r="A532" t="s">
        <v>7904</v>
      </c>
      <c r="B532" t="s">
        <v>8907</v>
      </c>
      <c r="C532" t="s">
        <v>8922</v>
      </c>
      <c r="D532" t="s">
        <v>5720</v>
      </c>
      <c r="E532" t="s">
        <v>5721</v>
      </c>
      <c r="F532" t="s">
        <v>5733</v>
      </c>
      <c r="G532" t="s">
        <v>5723</v>
      </c>
      <c r="H532" t="s">
        <v>461</v>
      </c>
      <c r="I532" t="s">
        <v>644</v>
      </c>
      <c r="J532" t="s">
        <v>266</v>
      </c>
      <c r="K532" t="s">
        <v>5724</v>
      </c>
      <c r="L532" t="s">
        <v>267</v>
      </c>
      <c r="M532">
        <v>19905696</v>
      </c>
      <c r="N532">
        <v>0</v>
      </c>
      <c r="O532">
        <v>19905696</v>
      </c>
      <c r="P532">
        <v>0</v>
      </c>
      <c r="Q532" t="s">
        <v>8923</v>
      </c>
      <c r="R532" t="s">
        <v>8924</v>
      </c>
      <c r="S532" t="s">
        <v>8925</v>
      </c>
      <c r="T532" t="s">
        <v>5731</v>
      </c>
      <c r="U532" t="s">
        <v>5731</v>
      </c>
      <c r="V532" t="s">
        <v>5731</v>
      </c>
      <c r="W532" t="s">
        <v>5731</v>
      </c>
      <c r="X532" t="str">
        <f t="shared" si="8"/>
        <v>Inversión</v>
      </c>
      <c r="Y532" t="s">
        <v>5735</v>
      </c>
    </row>
    <row r="533" spans="1:25" x14ac:dyDescent="0.25">
      <c r="A533" t="s">
        <v>8746</v>
      </c>
      <c r="B533" t="s">
        <v>8907</v>
      </c>
      <c r="C533" t="s">
        <v>8926</v>
      </c>
      <c r="D533" t="s">
        <v>5720</v>
      </c>
      <c r="E533" t="s">
        <v>5721</v>
      </c>
      <c r="F533" t="s">
        <v>5733</v>
      </c>
      <c r="G533" t="s">
        <v>5723</v>
      </c>
      <c r="H533" t="s">
        <v>461</v>
      </c>
      <c r="I533" t="s">
        <v>644</v>
      </c>
      <c r="J533" t="s">
        <v>266</v>
      </c>
      <c r="K533" t="s">
        <v>5724</v>
      </c>
      <c r="L533" t="s">
        <v>267</v>
      </c>
      <c r="M533">
        <v>10685932</v>
      </c>
      <c r="N533">
        <v>0</v>
      </c>
      <c r="O533">
        <v>10685932</v>
      </c>
      <c r="P533">
        <v>0</v>
      </c>
      <c r="Q533" t="s">
        <v>8927</v>
      </c>
      <c r="R533" t="s">
        <v>8928</v>
      </c>
      <c r="S533" t="s">
        <v>8929</v>
      </c>
      <c r="T533" t="s">
        <v>5731</v>
      </c>
      <c r="U533" t="s">
        <v>5731</v>
      </c>
      <c r="V533" t="s">
        <v>5731</v>
      </c>
      <c r="W533" t="s">
        <v>5731</v>
      </c>
      <c r="X533" t="str">
        <f t="shared" si="8"/>
        <v>Inversión</v>
      </c>
      <c r="Y533" t="s">
        <v>5735</v>
      </c>
    </row>
    <row r="534" spans="1:25" x14ac:dyDescent="0.25">
      <c r="A534" t="s">
        <v>8743</v>
      </c>
      <c r="B534" t="s">
        <v>8907</v>
      </c>
      <c r="C534" t="s">
        <v>8930</v>
      </c>
      <c r="D534" t="s">
        <v>5720</v>
      </c>
      <c r="E534" t="s">
        <v>5721</v>
      </c>
      <c r="F534" t="s">
        <v>5733</v>
      </c>
      <c r="G534" t="s">
        <v>5723</v>
      </c>
      <c r="H534" t="s">
        <v>461</v>
      </c>
      <c r="I534" t="s">
        <v>644</v>
      </c>
      <c r="J534" t="s">
        <v>266</v>
      </c>
      <c r="K534" t="s">
        <v>5724</v>
      </c>
      <c r="L534" t="s">
        <v>267</v>
      </c>
      <c r="M534">
        <v>10685932</v>
      </c>
      <c r="N534">
        <v>0</v>
      </c>
      <c r="O534">
        <v>10685932</v>
      </c>
      <c r="P534">
        <v>0</v>
      </c>
      <c r="Q534" t="s">
        <v>8931</v>
      </c>
      <c r="R534" t="s">
        <v>8932</v>
      </c>
      <c r="S534" t="s">
        <v>8933</v>
      </c>
      <c r="T534" t="s">
        <v>5731</v>
      </c>
      <c r="U534" t="s">
        <v>5731</v>
      </c>
      <c r="V534" t="s">
        <v>5731</v>
      </c>
      <c r="W534" t="s">
        <v>5731</v>
      </c>
      <c r="X534" t="str">
        <f t="shared" si="8"/>
        <v>Inversión</v>
      </c>
      <c r="Y534" t="s">
        <v>5735</v>
      </c>
    </row>
    <row r="535" spans="1:25" x14ac:dyDescent="0.25">
      <c r="A535" t="s">
        <v>7286</v>
      </c>
      <c r="B535" t="s">
        <v>8907</v>
      </c>
      <c r="C535" t="s">
        <v>8934</v>
      </c>
      <c r="D535" t="s">
        <v>5720</v>
      </c>
      <c r="E535" t="s">
        <v>5737</v>
      </c>
      <c r="F535" t="s">
        <v>5802</v>
      </c>
      <c r="G535" t="s">
        <v>5723</v>
      </c>
      <c r="H535" t="s">
        <v>553</v>
      </c>
      <c r="I535" t="s">
        <v>623</v>
      </c>
      <c r="J535" t="s">
        <v>266</v>
      </c>
      <c r="K535" t="s">
        <v>5724</v>
      </c>
      <c r="L535" t="s">
        <v>267</v>
      </c>
      <c r="M535">
        <v>10786527</v>
      </c>
      <c r="N535">
        <v>0</v>
      </c>
      <c r="O535">
        <v>10786527</v>
      </c>
      <c r="P535">
        <v>10786527</v>
      </c>
      <c r="Q535" t="s">
        <v>8935</v>
      </c>
      <c r="R535" t="s">
        <v>8936</v>
      </c>
      <c r="S535" t="s">
        <v>5731</v>
      </c>
      <c r="T535" t="s">
        <v>5731</v>
      </c>
      <c r="U535" t="s">
        <v>5731</v>
      </c>
      <c r="V535" t="s">
        <v>5731</v>
      </c>
      <c r="W535" t="s">
        <v>5731</v>
      </c>
      <c r="X535" t="str">
        <f t="shared" si="8"/>
        <v>Inversión</v>
      </c>
      <c r="Y535" t="s">
        <v>5810</v>
      </c>
    </row>
    <row r="536" spans="1:25" x14ac:dyDescent="0.25">
      <c r="A536" t="s">
        <v>7812</v>
      </c>
      <c r="B536" t="s">
        <v>8907</v>
      </c>
      <c r="C536" t="s">
        <v>8937</v>
      </c>
      <c r="D536" t="s">
        <v>5720</v>
      </c>
      <c r="E536" t="s">
        <v>5737</v>
      </c>
      <c r="F536" t="s">
        <v>5802</v>
      </c>
      <c r="G536" t="s">
        <v>5723</v>
      </c>
      <c r="H536" t="s">
        <v>553</v>
      </c>
      <c r="I536" t="s">
        <v>623</v>
      </c>
      <c r="J536" t="s">
        <v>266</v>
      </c>
      <c r="K536" t="s">
        <v>5724</v>
      </c>
      <c r="L536" t="s">
        <v>267</v>
      </c>
      <c r="M536">
        <v>21573053</v>
      </c>
      <c r="N536">
        <v>0</v>
      </c>
      <c r="O536">
        <v>21573053</v>
      </c>
      <c r="P536">
        <v>21573053</v>
      </c>
      <c r="Q536" t="s">
        <v>8938</v>
      </c>
      <c r="R536" t="s">
        <v>6413</v>
      </c>
      <c r="S536" t="s">
        <v>5731</v>
      </c>
      <c r="T536" t="s">
        <v>5731</v>
      </c>
      <c r="U536" t="s">
        <v>5731</v>
      </c>
      <c r="V536" t="s">
        <v>5731</v>
      </c>
      <c r="W536" t="s">
        <v>5731</v>
      </c>
      <c r="X536" t="str">
        <f t="shared" si="8"/>
        <v>Inversión</v>
      </c>
      <c r="Y536" t="s">
        <v>5810</v>
      </c>
    </row>
    <row r="537" spans="1:25" x14ac:dyDescent="0.25">
      <c r="A537" t="s">
        <v>7863</v>
      </c>
      <c r="B537" t="s">
        <v>8907</v>
      </c>
      <c r="C537" t="s">
        <v>8939</v>
      </c>
      <c r="D537" t="s">
        <v>5720</v>
      </c>
      <c r="E537" t="s">
        <v>5737</v>
      </c>
      <c r="F537" t="s">
        <v>5802</v>
      </c>
      <c r="G537" t="s">
        <v>5723</v>
      </c>
      <c r="H537" t="s">
        <v>553</v>
      </c>
      <c r="I537" t="s">
        <v>623</v>
      </c>
      <c r="J537" t="s">
        <v>266</v>
      </c>
      <c r="K537" t="s">
        <v>5724</v>
      </c>
      <c r="L537" t="s">
        <v>267</v>
      </c>
      <c r="M537">
        <v>20481370</v>
      </c>
      <c r="N537">
        <v>0</v>
      </c>
      <c r="O537">
        <v>20481370</v>
      </c>
      <c r="P537">
        <v>20481370</v>
      </c>
      <c r="Q537" t="s">
        <v>8940</v>
      </c>
      <c r="R537" t="s">
        <v>6780</v>
      </c>
      <c r="S537" t="s">
        <v>5731</v>
      </c>
      <c r="T537" t="s">
        <v>5731</v>
      </c>
      <c r="U537" t="s">
        <v>5731</v>
      </c>
      <c r="V537" t="s">
        <v>5731</v>
      </c>
      <c r="W537" t="s">
        <v>5731</v>
      </c>
      <c r="X537" t="str">
        <f t="shared" si="8"/>
        <v>Inversión</v>
      </c>
      <c r="Y537" t="s">
        <v>5810</v>
      </c>
    </row>
    <row r="538" spans="1:25" x14ac:dyDescent="0.25">
      <c r="A538" t="s">
        <v>7501</v>
      </c>
      <c r="B538" t="s">
        <v>8907</v>
      </c>
      <c r="C538" t="s">
        <v>8941</v>
      </c>
      <c r="D538" t="s">
        <v>5720</v>
      </c>
      <c r="E538" t="s">
        <v>5721</v>
      </c>
      <c r="F538" t="s">
        <v>5802</v>
      </c>
      <c r="G538" t="s">
        <v>5723</v>
      </c>
      <c r="H538" t="s">
        <v>463</v>
      </c>
      <c r="I538" t="s">
        <v>639</v>
      </c>
      <c r="J538" t="s">
        <v>266</v>
      </c>
      <c r="K538" t="s">
        <v>5724</v>
      </c>
      <c r="L538" t="s">
        <v>267</v>
      </c>
      <c r="M538">
        <v>2910663</v>
      </c>
      <c r="N538">
        <v>0</v>
      </c>
      <c r="O538">
        <v>2910663</v>
      </c>
      <c r="P538">
        <v>0</v>
      </c>
      <c r="Q538" t="s">
        <v>8395</v>
      </c>
      <c r="R538" t="s">
        <v>8942</v>
      </c>
      <c r="S538" t="s">
        <v>8943</v>
      </c>
      <c r="T538" t="s">
        <v>8944</v>
      </c>
      <c r="U538" t="s">
        <v>8945</v>
      </c>
      <c r="V538" t="s">
        <v>8946</v>
      </c>
      <c r="W538" t="s">
        <v>5731</v>
      </c>
      <c r="X538" t="str">
        <f t="shared" si="8"/>
        <v>Inversión</v>
      </c>
      <c r="Y538" t="s">
        <v>5810</v>
      </c>
    </row>
    <row r="539" spans="1:25" x14ac:dyDescent="0.25">
      <c r="A539" t="s">
        <v>7850</v>
      </c>
      <c r="B539" t="s">
        <v>8947</v>
      </c>
      <c r="C539" t="s">
        <v>8948</v>
      </c>
      <c r="D539" t="s">
        <v>5720</v>
      </c>
      <c r="E539" t="s">
        <v>5721</v>
      </c>
      <c r="F539" t="s">
        <v>5802</v>
      </c>
      <c r="G539" t="s">
        <v>5723</v>
      </c>
      <c r="H539" t="s">
        <v>444</v>
      </c>
      <c r="I539" t="s">
        <v>634</v>
      </c>
      <c r="J539" t="s">
        <v>266</v>
      </c>
      <c r="K539" t="s">
        <v>5724</v>
      </c>
      <c r="L539" t="s">
        <v>267</v>
      </c>
      <c r="M539">
        <v>1233743</v>
      </c>
      <c r="N539">
        <v>0</v>
      </c>
      <c r="O539">
        <v>1233743</v>
      </c>
      <c r="P539">
        <v>493497</v>
      </c>
      <c r="Q539" t="s">
        <v>8949</v>
      </c>
      <c r="R539" t="s">
        <v>8950</v>
      </c>
      <c r="S539" t="s">
        <v>8951</v>
      </c>
      <c r="T539" t="s">
        <v>8775</v>
      </c>
      <c r="U539" t="s">
        <v>8952</v>
      </c>
      <c r="V539" t="s">
        <v>8953</v>
      </c>
      <c r="W539" t="s">
        <v>5731</v>
      </c>
      <c r="X539" t="str">
        <f t="shared" si="8"/>
        <v>Inversión</v>
      </c>
      <c r="Y539" t="s">
        <v>5810</v>
      </c>
    </row>
    <row r="540" spans="1:25" x14ac:dyDescent="0.25">
      <c r="A540" t="s">
        <v>8896</v>
      </c>
      <c r="B540" t="s">
        <v>8947</v>
      </c>
      <c r="C540" t="s">
        <v>8954</v>
      </c>
      <c r="D540" t="s">
        <v>5720</v>
      </c>
      <c r="E540" t="s">
        <v>5721</v>
      </c>
      <c r="F540" t="s">
        <v>5802</v>
      </c>
      <c r="G540" t="s">
        <v>5723</v>
      </c>
      <c r="H540" t="s">
        <v>458</v>
      </c>
      <c r="I540" t="s">
        <v>640</v>
      </c>
      <c r="J540" t="s">
        <v>266</v>
      </c>
      <c r="K540" t="s">
        <v>5724</v>
      </c>
      <c r="L540" t="s">
        <v>267</v>
      </c>
      <c r="M540">
        <v>583778</v>
      </c>
      <c r="N540">
        <v>13672</v>
      </c>
      <c r="O540">
        <v>597450</v>
      </c>
      <c r="P540">
        <v>0</v>
      </c>
      <c r="Q540" t="s">
        <v>8955</v>
      </c>
      <c r="R540" t="s">
        <v>8956</v>
      </c>
      <c r="S540" t="s">
        <v>8957</v>
      </c>
      <c r="T540" t="s">
        <v>8958</v>
      </c>
      <c r="U540" t="s">
        <v>8959</v>
      </c>
      <c r="V540" t="s">
        <v>8960</v>
      </c>
      <c r="W540" t="s">
        <v>5731</v>
      </c>
      <c r="X540" t="str">
        <f t="shared" si="8"/>
        <v>Inversión</v>
      </c>
      <c r="Y540" t="s">
        <v>5810</v>
      </c>
    </row>
    <row r="541" spans="1:25" x14ac:dyDescent="0.25">
      <c r="A541" t="s">
        <v>8794</v>
      </c>
      <c r="B541" t="s">
        <v>8961</v>
      </c>
      <c r="C541" t="s">
        <v>8962</v>
      </c>
      <c r="D541" t="s">
        <v>5720</v>
      </c>
      <c r="E541" t="s">
        <v>5721</v>
      </c>
      <c r="F541" t="s">
        <v>6619</v>
      </c>
      <c r="G541" t="s">
        <v>5723</v>
      </c>
      <c r="H541" t="s">
        <v>455</v>
      </c>
      <c r="I541" t="s">
        <v>643</v>
      </c>
      <c r="J541" t="s">
        <v>273</v>
      </c>
      <c r="K541" t="s">
        <v>5734</v>
      </c>
      <c r="L541" t="s">
        <v>267</v>
      </c>
      <c r="M541">
        <v>10685932</v>
      </c>
      <c r="N541">
        <v>0</v>
      </c>
      <c r="O541">
        <v>10685932</v>
      </c>
      <c r="P541">
        <v>0</v>
      </c>
      <c r="Q541" t="s">
        <v>8963</v>
      </c>
      <c r="R541" t="s">
        <v>8964</v>
      </c>
      <c r="S541" t="s">
        <v>8965</v>
      </c>
      <c r="T541" t="s">
        <v>5731</v>
      </c>
      <c r="U541" t="s">
        <v>5731</v>
      </c>
      <c r="V541" t="s">
        <v>5731</v>
      </c>
      <c r="W541" t="s">
        <v>5731</v>
      </c>
      <c r="X541" t="str">
        <f t="shared" si="8"/>
        <v>Inversión</v>
      </c>
      <c r="Y541" t="s">
        <v>6626</v>
      </c>
    </row>
    <row r="542" spans="1:25" x14ac:dyDescent="0.25">
      <c r="A542" t="s">
        <v>8787</v>
      </c>
      <c r="B542" t="s">
        <v>8961</v>
      </c>
      <c r="C542" t="s">
        <v>8966</v>
      </c>
      <c r="D542" t="s">
        <v>5720</v>
      </c>
      <c r="E542" t="s">
        <v>5721</v>
      </c>
      <c r="F542" t="s">
        <v>5733</v>
      </c>
      <c r="G542" t="s">
        <v>5723</v>
      </c>
      <c r="H542" t="s">
        <v>461</v>
      </c>
      <c r="I542" t="s">
        <v>644</v>
      </c>
      <c r="J542" t="s">
        <v>273</v>
      </c>
      <c r="K542" t="s">
        <v>5734</v>
      </c>
      <c r="L542" t="s">
        <v>267</v>
      </c>
      <c r="M542">
        <v>57978064</v>
      </c>
      <c r="N542">
        <v>0</v>
      </c>
      <c r="O542">
        <v>57978064</v>
      </c>
      <c r="P542">
        <v>1740</v>
      </c>
      <c r="Q542" t="s">
        <v>8967</v>
      </c>
      <c r="R542" t="s">
        <v>6297</v>
      </c>
      <c r="S542" t="s">
        <v>8968</v>
      </c>
      <c r="T542" t="s">
        <v>5731</v>
      </c>
      <c r="U542" t="s">
        <v>5731</v>
      </c>
      <c r="V542" t="s">
        <v>5731</v>
      </c>
      <c r="W542" t="s">
        <v>5731</v>
      </c>
      <c r="X542" t="str">
        <f t="shared" si="8"/>
        <v>Inversión</v>
      </c>
      <c r="Y542" t="s">
        <v>5735</v>
      </c>
    </row>
    <row r="543" spans="1:25" x14ac:dyDescent="0.25">
      <c r="A543" t="s">
        <v>7877</v>
      </c>
      <c r="B543" t="s">
        <v>8961</v>
      </c>
      <c r="C543" t="s">
        <v>8969</v>
      </c>
      <c r="D543" t="s">
        <v>5720</v>
      </c>
      <c r="E543" t="s">
        <v>5737</v>
      </c>
      <c r="F543" t="s">
        <v>5733</v>
      </c>
      <c r="G543" t="s">
        <v>5723</v>
      </c>
      <c r="H543" t="s">
        <v>461</v>
      </c>
      <c r="I543" t="s">
        <v>644</v>
      </c>
      <c r="J543" t="s">
        <v>273</v>
      </c>
      <c r="K543" t="s">
        <v>5734</v>
      </c>
      <c r="L543" t="s">
        <v>267</v>
      </c>
      <c r="M543">
        <v>39461136</v>
      </c>
      <c r="N543">
        <v>0</v>
      </c>
      <c r="O543">
        <v>39461136</v>
      </c>
      <c r="P543">
        <v>39461136</v>
      </c>
      <c r="Q543" t="s">
        <v>8970</v>
      </c>
      <c r="R543" t="s">
        <v>7856</v>
      </c>
      <c r="S543" t="s">
        <v>5731</v>
      </c>
      <c r="T543" t="s">
        <v>5731</v>
      </c>
      <c r="U543" t="s">
        <v>5731</v>
      </c>
      <c r="V543" t="s">
        <v>5731</v>
      </c>
      <c r="W543" t="s">
        <v>5731</v>
      </c>
      <c r="X543" t="str">
        <f t="shared" si="8"/>
        <v>Inversión</v>
      </c>
      <c r="Y543" t="s">
        <v>5735</v>
      </c>
    </row>
    <row r="544" spans="1:25" x14ac:dyDescent="0.25">
      <c r="A544" t="s">
        <v>7834</v>
      </c>
      <c r="B544" t="s">
        <v>8971</v>
      </c>
      <c r="C544" t="s">
        <v>8972</v>
      </c>
      <c r="D544" t="s">
        <v>5720</v>
      </c>
      <c r="E544" t="s">
        <v>5721</v>
      </c>
      <c r="F544" t="s">
        <v>5802</v>
      </c>
      <c r="G544" t="s">
        <v>5723</v>
      </c>
      <c r="H544" t="s">
        <v>463</v>
      </c>
      <c r="I544" t="s">
        <v>639</v>
      </c>
      <c r="J544" t="s">
        <v>266</v>
      </c>
      <c r="K544" t="s">
        <v>5724</v>
      </c>
      <c r="L544" t="s">
        <v>267</v>
      </c>
      <c r="M544">
        <v>9881938</v>
      </c>
      <c r="N544">
        <v>595000</v>
      </c>
      <c r="O544">
        <v>10476938</v>
      </c>
      <c r="P544">
        <v>595000</v>
      </c>
      <c r="Q544" t="s">
        <v>8973</v>
      </c>
      <c r="R544" t="s">
        <v>8974</v>
      </c>
      <c r="S544" t="s">
        <v>8975</v>
      </c>
      <c r="T544" t="s">
        <v>8976</v>
      </c>
      <c r="U544" t="s">
        <v>8977</v>
      </c>
      <c r="V544" t="s">
        <v>8978</v>
      </c>
      <c r="W544" t="s">
        <v>5731</v>
      </c>
      <c r="X544" t="str">
        <f t="shared" si="8"/>
        <v>Inversión</v>
      </c>
      <c r="Y544" t="s">
        <v>5810</v>
      </c>
    </row>
    <row r="545" spans="1:25" x14ac:dyDescent="0.25">
      <c r="A545" t="s">
        <v>7774</v>
      </c>
      <c r="B545" t="s">
        <v>8979</v>
      </c>
      <c r="C545" t="s">
        <v>8980</v>
      </c>
      <c r="D545" t="s">
        <v>5720</v>
      </c>
      <c r="E545" t="s">
        <v>5737</v>
      </c>
      <c r="F545" t="s">
        <v>5733</v>
      </c>
      <c r="G545" t="s">
        <v>5723</v>
      </c>
      <c r="H545" t="s">
        <v>461</v>
      </c>
      <c r="I545" t="s">
        <v>644</v>
      </c>
      <c r="J545" t="s">
        <v>266</v>
      </c>
      <c r="K545" t="s">
        <v>5724</v>
      </c>
      <c r="L545" t="s">
        <v>267</v>
      </c>
      <c r="M545">
        <v>49995712</v>
      </c>
      <c r="N545">
        <v>0</v>
      </c>
      <c r="O545">
        <v>49995712</v>
      </c>
      <c r="P545">
        <v>49995712</v>
      </c>
      <c r="Q545" t="s">
        <v>8981</v>
      </c>
      <c r="R545" t="s">
        <v>8982</v>
      </c>
      <c r="S545" t="s">
        <v>5731</v>
      </c>
      <c r="T545" t="s">
        <v>5731</v>
      </c>
      <c r="U545" t="s">
        <v>5731</v>
      </c>
      <c r="V545" t="s">
        <v>5731</v>
      </c>
      <c r="W545" t="s">
        <v>5731</v>
      </c>
      <c r="X545" t="str">
        <f t="shared" si="8"/>
        <v>Inversión</v>
      </c>
      <c r="Y545" t="s">
        <v>5735</v>
      </c>
    </row>
    <row r="546" spans="1:25" x14ac:dyDescent="0.25">
      <c r="A546" t="s">
        <v>8983</v>
      </c>
      <c r="B546" t="s">
        <v>8979</v>
      </c>
      <c r="C546" t="s">
        <v>8984</v>
      </c>
      <c r="D546" t="s">
        <v>5720</v>
      </c>
      <c r="E546" t="s">
        <v>5737</v>
      </c>
      <c r="F546" t="s">
        <v>5733</v>
      </c>
      <c r="G546" t="s">
        <v>5723</v>
      </c>
      <c r="H546" t="s">
        <v>461</v>
      </c>
      <c r="I546" t="s">
        <v>644</v>
      </c>
      <c r="J546" t="s">
        <v>266</v>
      </c>
      <c r="K546" t="s">
        <v>5724</v>
      </c>
      <c r="L546" t="s">
        <v>267</v>
      </c>
      <c r="M546">
        <v>14420000</v>
      </c>
      <c r="N546">
        <v>0</v>
      </c>
      <c r="O546">
        <v>14420000</v>
      </c>
      <c r="P546">
        <v>14420000</v>
      </c>
      <c r="Q546" t="s">
        <v>8985</v>
      </c>
      <c r="R546" t="s">
        <v>6530</v>
      </c>
      <c r="S546" t="s">
        <v>5731</v>
      </c>
      <c r="T546" t="s">
        <v>5731</v>
      </c>
      <c r="U546" t="s">
        <v>5731</v>
      </c>
      <c r="V546" t="s">
        <v>5731</v>
      </c>
      <c r="W546" t="s">
        <v>5731</v>
      </c>
      <c r="X546" t="str">
        <f t="shared" si="8"/>
        <v>Inversión</v>
      </c>
      <c r="Y546" t="s">
        <v>5735</v>
      </c>
    </row>
    <row r="547" spans="1:25" x14ac:dyDescent="0.25">
      <c r="A547" t="s">
        <v>8986</v>
      </c>
      <c r="B547" t="s">
        <v>8979</v>
      </c>
      <c r="C547" t="s">
        <v>8987</v>
      </c>
      <c r="D547" t="s">
        <v>5720</v>
      </c>
      <c r="E547" t="s">
        <v>5737</v>
      </c>
      <c r="F547" t="s">
        <v>5733</v>
      </c>
      <c r="G547" t="s">
        <v>5723</v>
      </c>
      <c r="H547" t="s">
        <v>461</v>
      </c>
      <c r="I547" t="s">
        <v>644</v>
      </c>
      <c r="J547" t="s">
        <v>266</v>
      </c>
      <c r="K547" t="s">
        <v>5724</v>
      </c>
      <c r="L547" t="s">
        <v>267</v>
      </c>
      <c r="M547">
        <v>23031172</v>
      </c>
      <c r="N547">
        <v>0</v>
      </c>
      <c r="O547">
        <v>23031172</v>
      </c>
      <c r="P547">
        <v>23031172</v>
      </c>
      <c r="Q547" t="s">
        <v>8988</v>
      </c>
      <c r="R547" t="s">
        <v>8989</v>
      </c>
      <c r="S547" t="s">
        <v>5731</v>
      </c>
      <c r="T547" t="s">
        <v>5731</v>
      </c>
      <c r="U547" t="s">
        <v>5731</v>
      </c>
      <c r="V547" t="s">
        <v>5731</v>
      </c>
      <c r="W547" t="s">
        <v>5731</v>
      </c>
      <c r="X547" t="str">
        <f t="shared" si="8"/>
        <v>Inversión</v>
      </c>
      <c r="Y547" t="s">
        <v>5735</v>
      </c>
    </row>
    <row r="548" spans="1:25" x14ac:dyDescent="0.25">
      <c r="A548" t="s">
        <v>8810</v>
      </c>
      <c r="B548" t="s">
        <v>8979</v>
      </c>
      <c r="C548" t="s">
        <v>8990</v>
      </c>
      <c r="D548" t="s">
        <v>5720</v>
      </c>
      <c r="E548" t="s">
        <v>5737</v>
      </c>
      <c r="F548" t="s">
        <v>5854</v>
      </c>
      <c r="G548" t="s">
        <v>5723</v>
      </c>
      <c r="H548" t="s">
        <v>543</v>
      </c>
      <c r="I548" t="s">
        <v>656</v>
      </c>
      <c r="J548" t="s">
        <v>273</v>
      </c>
      <c r="K548" t="s">
        <v>5734</v>
      </c>
      <c r="L548" t="s">
        <v>267</v>
      </c>
      <c r="M548">
        <v>16910180</v>
      </c>
      <c r="N548">
        <v>0</v>
      </c>
      <c r="O548">
        <v>16910180</v>
      </c>
      <c r="P548">
        <v>16910180</v>
      </c>
      <c r="Q548" t="s">
        <v>8991</v>
      </c>
      <c r="R548" t="s">
        <v>8992</v>
      </c>
      <c r="S548" t="s">
        <v>5731</v>
      </c>
      <c r="T548" t="s">
        <v>5731</v>
      </c>
      <c r="U548" t="s">
        <v>5731</v>
      </c>
      <c r="V548" t="s">
        <v>5731</v>
      </c>
      <c r="W548" t="s">
        <v>5731</v>
      </c>
      <c r="X548" t="str">
        <f t="shared" si="8"/>
        <v>Inversión</v>
      </c>
      <c r="Y548" t="s">
        <v>5861</v>
      </c>
    </row>
    <row r="549" spans="1:25" x14ac:dyDescent="0.25">
      <c r="A549" t="s">
        <v>8818</v>
      </c>
      <c r="B549" t="s">
        <v>8979</v>
      </c>
      <c r="C549" t="s">
        <v>8993</v>
      </c>
      <c r="D549" t="s">
        <v>5720</v>
      </c>
      <c r="E549" t="s">
        <v>5737</v>
      </c>
      <c r="F549" t="s">
        <v>5854</v>
      </c>
      <c r="G549" t="s">
        <v>5723</v>
      </c>
      <c r="H549" t="s">
        <v>539</v>
      </c>
      <c r="I549" t="s">
        <v>658</v>
      </c>
      <c r="J549" t="s">
        <v>273</v>
      </c>
      <c r="K549" t="s">
        <v>5734</v>
      </c>
      <c r="L549" t="s">
        <v>267</v>
      </c>
      <c r="M549">
        <v>14929272</v>
      </c>
      <c r="N549">
        <v>0</v>
      </c>
      <c r="O549">
        <v>14929272</v>
      </c>
      <c r="P549">
        <v>14929272</v>
      </c>
      <c r="Q549" t="s">
        <v>8994</v>
      </c>
      <c r="R549" t="s">
        <v>8995</v>
      </c>
      <c r="S549" t="s">
        <v>5731</v>
      </c>
      <c r="T549" t="s">
        <v>5731</v>
      </c>
      <c r="U549" t="s">
        <v>5731</v>
      </c>
      <c r="V549" t="s">
        <v>5731</v>
      </c>
      <c r="W549" t="s">
        <v>5731</v>
      </c>
      <c r="X549" t="str">
        <f t="shared" si="8"/>
        <v>Inversión</v>
      </c>
      <c r="Y549" t="s">
        <v>5861</v>
      </c>
    </row>
    <row r="550" spans="1:25" x14ac:dyDescent="0.25">
      <c r="A550" t="s">
        <v>7891</v>
      </c>
      <c r="B550" t="s">
        <v>8996</v>
      </c>
      <c r="C550" t="s">
        <v>8997</v>
      </c>
      <c r="D550" t="s">
        <v>5720</v>
      </c>
      <c r="E550" t="s">
        <v>5737</v>
      </c>
      <c r="F550" t="s">
        <v>5722</v>
      </c>
      <c r="G550" t="s">
        <v>5723</v>
      </c>
      <c r="H550" t="s">
        <v>453</v>
      </c>
      <c r="I550" t="s">
        <v>664</v>
      </c>
      <c r="J550" t="s">
        <v>266</v>
      </c>
      <c r="K550" t="s">
        <v>5724</v>
      </c>
      <c r="L550" t="s">
        <v>267</v>
      </c>
      <c r="M550">
        <v>833000</v>
      </c>
      <c r="N550">
        <v>0</v>
      </c>
      <c r="O550">
        <v>833000</v>
      </c>
      <c r="P550">
        <v>833000</v>
      </c>
      <c r="Q550" t="s">
        <v>8998</v>
      </c>
      <c r="R550" t="s">
        <v>8999</v>
      </c>
      <c r="S550" t="s">
        <v>5731</v>
      </c>
      <c r="T550" t="s">
        <v>5731</v>
      </c>
      <c r="U550" t="s">
        <v>5731</v>
      </c>
      <c r="V550" t="s">
        <v>5731</v>
      </c>
      <c r="W550" t="s">
        <v>5731</v>
      </c>
      <c r="X550" t="str">
        <f t="shared" si="8"/>
        <v>Inversión</v>
      </c>
      <c r="Y550" t="s">
        <v>5732</v>
      </c>
    </row>
    <row r="551" spans="1:25" x14ac:dyDescent="0.25">
      <c r="A551" t="s">
        <v>8848</v>
      </c>
      <c r="B551" t="s">
        <v>8996</v>
      </c>
      <c r="C551" t="s">
        <v>9000</v>
      </c>
      <c r="D551" t="s">
        <v>5720</v>
      </c>
      <c r="E551" t="s">
        <v>5737</v>
      </c>
      <c r="F551" t="s">
        <v>5802</v>
      </c>
      <c r="G551" t="s">
        <v>5723</v>
      </c>
      <c r="H551" t="s">
        <v>463</v>
      </c>
      <c r="I551" t="s">
        <v>639</v>
      </c>
      <c r="J551" t="s">
        <v>266</v>
      </c>
      <c r="K551" t="s">
        <v>5724</v>
      </c>
      <c r="L551" t="s">
        <v>267</v>
      </c>
      <c r="M551">
        <v>2057656</v>
      </c>
      <c r="N551">
        <v>0</v>
      </c>
      <c r="O551">
        <v>2057656</v>
      </c>
      <c r="P551">
        <v>2057656</v>
      </c>
      <c r="Q551" t="s">
        <v>9001</v>
      </c>
      <c r="R551" t="s">
        <v>6631</v>
      </c>
      <c r="S551" t="s">
        <v>5731</v>
      </c>
      <c r="T551" t="s">
        <v>5731</v>
      </c>
      <c r="U551" t="s">
        <v>5731</v>
      </c>
      <c r="V551" t="s">
        <v>5731</v>
      </c>
      <c r="W551" t="s">
        <v>5731</v>
      </c>
      <c r="X551" t="str">
        <f t="shared" si="8"/>
        <v>Inversión</v>
      </c>
      <c r="Y551" t="s">
        <v>5810</v>
      </c>
    </row>
    <row r="552" spans="1:25" x14ac:dyDescent="0.25">
      <c r="A552" t="s">
        <v>9002</v>
      </c>
      <c r="B552" t="s">
        <v>9003</v>
      </c>
      <c r="C552" t="s">
        <v>9004</v>
      </c>
      <c r="D552" t="s">
        <v>5720</v>
      </c>
      <c r="E552" t="s">
        <v>5721</v>
      </c>
      <c r="F552" t="s">
        <v>5802</v>
      </c>
      <c r="G552" t="s">
        <v>5723</v>
      </c>
      <c r="H552" t="s">
        <v>463</v>
      </c>
      <c r="I552" t="s">
        <v>639</v>
      </c>
      <c r="J552" t="s">
        <v>266</v>
      </c>
      <c r="K552" t="s">
        <v>5724</v>
      </c>
      <c r="L552" t="s">
        <v>267</v>
      </c>
      <c r="M552">
        <v>37280482</v>
      </c>
      <c r="N552">
        <v>0</v>
      </c>
      <c r="O552">
        <v>37280482</v>
      </c>
      <c r="P552">
        <v>8095416</v>
      </c>
      <c r="Q552" t="s">
        <v>9005</v>
      </c>
      <c r="R552" t="s">
        <v>9006</v>
      </c>
      <c r="S552" t="s">
        <v>9007</v>
      </c>
      <c r="T552" t="s">
        <v>9008</v>
      </c>
      <c r="U552" t="s">
        <v>9009</v>
      </c>
      <c r="V552" t="s">
        <v>9010</v>
      </c>
      <c r="W552" t="s">
        <v>5731</v>
      </c>
      <c r="X552" t="str">
        <f t="shared" si="8"/>
        <v>Inversión</v>
      </c>
      <c r="Y552" t="s">
        <v>5810</v>
      </c>
    </row>
    <row r="553" spans="1:25" x14ac:dyDescent="0.25">
      <c r="A553" t="s">
        <v>8826</v>
      </c>
      <c r="B553" t="s">
        <v>9003</v>
      </c>
      <c r="C553" t="s">
        <v>9011</v>
      </c>
      <c r="D553" t="s">
        <v>5720</v>
      </c>
      <c r="E553" t="s">
        <v>5737</v>
      </c>
      <c r="F553" t="s">
        <v>5733</v>
      </c>
      <c r="G553" t="s">
        <v>5723</v>
      </c>
      <c r="H553" t="s">
        <v>461</v>
      </c>
      <c r="I553" t="s">
        <v>644</v>
      </c>
      <c r="J553" t="s">
        <v>273</v>
      </c>
      <c r="K553" t="s">
        <v>5734</v>
      </c>
      <c r="L553" t="s">
        <v>267</v>
      </c>
      <c r="M553">
        <v>20000000</v>
      </c>
      <c r="N553">
        <v>0</v>
      </c>
      <c r="O553">
        <v>20000000</v>
      </c>
      <c r="P553">
        <v>20000000</v>
      </c>
      <c r="Q553" t="s">
        <v>9012</v>
      </c>
      <c r="R553" t="s">
        <v>9013</v>
      </c>
      <c r="S553" t="s">
        <v>5731</v>
      </c>
      <c r="T553" t="s">
        <v>5731</v>
      </c>
      <c r="U553" t="s">
        <v>5731</v>
      </c>
      <c r="V553" t="s">
        <v>5731</v>
      </c>
      <c r="W553" t="s">
        <v>5731</v>
      </c>
      <c r="X553" t="str">
        <f t="shared" si="8"/>
        <v>Inversión</v>
      </c>
      <c r="Y553" t="s">
        <v>5735</v>
      </c>
    </row>
    <row r="554" spans="1:25" x14ac:dyDescent="0.25">
      <c r="A554" t="s">
        <v>7827</v>
      </c>
      <c r="B554" t="s">
        <v>9014</v>
      </c>
      <c r="C554" t="s">
        <v>9015</v>
      </c>
      <c r="D554" t="s">
        <v>5720</v>
      </c>
      <c r="E554" t="s">
        <v>5737</v>
      </c>
      <c r="F554" t="s">
        <v>5802</v>
      </c>
      <c r="G554" t="s">
        <v>5723</v>
      </c>
      <c r="H554" t="s">
        <v>463</v>
      </c>
      <c r="I554" t="s">
        <v>639</v>
      </c>
      <c r="J554" t="s">
        <v>266</v>
      </c>
      <c r="K554" t="s">
        <v>5724</v>
      </c>
      <c r="L554" t="s">
        <v>267</v>
      </c>
      <c r="M554">
        <v>2218080</v>
      </c>
      <c r="N554">
        <v>0</v>
      </c>
      <c r="O554">
        <v>2218080</v>
      </c>
      <c r="P554">
        <v>2218080</v>
      </c>
      <c r="Q554" t="s">
        <v>9016</v>
      </c>
      <c r="R554" t="s">
        <v>9017</v>
      </c>
      <c r="S554" t="s">
        <v>5731</v>
      </c>
      <c r="T554" t="s">
        <v>5731</v>
      </c>
      <c r="U554" t="s">
        <v>5731</v>
      </c>
      <c r="V554" t="s">
        <v>5731</v>
      </c>
      <c r="W554" t="s">
        <v>5731</v>
      </c>
      <c r="X554" t="str">
        <f t="shared" si="8"/>
        <v>Inversión</v>
      </c>
      <c r="Y554" t="s">
        <v>5810</v>
      </c>
    </row>
    <row r="555" spans="1:25" x14ac:dyDescent="0.25">
      <c r="A555" t="s">
        <v>8852</v>
      </c>
      <c r="B555" t="s">
        <v>9018</v>
      </c>
      <c r="C555" t="s">
        <v>9019</v>
      </c>
      <c r="D555" t="s">
        <v>5720</v>
      </c>
      <c r="E555" t="s">
        <v>5737</v>
      </c>
      <c r="F555" t="s">
        <v>5733</v>
      </c>
      <c r="G555" t="s">
        <v>5723</v>
      </c>
      <c r="H555" t="s">
        <v>461</v>
      </c>
      <c r="I555" t="s">
        <v>644</v>
      </c>
      <c r="J555" t="s">
        <v>273</v>
      </c>
      <c r="K555" t="s">
        <v>5734</v>
      </c>
      <c r="L555" t="s">
        <v>267</v>
      </c>
      <c r="M555">
        <v>6804972</v>
      </c>
      <c r="N555">
        <v>0</v>
      </c>
      <c r="O555">
        <v>6804972</v>
      </c>
      <c r="P555">
        <v>6804972</v>
      </c>
      <c r="Q555" t="s">
        <v>9020</v>
      </c>
      <c r="R555" t="s">
        <v>7532</v>
      </c>
      <c r="S555" t="s">
        <v>5731</v>
      </c>
      <c r="T555" t="s">
        <v>5731</v>
      </c>
      <c r="U555" t="s">
        <v>5731</v>
      </c>
      <c r="V555" t="s">
        <v>5731</v>
      </c>
      <c r="W555" t="s">
        <v>5731</v>
      </c>
      <c r="X555" t="str">
        <f t="shared" si="8"/>
        <v>Inversión</v>
      </c>
      <c r="Y555" t="s">
        <v>5735</v>
      </c>
    </row>
    <row r="556" spans="1:25" x14ac:dyDescent="0.25">
      <c r="A556" t="s">
        <v>6514</v>
      </c>
      <c r="B556" t="s">
        <v>9018</v>
      </c>
      <c r="C556" t="s">
        <v>9021</v>
      </c>
      <c r="D556" t="s">
        <v>5720</v>
      </c>
      <c r="E556" t="s">
        <v>5737</v>
      </c>
      <c r="F556" t="s">
        <v>5733</v>
      </c>
      <c r="G556" t="s">
        <v>5723</v>
      </c>
      <c r="H556" t="s">
        <v>461</v>
      </c>
      <c r="I556" t="s">
        <v>644</v>
      </c>
      <c r="J556" t="s">
        <v>273</v>
      </c>
      <c r="K556" t="s">
        <v>5734</v>
      </c>
      <c r="L556" t="s">
        <v>267</v>
      </c>
      <c r="M556">
        <v>37496784</v>
      </c>
      <c r="N556">
        <v>0</v>
      </c>
      <c r="O556">
        <v>37496784</v>
      </c>
      <c r="P556">
        <v>37496784</v>
      </c>
      <c r="Q556" t="s">
        <v>9022</v>
      </c>
      <c r="R556" t="s">
        <v>9023</v>
      </c>
      <c r="S556" t="s">
        <v>5731</v>
      </c>
      <c r="T556" t="s">
        <v>5731</v>
      </c>
      <c r="U556" t="s">
        <v>5731</v>
      </c>
      <c r="V556" t="s">
        <v>5731</v>
      </c>
      <c r="W556" t="s">
        <v>5731</v>
      </c>
      <c r="X556" t="str">
        <f t="shared" si="8"/>
        <v>Inversión</v>
      </c>
      <c r="Y556" t="s">
        <v>5735</v>
      </c>
    </row>
    <row r="557" spans="1:25" x14ac:dyDescent="0.25">
      <c r="A557" t="s">
        <v>8889</v>
      </c>
      <c r="B557" t="s">
        <v>9018</v>
      </c>
      <c r="C557" t="s">
        <v>9024</v>
      </c>
      <c r="D557" t="s">
        <v>5720</v>
      </c>
      <c r="E557" t="s">
        <v>5737</v>
      </c>
      <c r="F557" t="s">
        <v>5733</v>
      </c>
      <c r="G557" t="s">
        <v>5723</v>
      </c>
      <c r="H557" t="s">
        <v>461</v>
      </c>
      <c r="I557" t="s">
        <v>644</v>
      </c>
      <c r="J557" t="s">
        <v>273</v>
      </c>
      <c r="K557" t="s">
        <v>5734</v>
      </c>
      <c r="L557" t="s">
        <v>267</v>
      </c>
      <c r="M557">
        <v>11330000</v>
      </c>
      <c r="N557">
        <v>0</v>
      </c>
      <c r="O557">
        <v>11330000</v>
      </c>
      <c r="P557">
        <v>11330000</v>
      </c>
      <c r="Q557" t="s">
        <v>9025</v>
      </c>
      <c r="R557" t="s">
        <v>9026</v>
      </c>
      <c r="S557" t="s">
        <v>5731</v>
      </c>
      <c r="T557" t="s">
        <v>5731</v>
      </c>
      <c r="U557" t="s">
        <v>5731</v>
      </c>
      <c r="V557" t="s">
        <v>5731</v>
      </c>
      <c r="W557" t="s">
        <v>5731</v>
      </c>
      <c r="X557" t="str">
        <f t="shared" si="8"/>
        <v>Inversión</v>
      </c>
      <c r="Y557" t="s">
        <v>5735</v>
      </c>
    </row>
    <row r="558" spans="1:25" x14ac:dyDescent="0.25">
      <c r="A558" t="s">
        <v>8868</v>
      </c>
      <c r="B558" t="s">
        <v>9018</v>
      </c>
      <c r="C558" t="s">
        <v>9027</v>
      </c>
      <c r="D558" t="s">
        <v>5720</v>
      </c>
      <c r="E558" t="s">
        <v>5737</v>
      </c>
      <c r="F558" t="s">
        <v>5733</v>
      </c>
      <c r="G558" t="s">
        <v>5723</v>
      </c>
      <c r="H558" t="s">
        <v>461</v>
      </c>
      <c r="I558" t="s">
        <v>644</v>
      </c>
      <c r="J558" t="s">
        <v>273</v>
      </c>
      <c r="K558" t="s">
        <v>5734</v>
      </c>
      <c r="L558" t="s">
        <v>267</v>
      </c>
      <c r="M558">
        <v>23031172</v>
      </c>
      <c r="N558">
        <v>0</v>
      </c>
      <c r="O558">
        <v>23031172</v>
      </c>
      <c r="P558">
        <v>23031172</v>
      </c>
      <c r="Q558" t="s">
        <v>9028</v>
      </c>
      <c r="R558" t="s">
        <v>7563</v>
      </c>
      <c r="S558" t="s">
        <v>5731</v>
      </c>
      <c r="T558" t="s">
        <v>5731</v>
      </c>
      <c r="U558" t="s">
        <v>5731</v>
      </c>
      <c r="V558" t="s">
        <v>5731</v>
      </c>
      <c r="W558" t="s">
        <v>5731</v>
      </c>
      <c r="X558" t="str">
        <f t="shared" si="8"/>
        <v>Inversión</v>
      </c>
      <c r="Y558" t="s">
        <v>5735</v>
      </c>
    </row>
    <row r="559" spans="1:25" x14ac:dyDescent="0.25">
      <c r="A559" t="s">
        <v>6521</v>
      </c>
      <c r="B559" t="s">
        <v>9018</v>
      </c>
      <c r="C559" t="s">
        <v>9029</v>
      </c>
      <c r="D559" t="s">
        <v>5720</v>
      </c>
      <c r="E559" t="s">
        <v>5737</v>
      </c>
      <c r="F559" t="s">
        <v>5733</v>
      </c>
      <c r="G559" t="s">
        <v>5723</v>
      </c>
      <c r="H559" t="s">
        <v>461</v>
      </c>
      <c r="I559" t="s">
        <v>644</v>
      </c>
      <c r="J559" t="s">
        <v>273</v>
      </c>
      <c r="K559" t="s">
        <v>5734</v>
      </c>
      <c r="L559" t="s">
        <v>267</v>
      </c>
      <c r="M559">
        <v>14420000</v>
      </c>
      <c r="N559">
        <v>0</v>
      </c>
      <c r="O559">
        <v>14420000</v>
      </c>
      <c r="P559">
        <v>14420000</v>
      </c>
      <c r="Q559" t="s">
        <v>9030</v>
      </c>
      <c r="R559" t="s">
        <v>9031</v>
      </c>
      <c r="S559" t="s">
        <v>5731</v>
      </c>
      <c r="T559" t="s">
        <v>5731</v>
      </c>
      <c r="U559" t="s">
        <v>5731</v>
      </c>
      <c r="V559" t="s">
        <v>5731</v>
      </c>
      <c r="W559" t="s">
        <v>5731</v>
      </c>
      <c r="X559" t="str">
        <f t="shared" si="8"/>
        <v>Inversión</v>
      </c>
      <c r="Y559" t="s">
        <v>5735</v>
      </c>
    </row>
    <row r="560" spans="1:25" x14ac:dyDescent="0.25">
      <c r="A560" t="s">
        <v>8876</v>
      </c>
      <c r="B560" t="s">
        <v>9018</v>
      </c>
      <c r="C560" t="s">
        <v>9032</v>
      </c>
      <c r="D560" t="s">
        <v>5720</v>
      </c>
      <c r="E560" t="s">
        <v>5737</v>
      </c>
      <c r="F560" t="s">
        <v>5733</v>
      </c>
      <c r="G560" t="s">
        <v>5723</v>
      </c>
      <c r="H560" t="s">
        <v>461</v>
      </c>
      <c r="I560" t="s">
        <v>644</v>
      </c>
      <c r="J560" t="s">
        <v>273</v>
      </c>
      <c r="K560" t="s">
        <v>5734</v>
      </c>
      <c r="L560" t="s">
        <v>267</v>
      </c>
      <c r="M560">
        <v>14560944</v>
      </c>
      <c r="N560">
        <v>0</v>
      </c>
      <c r="O560">
        <v>14560944</v>
      </c>
      <c r="P560">
        <v>14560944</v>
      </c>
      <c r="Q560" t="s">
        <v>9033</v>
      </c>
      <c r="R560" t="s">
        <v>9034</v>
      </c>
      <c r="S560" t="s">
        <v>5731</v>
      </c>
      <c r="T560" t="s">
        <v>5731</v>
      </c>
      <c r="U560" t="s">
        <v>5731</v>
      </c>
      <c r="V560" t="s">
        <v>5731</v>
      </c>
      <c r="W560" t="s">
        <v>5731</v>
      </c>
      <c r="X560" t="str">
        <f t="shared" si="8"/>
        <v>Inversión</v>
      </c>
      <c r="Y560" t="s">
        <v>5735</v>
      </c>
    </row>
    <row r="561" spans="1:25" x14ac:dyDescent="0.25">
      <c r="A561" t="s">
        <v>9035</v>
      </c>
      <c r="B561" t="s">
        <v>9018</v>
      </c>
      <c r="C561" t="s">
        <v>9036</v>
      </c>
      <c r="D561" t="s">
        <v>5720</v>
      </c>
      <c r="E561" t="s">
        <v>5737</v>
      </c>
      <c r="F561" t="s">
        <v>5733</v>
      </c>
      <c r="G561" t="s">
        <v>5723</v>
      </c>
      <c r="H561" t="s">
        <v>461</v>
      </c>
      <c r="I561" t="s">
        <v>644</v>
      </c>
      <c r="J561" t="s">
        <v>273</v>
      </c>
      <c r="K561" t="s">
        <v>5734</v>
      </c>
      <c r="L561" t="s">
        <v>267</v>
      </c>
      <c r="M561">
        <v>10685932</v>
      </c>
      <c r="N561">
        <v>0</v>
      </c>
      <c r="O561">
        <v>10685932</v>
      </c>
      <c r="P561">
        <v>10685932</v>
      </c>
      <c r="Q561" t="s">
        <v>9037</v>
      </c>
      <c r="R561" t="s">
        <v>9038</v>
      </c>
      <c r="S561" t="s">
        <v>5731</v>
      </c>
      <c r="T561" t="s">
        <v>5731</v>
      </c>
      <c r="U561" t="s">
        <v>5731</v>
      </c>
      <c r="V561" t="s">
        <v>5731</v>
      </c>
      <c r="W561" t="s">
        <v>5731</v>
      </c>
      <c r="X561" t="str">
        <f t="shared" si="8"/>
        <v>Inversión</v>
      </c>
      <c r="Y561" t="s">
        <v>5735</v>
      </c>
    </row>
    <row r="562" spans="1:25" x14ac:dyDescent="0.25">
      <c r="A562" t="s">
        <v>8901</v>
      </c>
      <c r="B562" t="s">
        <v>9018</v>
      </c>
      <c r="C562" t="s">
        <v>9039</v>
      </c>
      <c r="D562" t="s">
        <v>5720</v>
      </c>
      <c r="E562" t="s">
        <v>5737</v>
      </c>
      <c r="F562" t="s">
        <v>5733</v>
      </c>
      <c r="G562" t="s">
        <v>5723</v>
      </c>
      <c r="H562" t="s">
        <v>461</v>
      </c>
      <c r="I562" t="s">
        <v>644</v>
      </c>
      <c r="J562" t="s">
        <v>273</v>
      </c>
      <c r="K562" t="s">
        <v>5734</v>
      </c>
      <c r="L562" t="s">
        <v>267</v>
      </c>
      <c r="M562">
        <v>19905696</v>
      </c>
      <c r="N562">
        <v>0</v>
      </c>
      <c r="O562">
        <v>19905696</v>
      </c>
      <c r="P562">
        <v>19905696</v>
      </c>
      <c r="Q562" t="s">
        <v>9040</v>
      </c>
      <c r="R562" t="s">
        <v>9041</v>
      </c>
      <c r="S562" t="s">
        <v>5731</v>
      </c>
      <c r="T562" t="s">
        <v>5731</v>
      </c>
      <c r="U562" t="s">
        <v>5731</v>
      </c>
      <c r="V562" t="s">
        <v>5731</v>
      </c>
      <c r="W562" t="s">
        <v>5731</v>
      </c>
      <c r="X562" t="str">
        <f t="shared" si="8"/>
        <v>Inversión</v>
      </c>
      <c r="Y562" t="s">
        <v>5735</v>
      </c>
    </row>
    <row r="563" spans="1:25" x14ac:dyDescent="0.25">
      <c r="A563" t="s">
        <v>9042</v>
      </c>
      <c r="B563" t="s">
        <v>9018</v>
      </c>
      <c r="C563" t="s">
        <v>9043</v>
      </c>
      <c r="D563" t="s">
        <v>5720</v>
      </c>
      <c r="E563" t="s">
        <v>5737</v>
      </c>
      <c r="F563" t="s">
        <v>5733</v>
      </c>
      <c r="G563" t="s">
        <v>5723</v>
      </c>
      <c r="H563" t="s">
        <v>461</v>
      </c>
      <c r="I563" t="s">
        <v>644</v>
      </c>
      <c r="J563" t="s">
        <v>273</v>
      </c>
      <c r="K563" t="s">
        <v>5734</v>
      </c>
      <c r="L563" t="s">
        <v>267</v>
      </c>
      <c r="M563">
        <v>23031172</v>
      </c>
      <c r="N563">
        <v>0</v>
      </c>
      <c r="O563">
        <v>23031172</v>
      </c>
      <c r="P563">
        <v>23031172</v>
      </c>
      <c r="Q563" t="s">
        <v>9044</v>
      </c>
      <c r="R563" t="s">
        <v>9045</v>
      </c>
      <c r="S563" t="s">
        <v>5731</v>
      </c>
      <c r="T563" t="s">
        <v>5731</v>
      </c>
      <c r="U563" t="s">
        <v>5731</v>
      </c>
      <c r="V563" t="s">
        <v>5731</v>
      </c>
      <c r="W563" t="s">
        <v>5731</v>
      </c>
      <c r="X563" t="str">
        <f t="shared" si="8"/>
        <v>Inversión</v>
      </c>
      <c r="Y563" t="s">
        <v>5735</v>
      </c>
    </row>
    <row r="564" spans="1:25" x14ac:dyDescent="0.25">
      <c r="A564" t="s">
        <v>8916</v>
      </c>
      <c r="B564" t="s">
        <v>9018</v>
      </c>
      <c r="C564" t="s">
        <v>9046</v>
      </c>
      <c r="D564" t="s">
        <v>5720</v>
      </c>
      <c r="E564" t="s">
        <v>5737</v>
      </c>
      <c r="F564" t="s">
        <v>5733</v>
      </c>
      <c r="G564" t="s">
        <v>5723</v>
      </c>
      <c r="H564" t="s">
        <v>461</v>
      </c>
      <c r="I564" t="s">
        <v>644</v>
      </c>
      <c r="J564" t="s">
        <v>273</v>
      </c>
      <c r="K564" t="s">
        <v>5734</v>
      </c>
      <c r="L564" t="s">
        <v>267</v>
      </c>
      <c r="M564">
        <v>34831904</v>
      </c>
      <c r="N564">
        <v>0</v>
      </c>
      <c r="O564">
        <v>34831904</v>
      </c>
      <c r="P564">
        <v>34831904</v>
      </c>
      <c r="Q564" t="s">
        <v>9047</v>
      </c>
      <c r="R564" t="s">
        <v>9048</v>
      </c>
      <c r="S564" t="s">
        <v>5731</v>
      </c>
      <c r="T564" t="s">
        <v>5731</v>
      </c>
      <c r="U564" t="s">
        <v>5731</v>
      </c>
      <c r="V564" t="s">
        <v>5731</v>
      </c>
      <c r="W564" t="s">
        <v>5731</v>
      </c>
      <c r="X564" t="str">
        <f t="shared" si="8"/>
        <v>Inversión</v>
      </c>
      <c r="Y564" t="s">
        <v>5735</v>
      </c>
    </row>
    <row r="565" spans="1:25" x14ac:dyDescent="0.25">
      <c r="A565" t="s">
        <v>8920</v>
      </c>
      <c r="B565" t="s">
        <v>9018</v>
      </c>
      <c r="C565" t="s">
        <v>9049</v>
      </c>
      <c r="D565" t="s">
        <v>5720</v>
      </c>
      <c r="E565" t="s">
        <v>5737</v>
      </c>
      <c r="F565" t="s">
        <v>5733</v>
      </c>
      <c r="G565" t="s">
        <v>5723</v>
      </c>
      <c r="H565" t="s">
        <v>461</v>
      </c>
      <c r="I565" t="s">
        <v>644</v>
      </c>
      <c r="J565" t="s">
        <v>273</v>
      </c>
      <c r="K565" t="s">
        <v>5734</v>
      </c>
      <c r="L565" t="s">
        <v>267</v>
      </c>
      <c r="M565">
        <v>11330000</v>
      </c>
      <c r="N565">
        <v>0</v>
      </c>
      <c r="O565">
        <v>11330000</v>
      </c>
      <c r="P565">
        <v>11330000</v>
      </c>
      <c r="Q565" t="s">
        <v>9047</v>
      </c>
      <c r="R565" t="s">
        <v>9050</v>
      </c>
      <c r="S565" t="s">
        <v>5731</v>
      </c>
      <c r="T565" t="s">
        <v>5731</v>
      </c>
      <c r="U565" t="s">
        <v>5731</v>
      </c>
      <c r="V565" t="s">
        <v>5731</v>
      </c>
      <c r="W565" t="s">
        <v>5731</v>
      </c>
      <c r="X565" t="str">
        <f t="shared" si="8"/>
        <v>Inversión</v>
      </c>
      <c r="Y565" t="s">
        <v>5735</v>
      </c>
    </row>
    <row r="566" spans="1:25" x14ac:dyDescent="0.25">
      <c r="A566" t="s">
        <v>8924</v>
      </c>
      <c r="B566" t="s">
        <v>9018</v>
      </c>
      <c r="C566" t="s">
        <v>9051</v>
      </c>
      <c r="D566" t="s">
        <v>5720</v>
      </c>
      <c r="E566" t="s">
        <v>5737</v>
      </c>
      <c r="F566" t="s">
        <v>5733</v>
      </c>
      <c r="G566" t="s">
        <v>5723</v>
      </c>
      <c r="H566" t="s">
        <v>461</v>
      </c>
      <c r="I566" t="s">
        <v>644</v>
      </c>
      <c r="J566" t="s">
        <v>273</v>
      </c>
      <c r="K566" t="s">
        <v>5734</v>
      </c>
      <c r="L566" t="s">
        <v>267</v>
      </c>
      <c r="M566">
        <v>23031172</v>
      </c>
      <c r="N566">
        <v>0</v>
      </c>
      <c r="O566">
        <v>23031172</v>
      </c>
      <c r="P566">
        <v>23031172</v>
      </c>
      <c r="Q566" t="s">
        <v>9052</v>
      </c>
      <c r="R566" t="s">
        <v>9053</v>
      </c>
      <c r="S566" t="s">
        <v>5731</v>
      </c>
      <c r="T566" t="s">
        <v>5731</v>
      </c>
      <c r="U566" t="s">
        <v>5731</v>
      </c>
      <c r="V566" t="s">
        <v>5731</v>
      </c>
      <c r="W566" t="s">
        <v>5731</v>
      </c>
      <c r="X566" t="str">
        <f t="shared" si="8"/>
        <v>Inversión</v>
      </c>
      <c r="Y566" t="s">
        <v>5735</v>
      </c>
    </row>
    <row r="567" spans="1:25" x14ac:dyDescent="0.25">
      <c r="A567" t="s">
        <v>5809</v>
      </c>
      <c r="B567" t="s">
        <v>7149</v>
      </c>
      <c r="C567" t="s">
        <v>9054</v>
      </c>
      <c r="D567" t="s">
        <v>5720</v>
      </c>
      <c r="E567" t="s">
        <v>5721</v>
      </c>
      <c r="F567" t="s">
        <v>5733</v>
      </c>
      <c r="G567" t="s">
        <v>9055</v>
      </c>
      <c r="H567" t="s">
        <v>461</v>
      </c>
      <c r="I567" t="s">
        <v>644</v>
      </c>
      <c r="J567" t="s">
        <v>266</v>
      </c>
      <c r="K567" t="s">
        <v>5724</v>
      </c>
      <c r="L567" t="s">
        <v>267</v>
      </c>
      <c r="M567">
        <v>11540183</v>
      </c>
      <c r="N567">
        <v>0</v>
      </c>
      <c r="O567">
        <v>11540183</v>
      </c>
      <c r="P567">
        <v>0</v>
      </c>
      <c r="Q567" t="s">
        <v>9056</v>
      </c>
      <c r="R567" t="s">
        <v>5809</v>
      </c>
      <c r="S567" t="s">
        <v>9057</v>
      </c>
      <c r="T567" t="s">
        <v>9058</v>
      </c>
      <c r="U567" t="s">
        <v>9059</v>
      </c>
      <c r="V567" t="s">
        <v>9060</v>
      </c>
      <c r="W567" t="s">
        <v>5731</v>
      </c>
      <c r="X567" t="str">
        <f t="shared" si="8"/>
        <v>Inversión</v>
      </c>
      <c r="Y567" t="s">
        <v>5735</v>
      </c>
    </row>
    <row r="568" spans="1:25" x14ac:dyDescent="0.25">
      <c r="A568" t="s">
        <v>9061</v>
      </c>
      <c r="B568" t="s">
        <v>7149</v>
      </c>
      <c r="C568" t="s">
        <v>9062</v>
      </c>
      <c r="D568" t="s">
        <v>5720</v>
      </c>
      <c r="E568" t="s">
        <v>5721</v>
      </c>
      <c r="F568" t="s">
        <v>5733</v>
      </c>
      <c r="G568" t="s">
        <v>9055</v>
      </c>
      <c r="H568" t="s">
        <v>461</v>
      </c>
      <c r="I568" t="s">
        <v>644</v>
      </c>
      <c r="J568" t="s">
        <v>266</v>
      </c>
      <c r="K568" t="s">
        <v>5724</v>
      </c>
      <c r="L568" t="s">
        <v>267</v>
      </c>
      <c r="M568">
        <v>23080365</v>
      </c>
      <c r="N568">
        <v>0</v>
      </c>
      <c r="O568">
        <v>23080365</v>
      </c>
      <c r="P568">
        <v>0</v>
      </c>
      <c r="Q568" t="s">
        <v>9063</v>
      </c>
      <c r="R568" t="s">
        <v>9061</v>
      </c>
      <c r="S568" t="s">
        <v>9064</v>
      </c>
      <c r="T568" t="s">
        <v>9065</v>
      </c>
      <c r="U568" t="s">
        <v>9066</v>
      </c>
      <c r="V568" t="s">
        <v>9067</v>
      </c>
      <c r="W568" t="s">
        <v>5731</v>
      </c>
      <c r="X568" t="str">
        <f t="shared" si="8"/>
        <v>Inversión</v>
      </c>
      <c r="Y568" t="s">
        <v>5735</v>
      </c>
    </row>
    <row r="569" spans="1:25" x14ac:dyDescent="0.25">
      <c r="A569" t="s">
        <v>9068</v>
      </c>
      <c r="B569" t="s">
        <v>7149</v>
      </c>
      <c r="C569" t="s">
        <v>9069</v>
      </c>
      <c r="D569" t="s">
        <v>5720</v>
      </c>
      <c r="E569" t="s">
        <v>5721</v>
      </c>
      <c r="F569" t="s">
        <v>5733</v>
      </c>
      <c r="G569" t="s">
        <v>9055</v>
      </c>
      <c r="H569" t="s">
        <v>461</v>
      </c>
      <c r="I569" t="s">
        <v>644</v>
      </c>
      <c r="J569" t="s">
        <v>266</v>
      </c>
      <c r="K569" t="s">
        <v>5724</v>
      </c>
      <c r="L569" t="s">
        <v>267</v>
      </c>
      <c r="M569">
        <v>18713673</v>
      </c>
      <c r="N569">
        <v>0</v>
      </c>
      <c r="O569">
        <v>18713673</v>
      </c>
      <c r="P569">
        <v>1</v>
      </c>
      <c r="Q569" t="s">
        <v>9070</v>
      </c>
      <c r="R569" t="s">
        <v>9068</v>
      </c>
      <c r="S569" t="s">
        <v>9071</v>
      </c>
      <c r="T569" t="s">
        <v>9072</v>
      </c>
      <c r="U569" t="s">
        <v>9073</v>
      </c>
      <c r="V569" t="s">
        <v>9074</v>
      </c>
      <c r="W569" t="s">
        <v>5731</v>
      </c>
      <c r="X569" t="str">
        <f t="shared" si="8"/>
        <v>Inversión</v>
      </c>
      <c r="Y569" t="s">
        <v>5735</v>
      </c>
    </row>
    <row r="570" spans="1:25" x14ac:dyDescent="0.25">
      <c r="A570" t="s">
        <v>9075</v>
      </c>
      <c r="B570" t="s">
        <v>7149</v>
      </c>
      <c r="C570" t="s">
        <v>9076</v>
      </c>
      <c r="D570" t="s">
        <v>5720</v>
      </c>
      <c r="E570" t="s">
        <v>5721</v>
      </c>
      <c r="F570" t="s">
        <v>5733</v>
      </c>
      <c r="G570" t="s">
        <v>9055</v>
      </c>
      <c r="H570" t="s">
        <v>461</v>
      </c>
      <c r="I570" t="s">
        <v>644</v>
      </c>
      <c r="J570" t="s">
        <v>266</v>
      </c>
      <c r="K570" t="s">
        <v>5724</v>
      </c>
      <c r="L570" t="s">
        <v>267</v>
      </c>
      <c r="M570">
        <v>51558078</v>
      </c>
      <c r="N570">
        <v>0</v>
      </c>
      <c r="O570">
        <v>51558078</v>
      </c>
      <c r="P570">
        <v>0</v>
      </c>
      <c r="Q570" t="s">
        <v>9077</v>
      </c>
      <c r="R570" t="s">
        <v>9075</v>
      </c>
      <c r="S570" t="s">
        <v>9078</v>
      </c>
      <c r="T570" t="s">
        <v>9079</v>
      </c>
      <c r="U570" t="s">
        <v>9080</v>
      </c>
      <c r="V570" t="s">
        <v>9081</v>
      </c>
      <c r="W570" t="s">
        <v>5731</v>
      </c>
      <c r="X570" t="str">
        <f t="shared" si="8"/>
        <v>Inversión</v>
      </c>
      <c r="Y570" t="s">
        <v>5735</v>
      </c>
    </row>
    <row r="571" spans="1:25" x14ac:dyDescent="0.25">
      <c r="A571" t="s">
        <v>5844</v>
      </c>
      <c r="B571" t="s">
        <v>9082</v>
      </c>
      <c r="C571" t="s">
        <v>9083</v>
      </c>
      <c r="D571" t="s">
        <v>5720</v>
      </c>
      <c r="E571" t="s">
        <v>5721</v>
      </c>
      <c r="F571" t="s">
        <v>5733</v>
      </c>
      <c r="G571" t="s">
        <v>9055</v>
      </c>
      <c r="H571" t="s">
        <v>461</v>
      </c>
      <c r="I571" t="s">
        <v>644</v>
      </c>
      <c r="J571" t="s">
        <v>266</v>
      </c>
      <c r="K571" t="s">
        <v>5724</v>
      </c>
      <c r="L571" t="s">
        <v>267</v>
      </c>
      <c r="M571">
        <v>3990988</v>
      </c>
      <c r="N571">
        <v>0</v>
      </c>
      <c r="O571">
        <v>3990988</v>
      </c>
      <c r="P571">
        <v>2814219</v>
      </c>
      <c r="Q571" t="s">
        <v>9084</v>
      </c>
      <c r="R571" t="s">
        <v>5844</v>
      </c>
      <c r="S571" t="s">
        <v>9085</v>
      </c>
      <c r="T571" t="s">
        <v>9086</v>
      </c>
      <c r="U571" t="s">
        <v>9087</v>
      </c>
      <c r="V571" t="s">
        <v>9088</v>
      </c>
      <c r="W571" t="s">
        <v>9089</v>
      </c>
      <c r="X571" t="str">
        <f t="shared" si="8"/>
        <v>Inversión</v>
      </c>
      <c r="Y571" t="s">
        <v>5735</v>
      </c>
    </row>
    <row r="572" spans="1:25" x14ac:dyDescent="0.25">
      <c r="A572" t="s">
        <v>9090</v>
      </c>
      <c r="B572" t="s">
        <v>8755</v>
      </c>
      <c r="C572" t="s">
        <v>9091</v>
      </c>
      <c r="D572" t="s">
        <v>5720</v>
      </c>
      <c r="E572" t="s">
        <v>5721</v>
      </c>
      <c r="F572" t="s">
        <v>5802</v>
      </c>
      <c r="G572" t="s">
        <v>9055</v>
      </c>
      <c r="H572" t="s">
        <v>444</v>
      </c>
      <c r="I572" t="s">
        <v>634</v>
      </c>
      <c r="J572" t="s">
        <v>266</v>
      </c>
      <c r="K572" t="s">
        <v>5724</v>
      </c>
      <c r="L572" t="s">
        <v>267</v>
      </c>
      <c r="M572">
        <v>671450</v>
      </c>
      <c r="N572">
        <v>0</v>
      </c>
      <c r="O572">
        <v>671450</v>
      </c>
      <c r="P572">
        <v>0</v>
      </c>
      <c r="Q572" t="s">
        <v>9092</v>
      </c>
      <c r="R572" t="s">
        <v>9093</v>
      </c>
      <c r="S572" t="s">
        <v>5740</v>
      </c>
      <c r="T572" t="s">
        <v>5836</v>
      </c>
      <c r="U572" t="s">
        <v>6591</v>
      </c>
      <c r="V572" t="s">
        <v>9094</v>
      </c>
      <c r="W572" t="s">
        <v>5835</v>
      </c>
      <c r="X572" t="str">
        <f t="shared" si="8"/>
        <v>Inversión</v>
      </c>
      <c r="Y572" t="s">
        <v>5810</v>
      </c>
    </row>
    <row r="573" spans="1:25" x14ac:dyDescent="0.25">
      <c r="A573" t="s">
        <v>9093</v>
      </c>
      <c r="B573" t="s">
        <v>9095</v>
      </c>
      <c r="C573" t="s">
        <v>9096</v>
      </c>
      <c r="D573" t="s">
        <v>5720</v>
      </c>
      <c r="E573" t="s">
        <v>5721</v>
      </c>
      <c r="F573" t="s">
        <v>5733</v>
      </c>
      <c r="G573" t="s">
        <v>9055</v>
      </c>
      <c r="H573" t="s">
        <v>461</v>
      </c>
      <c r="I573" t="s">
        <v>644</v>
      </c>
      <c r="J573" t="s">
        <v>273</v>
      </c>
      <c r="K573" t="s">
        <v>5734</v>
      </c>
      <c r="L573" t="s">
        <v>267</v>
      </c>
      <c r="M573">
        <v>3468160</v>
      </c>
      <c r="N573">
        <v>0</v>
      </c>
      <c r="O573">
        <v>3468160</v>
      </c>
      <c r="P573">
        <v>420906</v>
      </c>
      <c r="Q573" t="s">
        <v>9097</v>
      </c>
      <c r="R573" t="s">
        <v>9098</v>
      </c>
      <c r="S573" t="s">
        <v>9099</v>
      </c>
      <c r="T573" t="s">
        <v>9100</v>
      </c>
      <c r="U573" t="s">
        <v>9101</v>
      </c>
      <c r="V573" t="s">
        <v>9102</v>
      </c>
      <c r="W573" t="s">
        <v>5731</v>
      </c>
      <c r="X573" t="str">
        <f t="shared" si="8"/>
        <v>Inversión</v>
      </c>
      <c r="Y573" t="s">
        <v>5735</v>
      </c>
    </row>
    <row r="574" spans="1:25" x14ac:dyDescent="0.25">
      <c r="A574" t="s">
        <v>9103</v>
      </c>
      <c r="B574" t="s">
        <v>8898</v>
      </c>
      <c r="C574" t="s">
        <v>9104</v>
      </c>
      <c r="D574" t="s">
        <v>5720</v>
      </c>
      <c r="E574" t="s">
        <v>5721</v>
      </c>
      <c r="F574" t="s">
        <v>5733</v>
      </c>
      <c r="G574" t="s">
        <v>9055</v>
      </c>
      <c r="H574" t="s">
        <v>461</v>
      </c>
      <c r="I574" t="s">
        <v>644</v>
      </c>
      <c r="J574" t="s">
        <v>273</v>
      </c>
      <c r="K574" t="s">
        <v>5734</v>
      </c>
      <c r="L574" t="s">
        <v>267</v>
      </c>
      <c r="M574">
        <v>85205006</v>
      </c>
      <c r="N574">
        <v>0</v>
      </c>
      <c r="O574">
        <v>85205006</v>
      </c>
      <c r="P574">
        <v>2884000</v>
      </c>
      <c r="Q574" t="s">
        <v>9105</v>
      </c>
      <c r="R574" t="s">
        <v>9106</v>
      </c>
      <c r="S574" t="s">
        <v>9107</v>
      </c>
      <c r="T574" t="s">
        <v>5731</v>
      </c>
      <c r="U574" t="s">
        <v>5731</v>
      </c>
      <c r="V574" t="s">
        <v>5731</v>
      </c>
      <c r="W574" t="s">
        <v>5731</v>
      </c>
      <c r="X574" t="str">
        <f t="shared" si="8"/>
        <v>Inversión</v>
      </c>
      <c r="Y574" t="s">
        <v>5735</v>
      </c>
    </row>
    <row r="575" spans="1:25" x14ac:dyDescent="0.25">
      <c r="A575" t="s">
        <v>9108</v>
      </c>
      <c r="B575" t="s">
        <v>8898</v>
      </c>
      <c r="C575" t="s">
        <v>9109</v>
      </c>
      <c r="D575" t="s">
        <v>5720</v>
      </c>
      <c r="E575" t="s">
        <v>5737</v>
      </c>
      <c r="F575" t="s">
        <v>5733</v>
      </c>
      <c r="G575" t="s">
        <v>9055</v>
      </c>
      <c r="H575" t="s">
        <v>461</v>
      </c>
      <c r="I575" t="s">
        <v>644</v>
      </c>
      <c r="J575" t="s">
        <v>273</v>
      </c>
      <c r="K575" t="s">
        <v>5734</v>
      </c>
      <c r="L575" t="s">
        <v>267</v>
      </c>
      <c r="M575">
        <v>20000000</v>
      </c>
      <c r="N575">
        <v>0</v>
      </c>
      <c r="O575">
        <v>20000000</v>
      </c>
      <c r="P575">
        <v>20000000</v>
      </c>
      <c r="Q575" t="s">
        <v>9110</v>
      </c>
      <c r="R575" t="s">
        <v>9111</v>
      </c>
      <c r="S575" t="s">
        <v>5731</v>
      </c>
      <c r="T575" t="s">
        <v>5731</v>
      </c>
      <c r="U575" t="s">
        <v>5731</v>
      </c>
      <c r="V575" t="s">
        <v>5731</v>
      </c>
      <c r="W575" t="s">
        <v>5731</v>
      </c>
      <c r="X575" t="str">
        <f t="shared" si="8"/>
        <v>Inversión</v>
      </c>
      <c r="Y575" t="s">
        <v>5735</v>
      </c>
    </row>
    <row r="576" spans="1:25" x14ac:dyDescent="0.25">
      <c r="A576" t="s">
        <v>9061</v>
      </c>
      <c r="B576" t="s">
        <v>9112</v>
      </c>
      <c r="C576" t="s">
        <v>9113</v>
      </c>
      <c r="D576" t="s">
        <v>5720</v>
      </c>
      <c r="E576" t="s">
        <v>5721</v>
      </c>
      <c r="F576" t="s">
        <v>5733</v>
      </c>
      <c r="G576" t="s">
        <v>9114</v>
      </c>
      <c r="H576" t="s">
        <v>461</v>
      </c>
      <c r="I576" t="s">
        <v>644</v>
      </c>
      <c r="J576" t="s">
        <v>266</v>
      </c>
      <c r="K576" t="s">
        <v>5724</v>
      </c>
      <c r="L576" t="s">
        <v>267</v>
      </c>
      <c r="M576">
        <v>55882246</v>
      </c>
      <c r="N576">
        <v>-19269740</v>
      </c>
      <c r="O576">
        <v>36612506</v>
      </c>
      <c r="P576">
        <v>0</v>
      </c>
      <c r="Q576" t="s">
        <v>9115</v>
      </c>
      <c r="R576" t="s">
        <v>9061</v>
      </c>
      <c r="S576" t="s">
        <v>9116</v>
      </c>
      <c r="T576" t="s">
        <v>9117</v>
      </c>
      <c r="U576" t="s">
        <v>9118</v>
      </c>
      <c r="V576" t="s">
        <v>9119</v>
      </c>
      <c r="W576" t="s">
        <v>5731</v>
      </c>
      <c r="X576" t="str">
        <f t="shared" si="8"/>
        <v>Inversión</v>
      </c>
      <c r="Y576" t="s">
        <v>5735</v>
      </c>
    </row>
    <row r="577" spans="1:25" x14ac:dyDescent="0.25">
      <c r="A577" t="s">
        <v>9068</v>
      </c>
      <c r="B577" t="s">
        <v>9112</v>
      </c>
      <c r="C577" t="s">
        <v>9120</v>
      </c>
      <c r="D577" t="s">
        <v>5720</v>
      </c>
      <c r="E577" t="s">
        <v>5721</v>
      </c>
      <c r="F577" t="s">
        <v>5733</v>
      </c>
      <c r="G577" t="s">
        <v>9114</v>
      </c>
      <c r="H577" t="s">
        <v>461</v>
      </c>
      <c r="I577" t="s">
        <v>644</v>
      </c>
      <c r="J577" t="s">
        <v>266</v>
      </c>
      <c r="K577" t="s">
        <v>5724</v>
      </c>
      <c r="L577" t="s">
        <v>267</v>
      </c>
      <c r="M577">
        <v>13784390</v>
      </c>
      <c r="N577">
        <v>-4956948</v>
      </c>
      <c r="O577">
        <v>8827442</v>
      </c>
      <c r="P577">
        <v>0</v>
      </c>
      <c r="Q577" t="s">
        <v>9121</v>
      </c>
      <c r="R577" t="s">
        <v>9068</v>
      </c>
      <c r="S577" t="s">
        <v>9122</v>
      </c>
      <c r="T577" t="s">
        <v>7504</v>
      </c>
      <c r="U577" t="s">
        <v>9123</v>
      </c>
      <c r="V577" t="s">
        <v>9124</v>
      </c>
      <c r="W577" t="s">
        <v>5731</v>
      </c>
      <c r="X577" t="str">
        <f t="shared" si="8"/>
        <v>Inversión</v>
      </c>
      <c r="Y577" t="s">
        <v>5735</v>
      </c>
    </row>
    <row r="578" spans="1:25" x14ac:dyDescent="0.25">
      <c r="A578" t="s">
        <v>9075</v>
      </c>
      <c r="B578" t="s">
        <v>9112</v>
      </c>
      <c r="C578" t="s">
        <v>9125</v>
      </c>
      <c r="D578" t="s">
        <v>5720</v>
      </c>
      <c r="E578" t="s">
        <v>5721</v>
      </c>
      <c r="F578" t="s">
        <v>5733</v>
      </c>
      <c r="G578" t="s">
        <v>9114</v>
      </c>
      <c r="H578" t="s">
        <v>461</v>
      </c>
      <c r="I578" t="s">
        <v>644</v>
      </c>
      <c r="J578" t="s">
        <v>266</v>
      </c>
      <c r="K578" t="s">
        <v>5724</v>
      </c>
      <c r="L578" t="s">
        <v>267</v>
      </c>
      <c r="M578">
        <v>35101041</v>
      </c>
      <c r="N578">
        <v>-12622543</v>
      </c>
      <c r="O578">
        <v>22478498</v>
      </c>
      <c r="P578">
        <v>0</v>
      </c>
      <c r="Q578" t="s">
        <v>9126</v>
      </c>
      <c r="R578" t="s">
        <v>9075</v>
      </c>
      <c r="S578" t="s">
        <v>9127</v>
      </c>
      <c r="T578" t="s">
        <v>9128</v>
      </c>
      <c r="U578" t="s">
        <v>9129</v>
      </c>
      <c r="V578" t="s">
        <v>9130</v>
      </c>
      <c r="W578" t="s">
        <v>5731</v>
      </c>
      <c r="X578" t="str">
        <f t="shared" ref="X578:X641" si="9">IF(LEFT(H578,1)="C","Inversión","Funcionamiento")</f>
        <v>Inversión</v>
      </c>
      <c r="Y578" t="s">
        <v>5735</v>
      </c>
    </row>
    <row r="579" spans="1:25" x14ac:dyDescent="0.25">
      <c r="A579" t="s">
        <v>5844</v>
      </c>
      <c r="B579" t="s">
        <v>9112</v>
      </c>
      <c r="C579" t="s">
        <v>9131</v>
      </c>
      <c r="D579" t="s">
        <v>5720</v>
      </c>
      <c r="E579" t="s">
        <v>5721</v>
      </c>
      <c r="F579" t="s">
        <v>5733</v>
      </c>
      <c r="G579" t="s">
        <v>9114</v>
      </c>
      <c r="H579" t="s">
        <v>461</v>
      </c>
      <c r="I579" t="s">
        <v>644</v>
      </c>
      <c r="J579" t="s">
        <v>266</v>
      </c>
      <c r="K579" t="s">
        <v>5724</v>
      </c>
      <c r="L579" t="s">
        <v>267</v>
      </c>
      <c r="M579">
        <v>82112688</v>
      </c>
      <c r="N579">
        <v>-29528208</v>
      </c>
      <c r="O579">
        <v>52584480</v>
      </c>
      <c r="P579">
        <v>0</v>
      </c>
      <c r="Q579" t="s">
        <v>9132</v>
      </c>
      <c r="R579" t="s">
        <v>5844</v>
      </c>
      <c r="S579" t="s">
        <v>9133</v>
      </c>
      <c r="T579" t="s">
        <v>9134</v>
      </c>
      <c r="U579" t="s">
        <v>9135</v>
      </c>
      <c r="V579" t="s">
        <v>9136</v>
      </c>
      <c r="W579" t="s">
        <v>5731</v>
      </c>
      <c r="X579" t="str">
        <f t="shared" si="9"/>
        <v>Inversión</v>
      </c>
      <c r="Y579" t="s">
        <v>5735</v>
      </c>
    </row>
    <row r="580" spans="1:25" x14ac:dyDescent="0.25">
      <c r="A580" t="s">
        <v>9058</v>
      </c>
      <c r="B580" t="s">
        <v>9112</v>
      </c>
      <c r="C580" t="s">
        <v>9137</v>
      </c>
      <c r="D580" t="s">
        <v>5720</v>
      </c>
      <c r="E580" t="s">
        <v>5721</v>
      </c>
      <c r="F580" t="s">
        <v>5733</v>
      </c>
      <c r="G580" t="s">
        <v>9114</v>
      </c>
      <c r="H580" t="s">
        <v>461</v>
      </c>
      <c r="I580" t="s">
        <v>644</v>
      </c>
      <c r="J580" t="s">
        <v>266</v>
      </c>
      <c r="K580" t="s">
        <v>5724</v>
      </c>
      <c r="L580" t="s">
        <v>267</v>
      </c>
      <c r="M580">
        <v>14593000</v>
      </c>
      <c r="N580">
        <v>-8745452</v>
      </c>
      <c r="O580">
        <v>5847548</v>
      </c>
      <c r="P580">
        <v>1896141</v>
      </c>
      <c r="Q580" t="s">
        <v>9138</v>
      </c>
      <c r="R580" t="s">
        <v>9058</v>
      </c>
      <c r="S580" t="s">
        <v>9139</v>
      </c>
      <c r="T580" t="s">
        <v>9140</v>
      </c>
      <c r="U580" t="s">
        <v>9141</v>
      </c>
      <c r="V580" t="s">
        <v>9142</v>
      </c>
      <c r="W580" t="s">
        <v>5731</v>
      </c>
      <c r="X580" t="str">
        <f t="shared" si="9"/>
        <v>Inversión</v>
      </c>
      <c r="Y580" t="s">
        <v>5735</v>
      </c>
    </row>
    <row r="581" spans="1:25" x14ac:dyDescent="0.25">
      <c r="A581" t="s">
        <v>9057</v>
      </c>
      <c r="B581" t="s">
        <v>7157</v>
      </c>
      <c r="C581" t="s">
        <v>9143</v>
      </c>
      <c r="D581" t="s">
        <v>5720</v>
      </c>
      <c r="E581" t="s">
        <v>5721</v>
      </c>
      <c r="F581" t="s">
        <v>5733</v>
      </c>
      <c r="G581" t="s">
        <v>9114</v>
      </c>
      <c r="H581" t="s">
        <v>461</v>
      </c>
      <c r="I581" t="s">
        <v>644</v>
      </c>
      <c r="J581" t="s">
        <v>266</v>
      </c>
      <c r="K581" t="s">
        <v>5724</v>
      </c>
      <c r="L581" t="s">
        <v>267</v>
      </c>
      <c r="M581">
        <v>35342100</v>
      </c>
      <c r="N581">
        <v>0</v>
      </c>
      <c r="O581">
        <v>35342100</v>
      </c>
      <c r="P581">
        <v>0</v>
      </c>
      <c r="Q581" t="s">
        <v>9144</v>
      </c>
      <c r="R581" t="s">
        <v>9057</v>
      </c>
      <c r="S581" t="s">
        <v>9145</v>
      </c>
      <c r="T581" t="s">
        <v>9146</v>
      </c>
      <c r="U581" t="s">
        <v>9147</v>
      </c>
      <c r="V581" t="s">
        <v>9148</v>
      </c>
      <c r="W581" t="s">
        <v>5731</v>
      </c>
      <c r="X581" t="str">
        <f t="shared" si="9"/>
        <v>Inversión</v>
      </c>
      <c r="Y581" t="s">
        <v>5735</v>
      </c>
    </row>
    <row r="582" spans="1:25" x14ac:dyDescent="0.25">
      <c r="A582" t="s">
        <v>9149</v>
      </c>
      <c r="B582" t="s">
        <v>7157</v>
      </c>
      <c r="C582" t="s">
        <v>7173</v>
      </c>
      <c r="D582" t="s">
        <v>5720</v>
      </c>
      <c r="E582" t="s">
        <v>5721</v>
      </c>
      <c r="F582" t="s">
        <v>5733</v>
      </c>
      <c r="G582" t="s">
        <v>9114</v>
      </c>
      <c r="H582" t="s">
        <v>461</v>
      </c>
      <c r="I582" t="s">
        <v>644</v>
      </c>
      <c r="J582" t="s">
        <v>266</v>
      </c>
      <c r="K582" t="s">
        <v>5724</v>
      </c>
      <c r="L582" t="s">
        <v>267</v>
      </c>
      <c r="M582">
        <v>27500000</v>
      </c>
      <c r="N582">
        <v>0</v>
      </c>
      <c r="O582">
        <v>27500000</v>
      </c>
      <c r="P582">
        <v>0</v>
      </c>
      <c r="Q582" t="s">
        <v>9150</v>
      </c>
      <c r="R582" t="s">
        <v>9149</v>
      </c>
      <c r="S582" t="s">
        <v>7381</v>
      </c>
      <c r="T582" t="s">
        <v>9090</v>
      </c>
      <c r="U582" t="s">
        <v>9151</v>
      </c>
      <c r="V582" t="s">
        <v>9152</v>
      </c>
      <c r="W582" t="s">
        <v>5731</v>
      </c>
      <c r="X582" t="str">
        <f t="shared" si="9"/>
        <v>Inversión</v>
      </c>
      <c r="Y582" t="s">
        <v>5735</v>
      </c>
    </row>
    <row r="583" spans="1:25" x14ac:dyDescent="0.25">
      <c r="A583" t="s">
        <v>6935</v>
      </c>
      <c r="B583" t="s">
        <v>7157</v>
      </c>
      <c r="C583" t="s">
        <v>7180</v>
      </c>
      <c r="D583" t="s">
        <v>5720</v>
      </c>
      <c r="E583" t="s">
        <v>5737</v>
      </c>
      <c r="F583" t="s">
        <v>5733</v>
      </c>
      <c r="G583" t="s">
        <v>9114</v>
      </c>
      <c r="H583" t="s">
        <v>461</v>
      </c>
      <c r="I583" t="s">
        <v>644</v>
      </c>
      <c r="J583" t="s">
        <v>266</v>
      </c>
      <c r="K583" t="s">
        <v>5724</v>
      </c>
      <c r="L583" t="s">
        <v>267</v>
      </c>
      <c r="M583">
        <v>3534059</v>
      </c>
      <c r="N583">
        <v>0</v>
      </c>
      <c r="O583">
        <v>3534059</v>
      </c>
      <c r="P583">
        <v>3534059</v>
      </c>
      <c r="Q583" t="s">
        <v>9153</v>
      </c>
      <c r="R583" t="s">
        <v>6935</v>
      </c>
      <c r="S583" t="s">
        <v>5731</v>
      </c>
      <c r="T583" t="s">
        <v>5731</v>
      </c>
      <c r="U583" t="s">
        <v>5731</v>
      </c>
      <c r="V583" t="s">
        <v>5731</v>
      </c>
      <c r="W583" t="s">
        <v>5731</v>
      </c>
      <c r="X583" t="str">
        <f t="shared" si="9"/>
        <v>Inversión</v>
      </c>
      <c r="Y583" t="s">
        <v>5735</v>
      </c>
    </row>
    <row r="584" spans="1:25" x14ac:dyDescent="0.25">
      <c r="A584" t="s">
        <v>9154</v>
      </c>
      <c r="B584" t="s">
        <v>9155</v>
      </c>
      <c r="C584" t="s">
        <v>9156</v>
      </c>
      <c r="D584" t="s">
        <v>5720</v>
      </c>
      <c r="E584" t="s">
        <v>5721</v>
      </c>
      <c r="F584" t="s">
        <v>5733</v>
      </c>
      <c r="G584" t="s">
        <v>9114</v>
      </c>
      <c r="H584" t="s">
        <v>461</v>
      </c>
      <c r="I584" t="s">
        <v>644</v>
      </c>
      <c r="J584" t="s">
        <v>266</v>
      </c>
      <c r="K584" t="s">
        <v>5724</v>
      </c>
      <c r="L584" t="s">
        <v>267</v>
      </c>
      <c r="M584">
        <v>34546758</v>
      </c>
      <c r="N584">
        <v>0</v>
      </c>
      <c r="O584">
        <v>34546758</v>
      </c>
      <c r="P584">
        <v>0</v>
      </c>
      <c r="Q584" t="s">
        <v>9157</v>
      </c>
      <c r="R584" t="s">
        <v>9154</v>
      </c>
      <c r="S584" t="s">
        <v>5787</v>
      </c>
      <c r="T584" t="s">
        <v>6066</v>
      </c>
      <c r="U584" t="s">
        <v>9158</v>
      </c>
      <c r="V584" t="s">
        <v>9159</v>
      </c>
      <c r="W584" t="s">
        <v>5731</v>
      </c>
      <c r="X584" t="str">
        <f t="shared" si="9"/>
        <v>Inversión</v>
      </c>
      <c r="Y584" t="s">
        <v>5735</v>
      </c>
    </row>
    <row r="585" spans="1:25" x14ac:dyDescent="0.25">
      <c r="A585" t="s">
        <v>7504</v>
      </c>
      <c r="B585" t="s">
        <v>9160</v>
      </c>
      <c r="C585" t="s">
        <v>9161</v>
      </c>
      <c r="D585" t="s">
        <v>5720</v>
      </c>
      <c r="E585" t="s">
        <v>5721</v>
      </c>
      <c r="F585" t="s">
        <v>5722</v>
      </c>
      <c r="G585" t="s">
        <v>9114</v>
      </c>
      <c r="H585" t="s">
        <v>453</v>
      </c>
      <c r="I585" t="s">
        <v>664</v>
      </c>
      <c r="J585" t="s">
        <v>266</v>
      </c>
      <c r="K585" t="s">
        <v>5724</v>
      </c>
      <c r="L585" t="s">
        <v>267</v>
      </c>
      <c r="M585">
        <v>2000000</v>
      </c>
      <c r="N585">
        <v>0</v>
      </c>
      <c r="O585">
        <v>2000000</v>
      </c>
      <c r="P585">
        <v>992000</v>
      </c>
      <c r="Q585" t="s">
        <v>9162</v>
      </c>
      <c r="R585" t="s">
        <v>7504</v>
      </c>
      <c r="S585" t="s">
        <v>5981</v>
      </c>
      <c r="T585" t="s">
        <v>5731</v>
      </c>
      <c r="U585" t="s">
        <v>5731</v>
      </c>
      <c r="V585" t="s">
        <v>5731</v>
      </c>
      <c r="W585" t="s">
        <v>5731</v>
      </c>
      <c r="X585" t="str">
        <f t="shared" si="9"/>
        <v>Inversión</v>
      </c>
      <c r="Y585" t="s">
        <v>5732</v>
      </c>
    </row>
    <row r="586" spans="1:25" x14ac:dyDescent="0.25">
      <c r="A586" t="s">
        <v>9122</v>
      </c>
      <c r="B586" t="s">
        <v>8694</v>
      </c>
      <c r="C586" t="s">
        <v>9163</v>
      </c>
      <c r="D586" t="s">
        <v>5720</v>
      </c>
      <c r="E586" t="s">
        <v>5721</v>
      </c>
      <c r="F586" t="s">
        <v>5733</v>
      </c>
      <c r="G586" t="s">
        <v>9114</v>
      </c>
      <c r="H586" t="s">
        <v>461</v>
      </c>
      <c r="I586" t="s">
        <v>644</v>
      </c>
      <c r="J586" t="s">
        <v>273</v>
      </c>
      <c r="K586" t="s">
        <v>5734</v>
      </c>
      <c r="L586" t="s">
        <v>267</v>
      </c>
      <c r="M586">
        <v>1618453</v>
      </c>
      <c r="N586">
        <v>0</v>
      </c>
      <c r="O586">
        <v>1618453</v>
      </c>
      <c r="P586">
        <v>198453</v>
      </c>
      <c r="Q586" t="s">
        <v>9164</v>
      </c>
      <c r="R586" t="s">
        <v>9122</v>
      </c>
      <c r="S586" t="s">
        <v>6038</v>
      </c>
      <c r="T586" t="s">
        <v>5731</v>
      </c>
      <c r="U586" t="s">
        <v>5731</v>
      </c>
      <c r="V586" t="s">
        <v>5731</v>
      </c>
      <c r="W586" t="s">
        <v>5731</v>
      </c>
      <c r="X586" t="str">
        <f t="shared" si="9"/>
        <v>Inversión</v>
      </c>
      <c r="Y586" t="s">
        <v>5735</v>
      </c>
    </row>
    <row r="587" spans="1:25" x14ac:dyDescent="0.25">
      <c r="A587" t="s">
        <v>9090</v>
      </c>
      <c r="B587" t="s">
        <v>8694</v>
      </c>
      <c r="C587" t="s">
        <v>9165</v>
      </c>
      <c r="D587" t="s">
        <v>5720</v>
      </c>
      <c r="E587" t="s">
        <v>5721</v>
      </c>
      <c r="F587" t="s">
        <v>5733</v>
      </c>
      <c r="G587" t="s">
        <v>9114</v>
      </c>
      <c r="H587" t="s">
        <v>461</v>
      </c>
      <c r="I587" t="s">
        <v>644</v>
      </c>
      <c r="J587" t="s">
        <v>266</v>
      </c>
      <c r="K587" t="s">
        <v>5724</v>
      </c>
      <c r="L587" t="s">
        <v>267</v>
      </c>
      <c r="M587">
        <v>8745452</v>
      </c>
      <c r="N587">
        <v>0</v>
      </c>
      <c r="O587">
        <v>8745452</v>
      </c>
      <c r="P587">
        <v>5342966</v>
      </c>
      <c r="Q587" t="s">
        <v>9166</v>
      </c>
      <c r="R587" t="s">
        <v>9090</v>
      </c>
      <c r="S587" t="s">
        <v>5865</v>
      </c>
      <c r="T587" t="s">
        <v>6069</v>
      </c>
      <c r="U587" t="s">
        <v>9167</v>
      </c>
      <c r="V587" t="s">
        <v>9168</v>
      </c>
      <c r="W587" t="s">
        <v>5731</v>
      </c>
      <c r="X587" t="str">
        <f t="shared" si="9"/>
        <v>Inversión</v>
      </c>
      <c r="Y587" t="s">
        <v>5735</v>
      </c>
    </row>
    <row r="588" spans="1:25" x14ac:dyDescent="0.25">
      <c r="A588" t="s">
        <v>9093</v>
      </c>
      <c r="B588" t="s">
        <v>9169</v>
      </c>
      <c r="C588" t="s">
        <v>9170</v>
      </c>
      <c r="D588" t="s">
        <v>5720</v>
      </c>
      <c r="E588" t="s">
        <v>5721</v>
      </c>
      <c r="F588" t="s">
        <v>5733</v>
      </c>
      <c r="G588" t="s">
        <v>9114</v>
      </c>
      <c r="H588" t="s">
        <v>461</v>
      </c>
      <c r="I588" t="s">
        <v>644</v>
      </c>
      <c r="J588" t="s">
        <v>273</v>
      </c>
      <c r="K588" t="s">
        <v>5734</v>
      </c>
      <c r="L588" t="s">
        <v>267</v>
      </c>
      <c r="M588">
        <v>18025000</v>
      </c>
      <c r="N588">
        <v>0</v>
      </c>
      <c r="O588">
        <v>18025000</v>
      </c>
      <c r="P588">
        <v>2763834</v>
      </c>
      <c r="Q588" t="s">
        <v>9171</v>
      </c>
      <c r="R588" t="s">
        <v>9093</v>
      </c>
      <c r="S588" t="s">
        <v>6011</v>
      </c>
      <c r="T588" t="s">
        <v>5731</v>
      </c>
      <c r="U588" t="s">
        <v>5731</v>
      </c>
      <c r="V588" t="s">
        <v>5731</v>
      </c>
      <c r="W588" t="s">
        <v>5731</v>
      </c>
      <c r="X588" t="str">
        <f t="shared" si="9"/>
        <v>Inversión</v>
      </c>
      <c r="Y588" t="s">
        <v>5735</v>
      </c>
    </row>
    <row r="589" spans="1:25" x14ac:dyDescent="0.25">
      <c r="A589" t="s">
        <v>9103</v>
      </c>
      <c r="B589" t="s">
        <v>9169</v>
      </c>
      <c r="C589" t="s">
        <v>9172</v>
      </c>
      <c r="D589" t="s">
        <v>5720</v>
      </c>
      <c r="E589" t="s">
        <v>5721</v>
      </c>
      <c r="F589" t="s">
        <v>5733</v>
      </c>
      <c r="G589" t="s">
        <v>9114</v>
      </c>
      <c r="H589" t="s">
        <v>461</v>
      </c>
      <c r="I589" t="s">
        <v>644</v>
      </c>
      <c r="J589" t="s">
        <v>273</v>
      </c>
      <c r="K589" t="s">
        <v>5734</v>
      </c>
      <c r="L589" t="s">
        <v>267</v>
      </c>
      <c r="M589">
        <v>78118300</v>
      </c>
      <c r="N589">
        <v>0</v>
      </c>
      <c r="O589">
        <v>78118300</v>
      </c>
      <c r="P589">
        <v>12498930</v>
      </c>
      <c r="Q589" t="s">
        <v>9173</v>
      </c>
      <c r="R589" t="s">
        <v>9103</v>
      </c>
      <c r="S589" t="s">
        <v>9174</v>
      </c>
      <c r="T589" t="s">
        <v>5731</v>
      </c>
      <c r="U589" t="s">
        <v>5731</v>
      </c>
      <c r="V589" t="s">
        <v>5731</v>
      </c>
      <c r="W589" t="s">
        <v>5731</v>
      </c>
      <c r="X589" t="str">
        <f t="shared" si="9"/>
        <v>Inversión</v>
      </c>
      <c r="Y589" t="s">
        <v>5735</v>
      </c>
    </row>
    <row r="590" spans="1:25" x14ac:dyDescent="0.25">
      <c r="A590" t="s">
        <v>9108</v>
      </c>
      <c r="B590" t="s">
        <v>9169</v>
      </c>
      <c r="C590" t="s">
        <v>9175</v>
      </c>
      <c r="D590" t="s">
        <v>5720</v>
      </c>
      <c r="E590" t="s">
        <v>5721</v>
      </c>
      <c r="F590" t="s">
        <v>5733</v>
      </c>
      <c r="G590" t="s">
        <v>9114</v>
      </c>
      <c r="H590" t="s">
        <v>461</v>
      </c>
      <c r="I590" t="s">
        <v>644</v>
      </c>
      <c r="J590" t="s">
        <v>273</v>
      </c>
      <c r="K590" t="s">
        <v>5734</v>
      </c>
      <c r="L590" t="s">
        <v>267</v>
      </c>
      <c r="M590">
        <v>70812500</v>
      </c>
      <c r="N590">
        <v>0</v>
      </c>
      <c r="O590">
        <v>70812500</v>
      </c>
      <c r="P590">
        <v>11802085</v>
      </c>
      <c r="Q590" t="s">
        <v>9176</v>
      </c>
      <c r="R590" t="s">
        <v>9108</v>
      </c>
      <c r="S590" t="s">
        <v>9177</v>
      </c>
      <c r="T590" t="s">
        <v>5731</v>
      </c>
      <c r="U590" t="s">
        <v>5731</v>
      </c>
      <c r="V590" t="s">
        <v>5731</v>
      </c>
      <c r="W590" t="s">
        <v>5731</v>
      </c>
      <c r="X590" t="str">
        <f t="shared" si="9"/>
        <v>Inversión</v>
      </c>
      <c r="Y590" t="s">
        <v>5735</v>
      </c>
    </row>
    <row r="591" spans="1:25" x14ac:dyDescent="0.25">
      <c r="A591" t="s">
        <v>9178</v>
      </c>
      <c r="B591" t="s">
        <v>9169</v>
      </c>
      <c r="C591" t="s">
        <v>9179</v>
      </c>
      <c r="D591" t="s">
        <v>5720</v>
      </c>
      <c r="E591" t="s">
        <v>5721</v>
      </c>
      <c r="F591" t="s">
        <v>5733</v>
      </c>
      <c r="G591" t="s">
        <v>9114</v>
      </c>
      <c r="H591" t="s">
        <v>461</v>
      </c>
      <c r="I591" t="s">
        <v>644</v>
      </c>
      <c r="J591" t="s">
        <v>273</v>
      </c>
      <c r="K591" t="s">
        <v>5734</v>
      </c>
      <c r="L591" t="s">
        <v>267</v>
      </c>
      <c r="M591">
        <v>26714830</v>
      </c>
      <c r="N591">
        <v>0</v>
      </c>
      <c r="O591">
        <v>26714830</v>
      </c>
      <c r="P591">
        <v>4096274</v>
      </c>
      <c r="Q591" t="s">
        <v>9180</v>
      </c>
      <c r="R591" t="s">
        <v>9178</v>
      </c>
      <c r="S591" t="s">
        <v>9181</v>
      </c>
      <c r="T591" t="s">
        <v>5731</v>
      </c>
      <c r="U591" t="s">
        <v>5731</v>
      </c>
      <c r="V591" t="s">
        <v>5731</v>
      </c>
      <c r="W591" t="s">
        <v>5731</v>
      </c>
      <c r="X591" t="str">
        <f t="shared" si="9"/>
        <v>Inversión</v>
      </c>
      <c r="Y591" t="s">
        <v>5735</v>
      </c>
    </row>
    <row r="592" spans="1:25" x14ac:dyDescent="0.25">
      <c r="A592" t="s">
        <v>9182</v>
      </c>
      <c r="B592" t="s">
        <v>9169</v>
      </c>
      <c r="C592" t="s">
        <v>9183</v>
      </c>
      <c r="D592" t="s">
        <v>5720</v>
      </c>
      <c r="E592" t="s">
        <v>5721</v>
      </c>
      <c r="F592" t="s">
        <v>5733</v>
      </c>
      <c r="G592" t="s">
        <v>9114</v>
      </c>
      <c r="H592" t="s">
        <v>461</v>
      </c>
      <c r="I592" t="s">
        <v>644</v>
      </c>
      <c r="J592" t="s">
        <v>273</v>
      </c>
      <c r="K592" t="s">
        <v>5734</v>
      </c>
      <c r="L592" t="s">
        <v>267</v>
      </c>
      <c r="M592">
        <v>20982150</v>
      </c>
      <c r="N592">
        <v>0</v>
      </c>
      <c r="O592">
        <v>20982150</v>
      </c>
      <c r="P592">
        <v>3077382</v>
      </c>
      <c r="Q592" t="s">
        <v>9184</v>
      </c>
      <c r="R592" t="s">
        <v>9182</v>
      </c>
      <c r="S592" t="s">
        <v>9185</v>
      </c>
      <c r="T592" t="s">
        <v>5731</v>
      </c>
      <c r="U592" t="s">
        <v>5731</v>
      </c>
      <c r="V592" t="s">
        <v>5731</v>
      </c>
      <c r="W592" t="s">
        <v>5731</v>
      </c>
      <c r="X592" t="str">
        <f t="shared" si="9"/>
        <v>Inversión</v>
      </c>
      <c r="Y592" t="s">
        <v>5735</v>
      </c>
    </row>
    <row r="593" spans="1:25" x14ac:dyDescent="0.25">
      <c r="A593" t="s">
        <v>9098</v>
      </c>
      <c r="B593" t="s">
        <v>9169</v>
      </c>
      <c r="C593" t="s">
        <v>9186</v>
      </c>
      <c r="D593" t="s">
        <v>5720</v>
      </c>
      <c r="E593" t="s">
        <v>5721</v>
      </c>
      <c r="F593" t="s">
        <v>5733</v>
      </c>
      <c r="G593" t="s">
        <v>9114</v>
      </c>
      <c r="H593" t="s">
        <v>461</v>
      </c>
      <c r="I593" t="s">
        <v>644</v>
      </c>
      <c r="J593" t="s">
        <v>273</v>
      </c>
      <c r="K593" t="s">
        <v>5734</v>
      </c>
      <c r="L593" t="s">
        <v>267</v>
      </c>
      <c r="M593">
        <v>34024860</v>
      </c>
      <c r="N593">
        <v>0</v>
      </c>
      <c r="O593">
        <v>34024860</v>
      </c>
      <c r="P593">
        <v>4309816</v>
      </c>
      <c r="Q593" t="s">
        <v>9187</v>
      </c>
      <c r="R593" t="s">
        <v>9098</v>
      </c>
      <c r="S593" t="s">
        <v>9188</v>
      </c>
      <c r="T593" t="s">
        <v>5731</v>
      </c>
      <c r="U593" t="s">
        <v>5731</v>
      </c>
      <c r="V593" t="s">
        <v>5731</v>
      </c>
      <c r="W593" t="s">
        <v>5731</v>
      </c>
      <c r="X593" t="str">
        <f t="shared" si="9"/>
        <v>Inversión</v>
      </c>
      <c r="Y593" t="s">
        <v>5735</v>
      </c>
    </row>
    <row r="594" spans="1:25" x14ac:dyDescent="0.25">
      <c r="A594" t="s">
        <v>9106</v>
      </c>
      <c r="B594" t="s">
        <v>9169</v>
      </c>
      <c r="C594" t="s">
        <v>9189</v>
      </c>
      <c r="D594" t="s">
        <v>5720</v>
      </c>
      <c r="E594" t="s">
        <v>5737</v>
      </c>
      <c r="F594" t="s">
        <v>5733</v>
      </c>
      <c r="G594" t="s">
        <v>9114</v>
      </c>
      <c r="H594" t="s">
        <v>461</v>
      </c>
      <c r="I594" t="s">
        <v>644</v>
      </c>
      <c r="J594" t="s">
        <v>273</v>
      </c>
      <c r="K594" t="s">
        <v>5734</v>
      </c>
      <c r="L594" t="s">
        <v>267</v>
      </c>
      <c r="M594">
        <v>21600000</v>
      </c>
      <c r="N594">
        <v>0</v>
      </c>
      <c r="O594">
        <v>21600000</v>
      </c>
      <c r="P594">
        <v>21600000</v>
      </c>
      <c r="Q594" t="s">
        <v>9190</v>
      </c>
      <c r="R594" t="s">
        <v>9106</v>
      </c>
      <c r="S594" t="s">
        <v>5731</v>
      </c>
      <c r="T594" t="s">
        <v>5731</v>
      </c>
      <c r="U594" t="s">
        <v>5731</v>
      </c>
      <c r="V594" t="s">
        <v>5731</v>
      </c>
      <c r="W594" t="s">
        <v>5731</v>
      </c>
      <c r="X594" t="str">
        <f t="shared" si="9"/>
        <v>Inversión</v>
      </c>
      <c r="Y594" t="s">
        <v>5735</v>
      </c>
    </row>
    <row r="595" spans="1:25" x14ac:dyDescent="0.25">
      <c r="A595" t="s">
        <v>9111</v>
      </c>
      <c r="B595" t="s">
        <v>9169</v>
      </c>
      <c r="C595" t="s">
        <v>9191</v>
      </c>
      <c r="D595" t="s">
        <v>5720</v>
      </c>
      <c r="E595" t="s">
        <v>5737</v>
      </c>
      <c r="F595" t="s">
        <v>5733</v>
      </c>
      <c r="G595" t="s">
        <v>9114</v>
      </c>
      <c r="H595" t="s">
        <v>461</v>
      </c>
      <c r="I595" t="s">
        <v>644</v>
      </c>
      <c r="J595" t="s">
        <v>273</v>
      </c>
      <c r="K595" t="s">
        <v>5734</v>
      </c>
      <c r="L595" t="s">
        <v>267</v>
      </c>
      <c r="M595">
        <v>1000000</v>
      </c>
      <c r="N595">
        <v>0</v>
      </c>
      <c r="O595">
        <v>1000000</v>
      </c>
      <c r="P595">
        <v>1000000</v>
      </c>
      <c r="Q595" t="s">
        <v>9192</v>
      </c>
      <c r="R595" t="s">
        <v>9111</v>
      </c>
      <c r="S595" t="s">
        <v>5731</v>
      </c>
      <c r="T595" t="s">
        <v>5731</v>
      </c>
      <c r="U595" t="s">
        <v>5731</v>
      </c>
      <c r="V595" t="s">
        <v>5731</v>
      </c>
      <c r="W595" t="s">
        <v>5731</v>
      </c>
      <c r="X595" t="str">
        <f t="shared" si="9"/>
        <v>Inversión</v>
      </c>
      <c r="Y595" t="s">
        <v>5735</v>
      </c>
    </row>
    <row r="596" spans="1:25" x14ac:dyDescent="0.25">
      <c r="A596" t="s">
        <v>5717</v>
      </c>
      <c r="B596" t="s">
        <v>9169</v>
      </c>
      <c r="C596" t="s">
        <v>9193</v>
      </c>
      <c r="D596" t="s">
        <v>5720</v>
      </c>
      <c r="E596" t="s">
        <v>5737</v>
      </c>
      <c r="F596" t="s">
        <v>5733</v>
      </c>
      <c r="G596" t="s">
        <v>9114</v>
      </c>
      <c r="H596" t="s">
        <v>461</v>
      </c>
      <c r="I596" t="s">
        <v>644</v>
      </c>
      <c r="J596" t="s">
        <v>273</v>
      </c>
      <c r="K596" t="s">
        <v>5734</v>
      </c>
      <c r="L596" t="s">
        <v>267</v>
      </c>
      <c r="M596">
        <v>9000000</v>
      </c>
      <c r="N596">
        <v>0</v>
      </c>
      <c r="O596">
        <v>9000000</v>
      </c>
      <c r="P596">
        <v>9000000</v>
      </c>
      <c r="Q596" t="s">
        <v>9194</v>
      </c>
      <c r="R596" t="s">
        <v>5717</v>
      </c>
      <c r="S596" t="s">
        <v>5731</v>
      </c>
      <c r="T596" t="s">
        <v>5731</v>
      </c>
      <c r="U596" t="s">
        <v>5731</v>
      </c>
      <c r="V596" t="s">
        <v>5731</v>
      </c>
      <c r="W596" t="s">
        <v>5731</v>
      </c>
      <c r="X596" t="str">
        <f t="shared" si="9"/>
        <v>Inversión</v>
      </c>
      <c r="Y596" t="s">
        <v>5735</v>
      </c>
    </row>
    <row r="597" spans="1:25" x14ac:dyDescent="0.25">
      <c r="A597" t="s">
        <v>5726</v>
      </c>
      <c r="B597" t="s">
        <v>9195</v>
      </c>
      <c r="C597" t="s">
        <v>9196</v>
      </c>
      <c r="D597" t="s">
        <v>5720</v>
      </c>
      <c r="E597" t="s">
        <v>5737</v>
      </c>
      <c r="F597" t="s">
        <v>5722</v>
      </c>
      <c r="G597" t="s">
        <v>9114</v>
      </c>
      <c r="H597" t="s">
        <v>453</v>
      </c>
      <c r="I597" t="s">
        <v>664</v>
      </c>
      <c r="J597" t="s">
        <v>266</v>
      </c>
      <c r="K597" t="s">
        <v>5724</v>
      </c>
      <c r="L597" t="s">
        <v>267</v>
      </c>
      <c r="M597">
        <v>18215491</v>
      </c>
      <c r="N597">
        <v>0</v>
      </c>
      <c r="O597">
        <v>18215491</v>
      </c>
      <c r="P597">
        <v>18215491</v>
      </c>
      <c r="Q597" t="s">
        <v>9197</v>
      </c>
      <c r="R597" t="s">
        <v>5742</v>
      </c>
      <c r="S597" t="s">
        <v>5731</v>
      </c>
      <c r="T597" t="s">
        <v>5731</v>
      </c>
      <c r="U597" t="s">
        <v>5731</v>
      </c>
      <c r="V597" t="s">
        <v>5731</v>
      </c>
      <c r="W597" t="s">
        <v>5731</v>
      </c>
      <c r="X597" t="str">
        <f t="shared" si="9"/>
        <v>Inversión</v>
      </c>
      <c r="Y597" t="s">
        <v>5732</v>
      </c>
    </row>
    <row r="598" spans="1:25" x14ac:dyDescent="0.25">
      <c r="A598" t="s">
        <v>5756</v>
      </c>
      <c r="B598" t="s">
        <v>8996</v>
      </c>
      <c r="C598" t="s">
        <v>9198</v>
      </c>
      <c r="D598" t="s">
        <v>5720</v>
      </c>
      <c r="E598" t="s">
        <v>5737</v>
      </c>
      <c r="F598" t="s">
        <v>5722</v>
      </c>
      <c r="G598" t="s">
        <v>9114</v>
      </c>
      <c r="H598" t="s">
        <v>453</v>
      </c>
      <c r="I598" t="s">
        <v>664</v>
      </c>
      <c r="J598" t="s">
        <v>266</v>
      </c>
      <c r="K598" t="s">
        <v>5724</v>
      </c>
      <c r="L598" t="s">
        <v>267</v>
      </c>
      <c r="M598">
        <v>550000</v>
      </c>
      <c r="N598">
        <v>0</v>
      </c>
      <c r="O598">
        <v>550000</v>
      </c>
      <c r="P598">
        <v>550000</v>
      </c>
      <c r="Q598" t="s">
        <v>9199</v>
      </c>
      <c r="R598" t="s">
        <v>5763</v>
      </c>
      <c r="S598" t="s">
        <v>5731</v>
      </c>
      <c r="T598" t="s">
        <v>5731</v>
      </c>
      <c r="U598" t="s">
        <v>5731</v>
      </c>
      <c r="V598" t="s">
        <v>5731</v>
      </c>
      <c r="W598" t="s">
        <v>5731</v>
      </c>
      <c r="X598" t="str">
        <f t="shared" si="9"/>
        <v>Inversión</v>
      </c>
      <c r="Y598" t="s">
        <v>5732</v>
      </c>
    </row>
    <row r="599" spans="1:25" x14ac:dyDescent="0.25">
      <c r="A599" t="s">
        <v>5763</v>
      </c>
      <c r="B599" t="s">
        <v>8996</v>
      </c>
      <c r="C599" t="s">
        <v>9200</v>
      </c>
      <c r="D599" t="s">
        <v>5720</v>
      </c>
      <c r="E599" t="s">
        <v>5737</v>
      </c>
      <c r="F599" t="s">
        <v>5733</v>
      </c>
      <c r="G599" t="s">
        <v>9114</v>
      </c>
      <c r="H599" t="s">
        <v>461</v>
      </c>
      <c r="I599" t="s">
        <v>644</v>
      </c>
      <c r="J599" t="s">
        <v>273</v>
      </c>
      <c r="K599" t="s">
        <v>5734</v>
      </c>
      <c r="L599" t="s">
        <v>267</v>
      </c>
      <c r="M599">
        <v>28003890</v>
      </c>
      <c r="N599">
        <v>0</v>
      </c>
      <c r="O599">
        <v>28003890</v>
      </c>
      <c r="P599">
        <v>28003890</v>
      </c>
      <c r="Q599" t="s">
        <v>9201</v>
      </c>
      <c r="R599" t="s">
        <v>5770</v>
      </c>
      <c r="S599" t="s">
        <v>5731</v>
      </c>
      <c r="T599" t="s">
        <v>5731</v>
      </c>
      <c r="U599" t="s">
        <v>5731</v>
      </c>
      <c r="V599" t="s">
        <v>5731</v>
      </c>
      <c r="W599" t="s">
        <v>5731</v>
      </c>
      <c r="X599" t="str">
        <f t="shared" si="9"/>
        <v>Inversión</v>
      </c>
      <c r="Y599" t="s">
        <v>5735</v>
      </c>
    </row>
    <row r="600" spans="1:25" x14ac:dyDescent="0.25">
      <c r="A600" t="s">
        <v>9202</v>
      </c>
      <c r="B600" t="s">
        <v>5800</v>
      </c>
      <c r="C600" t="s">
        <v>5812</v>
      </c>
      <c r="D600" t="s">
        <v>5720</v>
      </c>
      <c r="E600" t="s">
        <v>5721</v>
      </c>
      <c r="F600" t="s">
        <v>5722</v>
      </c>
      <c r="G600" t="s">
        <v>9203</v>
      </c>
      <c r="H600" t="s">
        <v>448</v>
      </c>
      <c r="I600" t="s">
        <v>663</v>
      </c>
      <c r="J600" t="s">
        <v>266</v>
      </c>
      <c r="K600" t="s">
        <v>5724</v>
      </c>
      <c r="L600" t="s">
        <v>267</v>
      </c>
      <c r="M600">
        <v>20000000</v>
      </c>
      <c r="N600">
        <v>-4500000</v>
      </c>
      <c r="O600">
        <v>15500000</v>
      </c>
      <c r="P600">
        <v>0</v>
      </c>
      <c r="Q600" t="s">
        <v>9204</v>
      </c>
      <c r="R600" t="s">
        <v>9202</v>
      </c>
      <c r="S600" t="s">
        <v>9068</v>
      </c>
      <c r="T600" t="s">
        <v>5717</v>
      </c>
      <c r="U600" t="s">
        <v>6587</v>
      </c>
      <c r="V600" t="s">
        <v>9205</v>
      </c>
      <c r="W600" t="s">
        <v>5731</v>
      </c>
      <c r="X600" t="str">
        <f t="shared" si="9"/>
        <v>Inversión</v>
      </c>
      <c r="Y600" t="s">
        <v>5732</v>
      </c>
    </row>
    <row r="601" spans="1:25" x14ac:dyDescent="0.25">
      <c r="A601" t="s">
        <v>9061</v>
      </c>
      <c r="B601" t="s">
        <v>7149</v>
      </c>
      <c r="C601" t="s">
        <v>9206</v>
      </c>
      <c r="D601" t="s">
        <v>5720</v>
      </c>
      <c r="E601" t="s">
        <v>5721</v>
      </c>
      <c r="F601" t="s">
        <v>5733</v>
      </c>
      <c r="G601" t="s">
        <v>9203</v>
      </c>
      <c r="H601" t="s">
        <v>461</v>
      </c>
      <c r="I601" t="s">
        <v>644</v>
      </c>
      <c r="J601" t="s">
        <v>266</v>
      </c>
      <c r="K601" t="s">
        <v>5724</v>
      </c>
      <c r="L601" t="s">
        <v>267</v>
      </c>
      <c r="M601">
        <v>278765160</v>
      </c>
      <c r="N601">
        <v>0</v>
      </c>
      <c r="O601">
        <v>278765160</v>
      </c>
      <c r="P601">
        <v>0</v>
      </c>
      <c r="Q601" t="s">
        <v>9207</v>
      </c>
      <c r="R601" t="s">
        <v>9061</v>
      </c>
      <c r="S601" t="s">
        <v>9208</v>
      </c>
      <c r="T601" t="s">
        <v>9209</v>
      </c>
      <c r="U601" t="s">
        <v>9210</v>
      </c>
      <c r="V601" t="s">
        <v>9211</v>
      </c>
      <c r="W601" t="s">
        <v>5731</v>
      </c>
      <c r="X601" t="str">
        <f t="shared" si="9"/>
        <v>Inversión</v>
      </c>
      <c r="Y601" t="s">
        <v>5735</v>
      </c>
    </row>
    <row r="602" spans="1:25" x14ac:dyDescent="0.25">
      <c r="A602" t="s">
        <v>9068</v>
      </c>
      <c r="B602" t="s">
        <v>7149</v>
      </c>
      <c r="C602" t="s">
        <v>9212</v>
      </c>
      <c r="D602" t="s">
        <v>5720</v>
      </c>
      <c r="E602" t="s">
        <v>5721</v>
      </c>
      <c r="F602" t="s">
        <v>5733</v>
      </c>
      <c r="G602" t="s">
        <v>9203</v>
      </c>
      <c r="H602" t="s">
        <v>461</v>
      </c>
      <c r="I602" t="s">
        <v>644</v>
      </c>
      <c r="J602" t="s">
        <v>266</v>
      </c>
      <c r="K602" t="s">
        <v>5724</v>
      </c>
      <c r="L602" t="s">
        <v>267</v>
      </c>
      <c r="M602">
        <v>35082226</v>
      </c>
      <c r="N602">
        <v>1665719</v>
      </c>
      <c r="O602">
        <v>36747945</v>
      </c>
      <c r="P602">
        <v>24288268</v>
      </c>
      <c r="Q602" t="s">
        <v>9213</v>
      </c>
      <c r="R602" t="s">
        <v>9068</v>
      </c>
      <c r="S602" t="s">
        <v>9214</v>
      </c>
      <c r="T602" t="s">
        <v>9215</v>
      </c>
      <c r="U602" t="s">
        <v>9216</v>
      </c>
      <c r="V602" t="s">
        <v>9217</v>
      </c>
      <c r="W602" t="s">
        <v>5731</v>
      </c>
      <c r="X602" t="str">
        <f t="shared" si="9"/>
        <v>Inversión</v>
      </c>
      <c r="Y602" t="s">
        <v>5735</v>
      </c>
    </row>
    <row r="603" spans="1:25" x14ac:dyDescent="0.25">
      <c r="A603" t="s">
        <v>9075</v>
      </c>
      <c r="B603" t="s">
        <v>7149</v>
      </c>
      <c r="C603" t="s">
        <v>9218</v>
      </c>
      <c r="D603" t="s">
        <v>5720</v>
      </c>
      <c r="E603" t="s">
        <v>5721</v>
      </c>
      <c r="F603" t="s">
        <v>6619</v>
      </c>
      <c r="G603" t="s">
        <v>9203</v>
      </c>
      <c r="H603" t="s">
        <v>455</v>
      </c>
      <c r="I603" t="s">
        <v>643</v>
      </c>
      <c r="J603" t="s">
        <v>273</v>
      </c>
      <c r="K603" t="s">
        <v>5734</v>
      </c>
      <c r="L603" t="s">
        <v>267</v>
      </c>
      <c r="M603">
        <v>20000000</v>
      </c>
      <c r="N603">
        <v>0</v>
      </c>
      <c r="O603">
        <v>20000000</v>
      </c>
      <c r="P603">
        <v>0</v>
      </c>
      <c r="Q603" t="s">
        <v>9219</v>
      </c>
      <c r="R603" t="s">
        <v>9075</v>
      </c>
      <c r="S603" t="s">
        <v>9220</v>
      </c>
      <c r="T603" t="s">
        <v>5731</v>
      </c>
      <c r="U603" t="s">
        <v>5731</v>
      </c>
      <c r="V603" t="s">
        <v>5731</v>
      </c>
      <c r="W603" t="s">
        <v>5731</v>
      </c>
      <c r="X603" t="str">
        <f t="shared" si="9"/>
        <v>Inversión</v>
      </c>
      <c r="Y603" t="s">
        <v>6626</v>
      </c>
    </row>
    <row r="604" spans="1:25" x14ac:dyDescent="0.25">
      <c r="A604" t="s">
        <v>5844</v>
      </c>
      <c r="B604" t="s">
        <v>7149</v>
      </c>
      <c r="C604" t="s">
        <v>9221</v>
      </c>
      <c r="D604" t="s">
        <v>5720</v>
      </c>
      <c r="E604" t="s">
        <v>5737</v>
      </c>
      <c r="F604" t="s">
        <v>6619</v>
      </c>
      <c r="G604" t="s">
        <v>9203</v>
      </c>
      <c r="H604" t="s">
        <v>455</v>
      </c>
      <c r="I604" t="s">
        <v>643</v>
      </c>
      <c r="J604" t="s">
        <v>273</v>
      </c>
      <c r="K604" t="s">
        <v>5734</v>
      </c>
      <c r="L604" t="s">
        <v>267</v>
      </c>
      <c r="M604">
        <v>3500000</v>
      </c>
      <c r="N604">
        <v>0</v>
      </c>
      <c r="O604">
        <v>3500000</v>
      </c>
      <c r="P604">
        <v>3500000</v>
      </c>
      <c r="Q604" t="s">
        <v>9222</v>
      </c>
      <c r="R604" t="s">
        <v>5844</v>
      </c>
      <c r="S604" t="s">
        <v>5731</v>
      </c>
      <c r="T604" t="s">
        <v>5731</v>
      </c>
      <c r="U604" t="s">
        <v>5731</v>
      </c>
      <c r="V604" t="s">
        <v>5731</v>
      </c>
      <c r="W604" t="s">
        <v>5731</v>
      </c>
      <c r="X604" t="str">
        <f t="shared" si="9"/>
        <v>Inversión</v>
      </c>
      <c r="Y604" t="s">
        <v>6626</v>
      </c>
    </row>
    <row r="605" spans="1:25" x14ac:dyDescent="0.25">
      <c r="A605" t="s">
        <v>9223</v>
      </c>
      <c r="B605" t="s">
        <v>7802</v>
      </c>
      <c r="C605" t="s">
        <v>9224</v>
      </c>
      <c r="D605" t="s">
        <v>5720</v>
      </c>
      <c r="E605" t="s">
        <v>5737</v>
      </c>
      <c r="F605" t="s">
        <v>5802</v>
      </c>
      <c r="G605" t="s">
        <v>9203</v>
      </c>
      <c r="H605" t="s">
        <v>453</v>
      </c>
      <c r="I605" t="s">
        <v>664</v>
      </c>
      <c r="J605" t="s">
        <v>273</v>
      </c>
      <c r="K605" t="s">
        <v>5734</v>
      </c>
      <c r="L605" t="s">
        <v>267</v>
      </c>
      <c r="M605">
        <v>1866167</v>
      </c>
      <c r="N605">
        <v>-1866167</v>
      </c>
      <c r="O605">
        <v>0</v>
      </c>
      <c r="P605">
        <v>0</v>
      </c>
      <c r="Q605" t="s">
        <v>9225</v>
      </c>
      <c r="R605" t="s">
        <v>9226</v>
      </c>
      <c r="S605" t="s">
        <v>9227</v>
      </c>
      <c r="T605" t="s">
        <v>5731</v>
      </c>
      <c r="U605" t="s">
        <v>5731</v>
      </c>
      <c r="V605" t="s">
        <v>5731</v>
      </c>
      <c r="W605" t="s">
        <v>5731</v>
      </c>
      <c r="X605" t="str">
        <f t="shared" si="9"/>
        <v>Inversión</v>
      </c>
      <c r="Y605" t="s">
        <v>5810</v>
      </c>
    </row>
    <row r="606" spans="1:25" x14ac:dyDescent="0.25">
      <c r="A606" t="s">
        <v>9223</v>
      </c>
      <c r="B606" t="s">
        <v>7802</v>
      </c>
      <c r="C606" t="s">
        <v>9224</v>
      </c>
      <c r="D606" t="s">
        <v>5720</v>
      </c>
      <c r="E606" t="s">
        <v>5737</v>
      </c>
      <c r="F606" t="s">
        <v>5802</v>
      </c>
      <c r="G606" t="s">
        <v>9203</v>
      </c>
      <c r="H606" t="s">
        <v>463</v>
      </c>
      <c r="I606" t="s">
        <v>639</v>
      </c>
      <c r="J606" t="s">
        <v>273</v>
      </c>
      <c r="K606" t="s">
        <v>5734</v>
      </c>
      <c r="L606" t="s">
        <v>267</v>
      </c>
      <c r="M606">
        <v>0</v>
      </c>
      <c r="N606">
        <v>1866167</v>
      </c>
      <c r="O606">
        <v>1866167</v>
      </c>
      <c r="P606">
        <v>1866167</v>
      </c>
      <c r="Q606" t="s">
        <v>9225</v>
      </c>
      <c r="R606" t="s">
        <v>9226</v>
      </c>
      <c r="S606" t="s">
        <v>9227</v>
      </c>
      <c r="T606" t="s">
        <v>5731</v>
      </c>
      <c r="U606" t="s">
        <v>5731</v>
      </c>
      <c r="V606" t="s">
        <v>5731</v>
      </c>
      <c r="W606" t="s">
        <v>5731</v>
      </c>
      <c r="X606" t="str">
        <f t="shared" si="9"/>
        <v>Inversión</v>
      </c>
      <c r="Y606" t="s">
        <v>5810</v>
      </c>
    </row>
    <row r="607" spans="1:25" x14ac:dyDescent="0.25">
      <c r="A607" t="s">
        <v>9228</v>
      </c>
      <c r="B607" t="s">
        <v>9229</v>
      </c>
      <c r="C607" t="s">
        <v>9230</v>
      </c>
      <c r="D607" t="s">
        <v>5720</v>
      </c>
      <c r="E607" t="s">
        <v>5721</v>
      </c>
      <c r="F607" t="s">
        <v>5733</v>
      </c>
      <c r="G607" t="s">
        <v>9203</v>
      </c>
      <c r="H607" t="s">
        <v>461</v>
      </c>
      <c r="I607" t="s">
        <v>644</v>
      </c>
      <c r="J607" t="s">
        <v>273</v>
      </c>
      <c r="K607" t="s">
        <v>5734</v>
      </c>
      <c r="L607" t="s">
        <v>267</v>
      </c>
      <c r="M607">
        <v>11896600</v>
      </c>
      <c r="N607">
        <v>-1587600</v>
      </c>
      <c r="O607">
        <v>10309000</v>
      </c>
      <c r="P607">
        <v>0</v>
      </c>
      <c r="Q607" t="s">
        <v>9231</v>
      </c>
      <c r="R607" t="s">
        <v>9232</v>
      </c>
      <c r="S607" t="s">
        <v>5836</v>
      </c>
      <c r="T607" t="s">
        <v>5731</v>
      </c>
      <c r="U607" t="s">
        <v>5731</v>
      </c>
      <c r="V607" t="s">
        <v>5731</v>
      </c>
      <c r="W607" t="s">
        <v>5731</v>
      </c>
      <c r="X607" t="str">
        <f t="shared" si="9"/>
        <v>Inversión</v>
      </c>
      <c r="Y607" t="s">
        <v>5735</v>
      </c>
    </row>
    <row r="608" spans="1:25" x14ac:dyDescent="0.25">
      <c r="A608" t="s">
        <v>9233</v>
      </c>
      <c r="B608" t="s">
        <v>8593</v>
      </c>
      <c r="C608" t="s">
        <v>9234</v>
      </c>
      <c r="D608" t="s">
        <v>5720</v>
      </c>
      <c r="E608" t="s">
        <v>5737</v>
      </c>
      <c r="F608" t="s">
        <v>5722</v>
      </c>
      <c r="G608" t="s">
        <v>9203</v>
      </c>
      <c r="H608" t="s">
        <v>453</v>
      </c>
      <c r="I608" t="s">
        <v>664</v>
      </c>
      <c r="J608" t="s">
        <v>266</v>
      </c>
      <c r="K608" t="s">
        <v>5724</v>
      </c>
      <c r="L608" t="s">
        <v>267</v>
      </c>
      <c r="M608">
        <v>8000000</v>
      </c>
      <c r="N608">
        <v>0</v>
      </c>
      <c r="O608">
        <v>8000000</v>
      </c>
      <c r="P608">
        <v>8000000</v>
      </c>
      <c r="Q608" t="s">
        <v>9235</v>
      </c>
      <c r="R608" t="s">
        <v>9146</v>
      </c>
      <c r="S608" t="s">
        <v>5731</v>
      </c>
      <c r="T608" t="s">
        <v>5731</v>
      </c>
      <c r="U608" t="s">
        <v>5731</v>
      </c>
      <c r="V608" t="s">
        <v>5731</v>
      </c>
      <c r="W608" t="s">
        <v>5731</v>
      </c>
      <c r="X608" t="str">
        <f t="shared" si="9"/>
        <v>Inversión</v>
      </c>
      <c r="Y608" t="s">
        <v>5732</v>
      </c>
    </row>
    <row r="609" spans="1:25" x14ac:dyDescent="0.25">
      <c r="A609" t="s">
        <v>9236</v>
      </c>
      <c r="B609" t="s">
        <v>6692</v>
      </c>
      <c r="C609" t="s">
        <v>9237</v>
      </c>
      <c r="D609" t="s">
        <v>5720</v>
      </c>
      <c r="E609" t="s">
        <v>5721</v>
      </c>
      <c r="F609" t="s">
        <v>5733</v>
      </c>
      <c r="G609" t="s">
        <v>9238</v>
      </c>
      <c r="H609" t="s">
        <v>461</v>
      </c>
      <c r="I609" t="s">
        <v>644</v>
      </c>
      <c r="J609" t="s">
        <v>266</v>
      </c>
      <c r="K609" t="s">
        <v>5724</v>
      </c>
      <c r="L609" t="s">
        <v>267</v>
      </c>
      <c r="M609">
        <v>17415957</v>
      </c>
      <c r="N609">
        <v>0</v>
      </c>
      <c r="O609">
        <v>17415957</v>
      </c>
      <c r="P609">
        <v>12406567</v>
      </c>
      <c r="Q609" t="s">
        <v>9239</v>
      </c>
      <c r="R609" t="s">
        <v>5835</v>
      </c>
      <c r="S609" t="s">
        <v>9240</v>
      </c>
      <c r="T609" t="s">
        <v>9241</v>
      </c>
      <c r="U609" t="s">
        <v>9242</v>
      </c>
      <c r="V609" t="s">
        <v>9243</v>
      </c>
      <c r="W609" t="s">
        <v>9244</v>
      </c>
      <c r="X609" t="str">
        <f t="shared" si="9"/>
        <v>Inversión</v>
      </c>
      <c r="Y609" t="s">
        <v>5735</v>
      </c>
    </row>
    <row r="610" spans="1:25" x14ac:dyDescent="0.25">
      <c r="A610" t="s">
        <v>9061</v>
      </c>
      <c r="B610" t="s">
        <v>7157</v>
      </c>
      <c r="C610" t="s">
        <v>9245</v>
      </c>
      <c r="D610" t="s">
        <v>5720</v>
      </c>
      <c r="E610" t="s">
        <v>5721</v>
      </c>
      <c r="F610" t="s">
        <v>5733</v>
      </c>
      <c r="G610" t="s">
        <v>9238</v>
      </c>
      <c r="H610" t="s">
        <v>461</v>
      </c>
      <c r="I610" t="s">
        <v>644</v>
      </c>
      <c r="J610" t="s">
        <v>266</v>
      </c>
      <c r="K610" t="s">
        <v>5724</v>
      </c>
      <c r="L610" t="s">
        <v>267</v>
      </c>
      <c r="M610">
        <v>65619372</v>
      </c>
      <c r="N610">
        <v>0</v>
      </c>
      <c r="O610">
        <v>65619372</v>
      </c>
      <c r="P610">
        <v>0</v>
      </c>
      <c r="Q610" t="s">
        <v>9246</v>
      </c>
      <c r="R610" t="s">
        <v>9068</v>
      </c>
      <c r="S610" t="s">
        <v>9247</v>
      </c>
      <c r="T610" t="s">
        <v>9248</v>
      </c>
      <c r="U610" t="s">
        <v>9249</v>
      </c>
      <c r="V610" t="s">
        <v>9250</v>
      </c>
      <c r="W610" t="s">
        <v>5731</v>
      </c>
      <c r="X610" t="str">
        <f t="shared" si="9"/>
        <v>Inversión</v>
      </c>
      <c r="Y610" t="s">
        <v>5735</v>
      </c>
    </row>
    <row r="611" spans="1:25" x14ac:dyDescent="0.25">
      <c r="A611" t="s">
        <v>9068</v>
      </c>
      <c r="B611" t="s">
        <v>7157</v>
      </c>
      <c r="C611" t="s">
        <v>9251</v>
      </c>
      <c r="D611" t="s">
        <v>5720</v>
      </c>
      <c r="E611" t="s">
        <v>5721</v>
      </c>
      <c r="F611" t="s">
        <v>5733</v>
      </c>
      <c r="G611" t="s">
        <v>9238</v>
      </c>
      <c r="H611" t="s">
        <v>461</v>
      </c>
      <c r="I611" t="s">
        <v>644</v>
      </c>
      <c r="J611" t="s">
        <v>266</v>
      </c>
      <c r="K611" t="s">
        <v>5724</v>
      </c>
      <c r="L611" t="s">
        <v>267</v>
      </c>
      <c r="M611">
        <v>74993568</v>
      </c>
      <c r="N611">
        <v>0</v>
      </c>
      <c r="O611">
        <v>74993568</v>
      </c>
      <c r="P611">
        <v>0</v>
      </c>
      <c r="Q611" t="s">
        <v>9246</v>
      </c>
      <c r="R611" t="s">
        <v>9075</v>
      </c>
      <c r="S611" t="s">
        <v>9252</v>
      </c>
      <c r="T611" t="s">
        <v>9253</v>
      </c>
      <c r="U611" t="s">
        <v>9254</v>
      </c>
      <c r="V611" t="s">
        <v>9255</v>
      </c>
      <c r="W611" t="s">
        <v>5731</v>
      </c>
      <c r="X611" t="str">
        <f t="shared" si="9"/>
        <v>Inversión</v>
      </c>
      <c r="Y611" t="s">
        <v>5735</v>
      </c>
    </row>
    <row r="612" spans="1:25" x14ac:dyDescent="0.25">
      <c r="A612" t="s">
        <v>9075</v>
      </c>
      <c r="B612" t="s">
        <v>7157</v>
      </c>
      <c r="C612" t="s">
        <v>9256</v>
      </c>
      <c r="D612" t="s">
        <v>5720</v>
      </c>
      <c r="E612" t="s">
        <v>5721</v>
      </c>
      <c r="F612" t="s">
        <v>5733</v>
      </c>
      <c r="G612" t="s">
        <v>9238</v>
      </c>
      <c r="H612" t="s">
        <v>461</v>
      </c>
      <c r="I612" t="s">
        <v>644</v>
      </c>
      <c r="J612" t="s">
        <v>266</v>
      </c>
      <c r="K612" t="s">
        <v>5724</v>
      </c>
      <c r="L612" t="s">
        <v>267</v>
      </c>
      <c r="M612">
        <v>37852500</v>
      </c>
      <c r="N612">
        <v>0</v>
      </c>
      <c r="O612">
        <v>37852500</v>
      </c>
      <c r="P612">
        <v>0</v>
      </c>
      <c r="Q612" t="s">
        <v>9257</v>
      </c>
      <c r="R612" t="s">
        <v>5844</v>
      </c>
      <c r="S612" t="s">
        <v>9154</v>
      </c>
      <c r="T612" t="s">
        <v>9258</v>
      </c>
      <c r="U612" t="s">
        <v>9259</v>
      </c>
      <c r="V612" t="s">
        <v>9260</v>
      </c>
      <c r="W612" t="s">
        <v>5731</v>
      </c>
      <c r="X612" t="str">
        <f t="shared" si="9"/>
        <v>Inversión</v>
      </c>
      <c r="Y612" t="s">
        <v>5735</v>
      </c>
    </row>
    <row r="613" spans="1:25" x14ac:dyDescent="0.25">
      <c r="A613" t="s">
        <v>5844</v>
      </c>
      <c r="B613" t="s">
        <v>7157</v>
      </c>
      <c r="C613" t="s">
        <v>9261</v>
      </c>
      <c r="D613" t="s">
        <v>5720</v>
      </c>
      <c r="E613" t="s">
        <v>5721</v>
      </c>
      <c r="F613" t="s">
        <v>5733</v>
      </c>
      <c r="G613" t="s">
        <v>9238</v>
      </c>
      <c r="H613" t="s">
        <v>461</v>
      </c>
      <c r="I613" t="s">
        <v>644</v>
      </c>
      <c r="J613" t="s">
        <v>266</v>
      </c>
      <c r="K613" t="s">
        <v>5724</v>
      </c>
      <c r="L613" t="s">
        <v>267</v>
      </c>
      <c r="M613">
        <v>91867122</v>
      </c>
      <c r="N613">
        <v>0</v>
      </c>
      <c r="O613">
        <v>91867122</v>
      </c>
      <c r="P613">
        <v>0</v>
      </c>
      <c r="Q613" t="s">
        <v>9262</v>
      </c>
      <c r="R613" t="s">
        <v>9058</v>
      </c>
      <c r="S613" t="s">
        <v>9263</v>
      </c>
      <c r="T613" t="s">
        <v>9264</v>
      </c>
      <c r="U613" t="s">
        <v>9265</v>
      </c>
      <c r="V613" t="s">
        <v>9266</v>
      </c>
      <c r="W613" t="s">
        <v>5731</v>
      </c>
      <c r="X613" t="str">
        <f t="shared" si="9"/>
        <v>Inversión</v>
      </c>
      <c r="Y613" t="s">
        <v>5735</v>
      </c>
    </row>
    <row r="614" spans="1:25" x14ac:dyDescent="0.25">
      <c r="A614" t="s">
        <v>9058</v>
      </c>
      <c r="B614" t="s">
        <v>7157</v>
      </c>
      <c r="C614" t="s">
        <v>9267</v>
      </c>
      <c r="D614" t="s">
        <v>5720</v>
      </c>
      <c r="E614" t="s">
        <v>5721</v>
      </c>
      <c r="F614" t="s">
        <v>5733</v>
      </c>
      <c r="G614" t="s">
        <v>9238</v>
      </c>
      <c r="H614" t="s">
        <v>461</v>
      </c>
      <c r="I614" t="s">
        <v>644</v>
      </c>
      <c r="J614" t="s">
        <v>266</v>
      </c>
      <c r="K614" t="s">
        <v>5724</v>
      </c>
      <c r="L614" t="s">
        <v>267</v>
      </c>
      <c r="M614">
        <v>29741250</v>
      </c>
      <c r="N614">
        <v>0</v>
      </c>
      <c r="O614">
        <v>29741250</v>
      </c>
      <c r="P614">
        <v>0</v>
      </c>
      <c r="Q614" t="s">
        <v>9268</v>
      </c>
      <c r="R614" t="s">
        <v>9057</v>
      </c>
      <c r="S614" t="s">
        <v>7504</v>
      </c>
      <c r="T614" t="s">
        <v>9269</v>
      </c>
      <c r="U614" t="s">
        <v>9270</v>
      </c>
      <c r="V614" t="s">
        <v>9271</v>
      </c>
      <c r="W614" t="s">
        <v>5731</v>
      </c>
      <c r="X614" t="str">
        <f t="shared" si="9"/>
        <v>Inversión</v>
      </c>
      <c r="Y614" t="s">
        <v>5735</v>
      </c>
    </row>
    <row r="615" spans="1:25" x14ac:dyDescent="0.25">
      <c r="A615" t="s">
        <v>9272</v>
      </c>
      <c r="B615" t="s">
        <v>8158</v>
      </c>
      <c r="C615" t="s">
        <v>9273</v>
      </c>
      <c r="D615" t="s">
        <v>5720</v>
      </c>
      <c r="E615" t="s">
        <v>5721</v>
      </c>
      <c r="F615" t="s">
        <v>6619</v>
      </c>
      <c r="G615" t="s">
        <v>9238</v>
      </c>
      <c r="H615" t="s">
        <v>455</v>
      </c>
      <c r="I615" t="s">
        <v>643</v>
      </c>
      <c r="J615" t="s">
        <v>273</v>
      </c>
      <c r="K615" t="s">
        <v>5734</v>
      </c>
      <c r="L615" t="s">
        <v>267</v>
      </c>
      <c r="M615">
        <v>20021298</v>
      </c>
      <c r="N615">
        <v>0</v>
      </c>
      <c r="O615">
        <v>20021298</v>
      </c>
      <c r="P615">
        <v>0</v>
      </c>
      <c r="Q615" t="s">
        <v>9274</v>
      </c>
      <c r="R615" t="s">
        <v>9154</v>
      </c>
      <c r="S615" t="s">
        <v>5848</v>
      </c>
      <c r="T615" t="s">
        <v>5995</v>
      </c>
      <c r="U615" t="s">
        <v>9275</v>
      </c>
      <c r="V615" t="s">
        <v>9276</v>
      </c>
      <c r="W615" t="s">
        <v>5731</v>
      </c>
      <c r="X615" t="str">
        <f t="shared" si="9"/>
        <v>Inversión</v>
      </c>
      <c r="Y615" t="s">
        <v>6626</v>
      </c>
    </row>
    <row r="616" spans="1:25" x14ac:dyDescent="0.25">
      <c r="A616" t="s">
        <v>9154</v>
      </c>
      <c r="B616" t="s">
        <v>8158</v>
      </c>
      <c r="C616" t="s">
        <v>9277</v>
      </c>
      <c r="D616" t="s">
        <v>5720</v>
      </c>
      <c r="E616" t="s">
        <v>5721</v>
      </c>
      <c r="F616" t="s">
        <v>6619</v>
      </c>
      <c r="G616" t="s">
        <v>9238</v>
      </c>
      <c r="H616" t="s">
        <v>455</v>
      </c>
      <c r="I616" t="s">
        <v>643</v>
      </c>
      <c r="J616" t="s">
        <v>273</v>
      </c>
      <c r="K616" t="s">
        <v>5734</v>
      </c>
      <c r="L616" t="s">
        <v>267</v>
      </c>
      <c r="M616">
        <v>19978702</v>
      </c>
      <c r="N616">
        <v>0</v>
      </c>
      <c r="O616">
        <v>19978702</v>
      </c>
      <c r="P616">
        <v>0</v>
      </c>
      <c r="Q616" t="s">
        <v>9278</v>
      </c>
      <c r="R616" t="s">
        <v>9232</v>
      </c>
      <c r="S616" t="s">
        <v>5794</v>
      </c>
      <c r="T616" t="s">
        <v>6429</v>
      </c>
      <c r="U616" t="s">
        <v>9279</v>
      </c>
      <c r="V616" t="s">
        <v>9280</v>
      </c>
      <c r="W616" t="s">
        <v>5731</v>
      </c>
      <c r="X616" t="str">
        <f t="shared" si="9"/>
        <v>Inversión</v>
      </c>
      <c r="Y616" t="s">
        <v>6626</v>
      </c>
    </row>
    <row r="617" spans="1:25" x14ac:dyDescent="0.25">
      <c r="A617" t="s">
        <v>9146</v>
      </c>
      <c r="B617" t="s">
        <v>8711</v>
      </c>
      <c r="C617" t="s">
        <v>9281</v>
      </c>
      <c r="D617" t="s">
        <v>5720</v>
      </c>
      <c r="E617" t="s">
        <v>5737</v>
      </c>
      <c r="F617" t="s">
        <v>5733</v>
      </c>
      <c r="G617" t="s">
        <v>9238</v>
      </c>
      <c r="H617" t="s">
        <v>461</v>
      </c>
      <c r="I617" t="s">
        <v>644</v>
      </c>
      <c r="J617" t="s">
        <v>266</v>
      </c>
      <c r="K617" t="s">
        <v>5724</v>
      </c>
      <c r="L617" t="s">
        <v>267</v>
      </c>
      <c r="M617">
        <v>34546758</v>
      </c>
      <c r="N617">
        <v>0</v>
      </c>
      <c r="O617">
        <v>34546758</v>
      </c>
      <c r="P617">
        <v>34546758</v>
      </c>
      <c r="Q617" t="s">
        <v>9282</v>
      </c>
      <c r="R617" t="s">
        <v>9269</v>
      </c>
      <c r="S617" t="s">
        <v>5731</v>
      </c>
      <c r="T617" t="s">
        <v>5731</v>
      </c>
      <c r="U617" t="s">
        <v>5731</v>
      </c>
      <c r="V617" t="s">
        <v>5731</v>
      </c>
      <c r="W617" t="s">
        <v>5731</v>
      </c>
      <c r="X617" t="str">
        <f t="shared" si="9"/>
        <v>Inversión</v>
      </c>
      <c r="Y617" t="s">
        <v>5735</v>
      </c>
    </row>
    <row r="618" spans="1:25" x14ac:dyDescent="0.25">
      <c r="A618" t="s">
        <v>7381</v>
      </c>
      <c r="B618" t="s">
        <v>9283</v>
      </c>
      <c r="C618" t="s">
        <v>9284</v>
      </c>
      <c r="D618" t="s">
        <v>5720</v>
      </c>
      <c r="E618" t="s">
        <v>5737</v>
      </c>
      <c r="F618" t="s">
        <v>5733</v>
      </c>
      <c r="G618" t="s">
        <v>9238</v>
      </c>
      <c r="H618" t="s">
        <v>461</v>
      </c>
      <c r="I618" t="s">
        <v>644</v>
      </c>
      <c r="J618" t="s">
        <v>273</v>
      </c>
      <c r="K618" t="s">
        <v>5734</v>
      </c>
      <c r="L618" t="s">
        <v>267</v>
      </c>
      <c r="M618">
        <v>9374196</v>
      </c>
      <c r="N618">
        <v>0</v>
      </c>
      <c r="O618">
        <v>9374196</v>
      </c>
      <c r="P618">
        <v>9374196</v>
      </c>
      <c r="Q618" t="s">
        <v>9285</v>
      </c>
      <c r="R618" t="s">
        <v>9122</v>
      </c>
      <c r="S618" t="s">
        <v>5731</v>
      </c>
      <c r="T618" t="s">
        <v>5731</v>
      </c>
      <c r="U618" t="s">
        <v>5731</v>
      </c>
      <c r="V618" t="s">
        <v>5731</v>
      </c>
      <c r="W618" t="s">
        <v>5731</v>
      </c>
      <c r="X618" t="str">
        <f t="shared" si="9"/>
        <v>Inversión</v>
      </c>
      <c r="Y618" t="s">
        <v>5735</v>
      </c>
    </row>
    <row r="619" spans="1:25" x14ac:dyDescent="0.25">
      <c r="A619" t="s">
        <v>9122</v>
      </c>
      <c r="B619" t="s">
        <v>9283</v>
      </c>
      <c r="C619" t="s">
        <v>9286</v>
      </c>
      <c r="D619" t="s">
        <v>5720</v>
      </c>
      <c r="E619" t="s">
        <v>5737</v>
      </c>
      <c r="F619" t="s">
        <v>5733</v>
      </c>
      <c r="G619" t="s">
        <v>9238</v>
      </c>
      <c r="H619" t="s">
        <v>461</v>
      </c>
      <c r="I619" t="s">
        <v>644</v>
      </c>
      <c r="J619" t="s">
        <v>273</v>
      </c>
      <c r="K619" t="s">
        <v>5734</v>
      </c>
      <c r="L619" t="s">
        <v>267</v>
      </c>
      <c r="M619">
        <v>8014449</v>
      </c>
      <c r="N619">
        <v>0</v>
      </c>
      <c r="O619">
        <v>8014449</v>
      </c>
      <c r="P619">
        <v>8014449</v>
      </c>
      <c r="Q619" t="s">
        <v>9287</v>
      </c>
      <c r="R619" t="s">
        <v>9090</v>
      </c>
      <c r="S619" t="s">
        <v>5731</v>
      </c>
      <c r="T619" t="s">
        <v>5731</v>
      </c>
      <c r="U619" t="s">
        <v>5731</v>
      </c>
      <c r="V619" t="s">
        <v>5731</v>
      </c>
      <c r="W619" t="s">
        <v>5731</v>
      </c>
      <c r="X619" t="str">
        <f t="shared" si="9"/>
        <v>Inversión</v>
      </c>
      <c r="Y619" t="s">
        <v>5735</v>
      </c>
    </row>
    <row r="620" spans="1:25" x14ac:dyDescent="0.25">
      <c r="A620" t="s">
        <v>9090</v>
      </c>
      <c r="B620" t="s">
        <v>9283</v>
      </c>
      <c r="C620" t="s">
        <v>9288</v>
      </c>
      <c r="D620" t="s">
        <v>5720</v>
      </c>
      <c r="E620" t="s">
        <v>5737</v>
      </c>
      <c r="F620" t="s">
        <v>5733</v>
      </c>
      <c r="G620" t="s">
        <v>9238</v>
      </c>
      <c r="H620" t="s">
        <v>461</v>
      </c>
      <c r="I620" t="s">
        <v>644</v>
      </c>
      <c r="J620" t="s">
        <v>273</v>
      </c>
      <c r="K620" t="s">
        <v>5734</v>
      </c>
      <c r="L620" t="s">
        <v>267</v>
      </c>
      <c r="M620">
        <v>12589290</v>
      </c>
      <c r="N620">
        <v>0</v>
      </c>
      <c r="O620">
        <v>12589290</v>
      </c>
      <c r="P620">
        <v>12589290</v>
      </c>
      <c r="Q620" t="s">
        <v>9289</v>
      </c>
      <c r="R620" t="s">
        <v>9227</v>
      </c>
      <c r="S620" t="s">
        <v>5731</v>
      </c>
      <c r="T620" t="s">
        <v>5731</v>
      </c>
      <c r="U620" t="s">
        <v>5731</v>
      </c>
      <c r="V620" t="s">
        <v>5731</v>
      </c>
      <c r="W620" t="s">
        <v>5731</v>
      </c>
      <c r="X620" t="str">
        <f t="shared" si="9"/>
        <v>Inversión</v>
      </c>
      <c r="Y620" t="s">
        <v>5735</v>
      </c>
    </row>
    <row r="621" spans="1:25" x14ac:dyDescent="0.25">
      <c r="A621" t="s">
        <v>9227</v>
      </c>
      <c r="B621" t="s">
        <v>8907</v>
      </c>
      <c r="C621" t="s">
        <v>9290</v>
      </c>
      <c r="D621" t="s">
        <v>5720</v>
      </c>
      <c r="E621" t="s">
        <v>5721</v>
      </c>
      <c r="F621" t="s">
        <v>5733</v>
      </c>
      <c r="G621" t="s">
        <v>9238</v>
      </c>
      <c r="H621" t="s">
        <v>461</v>
      </c>
      <c r="I621" t="s">
        <v>644</v>
      </c>
      <c r="J621" t="s">
        <v>273</v>
      </c>
      <c r="K621" t="s">
        <v>5734</v>
      </c>
      <c r="L621" t="s">
        <v>267</v>
      </c>
      <c r="M621">
        <v>6804972</v>
      </c>
      <c r="N621">
        <v>0</v>
      </c>
      <c r="O621">
        <v>6804972</v>
      </c>
      <c r="P621">
        <v>0</v>
      </c>
      <c r="Q621" t="s">
        <v>9291</v>
      </c>
      <c r="R621" t="s">
        <v>9292</v>
      </c>
      <c r="S621" t="s">
        <v>6011</v>
      </c>
      <c r="T621" t="s">
        <v>5731</v>
      </c>
      <c r="U621" t="s">
        <v>5731</v>
      </c>
      <c r="V621" t="s">
        <v>5731</v>
      </c>
      <c r="W621" t="s">
        <v>5731</v>
      </c>
      <c r="X621" t="str">
        <f t="shared" si="9"/>
        <v>Inversión</v>
      </c>
      <c r="Y621" t="s">
        <v>5735</v>
      </c>
    </row>
    <row r="622" spans="1:25" x14ac:dyDescent="0.25">
      <c r="A622" t="s">
        <v>9292</v>
      </c>
      <c r="B622" t="s">
        <v>8907</v>
      </c>
      <c r="C622" t="s">
        <v>9293</v>
      </c>
      <c r="D622" t="s">
        <v>5720</v>
      </c>
      <c r="E622" t="s">
        <v>5721</v>
      </c>
      <c r="F622" t="s">
        <v>5733</v>
      </c>
      <c r="G622" t="s">
        <v>9238</v>
      </c>
      <c r="H622" t="s">
        <v>461</v>
      </c>
      <c r="I622" t="s">
        <v>644</v>
      </c>
      <c r="J622" t="s">
        <v>273</v>
      </c>
      <c r="K622" t="s">
        <v>5734</v>
      </c>
      <c r="L622" t="s">
        <v>267</v>
      </c>
      <c r="M622">
        <v>46870980</v>
      </c>
      <c r="N622">
        <v>0</v>
      </c>
      <c r="O622">
        <v>46870980</v>
      </c>
      <c r="P622">
        <v>9374196</v>
      </c>
      <c r="Q622" t="s">
        <v>9294</v>
      </c>
      <c r="R622" t="s">
        <v>9295</v>
      </c>
      <c r="S622" t="s">
        <v>9296</v>
      </c>
      <c r="T622" t="s">
        <v>5731</v>
      </c>
      <c r="U622" t="s">
        <v>5731</v>
      </c>
      <c r="V622" t="s">
        <v>5731</v>
      </c>
      <c r="W622" t="s">
        <v>5731</v>
      </c>
      <c r="X622" t="str">
        <f t="shared" si="9"/>
        <v>Inversión</v>
      </c>
      <c r="Y622" t="s">
        <v>5735</v>
      </c>
    </row>
    <row r="623" spans="1:25" x14ac:dyDescent="0.25">
      <c r="A623" t="s">
        <v>9295</v>
      </c>
      <c r="B623" t="s">
        <v>8907</v>
      </c>
      <c r="C623" t="s">
        <v>9297</v>
      </c>
      <c r="D623" t="s">
        <v>5720</v>
      </c>
      <c r="E623" t="s">
        <v>5721</v>
      </c>
      <c r="F623" t="s">
        <v>5733</v>
      </c>
      <c r="G623" t="s">
        <v>9238</v>
      </c>
      <c r="H623" t="s">
        <v>461</v>
      </c>
      <c r="I623" t="s">
        <v>644</v>
      </c>
      <c r="J623" t="s">
        <v>273</v>
      </c>
      <c r="K623" t="s">
        <v>5734</v>
      </c>
      <c r="L623" t="s">
        <v>267</v>
      </c>
      <c r="M623">
        <v>18025000</v>
      </c>
      <c r="N623">
        <v>0</v>
      </c>
      <c r="O623">
        <v>18025000</v>
      </c>
      <c r="P623">
        <v>3004167</v>
      </c>
      <c r="Q623" t="s">
        <v>9298</v>
      </c>
      <c r="R623" t="s">
        <v>9093</v>
      </c>
      <c r="S623" t="s">
        <v>6007</v>
      </c>
      <c r="T623" t="s">
        <v>5731</v>
      </c>
      <c r="U623" t="s">
        <v>5731</v>
      </c>
      <c r="V623" t="s">
        <v>5731</v>
      </c>
      <c r="W623" t="s">
        <v>5731</v>
      </c>
      <c r="X623" t="str">
        <f t="shared" si="9"/>
        <v>Inversión</v>
      </c>
      <c r="Y623" t="s">
        <v>5735</v>
      </c>
    </row>
    <row r="624" spans="1:25" x14ac:dyDescent="0.25">
      <c r="A624" t="s">
        <v>9093</v>
      </c>
      <c r="B624" t="s">
        <v>8907</v>
      </c>
      <c r="C624" t="s">
        <v>9299</v>
      </c>
      <c r="D624" t="s">
        <v>5720</v>
      </c>
      <c r="E624" t="s">
        <v>5737</v>
      </c>
      <c r="F624" t="s">
        <v>5733</v>
      </c>
      <c r="G624" t="s">
        <v>9238</v>
      </c>
      <c r="H624" t="s">
        <v>461</v>
      </c>
      <c r="I624" t="s">
        <v>644</v>
      </c>
      <c r="J624" t="s">
        <v>273</v>
      </c>
      <c r="K624" t="s">
        <v>5734</v>
      </c>
      <c r="L624" t="s">
        <v>267</v>
      </c>
      <c r="M624">
        <v>13357415</v>
      </c>
      <c r="N624">
        <v>0</v>
      </c>
      <c r="O624">
        <v>13357415</v>
      </c>
      <c r="P624">
        <v>13357415</v>
      </c>
      <c r="Q624" t="s">
        <v>9300</v>
      </c>
      <c r="R624" t="s">
        <v>9103</v>
      </c>
      <c r="S624" t="s">
        <v>5731</v>
      </c>
      <c r="T624" t="s">
        <v>5731</v>
      </c>
      <c r="U624" t="s">
        <v>5731</v>
      </c>
      <c r="V624" t="s">
        <v>5731</v>
      </c>
      <c r="W624" t="s">
        <v>5731</v>
      </c>
      <c r="X624" t="str">
        <f t="shared" si="9"/>
        <v>Inversión</v>
      </c>
      <c r="Y624" t="s">
        <v>5735</v>
      </c>
    </row>
    <row r="625" spans="1:25" x14ac:dyDescent="0.25">
      <c r="A625" t="s">
        <v>9103</v>
      </c>
      <c r="B625" t="s">
        <v>8907</v>
      </c>
      <c r="C625" t="s">
        <v>9301</v>
      </c>
      <c r="D625" t="s">
        <v>5720</v>
      </c>
      <c r="E625" t="s">
        <v>5721</v>
      </c>
      <c r="F625" t="s">
        <v>5733</v>
      </c>
      <c r="G625" t="s">
        <v>9238</v>
      </c>
      <c r="H625" t="s">
        <v>461</v>
      </c>
      <c r="I625" t="s">
        <v>644</v>
      </c>
      <c r="J625" t="s">
        <v>273</v>
      </c>
      <c r="K625" t="s">
        <v>5734</v>
      </c>
      <c r="L625" t="s">
        <v>267</v>
      </c>
      <c r="M625">
        <v>17012340</v>
      </c>
      <c r="N625">
        <v>0</v>
      </c>
      <c r="O625">
        <v>17012340</v>
      </c>
      <c r="P625">
        <v>3402396</v>
      </c>
      <c r="Q625" t="s">
        <v>9302</v>
      </c>
      <c r="R625" t="s">
        <v>9108</v>
      </c>
      <c r="S625" t="s">
        <v>9303</v>
      </c>
      <c r="T625" t="s">
        <v>5731</v>
      </c>
      <c r="U625" t="s">
        <v>5731</v>
      </c>
      <c r="V625" t="s">
        <v>5731</v>
      </c>
      <c r="W625" t="s">
        <v>5731</v>
      </c>
      <c r="X625" t="str">
        <f t="shared" si="9"/>
        <v>Inversión</v>
      </c>
      <c r="Y625" t="s">
        <v>5735</v>
      </c>
    </row>
    <row r="626" spans="1:25" x14ac:dyDescent="0.25">
      <c r="A626" t="s">
        <v>9108</v>
      </c>
      <c r="B626" t="s">
        <v>8907</v>
      </c>
      <c r="C626" t="s">
        <v>9304</v>
      </c>
      <c r="D626" t="s">
        <v>5720</v>
      </c>
      <c r="E626" t="s">
        <v>5721</v>
      </c>
      <c r="F626" t="s">
        <v>5733</v>
      </c>
      <c r="G626" t="s">
        <v>9238</v>
      </c>
      <c r="H626" t="s">
        <v>461</v>
      </c>
      <c r="I626" t="s">
        <v>644</v>
      </c>
      <c r="J626" t="s">
        <v>273</v>
      </c>
      <c r="K626" t="s">
        <v>5734</v>
      </c>
      <c r="L626" t="s">
        <v>267</v>
      </c>
      <c r="M626">
        <v>24882120</v>
      </c>
      <c r="N626">
        <v>0</v>
      </c>
      <c r="O626">
        <v>24882120</v>
      </c>
      <c r="P626">
        <v>4976424</v>
      </c>
      <c r="Q626" t="s">
        <v>9305</v>
      </c>
      <c r="R626" t="s">
        <v>9178</v>
      </c>
      <c r="S626" t="s">
        <v>6003</v>
      </c>
      <c r="T626" t="s">
        <v>5731</v>
      </c>
      <c r="U626" t="s">
        <v>5731</v>
      </c>
      <c r="V626" t="s">
        <v>5731</v>
      </c>
      <c r="W626" t="s">
        <v>5731</v>
      </c>
      <c r="X626" t="str">
        <f t="shared" si="9"/>
        <v>Inversión</v>
      </c>
      <c r="Y626" t="s">
        <v>5735</v>
      </c>
    </row>
    <row r="627" spans="1:25" x14ac:dyDescent="0.25">
      <c r="A627" t="s">
        <v>9061</v>
      </c>
      <c r="B627" t="s">
        <v>7237</v>
      </c>
      <c r="C627" t="s">
        <v>9306</v>
      </c>
      <c r="D627" t="s">
        <v>5720</v>
      </c>
      <c r="E627" t="s">
        <v>5721</v>
      </c>
      <c r="F627" t="s">
        <v>5733</v>
      </c>
      <c r="G627" t="s">
        <v>9307</v>
      </c>
      <c r="H627" t="s">
        <v>461</v>
      </c>
      <c r="I627" t="s">
        <v>644</v>
      </c>
      <c r="J627" t="s">
        <v>266</v>
      </c>
      <c r="K627" t="s">
        <v>5724</v>
      </c>
      <c r="L627" t="s">
        <v>267</v>
      </c>
      <c r="M627">
        <v>51558078</v>
      </c>
      <c r="N627">
        <v>0</v>
      </c>
      <c r="O627">
        <v>51558078</v>
      </c>
      <c r="P627">
        <v>0</v>
      </c>
      <c r="Q627" t="s">
        <v>9308</v>
      </c>
      <c r="R627" t="s">
        <v>9061</v>
      </c>
      <c r="S627" t="s">
        <v>9309</v>
      </c>
      <c r="T627" t="s">
        <v>9310</v>
      </c>
      <c r="U627" t="s">
        <v>9311</v>
      </c>
      <c r="V627" t="s">
        <v>9312</v>
      </c>
      <c r="W627" t="s">
        <v>5731</v>
      </c>
      <c r="X627" t="str">
        <f t="shared" si="9"/>
        <v>Inversión</v>
      </c>
      <c r="Y627" t="s">
        <v>5735</v>
      </c>
    </row>
    <row r="628" spans="1:25" x14ac:dyDescent="0.25">
      <c r="A628" t="s">
        <v>9068</v>
      </c>
      <c r="B628" t="s">
        <v>7237</v>
      </c>
      <c r="C628" t="s">
        <v>9313</v>
      </c>
      <c r="D628" t="s">
        <v>5720</v>
      </c>
      <c r="E628" t="s">
        <v>5721</v>
      </c>
      <c r="F628" t="s">
        <v>5733</v>
      </c>
      <c r="G628" t="s">
        <v>9307</v>
      </c>
      <c r="H628" t="s">
        <v>461</v>
      </c>
      <c r="I628" t="s">
        <v>644</v>
      </c>
      <c r="J628" t="s">
        <v>266</v>
      </c>
      <c r="K628" t="s">
        <v>5724</v>
      </c>
      <c r="L628" t="s">
        <v>267</v>
      </c>
      <c r="M628">
        <v>30325000</v>
      </c>
      <c r="N628">
        <v>-779825</v>
      </c>
      <c r="O628">
        <v>29545175</v>
      </c>
      <c r="P628">
        <v>0</v>
      </c>
      <c r="Q628" t="s">
        <v>9308</v>
      </c>
      <c r="R628" t="s">
        <v>9068</v>
      </c>
      <c r="S628" t="s">
        <v>9314</v>
      </c>
      <c r="T628" t="s">
        <v>9315</v>
      </c>
      <c r="U628" t="s">
        <v>9316</v>
      </c>
      <c r="V628" t="s">
        <v>9317</v>
      </c>
      <c r="W628" t="s">
        <v>5731</v>
      </c>
      <c r="X628" t="str">
        <f t="shared" si="9"/>
        <v>Inversión</v>
      </c>
      <c r="Y628" t="s">
        <v>5735</v>
      </c>
    </row>
    <row r="629" spans="1:25" x14ac:dyDescent="0.25">
      <c r="A629" t="s">
        <v>9228</v>
      </c>
      <c r="B629" t="s">
        <v>9229</v>
      </c>
      <c r="C629" t="s">
        <v>9318</v>
      </c>
      <c r="D629" t="s">
        <v>5720</v>
      </c>
      <c r="E629" t="s">
        <v>5721</v>
      </c>
      <c r="F629" t="s">
        <v>5733</v>
      </c>
      <c r="G629" t="s">
        <v>9307</v>
      </c>
      <c r="H629" t="s">
        <v>461</v>
      </c>
      <c r="I629" t="s">
        <v>644</v>
      </c>
      <c r="J629" t="s">
        <v>273</v>
      </c>
      <c r="K629" t="s">
        <v>5734</v>
      </c>
      <c r="L629" t="s">
        <v>267</v>
      </c>
      <c r="M629">
        <v>2956531</v>
      </c>
      <c r="N629">
        <v>0</v>
      </c>
      <c r="O629">
        <v>2956531</v>
      </c>
      <c r="P629">
        <v>0</v>
      </c>
      <c r="Q629" t="s">
        <v>9319</v>
      </c>
      <c r="R629" t="s">
        <v>9228</v>
      </c>
      <c r="S629" t="s">
        <v>9258</v>
      </c>
      <c r="T629" t="s">
        <v>9154</v>
      </c>
      <c r="U629" t="s">
        <v>6159</v>
      </c>
      <c r="V629" t="s">
        <v>9320</v>
      </c>
      <c r="W629" t="s">
        <v>9321</v>
      </c>
      <c r="X629" t="str">
        <f t="shared" si="9"/>
        <v>Inversión</v>
      </c>
      <c r="Y629" t="s">
        <v>5735</v>
      </c>
    </row>
    <row r="630" spans="1:25" x14ac:dyDescent="0.25">
      <c r="A630" t="s">
        <v>9232</v>
      </c>
      <c r="B630" t="s">
        <v>8188</v>
      </c>
      <c r="C630" t="s">
        <v>9322</v>
      </c>
      <c r="D630" t="s">
        <v>5720</v>
      </c>
      <c r="E630" t="s">
        <v>5721</v>
      </c>
      <c r="F630" t="s">
        <v>5733</v>
      </c>
      <c r="G630" t="s">
        <v>9307</v>
      </c>
      <c r="H630" t="s">
        <v>461</v>
      </c>
      <c r="I630" t="s">
        <v>644</v>
      </c>
      <c r="J630" t="s">
        <v>273</v>
      </c>
      <c r="K630" t="s">
        <v>5734</v>
      </c>
      <c r="L630" t="s">
        <v>267</v>
      </c>
      <c r="M630">
        <v>5905032</v>
      </c>
      <c r="N630">
        <v>0</v>
      </c>
      <c r="O630">
        <v>5905032</v>
      </c>
      <c r="P630">
        <v>0</v>
      </c>
      <c r="Q630" t="s">
        <v>9323</v>
      </c>
      <c r="R630" t="s">
        <v>9232</v>
      </c>
      <c r="S630" t="s">
        <v>9269</v>
      </c>
      <c r="T630" t="s">
        <v>9324</v>
      </c>
      <c r="U630" t="s">
        <v>5955</v>
      </c>
      <c r="V630" t="s">
        <v>9325</v>
      </c>
      <c r="W630" t="s">
        <v>9326</v>
      </c>
      <c r="X630" t="str">
        <f t="shared" si="9"/>
        <v>Inversión</v>
      </c>
      <c r="Y630" t="s">
        <v>5735</v>
      </c>
    </row>
    <row r="631" spans="1:25" x14ac:dyDescent="0.25">
      <c r="A631" t="s">
        <v>9146</v>
      </c>
      <c r="B631" t="s">
        <v>8432</v>
      </c>
      <c r="C631" t="s">
        <v>9327</v>
      </c>
      <c r="D631" t="s">
        <v>5720</v>
      </c>
      <c r="E631" t="s">
        <v>5721</v>
      </c>
      <c r="F631" t="s">
        <v>5733</v>
      </c>
      <c r="G631" t="s">
        <v>9307</v>
      </c>
      <c r="H631" t="s">
        <v>461</v>
      </c>
      <c r="I631" t="s">
        <v>644</v>
      </c>
      <c r="J631" t="s">
        <v>273</v>
      </c>
      <c r="K631" t="s">
        <v>5734</v>
      </c>
      <c r="L631" t="s">
        <v>267</v>
      </c>
      <c r="M631">
        <v>5905032</v>
      </c>
      <c r="N631">
        <v>0</v>
      </c>
      <c r="O631">
        <v>5905032</v>
      </c>
      <c r="P631">
        <v>0</v>
      </c>
      <c r="Q631" t="s">
        <v>9328</v>
      </c>
      <c r="R631" t="s">
        <v>9146</v>
      </c>
      <c r="S631" t="s">
        <v>9292</v>
      </c>
      <c r="T631" t="s">
        <v>9090</v>
      </c>
      <c r="U631" t="s">
        <v>6409</v>
      </c>
      <c r="V631" t="s">
        <v>9329</v>
      </c>
      <c r="W631" t="s">
        <v>9202</v>
      </c>
      <c r="X631" t="str">
        <f t="shared" si="9"/>
        <v>Inversión</v>
      </c>
      <c r="Y631" t="s">
        <v>5735</v>
      </c>
    </row>
    <row r="632" spans="1:25" x14ac:dyDescent="0.25">
      <c r="A632" t="s">
        <v>9145</v>
      </c>
      <c r="B632" t="s">
        <v>9330</v>
      </c>
      <c r="C632" t="s">
        <v>9331</v>
      </c>
      <c r="D632" t="s">
        <v>5720</v>
      </c>
      <c r="E632" t="s">
        <v>5721</v>
      </c>
      <c r="F632" t="s">
        <v>5733</v>
      </c>
      <c r="G632" t="s">
        <v>9307</v>
      </c>
      <c r="H632" t="s">
        <v>461</v>
      </c>
      <c r="I632" t="s">
        <v>644</v>
      </c>
      <c r="J632" t="s">
        <v>266</v>
      </c>
      <c r="K632" t="s">
        <v>5724</v>
      </c>
      <c r="L632" t="s">
        <v>267</v>
      </c>
      <c r="M632">
        <v>1107319</v>
      </c>
      <c r="N632">
        <v>1107319</v>
      </c>
      <c r="O632">
        <v>2214638</v>
      </c>
      <c r="P632">
        <v>0</v>
      </c>
      <c r="Q632" t="s">
        <v>9332</v>
      </c>
      <c r="R632" t="s">
        <v>9145</v>
      </c>
      <c r="S632" t="s">
        <v>9333</v>
      </c>
      <c r="T632" t="s">
        <v>9334</v>
      </c>
      <c r="U632" t="s">
        <v>9335</v>
      </c>
      <c r="V632" t="s">
        <v>9336</v>
      </c>
      <c r="W632" t="s">
        <v>9089</v>
      </c>
      <c r="X632" t="str">
        <f t="shared" si="9"/>
        <v>Inversión</v>
      </c>
      <c r="Y632" t="s">
        <v>5735</v>
      </c>
    </row>
    <row r="633" spans="1:25" x14ac:dyDescent="0.25">
      <c r="A633" t="s">
        <v>9295</v>
      </c>
      <c r="B633" t="s">
        <v>8617</v>
      </c>
      <c r="C633" t="s">
        <v>9337</v>
      </c>
      <c r="D633" t="s">
        <v>5720</v>
      </c>
      <c r="E633" t="s">
        <v>5737</v>
      </c>
      <c r="F633" t="s">
        <v>5722</v>
      </c>
      <c r="G633" t="s">
        <v>9307</v>
      </c>
      <c r="H633" t="s">
        <v>453</v>
      </c>
      <c r="I633" t="s">
        <v>664</v>
      </c>
      <c r="J633" t="s">
        <v>266</v>
      </c>
      <c r="K633" t="s">
        <v>5724</v>
      </c>
      <c r="L633" t="s">
        <v>267</v>
      </c>
      <c r="M633">
        <v>1000000</v>
      </c>
      <c r="N633">
        <v>0</v>
      </c>
      <c r="O633">
        <v>1000000</v>
      </c>
      <c r="P633">
        <v>1000000</v>
      </c>
      <c r="Q633" t="s">
        <v>9338</v>
      </c>
      <c r="R633" t="s">
        <v>9295</v>
      </c>
      <c r="S633" t="s">
        <v>5731</v>
      </c>
      <c r="T633" t="s">
        <v>5731</v>
      </c>
      <c r="U633" t="s">
        <v>5731</v>
      </c>
      <c r="V633" t="s">
        <v>5731</v>
      </c>
      <c r="W633" t="s">
        <v>5731</v>
      </c>
      <c r="X633" t="str">
        <f t="shared" si="9"/>
        <v>Inversión</v>
      </c>
      <c r="Y633" t="s">
        <v>5732</v>
      </c>
    </row>
    <row r="634" spans="1:25" x14ac:dyDescent="0.25">
      <c r="A634" t="s">
        <v>9093</v>
      </c>
      <c r="B634" t="s">
        <v>9339</v>
      </c>
      <c r="C634" t="s">
        <v>9340</v>
      </c>
      <c r="D634" t="s">
        <v>5720</v>
      </c>
      <c r="E634" t="s">
        <v>5969</v>
      </c>
      <c r="F634" t="s">
        <v>5733</v>
      </c>
      <c r="G634" t="s">
        <v>9307</v>
      </c>
      <c r="H634" t="s">
        <v>461</v>
      </c>
      <c r="I634" t="s">
        <v>644</v>
      </c>
      <c r="J634" t="s">
        <v>266</v>
      </c>
      <c r="K634" t="s">
        <v>5724</v>
      </c>
      <c r="L634" t="s">
        <v>267</v>
      </c>
      <c r="M634">
        <v>952167</v>
      </c>
      <c r="N634">
        <v>-952167</v>
      </c>
      <c r="O634">
        <v>0</v>
      </c>
      <c r="P634">
        <v>0</v>
      </c>
      <c r="Q634" t="s">
        <v>9341</v>
      </c>
      <c r="R634" t="s">
        <v>9093</v>
      </c>
      <c r="S634" t="s">
        <v>5731</v>
      </c>
      <c r="T634" t="s">
        <v>5731</v>
      </c>
      <c r="U634" t="s">
        <v>5731</v>
      </c>
      <c r="V634" t="s">
        <v>5731</v>
      </c>
      <c r="W634" t="s">
        <v>5731</v>
      </c>
      <c r="X634" t="str">
        <f t="shared" si="9"/>
        <v>Inversión</v>
      </c>
      <c r="Y634" t="s">
        <v>5735</v>
      </c>
    </row>
    <row r="635" spans="1:25" x14ac:dyDescent="0.25">
      <c r="A635" t="s">
        <v>9103</v>
      </c>
      <c r="B635" t="s">
        <v>9342</v>
      </c>
      <c r="C635" t="s">
        <v>9343</v>
      </c>
      <c r="D635" t="s">
        <v>5720</v>
      </c>
      <c r="E635" t="s">
        <v>5969</v>
      </c>
      <c r="F635" t="s">
        <v>5733</v>
      </c>
      <c r="G635" t="s">
        <v>9307</v>
      </c>
      <c r="H635" t="s">
        <v>461</v>
      </c>
      <c r="I635" t="s">
        <v>644</v>
      </c>
      <c r="J635" t="s">
        <v>266</v>
      </c>
      <c r="K635" t="s">
        <v>5724</v>
      </c>
      <c r="L635" t="s">
        <v>267</v>
      </c>
      <c r="M635">
        <v>1230758</v>
      </c>
      <c r="N635">
        <v>-1230758</v>
      </c>
      <c r="O635">
        <v>0</v>
      </c>
      <c r="P635">
        <v>0</v>
      </c>
      <c r="Q635" t="s">
        <v>9344</v>
      </c>
      <c r="R635" t="s">
        <v>9103</v>
      </c>
      <c r="S635" t="s">
        <v>5731</v>
      </c>
      <c r="T635" t="s">
        <v>5731</v>
      </c>
      <c r="U635" t="s">
        <v>5731</v>
      </c>
      <c r="V635" t="s">
        <v>5731</v>
      </c>
      <c r="W635" t="s">
        <v>5731</v>
      </c>
      <c r="X635" t="str">
        <f t="shared" si="9"/>
        <v>Inversión</v>
      </c>
      <c r="Y635" t="s">
        <v>5735</v>
      </c>
    </row>
    <row r="636" spans="1:25" x14ac:dyDescent="0.25">
      <c r="A636" t="s">
        <v>9106</v>
      </c>
      <c r="B636" t="s">
        <v>8686</v>
      </c>
      <c r="C636" t="s">
        <v>9345</v>
      </c>
      <c r="D636" t="s">
        <v>5720</v>
      </c>
      <c r="E636" t="s">
        <v>5721</v>
      </c>
      <c r="F636" t="s">
        <v>5733</v>
      </c>
      <c r="G636" t="s">
        <v>9307</v>
      </c>
      <c r="H636" t="s">
        <v>461</v>
      </c>
      <c r="I636" t="s">
        <v>644</v>
      </c>
      <c r="J636" t="s">
        <v>266</v>
      </c>
      <c r="K636" t="s">
        <v>5724</v>
      </c>
      <c r="L636" t="s">
        <v>267</v>
      </c>
      <c r="M636">
        <v>1527546</v>
      </c>
      <c r="N636">
        <v>0</v>
      </c>
      <c r="O636">
        <v>1527546</v>
      </c>
      <c r="P636">
        <v>0</v>
      </c>
      <c r="Q636" t="s">
        <v>9346</v>
      </c>
      <c r="R636" t="s">
        <v>9111</v>
      </c>
      <c r="S636" t="s">
        <v>5742</v>
      </c>
      <c r="T636" t="s">
        <v>5839</v>
      </c>
      <c r="U636" t="s">
        <v>6617</v>
      </c>
      <c r="V636" t="s">
        <v>9347</v>
      </c>
      <c r="W636" t="s">
        <v>5731</v>
      </c>
      <c r="X636" t="str">
        <f t="shared" si="9"/>
        <v>Inversión</v>
      </c>
      <c r="Y636" t="s">
        <v>5735</v>
      </c>
    </row>
    <row r="637" spans="1:25" x14ac:dyDescent="0.25">
      <c r="A637" t="s">
        <v>9111</v>
      </c>
      <c r="B637" t="s">
        <v>8702</v>
      </c>
      <c r="C637" t="s">
        <v>9348</v>
      </c>
      <c r="D637" t="s">
        <v>5720</v>
      </c>
      <c r="E637" t="s">
        <v>5737</v>
      </c>
      <c r="F637" t="s">
        <v>5722</v>
      </c>
      <c r="G637" t="s">
        <v>9307</v>
      </c>
      <c r="H637" t="s">
        <v>453</v>
      </c>
      <c r="I637" t="s">
        <v>664</v>
      </c>
      <c r="J637" t="s">
        <v>266</v>
      </c>
      <c r="K637" t="s">
        <v>5724</v>
      </c>
      <c r="L637" t="s">
        <v>267</v>
      </c>
      <c r="M637">
        <v>6000000</v>
      </c>
      <c r="N637">
        <v>0</v>
      </c>
      <c r="O637">
        <v>6000000</v>
      </c>
      <c r="P637">
        <v>6000000</v>
      </c>
      <c r="Q637" t="s">
        <v>9308</v>
      </c>
      <c r="R637" t="s">
        <v>5717</v>
      </c>
      <c r="S637" t="s">
        <v>5731</v>
      </c>
      <c r="T637" t="s">
        <v>5731</v>
      </c>
      <c r="U637" t="s">
        <v>5731</v>
      </c>
      <c r="V637" t="s">
        <v>5731</v>
      </c>
      <c r="W637" t="s">
        <v>5731</v>
      </c>
      <c r="X637" t="str">
        <f t="shared" si="9"/>
        <v>Inversión</v>
      </c>
      <c r="Y637" t="s">
        <v>5732</v>
      </c>
    </row>
    <row r="638" spans="1:25" x14ac:dyDescent="0.25">
      <c r="A638" t="s">
        <v>5777</v>
      </c>
      <c r="B638" t="s">
        <v>9169</v>
      </c>
      <c r="C638" t="s">
        <v>9349</v>
      </c>
      <c r="D638" t="s">
        <v>5720</v>
      </c>
      <c r="E638" t="s">
        <v>5721</v>
      </c>
      <c r="F638" t="s">
        <v>5733</v>
      </c>
      <c r="G638" t="s">
        <v>9307</v>
      </c>
      <c r="H638" t="s">
        <v>461</v>
      </c>
      <c r="I638" t="s">
        <v>644</v>
      </c>
      <c r="J638" t="s">
        <v>266</v>
      </c>
      <c r="K638" t="s">
        <v>5724</v>
      </c>
      <c r="L638" t="s">
        <v>267</v>
      </c>
      <c r="M638">
        <v>407319</v>
      </c>
      <c r="N638">
        <v>0</v>
      </c>
      <c r="O638">
        <v>407319</v>
      </c>
      <c r="P638">
        <v>0</v>
      </c>
      <c r="Q638" t="s">
        <v>9350</v>
      </c>
      <c r="R638" t="s">
        <v>5740</v>
      </c>
      <c r="S638" t="s">
        <v>5794</v>
      </c>
      <c r="T638" t="s">
        <v>5907</v>
      </c>
      <c r="U638" t="s">
        <v>6216</v>
      </c>
      <c r="V638" t="s">
        <v>9351</v>
      </c>
      <c r="W638" t="s">
        <v>5731</v>
      </c>
      <c r="X638" t="str">
        <f t="shared" si="9"/>
        <v>Inversión</v>
      </c>
      <c r="Y638" t="s">
        <v>5735</v>
      </c>
    </row>
    <row r="639" spans="1:25" x14ac:dyDescent="0.25">
      <c r="A639" t="s">
        <v>5784</v>
      </c>
      <c r="B639" t="s">
        <v>9352</v>
      </c>
      <c r="C639" t="s">
        <v>9353</v>
      </c>
      <c r="D639" t="s">
        <v>5720</v>
      </c>
      <c r="E639" t="s">
        <v>5721</v>
      </c>
      <c r="F639" t="s">
        <v>6619</v>
      </c>
      <c r="G639" t="s">
        <v>9307</v>
      </c>
      <c r="H639" t="s">
        <v>455</v>
      </c>
      <c r="I639" t="s">
        <v>643</v>
      </c>
      <c r="J639" t="s">
        <v>273</v>
      </c>
      <c r="K639" t="s">
        <v>5734</v>
      </c>
      <c r="L639" t="s">
        <v>267</v>
      </c>
      <c r="M639">
        <v>20000000</v>
      </c>
      <c r="N639">
        <v>0</v>
      </c>
      <c r="O639">
        <v>20000000</v>
      </c>
      <c r="P639">
        <v>0</v>
      </c>
      <c r="Q639" t="s">
        <v>9354</v>
      </c>
      <c r="R639" t="s">
        <v>5794</v>
      </c>
      <c r="S639" t="s">
        <v>5814</v>
      </c>
      <c r="T639" t="s">
        <v>5731</v>
      </c>
      <c r="U639" t="s">
        <v>5731</v>
      </c>
      <c r="V639" t="s">
        <v>5731</v>
      </c>
      <c r="W639" t="s">
        <v>5731</v>
      </c>
      <c r="X639" t="str">
        <f t="shared" si="9"/>
        <v>Inversión</v>
      </c>
      <c r="Y639" t="s">
        <v>6626</v>
      </c>
    </row>
    <row r="640" spans="1:25" x14ac:dyDescent="0.25">
      <c r="A640" t="s">
        <v>5794</v>
      </c>
      <c r="B640" t="s">
        <v>9355</v>
      </c>
      <c r="C640" t="s">
        <v>9356</v>
      </c>
      <c r="D640" t="s">
        <v>5720</v>
      </c>
      <c r="E640" t="s">
        <v>5721</v>
      </c>
      <c r="F640" t="s">
        <v>5733</v>
      </c>
      <c r="G640" t="s">
        <v>9307</v>
      </c>
      <c r="H640" t="s">
        <v>461</v>
      </c>
      <c r="I640" t="s">
        <v>644</v>
      </c>
      <c r="J640" t="s">
        <v>273</v>
      </c>
      <c r="K640" t="s">
        <v>5734</v>
      </c>
      <c r="L640" t="s">
        <v>267</v>
      </c>
      <c r="M640">
        <v>11305311</v>
      </c>
      <c r="N640">
        <v>-619379</v>
      </c>
      <c r="O640">
        <v>10685932</v>
      </c>
      <c r="P640">
        <v>61843</v>
      </c>
      <c r="Q640" t="s">
        <v>9357</v>
      </c>
      <c r="R640" t="s">
        <v>5839</v>
      </c>
      <c r="S640" t="s">
        <v>9358</v>
      </c>
      <c r="T640" t="s">
        <v>5731</v>
      </c>
      <c r="U640" t="s">
        <v>5731</v>
      </c>
      <c r="V640" t="s">
        <v>5731</v>
      </c>
      <c r="W640" t="s">
        <v>5731</v>
      </c>
      <c r="X640" t="str">
        <f t="shared" si="9"/>
        <v>Inversión</v>
      </c>
      <c r="Y640" t="s">
        <v>5735</v>
      </c>
    </row>
    <row r="641" spans="1:25" x14ac:dyDescent="0.25">
      <c r="A641" t="s">
        <v>9202</v>
      </c>
      <c r="B641" t="s">
        <v>8432</v>
      </c>
      <c r="C641" t="s">
        <v>9359</v>
      </c>
      <c r="D641" t="s">
        <v>5720</v>
      </c>
      <c r="E641" t="s">
        <v>5721</v>
      </c>
      <c r="F641" t="s">
        <v>5722</v>
      </c>
      <c r="G641" t="s">
        <v>9360</v>
      </c>
      <c r="H641" t="s">
        <v>465</v>
      </c>
      <c r="I641" t="s">
        <v>661</v>
      </c>
      <c r="J641" t="s">
        <v>266</v>
      </c>
      <c r="K641" t="s">
        <v>5724</v>
      </c>
      <c r="L641" t="s">
        <v>267</v>
      </c>
      <c r="M641">
        <v>27301770</v>
      </c>
      <c r="N641">
        <v>0</v>
      </c>
      <c r="O641">
        <v>27301770</v>
      </c>
      <c r="P641">
        <v>1820118</v>
      </c>
      <c r="Q641" t="s">
        <v>9361</v>
      </c>
      <c r="R641" t="s">
        <v>9202</v>
      </c>
      <c r="S641" t="s">
        <v>9089</v>
      </c>
      <c r="T641" t="s">
        <v>5835</v>
      </c>
      <c r="U641" t="s">
        <v>9362</v>
      </c>
      <c r="V641" t="s">
        <v>9363</v>
      </c>
      <c r="W641" t="s">
        <v>5731</v>
      </c>
      <c r="X641" t="str">
        <f t="shared" si="9"/>
        <v>Inversión</v>
      </c>
      <c r="Y641" t="s">
        <v>5732</v>
      </c>
    </row>
    <row r="642" spans="1:25" x14ac:dyDescent="0.25">
      <c r="A642" t="s">
        <v>9236</v>
      </c>
      <c r="B642" t="s">
        <v>9364</v>
      </c>
      <c r="C642" t="s">
        <v>9365</v>
      </c>
      <c r="D642" t="s">
        <v>5720</v>
      </c>
      <c r="E642" t="s">
        <v>5737</v>
      </c>
      <c r="F642" t="s">
        <v>5733</v>
      </c>
      <c r="G642" t="s">
        <v>9360</v>
      </c>
      <c r="H642" t="s">
        <v>461</v>
      </c>
      <c r="I642" t="s">
        <v>644</v>
      </c>
      <c r="J642" t="s">
        <v>273</v>
      </c>
      <c r="K642" t="s">
        <v>5734</v>
      </c>
      <c r="L642" t="s">
        <v>267</v>
      </c>
      <c r="M642">
        <v>750000</v>
      </c>
      <c r="N642">
        <v>0</v>
      </c>
      <c r="O642">
        <v>750000</v>
      </c>
      <c r="P642">
        <v>750000</v>
      </c>
      <c r="Q642" t="s">
        <v>9366</v>
      </c>
      <c r="R642" t="s">
        <v>9236</v>
      </c>
      <c r="S642" t="s">
        <v>5731</v>
      </c>
      <c r="T642" t="s">
        <v>5731</v>
      </c>
      <c r="U642" t="s">
        <v>5731</v>
      </c>
      <c r="V642" t="s">
        <v>5731</v>
      </c>
      <c r="W642" t="s">
        <v>5731</v>
      </c>
      <c r="X642" t="str">
        <f t="shared" ref="X642:X705" si="10">IF(LEFT(H642,1)="C","Inversión","Funcionamiento")</f>
        <v>Inversión</v>
      </c>
      <c r="Y642" t="s">
        <v>5735</v>
      </c>
    </row>
    <row r="643" spans="1:25" x14ac:dyDescent="0.25">
      <c r="A643" t="s">
        <v>9068</v>
      </c>
      <c r="B643" t="s">
        <v>8676</v>
      </c>
      <c r="C643" t="s">
        <v>9367</v>
      </c>
      <c r="D643" t="s">
        <v>5720</v>
      </c>
      <c r="E643" t="s">
        <v>5737</v>
      </c>
      <c r="F643" t="s">
        <v>5733</v>
      </c>
      <c r="G643" t="s">
        <v>9360</v>
      </c>
      <c r="H643" t="s">
        <v>461</v>
      </c>
      <c r="I643" t="s">
        <v>644</v>
      </c>
      <c r="J643" t="s">
        <v>273</v>
      </c>
      <c r="K643" t="s">
        <v>5734</v>
      </c>
      <c r="L643" t="s">
        <v>267</v>
      </c>
      <c r="M643">
        <v>39655000</v>
      </c>
      <c r="N643">
        <v>0</v>
      </c>
      <c r="O643">
        <v>39655000</v>
      </c>
      <c r="P643">
        <v>39655000</v>
      </c>
      <c r="Q643" t="s">
        <v>9368</v>
      </c>
      <c r="R643" t="s">
        <v>9149</v>
      </c>
      <c r="S643" t="s">
        <v>5731</v>
      </c>
      <c r="T643" t="s">
        <v>5731</v>
      </c>
      <c r="U643" t="s">
        <v>5731</v>
      </c>
      <c r="V643" t="s">
        <v>5731</v>
      </c>
      <c r="W643" t="s">
        <v>5731</v>
      </c>
      <c r="X643" t="str">
        <f t="shared" si="10"/>
        <v>Inversión</v>
      </c>
      <c r="Y643" t="s">
        <v>5735</v>
      </c>
    </row>
    <row r="644" spans="1:25" x14ac:dyDescent="0.25">
      <c r="A644" t="s">
        <v>5835</v>
      </c>
      <c r="B644" t="s">
        <v>7237</v>
      </c>
      <c r="C644" t="s">
        <v>9369</v>
      </c>
      <c r="D644" t="s">
        <v>5720</v>
      </c>
      <c r="E644" t="s">
        <v>5737</v>
      </c>
      <c r="F644" t="s">
        <v>6619</v>
      </c>
      <c r="G644" t="s">
        <v>9370</v>
      </c>
      <c r="H644" t="s">
        <v>455</v>
      </c>
      <c r="I644" t="s">
        <v>643</v>
      </c>
      <c r="J644" t="s">
        <v>273</v>
      </c>
      <c r="K644" t="s">
        <v>5734</v>
      </c>
      <c r="L644" t="s">
        <v>267</v>
      </c>
      <c r="M644">
        <v>1256640</v>
      </c>
      <c r="N644">
        <v>0</v>
      </c>
      <c r="O644">
        <v>1256640</v>
      </c>
      <c r="P644">
        <v>1256640</v>
      </c>
      <c r="Q644" t="s">
        <v>9371</v>
      </c>
      <c r="R644" t="s">
        <v>9075</v>
      </c>
      <c r="S644" t="s">
        <v>5731</v>
      </c>
      <c r="T644" t="s">
        <v>5731</v>
      </c>
      <c r="U644" t="s">
        <v>5731</v>
      </c>
      <c r="V644" t="s">
        <v>5731</v>
      </c>
      <c r="W644" t="s">
        <v>5731</v>
      </c>
      <c r="X644" t="str">
        <f t="shared" si="10"/>
        <v>Inversión</v>
      </c>
      <c r="Y644" t="s">
        <v>6626</v>
      </c>
    </row>
    <row r="645" spans="1:25" x14ac:dyDescent="0.25">
      <c r="A645" t="s">
        <v>5809</v>
      </c>
      <c r="B645" t="s">
        <v>7237</v>
      </c>
      <c r="C645" t="s">
        <v>9372</v>
      </c>
      <c r="D645" t="s">
        <v>5720</v>
      </c>
      <c r="E645" t="s">
        <v>5721</v>
      </c>
      <c r="F645" t="s">
        <v>6619</v>
      </c>
      <c r="G645" t="s">
        <v>9370</v>
      </c>
      <c r="H645" t="s">
        <v>455</v>
      </c>
      <c r="I645" t="s">
        <v>643</v>
      </c>
      <c r="J645" t="s">
        <v>273</v>
      </c>
      <c r="K645" t="s">
        <v>5734</v>
      </c>
      <c r="L645" t="s">
        <v>267</v>
      </c>
      <c r="M645">
        <v>78451360</v>
      </c>
      <c r="N645">
        <v>0</v>
      </c>
      <c r="O645">
        <v>78451360</v>
      </c>
      <c r="P645">
        <v>453666</v>
      </c>
      <c r="Q645" t="s">
        <v>9373</v>
      </c>
      <c r="R645" t="s">
        <v>9068</v>
      </c>
      <c r="S645" t="s">
        <v>9374</v>
      </c>
      <c r="T645" t="s">
        <v>9375</v>
      </c>
      <c r="U645" t="s">
        <v>9376</v>
      </c>
      <c r="V645" t="s">
        <v>9377</v>
      </c>
      <c r="W645" t="s">
        <v>5731</v>
      </c>
      <c r="X645" t="str">
        <f t="shared" si="10"/>
        <v>Inversión</v>
      </c>
      <c r="Y645" t="s">
        <v>6626</v>
      </c>
    </row>
    <row r="646" spans="1:25" x14ac:dyDescent="0.25">
      <c r="A646" t="s">
        <v>9061</v>
      </c>
      <c r="B646" t="s">
        <v>7237</v>
      </c>
      <c r="C646" t="s">
        <v>9378</v>
      </c>
      <c r="D646" t="s">
        <v>5720</v>
      </c>
      <c r="E646" t="s">
        <v>5721</v>
      </c>
      <c r="F646" t="s">
        <v>5733</v>
      </c>
      <c r="G646" t="s">
        <v>9370</v>
      </c>
      <c r="H646" t="s">
        <v>461</v>
      </c>
      <c r="I646" t="s">
        <v>644</v>
      </c>
      <c r="J646" t="s">
        <v>266</v>
      </c>
      <c r="K646" t="s">
        <v>5724</v>
      </c>
      <c r="L646" t="s">
        <v>267</v>
      </c>
      <c r="M646">
        <v>30325000</v>
      </c>
      <c r="N646">
        <v>-3151424</v>
      </c>
      <c r="O646">
        <v>27173576</v>
      </c>
      <c r="P646">
        <v>1563</v>
      </c>
      <c r="Q646" t="s">
        <v>9379</v>
      </c>
      <c r="R646" t="s">
        <v>9061</v>
      </c>
      <c r="S646" t="s">
        <v>9380</v>
      </c>
      <c r="T646" t="s">
        <v>9381</v>
      </c>
      <c r="U646" t="s">
        <v>9382</v>
      </c>
      <c r="V646" t="s">
        <v>9383</v>
      </c>
      <c r="W646" t="s">
        <v>5731</v>
      </c>
      <c r="X646" t="str">
        <f t="shared" si="10"/>
        <v>Inversión</v>
      </c>
      <c r="Y646" t="s">
        <v>5735</v>
      </c>
    </row>
    <row r="647" spans="1:25" x14ac:dyDescent="0.25">
      <c r="A647" t="s">
        <v>9068</v>
      </c>
      <c r="B647" t="s">
        <v>7237</v>
      </c>
      <c r="C647" t="s">
        <v>9384</v>
      </c>
      <c r="D647" t="s">
        <v>5720</v>
      </c>
      <c r="E647" t="s">
        <v>5721</v>
      </c>
      <c r="F647" t="s">
        <v>5733</v>
      </c>
      <c r="G647" t="s">
        <v>9370</v>
      </c>
      <c r="H647" t="s">
        <v>461</v>
      </c>
      <c r="I647" t="s">
        <v>644</v>
      </c>
      <c r="J647" t="s">
        <v>266</v>
      </c>
      <c r="K647" t="s">
        <v>5724</v>
      </c>
      <c r="L647" t="s">
        <v>267</v>
      </c>
      <c r="M647">
        <v>7722587</v>
      </c>
      <c r="N647">
        <v>-6010601</v>
      </c>
      <c r="O647">
        <v>1711986</v>
      </c>
      <c r="P647">
        <v>981407</v>
      </c>
      <c r="Q647" t="s">
        <v>9385</v>
      </c>
      <c r="R647" t="s">
        <v>5809</v>
      </c>
      <c r="S647" t="s">
        <v>9386</v>
      </c>
      <c r="T647" t="s">
        <v>9387</v>
      </c>
      <c r="U647" t="s">
        <v>9388</v>
      </c>
      <c r="V647" t="s">
        <v>9389</v>
      </c>
      <c r="W647" t="s">
        <v>5731</v>
      </c>
      <c r="X647" t="str">
        <f t="shared" si="10"/>
        <v>Inversión</v>
      </c>
      <c r="Y647" t="s">
        <v>5735</v>
      </c>
    </row>
    <row r="648" spans="1:25" x14ac:dyDescent="0.25">
      <c r="A648" t="s">
        <v>9075</v>
      </c>
      <c r="B648" t="s">
        <v>7237</v>
      </c>
      <c r="C648" t="s">
        <v>9390</v>
      </c>
      <c r="D648" t="s">
        <v>5720</v>
      </c>
      <c r="E648" t="s">
        <v>5721</v>
      </c>
      <c r="F648" t="s">
        <v>5733</v>
      </c>
      <c r="G648" t="s">
        <v>9370</v>
      </c>
      <c r="H648" t="s">
        <v>461</v>
      </c>
      <c r="I648" t="s">
        <v>644</v>
      </c>
      <c r="J648" t="s">
        <v>266</v>
      </c>
      <c r="K648" t="s">
        <v>5724</v>
      </c>
      <c r="L648" t="s">
        <v>267</v>
      </c>
      <c r="M648">
        <v>88752870</v>
      </c>
      <c r="N648">
        <v>9162025</v>
      </c>
      <c r="O648">
        <v>97914895</v>
      </c>
      <c r="P648">
        <v>0</v>
      </c>
      <c r="Q648" t="s">
        <v>9391</v>
      </c>
      <c r="R648" t="s">
        <v>5835</v>
      </c>
      <c r="S648" t="s">
        <v>9392</v>
      </c>
      <c r="T648" t="s">
        <v>9393</v>
      </c>
      <c r="U648" t="s">
        <v>9394</v>
      </c>
      <c r="V648" t="s">
        <v>9395</v>
      </c>
      <c r="W648" t="s">
        <v>5731</v>
      </c>
      <c r="X648" t="str">
        <f t="shared" si="10"/>
        <v>Inversión</v>
      </c>
      <c r="Y648" t="s">
        <v>5735</v>
      </c>
    </row>
    <row r="649" spans="1:25" x14ac:dyDescent="0.25">
      <c r="A649" t="s">
        <v>5844</v>
      </c>
      <c r="B649" t="s">
        <v>7552</v>
      </c>
      <c r="C649" t="s">
        <v>9396</v>
      </c>
      <c r="D649" t="s">
        <v>5720</v>
      </c>
      <c r="E649" t="s">
        <v>5721</v>
      </c>
      <c r="F649" t="s">
        <v>5733</v>
      </c>
      <c r="G649" t="s">
        <v>9370</v>
      </c>
      <c r="H649" t="s">
        <v>461</v>
      </c>
      <c r="I649" t="s">
        <v>644</v>
      </c>
      <c r="J649" t="s">
        <v>273</v>
      </c>
      <c r="K649" t="s">
        <v>5734</v>
      </c>
      <c r="L649" t="s">
        <v>267</v>
      </c>
      <c r="M649">
        <v>71452206</v>
      </c>
      <c r="N649">
        <v>20528332</v>
      </c>
      <c r="O649">
        <v>91980538</v>
      </c>
      <c r="P649">
        <v>20528332</v>
      </c>
      <c r="Q649" t="s">
        <v>9397</v>
      </c>
      <c r="R649" t="s">
        <v>9223</v>
      </c>
      <c r="S649" t="s">
        <v>9398</v>
      </c>
      <c r="T649" t="s">
        <v>9399</v>
      </c>
      <c r="U649" t="s">
        <v>9400</v>
      </c>
      <c r="V649" t="s">
        <v>9401</v>
      </c>
      <c r="W649" t="s">
        <v>5731</v>
      </c>
      <c r="X649" t="str">
        <f t="shared" si="10"/>
        <v>Inversión</v>
      </c>
      <c r="Y649" t="s">
        <v>5735</v>
      </c>
    </row>
    <row r="650" spans="1:25" x14ac:dyDescent="0.25">
      <c r="A650" t="s">
        <v>9058</v>
      </c>
      <c r="B650" t="s">
        <v>7552</v>
      </c>
      <c r="C650" t="s">
        <v>9402</v>
      </c>
      <c r="D650" t="s">
        <v>5720</v>
      </c>
      <c r="E650" t="s">
        <v>5721</v>
      </c>
      <c r="F650" t="s">
        <v>5733</v>
      </c>
      <c r="G650" t="s">
        <v>9370</v>
      </c>
      <c r="H650" t="s">
        <v>461</v>
      </c>
      <c r="I650" t="s">
        <v>644</v>
      </c>
      <c r="J650" t="s">
        <v>273</v>
      </c>
      <c r="K650" t="s">
        <v>5734</v>
      </c>
      <c r="L650" t="s">
        <v>267</v>
      </c>
      <c r="M650">
        <v>41964300</v>
      </c>
      <c r="N650">
        <v>1258930</v>
      </c>
      <c r="O650">
        <v>43223230</v>
      </c>
      <c r="P650">
        <v>9651790</v>
      </c>
      <c r="Q650" t="s">
        <v>9403</v>
      </c>
      <c r="R650" t="s">
        <v>6935</v>
      </c>
      <c r="S650" t="s">
        <v>9064</v>
      </c>
      <c r="T650" t="s">
        <v>9071</v>
      </c>
      <c r="U650" t="s">
        <v>9404</v>
      </c>
      <c r="V650" t="s">
        <v>9405</v>
      </c>
      <c r="W650" t="s">
        <v>5731</v>
      </c>
      <c r="X650" t="str">
        <f t="shared" si="10"/>
        <v>Inversión</v>
      </c>
      <c r="Y650" t="s">
        <v>5735</v>
      </c>
    </row>
    <row r="651" spans="1:25" x14ac:dyDescent="0.25">
      <c r="A651" t="s">
        <v>9057</v>
      </c>
      <c r="B651" t="s">
        <v>7552</v>
      </c>
      <c r="C651" t="s">
        <v>9406</v>
      </c>
      <c r="D651" t="s">
        <v>5720</v>
      </c>
      <c r="E651" t="s">
        <v>5721</v>
      </c>
      <c r="F651" t="s">
        <v>5733</v>
      </c>
      <c r="G651" t="s">
        <v>9370</v>
      </c>
      <c r="H651" t="s">
        <v>461</v>
      </c>
      <c r="I651" t="s">
        <v>644</v>
      </c>
      <c r="J651" t="s">
        <v>273</v>
      </c>
      <c r="K651" t="s">
        <v>5734</v>
      </c>
      <c r="L651" t="s">
        <v>267</v>
      </c>
      <c r="M651">
        <v>87079760</v>
      </c>
      <c r="N651">
        <v>870797</v>
      </c>
      <c r="O651">
        <v>87950557</v>
      </c>
      <c r="P651">
        <v>18286749</v>
      </c>
      <c r="Q651" t="s">
        <v>9407</v>
      </c>
      <c r="R651" t="s">
        <v>9149</v>
      </c>
      <c r="S651" t="s">
        <v>9057</v>
      </c>
      <c r="T651" t="s">
        <v>5844</v>
      </c>
      <c r="U651" t="s">
        <v>9408</v>
      </c>
      <c r="V651" t="s">
        <v>9409</v>
      </c>
      <c r="W651" t="s">
        <v>5731</v>
      </c>
      <c r="X651" t="str">
        <f t="shared" si="10"/>
        <v>Inversión</v>
      </c>
      <c r="Y651" t="s">
        <v>5735</v>
      </c>
    </row>
    <row r="652" spans="1:25" x14ac:dyDescent="0.25">
      <c r="A652" t="s">
        <v>9149</v>
      </c>
      <c r="B652" t="s">
        <v>7552</v>
      </c>
      <c r="C652" t="s">
        <v>9410</v>
      </c>
      <c r="D652" t="s">
        <v>5720</v>
      </c>
      <c r="E652" t="s">
        <v>5721</v>
      </c>
      <c r="F652" t="s">
        <v>5733</v>
      </c>
      <c r="G652" t="s">
        <v>9370</v>
      </c>
      <c r="H652" t="s">
        <v>461</v>
      </c>
      <c r="I652" t="s">
        <v>644</v>
      </c>
      <c r="J652" t="s">
        <v>273</v>
      </c>
      <c r="K652" t="s">
        <v>5734</v>
      </c>
      <c r="L652" t="s">
        <v>267</v>
      </c>
      <c r="M652">
        <v>23500000</v>
      </c>
      <c r="N652">
        <v>-5265392</v>
      </c>
      <c r="O652">
        <v>18234608</v>
      </c>
      <c r="P652">
        <v>0</v>
      </c>
      <c r="Q652" t="s">
        <v>9411</v>
      </c>
      <c r="R652" t="s">
        <v>9057</v>
      </c>
      <c r="S652" t="s">
        <v>5942</v>
      </c>
      <c r="T652" t="s">
        <v>7539</v>
      </c>
      <c r="U652" t="s">
        <v>8292</v>
      </c>
      <c r="V652" t="s">
        <v>9412</v>
      </c>
      <c r="W652" t="s">
        <v>5731</v>
      </c>
      <c r="X652" t="str">
        <f t="shared" si="10"/>
        <v>Inversión</v>
      </c>
      <c r="Y652" t="s">
        <v>5735</v>
      </c>
    </row>
    <row r="653" spans="1:25" x14ac:dyDescent="0.25">
      <c r="A653" t="s">
        <v>6935</v>
      </c>
      <c r="B653" t="s">
        <v>7552</v>
      </c>
      <c r="C653" t="s">
        <v>9413</v>
      </c>
      <c r="D653" t="s">
        <v>5720</v>
      </c>
      <c r="E653" t="s">
        <v>5737</v>
      </c>
      <c r="F653" t="s">
        <v>5733</v>
      </c>
      <c r="G653" t="s">
        <v>9370</v>
      </c>
      <c r="H653" t="s">
        <v>461</v>
      </c>
      <c r="I653" t="s">
        <v>644</v>
      </c>
      <c r="J653" t="s">
        <v>273</v>
      </c>
      <c r="K653" t="s">
        <v>5734</v>
      </c>
      <c r="L653" t="s">
        <v>267</v>
      </c>
      <c r="M653">
        <v>6500000</v>
      </c>
      <c r="N653">
        <v>0</v>
      </c>
      <c r="O653">
        <v>6500000</v>
      </c>
      <c r="P653">
        <v>6500000</v>
      </c>
      <c r="Q653" t="s">
        <v>9414</v>
      </c>
      <c r="R653" t="s">
        <v>9058</v>
      </c>
      <c r="S653" t="s">
        <v>5731</v>
      </c>
      <c r="T653" t="s">
        <v>5731</v>
      </c>
      <c r="U653" t="s">
        <v>5731</v>
      </c>
      <c r="V653" t="s">
        <v>5731</v>
      </c>
      <c r="W653" t="s">
        <v>5731</v>
      </c>
      <c r="X653" t="str">
        <f t="shared" si="10"/>
        <v>Inversión</v>
      </c>
      <c r="Y653" t="s">
        <v>5735</v>
      </c>
    </row>
    <row r="654" spans="1:25" x14ac:dyDescent="0.25">
      <c r="A654" t="s">
        <v>9223</v>
      </c>
      <c r="B654" t="s">
        <v>7552</v>
      </c>
      <c r="C654" t="s">
        <v>9413</v>
      </c>
      <c r="D654" t="s">
        <v>5720</v>
      </c>
      <c r="E654" t="s">
        <v>5721</v>
      </c>
      <c r="F654" t="s">
        <v>5733</v>
      </c>
      <c r="G654" t="s">
        <v>9370</v>
      </c>
      <c r="H654" t="s">
        <v>461</v>
      </c>
      <c r="I654" t="s">
        <v>644</v>
      </c>
      <c r="J654" t="s">
        <v>273</v>
      </c>
      <c r="K654" t="s">
        <v>5734</v>
      </c>
      <c r="L654" t="s">
        <v>267</v>
      </c>
      <c r="M654">
        <v>31500000</v>
      </c>
      <c r="N654">
        <v>-3900000</v>
      </c>
      <c r="O654">
        <v>27600000</v>
      </c>
      <c r="P654">
        <v>0</v>
      </c>
      <c r="Q654" t="s">
        <v>9415</v>
      </c>
      <c r="R654" t="s">
        <v>5844</v>
      </c>
      <c r="S654" t="s">
        <v>9272</v>
      </c>
      <c r="T654" t="s">
        <v>9227</v>
      </c>
      <c r="U654" t="s">
        <v>9416</v>
      </c>
      <c r="V654" t="s">
        <v>9417</v>
      </c>
      <c r="W654" t="s">
        <v>5731</v>
      </c>
      <c r="X654" t="str">
        <f t="shared" si="10"/>
        <v>Inversión</v>
      </c>
      <c r="Y654" t="s">
        <v>5735</v>
      </c>
    </row>
    <row r="655" spans="1:25" x14ac:dyDescent="0.25">
      <c r="A655" t="s">
        <v>9226</v>
      </c>
      <c r="B655" t="s">
        <v>7608</v>
      </c>
      <c r="C655" t="s">
        <v>9418</v>
      </c>
      <c r="D655" t="s">
        <v>5720</v>
      </c>
      <c r="E655" t="s">
        <v>5721</v>
      </c>
      <c r="F655" t="s">
        <v>5733</v>
      </c>
      <c r="G655" t="s">
        <v>9370</v>
      </c>
      <c r="H655" t="s">
        <v>461</v>
      </c>
      <c r="I655" t="s">
        <v>644</v>
      </c>
      <c r="J655" t="s">
        <v>273</v>
      </c>
      <c r="K655" t="s">
        <v>5734</v>
      </c>
      <c r="L655" t="s">
        <v>267</v>
      </c>
      <c r="M655">
        <v>328055000</v>
      </c>
      <c r="N655">
        <v>2403334</v>
      </c>
      <c r="O655">
        <v>330458334</v>
      </c>
      <c r="P655">
        <v>92528334</v>
      </c>
      <c r="Q655" t="s">
        <v>9419</v>
      </c>
      <c r="R655" t="s">
        <v>9420</v>
      </c>
      <c r="S655" t="s">
        <v>9421</v>
      </c>
      <c r="T655" t="s">
        <v>9422</v>
      </c>
      <c r="U655" t="s">
        <v>9423</v>
      </c>
      <c r="V655" t="s">
        <v>9424</v>
      </c>
      <c r="W655" t="s">
        <v>5731</v>
      </c>
      <c r="X655" t="str">
        <f t="shared" si="10"/>
        <v>Inversión</v>
      </c>
      <c r="Y655" t="s">
        <v>5735</v>
      </c>
    </row>
    <row r="656" spans="1:25" x14ac:dyDescent="0.25">
      <c r="A656" t="s">
        <v>9425</v>
      </c>
      <c r="B656" t="s">
        <v>7608</v>
      </c>
      <c r="C656" t="s">
        <v>9426</v>
      </c>
      <c r="D656" t="s">
        <v>5720</v>
      </c>
      <c r="E656" t="s">
        <v>5721</v>
      </c>
      <c r="F656" t="s">
        <v>5733</v>
      </c>
      <c r="G656" t="s">
        <v>9370</v>
      </c>
      <c r="H656" t="s">
        <v>461</v>
      </c>
      <c r="I656" t="s">
        <v>644</v>
      </c>
      <c r="J656" t="s">
        <v>273</v>
      </c>
      <c r="K656" t="s">
        <v>5734</v>
      </c>
      <c r="L656" t="s">
        <v>267</v>
      </c>
      <c r="M656">
        <v>280505715</v>
      </c>
      <c r="N656">
        <v>34729278</v>
      </c>
      <c r="O656">
        <v>315234993</v>
      </c>
      <c r="P656">
        <v>66787074</v>
      </c>
      <c r="Q656" t="s">
        <v>9427</v>
      </c>
      <c r="R656" t="s">
        <v>9425</v>
      </c>
      <c r="S656" t="s">
        <v>9428</v>
      </c>
      <c r="T656" t="s">
        <v>9429</v>
      </c>
      <c r="U656" t="s">
        <v>9430</v>
      </c>
      <c r="V656" t="s">
        <v>9431</v>
      </c>
      <c r="W656" t="s">
        <v>5731</v>
      </c>
      <c r="X656" t="str">
        <f t="shared" si="10"/>
        <v>Inversión</v>
      </c>
      <c r="Y656" t="s">
        <v>5735</v>
      </c>
    </row>
    <row r="657" spans="1:25" x14ac:dyDescent="0.25">
      <c r="A657" t="s">
        <v>9420</v>
      </c>
      <c r="B657" t="s">
        <v>7608</v>
      </c>
      <c r="C657" t="s">
        <v>9432</v>
      </c>
      <c r="D657" t="s">
        <v>5720</v>
      </c>
      <c r="E657" t="s">
        <v>5721</v>
      </c>
      <c r="F657" t="s">
        <v>5733</v>
      </c>
      <c r="G657" t="s">
        <v>9370</v>
      </c>
      <c r="H657" t="s">
        <v>461</v>
      </c>
      <c r="I657" t="s">
        <v>644</v>
      </c>
      <c r="J657" t="s">
        <v>273</v>
      </c>
      <c r="K657" t="s">
        <v>5734</v>
      </c>
      <c r="L657" t="s">
        <v>267</v>
      </c>
      <c r="M657">
        <v>72804720</v>
      </c>
      <c r="N657">
        <v>-14560944</v>
      </c>
      <c r="O657">
        <v>58243776</v>
      </c>
      <c r="P657">
        <v>0</v>
      </c>
      <c r="Q657" t="s">
        <v>9433</v>
      </c>
      <c r="R657" t="s">
        <v>9226</v>
      </c>
      <c r="S657" t="s">
        <v>9434</v>
      </c>
      <c r="T657" t="s">
        <v>9435</v>
      </c>
      <c r="U657" t="s">
        <v>9436</v>
      </c>
      <c r="V657" t="s">
        <v>9437</v>
      </c>
      <c r="W657" t="s">
        <v>5731</v>
      </c>
      <c r="X657" t="str">
        <f t="shared" si="10"/>
        <v>Inversión</v>
      </c>
      <c r="Y657" t="s">
        <v>5735</v>
      </c>
    </row>
    <row r="658" spans="1:25" x14ac:dyDescent="0.25">
      <c r="A658" t="s">
        <v>9272</v>
      </c>
      <c r="B658" t="s">
        <v>7622</v>
      </c>
      <c r="C658" t="s">
        <v>9438</v>
      </c>
      <c r="D658" t="s">
        <v>5720</v>
      </c>
      <c r="E658" t="s">
        <v>5721</v>
      </c>
      <c r="F658" t="s">
        <v>5733</v>
      </c>
      <c r="G658" t="s">
        <v>9370</v>
      </c>
      <c r="H658" t="s">
        <v>461</v>
      </c>
      <c r="I658" t="s">
        <v>644</v>
      </c>
      <c r="J658" t="s">
        <v>273</v>
      </c>
      <c r="K658" t="s">
        <v>5734</v>
      </c>
      <c r="L658" t="s">
        <v>267</v>
      </c>
      <c r="M658">
        <v>56101143</v>
      </c>
      <c r="N658">
        <v>-52717265</v>
      </c>
      <c r="O658">
        <v>3383878</v>
      </c>
      <c r="P658">
        <v>0</v>
      </c>
      <c r="Q658" t="s">
        <v>9439</v>
      </c>
      <c r="R658" t="s">
        <v>9272</v>
      </c>
      <c r="S658" t="s">
        <v>9108</v>
      </c>
      <c r="T658" t="s">
        <v>5945</v>
      </c>
      <c r="U658" t="s">
        <v>9440</v>
      </c>
      <c r="V658" t="s">
        <v>9441</v>
      </c>
      <c r="W658" t="s">
        <v>5731</v>
      </c>
      <c r="X658" t="str">
        <f t="shared" si="10"/>
        <v>Inversión</v>
      </c>
      <c r="Y658" t="s">
        <v>5735</v>
      </c>
    </row>
    <row r="659" spans="1:25" x14ac:dyDescent="0.25">
      <c r="A659" t="s">
        <v>9154</v>
      </c>
      <c r="B659" t="s">
        <v>7704</v>
      </c>
      <c r="C659" t="s">
        <v>9442</v>
      </c>
      <c r="D659" t="s">
        <v>5720</v>
      </c>
      <c r="E659" t="s">
        <v>5721</v>
      </c>
      <c r="F659" t="s">
        <v>5733</v>
      </c>
      <c r="G659" t="s">
        <v>9370</v>
      </c>
      <c r="H659" t="s">
        <v>461</v>
      </c>
      <c r="I659" t="s">
        <v>644</v>
      </c>
      <c r="J659" t="s">
        <v>273</v>
      </c>
      <c r="K659" t="s">
        <v>5734</v>
      </c>
      <c r="L659" t="s">
        <v>267</v>
      </c>
      <c r="M659">
        <v>57577930</v>
      </c>
      <c r="N659">
        <v>0</v>
      </c>
      <c r="O659">
        <v>57577930</v>
      </c>
      <c r="P659">
        <v>0</v>
      </c>
      <c r="Q659" t="s">
        <v>9443</v>
      </c>
      <c r="R659" t="s">
        <v>7504</v>
      </c>
      <c r="S659" t="s">
        <v>9444</v>
      </c>
      <c r="T659" t="s">
        <v>9445</v>
      </c>
      <c r="U659" t="s">
        <v>9446</v>
      </c>
      <c r="V659" t="s">
        <v>9447</v>
      </c>
      <c r="W659" t="s">
        <v>5731</v>
      </c>
      <c r="X659" t="str">
        <f t="shared" si="10"/>
        <v>Inversión</v>
      </c>
      <c r="Y659" t="s">
        <v>5735</v>
      </c>
    </row>
    <row r="660" spans="1:25" x14ac:dyDescent="0.25">
      <c r="A660" t="s">
        <v>9232</v>
      </c>
      <c r="B660" t="s">
        <v>7704</v>
      </c>
      <c r="C660" t="s">
        <v>9448</v>
      </c>
      <c r="D660" t="s">
        <v>5720</v>
      </c>
      <c r="E660" t="s">
        <v>5721</v>
      </c>
      <c r="F660" t="s">
        <v>5733</v>
      </c>
      <c r="G660" t="s">
        <v>9370</v>
      </c>
      <c r="H660" t="s">
        <v>461</v>
      </c>
      <c r="I660" t="s">
        <v>644</v>
      </c>
      <c r="J660" t="s">
        <v>273</v>
      </c>
      <c r="K660" t="s">
        <v>5734</v>
      </c>
      <c r="L660" t="s">
        <v>267</v>
      </c>
      <c r="M660">
        <v>546828100</v>
      </c>
      <c r="N660">
        <v>239562787</v>
      </c>
      <c r="O660">
        <v>786390887</v>
      </c>
      <c r="P660">
        <v>153632657</v>
      </c>
      <c r="Q660" t="s">
        <v>9449</v>
      </c>
      <c r="R660" t="s">
        <v>9233</v>
      </c>
      <c r="S660" t="s">
        <v>9450</v>
      </c>
      <c r="T660" t="s">
        <v>9451</v>
      </c>
      <c r="U660" t="s">
        <v>9452</v>
      </c>
      <c r="V660" t="s">
        <v>9453</v>
      </c>
      <c r="W660" t="s">
        <v>5731</v>
      </c>
      <c r="X660" t="str">
        <f t="shared" si="10"/>
        <v>Inversión</v>
      </c>
      <c r="Y660" t="s">
        <v>5735</v>
      </c>
    </row>
    <row r="661" spans="1:25" x14ac:dyDescent="0.25">
      <c r="A661" t="s">
        <v>9324</v>
      </c>
      <c r="B661" t="s">
        <v>7704</v>
      </c>
      <c r="C661" t="s">
        <v>9454</v>
      </c>
      <c r="D661" t="s">
        <v>5720</v>
      </c>
      <c r="E661" t="s">
        <v>5721</v>
      </c>
      <c r="F661" t="s">
        <v>5733</v>
      </c>
      <c r="G661" t="s">
        <v>9370</v>
      </c>
      <c r="H661" t="s">
        <v>461</v>
      </c>
      <c r="I661" t="s">
        <v>644</v>
      </c>
      <c r="J661" t="s">
        <v>273</v>
      </c>
      <c r="K661" t="s">
        <v>5734</v>
      </c>
      <c r="L661" t="s">
        <v>267</v>
      </c>
      <c r="M661">
        <v>328443984</v>
      </c>
      <c r="N661">
        <v>74646360</v>
      </c>
      <c r="O661">
        <v>403090344</v>
      </c>
      <c r="P661">
        <v>164221992</v>
      </c>
      <c r="Q661" t="s">
        <v>9455</v>
      </c>
      <c r="R661" t="s">
        <v>9258</v>
      </c>
      <c r="S661" t="s">
        <v>9456</v>
      </c>
      <c r="T661" t="s">
        <v>9457</v>
      </c>
      <c r="U661" t="s">
        <v>9458</v>
      </c>
      <c r="V661" t="s">
        <v>9459</v>
      </c>
      <c r="W661" t="s">
        <v>5731</v>
      </c>
      <c r="X661" t="str">
        <f t="shared" si="10"/>
        <v>Inversión</v>
      </c>
      <c r="Y661" t="s">
        <v>5735</v>
      </c>
    </row>
    <row r="662" spans="1:25" x14ac:dyDescent="0.25">
      <c r="A662" t="s">
        <v>7504</v>
      </c>
      <c r="B662" t="s">
        <v>9460</v>
      </c>
      <c r="C662" t="s">
        <v>9461</v>
      </c>
      <c r="D662" t="s">
        <v>5720</v>
      </c>
      <c r="E662" t="s">
        <v>5721</v>
      </c>
      <c r="F662" t="s">
        <v>5733</v>
      </c>
      <c r="G662" t="s">
        <v>9370</v>
      </c>
      <c r="H662" t="s">
        <v>461</v>
      </c>
      <c r="I662" t="s">
        <v>644</v>
      </c>
      <c r="J662" t="s">
        <v>273</v>
      </c>
      <c r="K662" t="s">
        <v>5734</v>
      </c>
      <c r="L662" t="s">
        <v>267</v>
      </c>
      <c r="M662">
        <v>2700000</v>
      </c>
      <c r="N662">
        <v>0</v>
      </c>
      <c r="O662">
        <v>2700000</v>
      </c>
      <c r="P662">
        <v>0</v>
      </c>
      <c r="Q662" t="s">
        <v>9462</v>
      </c>
      <c r="R662" t="s">
        <v>9122</v>
      </c>
      <c r="S662" t="s">
        <v>5921</v>
      </c>
      <c r="T662" t="s">
        <v>5717</v>
      </c>
      <c r="U662" t="s">
        <v>6335</v>
      </c>
      <c r="V662" t="s">
        <v>9463</v>
      </c>
      <c r="W662" t="s">
        <v>9464</v>
      </c>
      <c r="X662" t="str">
        <f t="shared" si="10"/>
        <v>Inversión</v>
      </c>
      <c r="Y662" t="s">
        <v>5735</v>
      </c>
    </row>
    <row r="663" spans="1:25" x14ac:dyDescent="0.25">
      <c r="A663" t="s">
        <v>9465</v>
      </c>
      <c r="B663" t="s">
        <v>8000</v>
      </c>
      <c r="C663" t="s">
        <v>9466</v>
      </c>
      <c r="D663" t="s">
        <v>5720</v>
      </c>
      <c r="E663" t="s">
        <v>5721</v>
      </c>
      <c r="F663" t="s">
        <v>5733</v>
      </c>
      <c r="G663" t="s">
        <v>9370</v>
      </c>
      <c r="H663" t="s">
        <v>461</v>
      </c>
      <c r="I663" t="s">
        <v>644</v>
      </c>
      <c r="J663" t="s">
        <v>273</v>
      </c>
      <c r="K663" t="s">
        <v>5734</v>
      </c>
      <c r="L663" t="s">
        <v>267</v>
      </c>
      <c r="M663">
        <v>161218204</v>
      </c>
      <c r="N663">
        <v>14394483</v>
      </c>
      <c r="O663">
        <v>175612687</v>
      </c>
      <c r="P663">
        <v>14394483</v>
      </c>
      <c r="Q663" t="s">
        <v>9467</v>
      </c>
      <c r="R663" t="s">
        <v>9090</v>
      </c>
      <c r="S663" t="s">
        <v>9468</v>
      </c>
      <c r="T663" t="s">
        <v>9469</v>
      </c>
      <c r="U663" t="s">
        <v>9470</v>
      </c>
      <c r="V663" t="s">
        <v>9471</v>
      </c>
      <c r="W663" t="s">
        <v>5731</v>
      </c>
      <c r="X663" t="str">
        <f t="shared" si="10"/>
        <v>Inversión</v>
      </c>
      <c r="Y663" t="s">
        <v>5735</v>
      </c>
    </row>
    <row r="664" spans="1:25" x14ac:dyDescent="0.25">
      <c r="A664" t="s">
        <v>7381</v>
      </c>
      <c r="B664" t="s">
        <v>9472</v>
      </c>
      <c r="C664" t="s">
        <v>9473</v>
      </c>
      <c r="D664" t="s">
        <v>5720</v>
      </c>
      <c r="E664" t="s">
        <v>5721</v>
      </c>
      <c r="F664" t="s">
        <v>5733</v>
      </c>
      <c r="G664" t="s">
        <v>9370</v>
      </c>
      <c r="H664" t="s">
        <v>461</v>
      </c>
      <c r="I664" t="s">
        <v>644</v>
      </c>
      <c r="J664" t="s">
        <v>273</v>
      </c>
      <c r="K664" t="s">
        <v>5734</v>
      </c>
      <c r="L664" t="s">
        <v>267</v>
      </c>
      <c r="M664">
        <v>283250000</v>
      </c>
      <c r="N664">
        <v>128689921</v>
      </c>
      <c r="O664">
        <v>411939921</v>
      </c>
      <c r="P664">
        <v>185339921</v>
      </c>
      <c r="Q664" t="s">
        <v>9474</v>
      </c>
      <c r="R664" t="s">
        <v>9093</v>
      </c>
      <c r="S664" t="s">
        <v>9475</v>
      </c>
      <c r="T664" t="s">
        <v>9476</v>
      </c>
      <c r="U664" t="s">
        <v>9477</v>
      </c>
      <c r="V664" t="s">
        <v>9478</v>
      </c>
      <c r="W664" t="s">
        <v>5731</v>
      </c>
      <c r="X664" t="str">
        <f t="shared" si="10"/>
        <v>Inversión</v>
      </c>
      <c r="Y664" t="s">
        <v>5735</v>
      </c>
    </row>
    <row r="665" spans="1:25" x14ac:dyDescent="0.25">
      <c r="A665" t="s">
        <v>9122</v>
      </c>
      <c r="B665" t="s">
        <v>8319</v>
      </c>
      <c r="C665" t="s">
        <v>9479</v>
      </c>
      <c r="D665" t="s">
        <v>5720</v>
      </c>
      <c r="E665" t="s">
        <v>5721</v>
      </c>
      <c r="F665" t="s">
        <v>5733</v>
      </c>
      <c r="G665" t="s">
        <v>9370</v>
      </c>
      <c r="H665" t="s">
        <v>461</v>
      </c>
      <c r="I665" t="s">
        <v>644</v>
      </c>
      <c r="J665" t="s">
        <v>273</v>
      </c>
      <c r="K665" t="s">
        <v>5734</v>
      </c>
      <c r="L665" t="s">
        <v>267</v>
      </c>
      <c r="M665">
        <v>40072245</v>
      </c>
      <c r="N665">
        <v>9439240</v>
      </c>
      <c r="O665">
        <v>49511485</v>
      </c>
      <c r="P665">
        <v>9439240</v>
      </c>
      <c r="Q665" t="s">
        <v>9480</v>
      </c>
      <c r="R665" t="s">
        <v>9108</v>
      </c>
      <c r="S665" t="s">
        <v>9481</v>
      </c>
      <c r="T665" t="s">
        <v>9482</v>
      </c>
      <c r="U665" t="s">
        <v>9483</v>
      </c>
      <c r="V665" t="s">
        <v>9484</v>
      </c>
      <c r="W665" t="s">
        <v>5731</v>
      </c>
      <c r="X665" t="str">
        <f t="shared" si="10"/>
        <v>Inversión</v>
      </c>
      <c r="Y665" t="s">
        <v>5735</v>
      </c>
    </row>
    <row r="666" spans="1:25" x14ac:dyDescent="0.25">
      <c r="A666" t="s">
        <v>9090</v>
      </c>
      <c r="B666" t="s">
        <v>8319</v>
      </c>
      <c r="C666" t="s">
        <v>9485</v>
      </c>
      <c r="D666" t="s">
        <v>5720</v>
      </c>
      <c r="E666" t="s">
        <v>5721</v>
      </c>
      <c r="F666" t="s">
        <v>5733</v>
      </c>
      <c r="G666" t="s">
        <v>9370</v>
      </c>
      <c r="H666" t="s">
        <v>461</v>
      </c>
      <c r="I666" t="s">
        <v>644</v>
      </c>
      <c r="J666" t="s">
        <v>273</v>
      </c>
      <c r="K666" t="s">
        <v>5734</v>
      </c>
      <c r="L666" t="s">
        <v>267</v>
      </c>
      <c r="M666">
        <v>36050000</v>
      </c>
      <c r="N666">
        <v>12737666</v>
      </c>
      <c r="O666">
        <v>48787666</v>
      </c>
      <c r="P666">
        <v>12737666</v>
      </c>
      <c r="Q666" t="s">
        <v>9486</v>
      </c>
      <c r="R666" t="s">
        <v>9178</v>
      </c>
      <c r="S666" t="s">
        <v>9487</v>
      </c>
      <c r="T666" t="s">
        <v>9488</v>
      </c>
      <c r="U666" t="s">
        <v>9489</v>
      </c>
      <c r="V666" t="s">
        <v>9490</v>
      </c>
      <c r="W666" t="s">
        <v>5731</v>
      </c>
      <c r="X666" t="str">
        <f t="shared" si="10"/>
        <v>Inversión</v>
      </c>
      <c r="Y666" t="s">
        <v>5735</v>
      </c>
    </row>
    <row r="667" spans="1:25" x14ac:dyDescent="0.25">
      <c r="A667" t="s">
        <v>9093</v>
      </c>
      <c r="B667" t="s">
        <v>8442</v>
      </c>
      <c r="C667" t="s">
        <v>9491</v>
      </c>
      <c r="D667" t="s">
        <v>5720</v>
      </c>
      <c r="E667" t="s">
        <v>5721</v>
      </c>
      <c r="F667" t="s">
        <v>5733</v>
      </c>
      <c r="G667" t="s">
        <v>9370</v>
      </c>
      <c r="H667" t="s">
        <v>461</v>
      </c>
      <c r="I667" t="s">
        <v>644</v>
      </c>
      <c r="J667" t="s">
        <v>273</v>
      </c>
      <c r="K667" t="s">
        <v>5734</v>
      </c>
      <c r="L667" t="s">
        <v>267</v>
      </c>
      <c r="M667">
        <v>2700000</v>
      </c>
      <c r="N667">
        <v>0</v>
      </c>
      <c r="O667">
        <v>2700000</v>
      </c>
      <c r="P667">
        <v>524000</v>
      </c>
      <c r="Q667" t="s">
        <v>9462</v>
      </c>
      <c r="R667" t="s">
        <v>9111</v>
      </c>
      <c r="S667" t="s">
        <v>6388</v>
      </c>
      <c r="T667" t="s">
        <v>6231</v>
      </c>
      <c r="U667" t="s">
        <v>7254</v>
      </c>
      <c r="V667" t="s">
        <v>9492</v>
      </c>
      <c r="W667" t="s">
        <v>5835</v>
      </c>
      <c r="X667" t="str">
        <f t="shared" si="10"/>
        <v>Inversión</v>
      </c>
      <c r="Y667" t="s">
        <v>5735</v>
      </c>
    </row>
    <row r="668" spans="1:25" x14ac:dyDescent="0.25">
      <c r="A668" t="s">
        <v>9182</v>
      </c>
      <c r="B668" t="s">
        <v>9493</v>
      </c>
      <c r="C668" t="s">
        <v>9494</v>
      </c>
      <c r="D668" t="s">
        <v>5720</v>
      </c>
      <c r="E668" t="s">
        <v>5721</v>
      </c>
      <c r="F668" t="s">
        <v>5733</v>
      </c>
      <c r="G668" t="s">
        <v>9370</v>
      </c>
      <c r="H668" t="s">
        <v>461</v>
      </c>
      <c r="I668" t="s">
        <v>644</v>
      </c>
      <c r="J668" t="s">
        <v>273</v>
      </c>
      <c r="K668" t="s">
        <v>5734</v>
      </c>
      <c r="L668" t="s">
        <v>267</v>
      </c>
      <c r="M668">
        <v>5000000</v>
      </c>
      <c r="N668">
        <v>0</v>
      </c>
      <c r="O668">
        <v>5000000</v>
      </c>
      <c r="P668">
        <v>2400000</v>
      </c>
      <c r="Q668" t="s">
        <v>9495</v>
      </c>
      <c r="R668" t="s">
        <v>5749</v>
      </c>
      <c r="S668" t="s">
        <v>6449</v>
      </c>
      <c r="T668" t="s">
        <v>7525</v>
      </c>
      <c r="U668" t="s">
        <v>6840</v>
      </c>
      <c r="V668" t="s">
        <v>9496</v>
      </c>
      <c r="W668" t="s">
        <v>5731</v>
      </c>
      <c r="X668" t="str">
        <f t="shared" si="10"/>
        <v>Inversión</v>
      </c>
      <c r="Y668" t="s">
        <v>5735</v>
      </c>
    </row>
    <row r="669" spans="1:25" x14ac:dyDescent="0.25">
      <c r="A669" t="s">
        <v>9098</v>
      </c>
      <c r="B669" t="s">
        <v>9493</v>
      </c>
      <c r="C669" t="s">
        <v>9497</v>
      </c>
      <c r="D669" t="s">
        <v>5720</v>
      </c>
      <c r="E669" t="s">
        <v>5737</v>
      </c>
      <c r="F669" t="s">
        <v>5733</v>
      </c>
      <c r="G669" t="s">
        <v>9370</v>
      </c>
      <c r="H669" t="s">
        <v>461</v>
      </c>
      <c r="I669" t="s">
        <v>644</v>
      </c>
      <c r="J669" t="s">
        <v>273</v>
      </c>
      <c r="K669" t="s">
        <v>5734</v>
      </c>
      <c r="L669" t="s">
        <v>267</v>
      </c>
      <c r="M669">
        <v>6062087</v>
      </c>
      <c r="N669">
        <v>0</v>
      </c>
      <c r="O669">
        <v>6062087</v>
      </c>
      <c r="P669">
        <v>6062087</v>
      </c>
      <c r="Q669" t="s">
        <v>9498</v>
      </c>
      <c r="R669" t="s">
        <v>5756</v>
      </c>
      <c r="S669" t="s">
        <v>5731</v>
      </c>
      <c r="T669" t="s">
        <v>5731</v>
      </c>
      <c r="U669" t="s">
        <v>5731</v>
      </c>
      <c r="V669" t="s">
        <v>5731</v>
      </c>
      <c r="W669" t="s">
        <v>5731</v>
      </c>
      <c r="X669" t="str">
        <f t="shared" si="10"/>
        <v>Inversión</v>
      </c>
      <c r="Y669" t="s">
        <v>5735</v>
      </c>
    </row>
    <row r="670" spans="1:25" x14ac:dyDescent="0.25">
      <c r="A670" t="s">
        <v>5726</v>
      </c>
      <c r="B670" t="s">
        <v>8807</v>
      </c>
      <c r="C670" t="s">
        <v>9499</v>
      </c>
      <c r="D670" t="s">
        <v>5720</v>
      </c>
      <c r="E670" t="s">
        <v>5721</v>
      </c>
      <c r="F670" t="s">
        <v>5733</v>
      </c>
      <c r="G670" t="s">
        <v>9370</v>
      </c>
      <c r="H670" t="s">
        <v>461</v>
      </c>
      <c r="I670" t="s">
        <v>644</v>
      </c>
      <c r="J670" t="s">
        <v>273</v>
      </c>
      <c r="K670" t="s">
        <v>5734</v>
      </c>
      <c r="L670" t="s">
        <v>267</v>
      </c>
      <c r="M670">
        <v>349969984</v>
      </c>
      <c r="N670">
        <v>0</v>
      </c>
      <c r="O670">
        <v>349969984</v>
      </c>
      <c r="P670">
        <v>0</v>
      </c>
      <c r="Q670" t="s">
        <v>9500</v>
      </c>
      <c r="R670" t="s">
        <v>5784</v>
      </c>
      <c r="S670" t="s">
        <v>9501</v>
      </c>
      <c r="T670" t="s">
        <v>9502</v>
      </c>
      <c r="U670" t="s">
        <v>9503</v>
      </c>
      <c r="V670" t="s">
        <v>9504</v>
      </c>
      <c r="W670" t="s">
        <v>5731</v>
      </c>
      <c r="X670" t="str">
        <f t="shared" si="10"/>
        <v>Inversión</v>
      </c>
      <c r="Y670" t="s">
        <v>5735</v>
      </c>
    </row>
    <row r="671" spans="1:25" x14ac:dyDescent="0.25">
      <c r="A671" t="s">
        <v>5742</v>
      </c>
      <c r="B671" t="s">
        <v>8807</v>
      </c>
      <c r="C671" t="s">
        <v>9505</v>
      </c>
      <c r="D671" t="s">
        <v>5720</v>
      </c>
      <c r="E671" t="s">
        <v>5721</v>
      </c>
      <c r="F671" t="s">
        <v>5733</v>
      </c>
      <c r="G671" t="s">
        <v>9370</v>
      </c>
      <c r="H671" t="s">
        <v>461</v>
      </c>
      <c r="I671" t="s">
        <v>644</v>
      </c>
      <c r="J671" t="s">
        <v>273</v>
      </c>
      <c r="K671" t="s">
        <v>5734</v>
      </c>
      <c r="L671" t="s">
        <v>267</v>
      </c>
      <c r="M671">
        <v>56650000</v>
      </c>
      <c r="N671">
        <v>0</v>
      </c>
      <c r="O671">
        <v>56650000</v>
      </c>
      <c r="P671">
        <v>22660000</v>
      </c>
      <c r="Q671" t="s">
        <v>9500</v>
      </c>
      <c r="R671" t="s">
        <v>5787</v>
      </c>
      <c r="S671" t="s">
        <v>9506</v>
      </c>
      <c r="T671" t="s">
        <v>5731</v>
      </c>
      <c r="U671" t="s">
        <v>5731</v>
      </c>
      <c r="V671" t="s">
        <v>5731</v>
      </c>
      <c r="W671" t="s">
        <v>5731</v>
      </c>
      <c r="X671" t="str">
        <f t="shared" si="10"/>
        <v>Inversión</v>
      </c>
      <c r="Y671" t="s">
        <v>5735</v>
      </c>
    </row>
    <row r="672" spans="1:25" x14ac:dyDescent="0.25">
      <c r="A672" t="s">
        <v>5749</v>
      </c>
      <c r="B672" t="s">
        <v>8807</v>
      </c>
      <c r="C672" t="s">
        <v>9507</v>
      </c>
      <c r="D672" t="s">
        <v>5720</v>
      </c>
      <c r="E672" t="s">
        <v>5721</v>
      </c>
      <c r="F672" t="s">
        <v>5733</v>
      </c>
      <c r="G672" t="s">
        <v>9370</v>
      </c>
      <c r="H672" t="s">
        <v>461</v>
      </c>
      <c r="I672" t="s">
        <v>644</v>
      </c>
      <c r="J672" t="s">
        <v>273</v>
      </c>
      <c r="K672" t="s">
        <v>5734</v>
      </c>
      <c r="L672" t="s">
        <v>267</v>
      </c>
      <c r="M672">
        <v>13357415</v>
      </c>
      <c r="N672">
        <v>0</v>
      </c>
      <c r="O672">
        <v>13357415</v>
      </c>
      <c r="P672">
        <v>0</v>
      </c>
      <c r="Q672" t="s">
        <v>9508</v>
      </c>
      <c r="R672" t="s">
        <v>5740</v>
      </c>
      <c r="S672" t="s">
        <v>6602</v>
      </c>
      <c r="T672" t="s">
        <v>7487</v>
      </c>
      <c r="U672" t="s">
        <v>8956</v>
      </c>
      <c r="V672" t="s">
        <v>9509</v>
      </c>
      <c r="W672" t="s">
        <v>5731</v>
      </c>
      <c r="X672" t="str">
        <f t="shared" si="10"/>
        <v>Inversión</v>
      </c>
      <c r="Y672" t="s">
        <v>5735</v>
      </c>
    </row>
    <row r="673" spans="1:25" x14ac:dyDescent="0.25">
      <c r="A673" t="s">
        <v>5756</v>
      </c>
      <c r="B673" t="s">
        <v>8807</v>
      </c>
      <c r="C673" t="s">
        <v>9510</v>
      </c>
      <c r="D673" t="s">
        <v>5720</v>
      </c>
      <c r="E673" t="s">
        <v>5721</v>
      </c>
      <c r="F673" t="s">
        <v>5733</v>
      </c>
      <c r="G673" t="s">
        <v>9370</v>
      </c>
      <c r="H673" t="s">
        <v>461</v>
      </c>
      <c r="I673" t="s">
        <v>644</v>
      </c>
      <c r="J673" t="s">
        <v>273</v>
      </c>
      <c r="K673" t="s">
        <v>5734</v>
      </c>
      <c r="L673" t="s">
        <v>267</v>
      </c>
      <c r="M673">
        <v>72100000</v>
      </c>
      <c r="N673">
        <v>0</v>
      </c>
      <c r="O673">
        <v>72100000</v>
      </c>
      <c r="P673">
        <v>12497336</v>
      </c>
      <c r="Q673" t="s">
        <v>9511</v>
      </c>
      <c r="R673" t="s">
        <v>5794</v>
      </c>
      <c r="S673" t="s">
        <v>9512</v>
      </c>
      <c r="T673" t="s">
        <v>9513</v>
      </c>
      <c r="U673" t="s">
        <v>9514</v>
      </c>
      <c r="V673" t="s">
        <v>9515</v>
      </c>
      <c r="W673" t="s">
        <v>5731</v>
      </c>
      <c r="X673" t="str">
        <f t="shared" si="10"/>
        <v>Inversión</v>
      </c>
      <c r="Y673" t="s">
        <v>5735</v>
      </c>
    </row>
    <row r="674" spans="1:25" x14ac:dyDescent="0.25">
      <c r="A674" t="s">
        <v>5763</v>
      </c>
      <c r="B674" t="s">
        <v>8807</v>
      </c>
      <c r="C674" t="s">
        <v>9516</v>
      </c>
      <c r="D674" t="s">
        <v>5720</v>
      </c>
      <c r="E674" t="s">
        <v>5721</v>
      </c>
      <c r="F674" t="s">
        <v>5733</v>
      </c>
      <c r="G674" t="s">
        <v>9370</v>
      </c>
      <c r="H674" t="s">
        <v>461</v>
      </c>
      <c r="I674" t="s">
        <v>644</v>
      </c>
      <c r="J674" t="s">
        <v>273</v>
      </c>
      <c r="K674" t="s">
        <v>5734</v>
      </c>
      <c r="L674" t="s">
        <v>267</v>
      </c>
      <c r="M674">
        <v>17012430</v>
      </c>
      <c r="N674">
        <v>0</v>
      </c>
      <c r="O674">
        <v>17012430</v>
      </c>
      <c r="P674">
        <v>2268325</v>
      </c>
      <c r="Q674" t="s">
        <v>9517</v>
      </c>
      <c r="R674" t="s">
        <v>5848</v>
      </c>
      <c r="S674" t="s">
        <v>9518</v>
      </c>
      <c r="T674" t="s">
        <v>8512</v>
      </c>
      <c r="U674" t="s">
        <v>8995</v>
      </c>
      <c r="V674" t="s">
        <v>9519</v>
      </c>
      <c r="W674" t="s">
        <v>5731</v>
      </c>
      <c r="X674" t="str">
        <f t="shared" si="10"/>
        <v>Inversión</v>
      </c>
      <c r="Y674" t="s">
        <v>5735</v>
      </c>
    </row>
    <row r="675" spans="1:25" x14ac:dyDescent="0.25">
      <c r="A675" t="s">
        <v>5835</v>
      </c>
      <c r="B675" t="s">
        <v>9082</v>
      </c>
      <c r="C675" t="s">
        <v>9520</v>
      </c>
      <c r="D675" t="s">
        <v>5720</v>
      </c>
      <c r="E675" t="s">
        <v>5721</v>
      </c>
      <c r="F675" t="s">
        <v>5733</v>
      </c>
      <c r="G675" t="s">
        <v>9521</v>
      </c>
      <c r="H675" t="s">
        <v>461</v>
      </c>
      <c r="I675" t="s">
        <v>644</v>
      </c>
      <c r="J675" t="s">
        <v>266</v>
      </c>
      <c r="K675" t="s">
        <v>5724</v>
      </c>
      <c r="L675" t="s">
        <v>267</v>
      </c>
      <c r="M675">
        <v>221921918</v>
      </c>
      <c r="N675">
        <v>0</v>
      </c>
      <c r="O675">
        <v>221921918</v>
      </c>
      <c r="P675">
        <v>745984</v>
      </c>
      <c r="Q675" t="s">
        <v>9522</v>
      </c>
      <c r="R675" t="s">
        <v>5835</v>
      </c>
      <c r="S675" t="s">
        <v>9523</v>
      </c>
      <c r="T675" t="s">
        <v>9524</v>
      </c>
      <c r="U675" t="s">
        <v>9525</v>
      </c>
      <c r="V675" t="s">
        <v>9526</v>
      </c>
      <c r="W675" t="s">
        <v>9089</v>
      </c>
      <c r="X675" t="str">
        <f t="shared" si="10"/>
        <v>Inversión</v>
      </c>
      <c r="Y675" t="s">
        <v>5735</v>
      </c>
    </row>
    <row r="676" spans="1:25" x14ac:dyDescent="0.25">
      <c r="A676" t="s">
        <v>5809</v>
      </c>
      <c r="B676" t="s">
        <v>9082</v>
      </c>
      <c r="C676" t="s">
        <v>9527</v>
      </c>
      <c r="D676" t="s">
        <v>5720</v>
      </c>
      <c r="E676" t="s">
        <v>5721</v>
      </c>
      <c r="F676" t="s">
        <v>6619</v>
      </c>
      <c r="G676" t="s">
        <v>9521</v>
      </c>
      <c r="H676" t="s">
        <v>455</v>
      </c>
      <c r="I676" t="s">
        <v>643</v>
      </c>
      <c r="J676" t="s">
        <v>273</v>
      </c>
      <c r="K676" t="s">
        <v>5734</v>
      </c>
      <c r="L676" t="s">
        <v>267</v>
      </c>
      <c r="M676">
        <v>119708000</v>
      </c>
      <c r="N676">
        <v>0</v>
      </c>
      <c r="O676">
        <v>119708000</v>
      </c>
      <c r="P676">
        <v>20</v>
      </c>
      <c r="Q676" t="s">
        <v>9528</v>
      </c>
      <c r="R676" t="s">
        <v>5809</v>
      </c>
      <c r="S676" t="s">
        <v>9529</v>
      </c>
      <c r="T676" t="s">
        <v>9530</v>
      </c>
      <c r="U676" t="s">
        <v>9531</v>
      </c>
      <c r="V676" t="s">
        <v>9532</v>
      </c>
      <c r="W676" t="s">
        <v>5731</v>
      </c>
      <c r="X676" t="str">
        <f t="shared" si="10"/>
        <v>Inversión</v>
      </c>
      <c r="Y676" t="s">
        <v>6626</v>
      </c>
    </row>
    <row r="677" spans="1:25" x14ac:dyDescent="0.25">
      <c r="A677" t="s">
        <v>9228</v>
      </c>
      <c r="B677" t="s">
        <v>8175</v>
      </c>
      <c r="C677" t="s">
        <v>9533</v>
      </c>
      <c r="D677" t="s">
        <v>5720</v>
      </c>
      <c r="E677" t="s">
        <v>5721</v>
      </c>
      <c r="F677" t="s">
        <v>5733</v>
      </c>
      <c r="G677" t="s">
        <v>9521</v>
      </c>
      <c r="H677" t="s">
        <v>461</v>
      </c>
      <c r="I677" t="s">
        <v>644</v>
      </c>
      <c r="J677" t="s">
        <v>273</v>
      </c>
      <c r="K677" t="s">
        <v>5734</v>
      </c>
      <c r="L677" t="s">
        <v>267</v>
      </c>
      <c r="M677">
        <v>6294645</v>
      </c>
      <c r="N677">
        <v>0</v>
      </c>
      <c r="O677">
        <v>6294645</v>
      </c>
      <c r="P677">
        <v>0</v>
      </c>
      <c r="Q677" t="s">
        <v>9534</v>
      </c>
      <c r="R677" t="s">
        <v>9420</v>
      </c>
      <c r="S677" t="s">
        <v>5839</v>
      </c>
      <c r="T677" t="s">
        <v>5731</v>
      </c>
      <c r="U677" t="s">
        <v>5731</v>
      </c>
      <c r="V677" t="s">
        <v>5731</v>
      </c>
      <c r="W677" t="s">
        <v>5731</v>
      </c>
      <c r="X677" t="str">
        <f t="shared" si="10"/>
        <v>Inversión</v>
      </c>
      <c r="Y677" t="s">
        <v>5735</v>
      </c>
    </row>
    <row r="678" spans="1:25" x14ac:dyDescent="0.25">
      <c r="A678" t="s">
        <v>9146</v>
      </c>
      <c r="B678" t="s">
        <v>8784</v>
      </c>
      <c r="C678" t="s">
        <v>9535</v>
      </c>
      <c r="D678" t="s">
        <v>5720</v>
      </c>
      <c r="E678" t="s">
        <v>5721</v>
      </c>
      <c r="F678" t="s">
        <v>5733</v>
      </c>
      <c r="G678" t="s">
        <v>9521</v>
      </c>
      <c r="H678" t="s">
        <v>461</v>
      </c>
      <c r="I678" t="s">
        <v>644</v>
      </c>
      <c r="J678" t="s">
        <v>266</v>
      </c>
      <c r="K678" t="s">
        <v>5724</v>
      </c>
      <c r="L678" t="s">
        <v>267</v>
      </c>
      <c r="M678">
        <v>4008949</v>
      </c>
      <c r="N678">
        <v>0</v>
      </c>
      <c r="O678">
        <v>4008949</v>
      </c>
      <c r="P678">
        <v>0</v>
      </c>
      <c r="Q678" t="s">
        <v>9536</v>
      </c>
      <c r="R678" t="s">
        <v>9465</v>
      </c>
      <c r="S678" t="s">
        <v>9537</v>
      </c>
      <c r="T678" t="s">
        <v>9538</v>
      </c>
      <c r="U678" t="s">
        <v>9539</v>
      </c>
      <c r="V678" t="s">
        <v>9540</v>
      </c>
      <c r="W678" t="s">
        <v>5731</v>
      </c>
      <c r="X678" t="str">
        <f t="shared" si="10"/>
        <v>Inversión</v>
      </c>
      <c r="Y678" t="s">
        <v>5735</v>
      </c>
    </row>
    <row r="679" spans="1:25" x14ac:dyDescent="0.25">
      <c r="A679" t="s">
        <v>9122</v>
      </c>
      <c r="B679" t="s">
        <v>9352</v>
      </c>
      <c r="C679" t="s">
        <v>9541</v>
      </c>
      <c r="D679" t="s">
        <v>5720</v>
      </c>
      <c r="E679" t="s">
        <v>5721</v>
      </c>
      <c r="F679" t="s">
        <v>5733</v>
      </c>
      <c r="G679" t="s">
        <v>9521</v>
      </c>
      <c r="H679" t="s">
        <v>461</v>
      </c>
      <c r="I679" t="s">
        <v>644</v>
      </c>
      <c r="J679" t="s">
        <v>273</v>
      </c>
      <c r="K679" t="s">
        <v>5734</v>
      </c>
      <c r="L679" t="s">
        <v>267</v>
      </c>
      <c r="M679">
        <v>104283756</v>
      </c>
      <c r="N679">
        <v>0</v>
      </c>
      <c r="O679">
        <v>104283756</v>
      </c>
      <c r="P679">
        <v>101119691</v>
      </c>
      <c r="Q679" t="s">
        <v>9542</v>
      </c>
      <c r="R679" t="s">
        <v>9122</v>
      </c>
      <c r="S679" t="s">
        <v>9543</v>
      </c>
      <c r="T679" t="s">
        <v>5731</v>
      </c>
      <c r="U679" t="s">
        <v>5731</v>
      </c>
      <c r="V679" t="s">
        <v>5731</v>
      </c>
      <c r="W679" t="s">
        <v>5731</v>
      </c>
      <c r="X679" t="str">
        <f t="shared" si="10"/>
        <v>Inversión</v>
      </c>
      <c r="Y679" t="s">
        <v>5735</v>
      </c>
    </row>
    <row r="680" spans="1:25" x14ac:dyDescent="0.25">
      <c r="A680" t="s">
        <v>9326</v>
      </c>
      <c r="B680" t="s">
        <v>6684</v>
      </c>
      <c r="C680" t="s">
        <v>9544</v>
      </c>
      <c r="D680" t="s">
        <v>5720</v>
      </c>
      <c r="E680" t="s">
        <v>5721</v>
      </c>
      <c r="F680" t="s">
        <v>5733</v>
      </c>
      <c r="G680" t="s">
        <v>9545</v>
      </c>
      <c r="H680" t="s">
        <v>461</v>
      </c>
      <c r="I680" t="s">
        <v>644</v>
      </c>
      <c r="J680" t="s">
        <v>266</v>
      </c>
      <c r="K680" t="s">
        <v>5724</v>
      </c>
      <c r="L680" t="s">
        <v>267</v>
      </c>
      <c r="M680">
        <v>139102654</v>
      </c>
      <c r="N680">
        <v>0</v>
      </c>
      <c r="O680">
        <v>139102654</v>
      </c>
      <c r="P680">
        <v>0</v>
      </c>
      <c r="Q680" t="s">
        <v>9546</v>
      </c>
      <c r="R680" t="s">
        <v>9326</v>
      </c>
      <c r="S680" t="s">
        <v>9547</v>
      </c>
      <c r="T680" t="s">
        <v>9548</v>
      </c>
      <c r="U680" t="s">
        <v>9549</v>
      </c>
      <c r="V680" t="s">
        <v>9550</v>
      </c>
      <c r="W680" t="s">
        <v>5731</v>
      </c>
      <c r="X680" t="str">
        <f t="shared" si="10"/>
        <v>Inversión</v>
      </c>
      <c r="Y680" t="s">
        <v>5735</v>
      </c>
    </row>
    <row r="681" spans="1:25" x14ac:dyDescent="0.25">
      <c r="A681" t="s">
        <v>9202</v>
      </c>
      <c r="B681" t="s">
        <v>6684</v>
      </c>
      <c r="C681" t="s">
        <v>9551</v>
      </c>
      <c r="D681" t="s">
        <v>5720</v>
      </c>
      <c r="E681" t="s">
        <v>5721</v>
      </c>
      <c r="F681" t="s">
        <v>5733</v>
      </c>
      <c r="G681" t="s">
        <v>9545</v>
      </c>
      <c r="H681" t="s">
        <v>461</v>
      </c>
      <c r="I681" t="s">
        <v>644</v>
      </c>
      <c r="J681" t="s">
        <v>266</v>
      </c>
      <c r="K681" t="s">
        <v>5724</v>
      </c>
      <c r="L681" t="s">
        <v>267</v>
      </c>
      <c r="M681">
        <v>47604302</v>
      </c>
      <c r="N681">
        <v>0</v>
      </c>
      <c r="O681">
        <v>47604302</v>
      </c>
      <c r="P681">
        <v>302250</v>
      </c>
      <c r="Q681" t="s">
        <v>9552</v>
      </c>
      <c r="R681" t="s">
        <v>9202</v>
      </c>
      <c r="S681" t="s">
        <v>9553</v>
      </c>
      <c r="T681" t="s">
        <v>9554</v>
      </c>
      <c r="U681" t="s">
        <v>9555</v>
      </c>
      <c r="V681" t="s">
        <v>9556</v>
      </c>
      <c r="W681" t="s">
        <v>5731</v>
      </c>
      <c r="X681" t="str">
        <f t="shared" si="10"/>
        <v>Inversión</v>
      </c>
      <c r="Y681" t="s">
        <v>5735</v>
      </c>
    </row>
    <row r="682" spans="1:25" x14ac:dyDescent="0.25">
      <c r="A682" t="s">
        <v>9236</v>
      </c>
      <c r="B682" t="s">
        <v>6684</v>
      </c>
      <c r="C682" t="s">
        <v>9557</v>
      </c>
      <c r="D682" t="s">
        <v>5720</v>
      </c>
      <c r="E682" t="s">
        <v>5721</v>
      </c>
      <c r="F682" t="s">
        <v>5733</v>
      </c>
      <c r="G682" t="s">
        <v>9545</v>
      </c>
      <c r="H682" t="s">
        <v>461</v>
      </c>
      <c r="I682" t="s">
        <v>644</v>
      </c>
      <c r="J682" t="s">
        <v>266</v>
      </c>
      <c r="K682" t="s">
        <v>5724</v>
      </c>
      <c r="L682" t="s">
        <v>267</v>
      </c>
      <c r="M682">
        <v>8718018</v>
      </c>
      <c r="N682">
        <v>0</v>
      </c>
      <c r="O682">
        <v>8718018</v>
      </c>
      <c r="P682">
        <v>7833697</v>
      </c>
      <c r="Q682" t="s">
        <v>9558</v>
      </c>
      <c r="R682" t="s">
        <v>9236</v>
      </c>
      <c r="S682" t="s">
        <v>9559</v>
      </c>
      <c r="T682" t="s">
        <v>9560</v>
      </c>
      <c r="U682" t="s">
        <v>9561</v>
      </c>
      <c r="V682" t="s">
        <v>9562</v>
      </c>
      <c r="W682" t="s">
        <v>5731</v>
      </c>
      <c r="X682" t="str">
        <f t="shared" si="10"/>
        <v>Inversión</v>
      </c>
      <c r="Y682" t="s">
        <v>5735</v>
      </c>
    </row>
    <row r="683" spans="1:25" x14ac:dyDescent="0.25">
      <c r="A683" t="s">
        <v>5835</v>
      </c>
      <c r="B683" t="s">
        <v>6684</v>
      </c>
      <c r="C683" t="s">
        <v>9563</v>
      </c>
      <c r="D683" t="s">
        <v>5720</v>
      </c>
      <c r="E683" t="s">
        <v>5721</v>
      </c>
      <c r="F683" t="s">
        <v>6619</v>
      </c>
      <c r="G683" t="s">
        <v>9545</v>
      </c>
      <c r="H683" t="s">
        <v>455</v>
      </c>
      <c r="I683" t="s">
        <v>643</v>
      </c>
      <c r="J683" t="s">
        <v>273</v>
      </c>
      <c r="K683" t="s">
        <v>5734</v>
      </c>
      <c r="L683" t="s">
        <v>267</v>
      </c>
      <c r="M683">
        <v>36402300</v>
      </c>
      <c r="N683">
        <v>0</v>
      </c>
      <c r="O683">
        <v>36402300</v>
      </c>
      <c r="P683">
        <v>0</v>
      </c>
      <c r="Q683" t="s">
        <v>9564</v>
      </c>
      <c r="R683" t="s">
        <v>5835</v>
      </c>
      <c r="S683" t="s">
        <v>9075</v>
      </c>
      <c r="T683" t="s">
        <v>9420</v>
      </c>
      <c r="U683" t="s">
        <v>9565</v>
      </c>
      <c r="V683" t="s">
        <v>9566</v>
      </c>
      <c r="W683" t="s">
        <v>5731</v>
      </c>
      <c r="X683" t="str">
        <f t="shared" si="10"/>
        <v>Inversión</v>
      </c>
      <c r="Y683" t="s">
        <v>6626</v>
      </c>
    </row>
    <row r="684" spans="1:25" x14ac:dyDescent="0.25">
      <c r="A684" t="s">
        <v>5844</v>
      </c>
      <c r="B684" t="s">
        <v>7582</v>
      </c>
      <c r="C684" t="s">
        <v>9567</v>
      </c>
      <c r="D684" t="s">
        <v>5720</v>
      </c>
      <c r="E684" t="s">
        <v>5721</v>
      </c>
      <c r="F684" t="s">
        <v>6619</v>
      </c>
      <c r="G684" t="s">
        <v>9545</v>
      </c>
      <c r="H684" t="s">
        <v>455</v>
      </c>
      <c r="I684" t="s">
        <v>643</v>
      </c>
      <c r="J684" t="s">
        <v>273</v>
      </c>
      <c r="K684" t="s">
        <v>5734</v>
      </c>
      <c r="L684" t="s">
        <v>267</v>
      </c>
      <c r="M684">
        <v>3597700</v>
      </c>
      <c r="N684">
        <v>-597700</v>
      </c>
      <c r="O684">
        <v>3000000</v>
      </c>
      <c r="P684">
        <v>100500</v>
      </c>
      <c r="Q684" t="s">
        <v>9568</v>
      </c>
      <c r="R684" t="s">
        <v>5844</v>
      </c>
      <c r="S684" t="s">
        <v>9569</v>
      </c>
      <c r="T684" t="s">
        <v>9570</v>
      </c>
      <c r="U684" t="s">
        <v>9571</v>
      </c>
      <c r="V684" t="s">
        <v>9572</v>
      </c>
      <c r="W684" t="s">
        <v>5731</v>
      </c>
      <c r="X684" t="str">
        <f t="shared" si="10"/>
        <v>Inversión</v>
      </c>
      <c r="Y684" t="s">
        <v>6626</v>
      </c>
    </row>
    <row r="685" spans="1:25" x14ac:dyDescent="0.25">
      <c r="A685" t="s">
        <v>9233</v>
      </c>
      <c r="B685" t="s">
        <v>8654</v>
      </c>
      <c r="C685" t="s">
        <v>9573</v>
      </c>
      <c r="D685" t="s">
        <v>5720</v>
      </c>
      <c r="E685" t="s">
        <v>5721</v>
      </c>
      <c r="F685" t="s">
        <v>5733</v>
      </c>
      <c r="G685" t="s">
        <v>9545</v>
      </c>
      <c r="H685" t="s">
        <v>461</v>
      </c>
      <c r="I685" t="s">
        <v>644</v>
      </c>
      <c r="J685" t="s">
        <v>273</v>
      </c>
      <c r="K685" t="s">
        <v>5734</v>
      </c>
      <c r="L685" t="s">
        <v>267</v>
      </c>
      <c r="M685">
        <v>10207458</v>
      </c>
      <c r="N685">
        <v>0</v>
      </c>
      <c r="O685">
        <v>10207458</v>
      </c>
      <c r="P685">
        <v>56708</v>
      </c>
      <c r="Q685" t="s">
        <v>9574</v>
      </c>
      <c r="R685" t="s">
        <v>9233</v>
      </c>
      <c r="S685" t="s">
        <v>5845</v>
      </c>
      <c r="T685" t="s">
        <v>6198</v>
      </c>
      <c r="U685" t="s">
        <v>7221</v>
      </c>
      <c r="V685" t="s">
        <v>9575</v>
      </c>
      <c r="W685" t="s">
        <v>5731</v>
      </c>
      <c r="X685" t="str">
        <f t="shared" si="10"/>
        <v>Inversión</v>
      </c>
      <c r="Y685" t="s">
        <v>5735</v>
      </c>
    </row>
    <row r="686" spans="1:25" x14ac:dyDescent="0.25">
      <c r="A686" t="s">
        <v>9465</v>
      </c>
      <c r="B686" t="s">
        <v>8694</v>
      </c>
      <c r="C686" t="s">
        <v>9576</v>
      </c>
      <c r="D686" t="s">
        <v>5720</v>
      </c>
      <c r="E686" t="s">
        <v>5721</v>
      </c>
      <c r="F686" t="s">
        <v>5733</v>
      </c>
      <c r="G686" t="s">
        <v>9545</v>
      </c>
      <c r="H686" t="s">
        <v>461</v>
      </c>
      <c r="I686" t="s">
        <v>644</v>
      </c>
      <c r="J686" t="s">
        <v>273</v>
      </c>
      <c r="K686" t="s">
        <v>5734</v>
      </c>
      <c r="L686" t="s">
        <v>267</v>
      </c>
      <c r="M686">
        <v>8623456</v>
      </c>
      <c r="N686">
        <v>0</v>
      </c>
      <c r="O686">
        <v>8623456</v>
      </c>
      <c r="P686">
        <v>1552223</v>
      </c>
      <c r="Q686" t="s">
        <v>9577</v>
      </c>
      <c r="R686" t="s">
        <v>9146</v>
      </c>
      <c r="S686" t="s">
        <v>5873</v>
      </c>
      <c r="T686" t="s">
        <v>5731</v>
      </c>
      <c r="U686" t="s">
        <v>5731</v>
      </c>
      <c r="V686" t="s">
        <v>5731</v>
      </c>
      <c r="W686" t="s">
        <v>5731</v>
      </c>
      <c r="X686" t="str">
        <f t="shared" si="10"/>
        <v>Inversión</v>
      </c>
      <c r="Y686" t="s">
        <v>5735</v>
      </c>
    </row>
    <row r="687" spans="1:25" x14ac:dyDescent="0.25">
      <c r="A687" t="s">
        <v>9269</v>
      </c>
      <c r="B687" t="s">
        <v>8784</v>
      </c>
      <c r="C687" t="s">
        <v>9578</v>
      </c>
      <c r="D687" t="s">
        <v>5720</v>
      </c>
      <c r="E687" t="s">
        <v>5721</v>
      </c>
      <c r="F687" t="s">
        <v>5722</v>
      </c>
      <c r="G687" t="s">
        <v>9545</v>
      </c>
      <c r="H687" t="s">
        <v>453</v>
      </c>
      <c r="I687" t="s">
        <v>664</v>
      </c>
      <c r="J687" t="s">
        <v>266</v>
      </c>
      <c r="K687" t="s">
        <v>5724</v>
      </c>
      <c r="L687" t="s">
        <v>267</v>
      </c>
      <c r="M687">
        <v>10073548</v>
      </c>
      <c r="N687">
        <v>0</v>
      </c>
      <c r="O687">
        <v>10073548</v>
      </c>
      <c r="P687">
        <v>5171938</v>
      </c>
      <c r="Q687" t="s">
        <v>9579</v>
      </c>
      <c r="R687" t="s">
        <v>9145</v>
      </c>
      <c r="S687" t="s">
        <v>5935</v>
      </c>
      <c r="T687" t="s">
        <v>5731</v>
      </c>
      <c r="U687" t="s">
        <v>5731</v>
      </c>
      <c r="V687" t="s">
        <v>5731</v>
      </c>
      <c r="W687" t="s">
        <v>5731</v>
      </c>
      <c r="X687" t="str">
        <f t="shared" si="10"/>
        <v>Inversión</v>
      </c>
      <c r="Y687" t="s">
        <v>5732</v>
      </c>
    </row>
    <row r="688" spans="1:25" x14ac:dyDescent="0.25">
      <c r="A688" t="s">
        <v>9122</v>
      </c>
      <c r="B688" t="s">
        <v>8907</v>
      </c>
      <c r="C688" t="s">
        <v>9580</v>
      </c>
      <c r="D688" t="s">
        <v>5720</v>
      </c>
      <c r="E688" t="s">
        <v>5721</v>
      </c>
      <c r="F688" t="s">
        <v>5733</v>
      </c>
      <c r="G688" t="s">
        <v>9545</v>
      </c>
      <c r="H688" t="s">
        <v>461</v>
      </c>
      <c r="I688" t="s">
        <v>644</v>
      </c>
      <c r="J688" t="s">
        <v>273</v>
      </c>
      <c r="K688" t="s">
        <v>5734</v>
      </c>
      <c r="L688" t="s">
        <v>267</v>
      </c>
      <c r="M688">
        <v>6249464</v>
      </c>
      <c r="N688">
        <v>0</v>
      </c>
      <c r="O688">
        <v>6249464</v>
      </c>
      <c r="P688">
        <v>0</v>
      </c>
      <c r="Q688" t="s">
        <v>9581</v>
      </c>
      <c r="R688" t="s">
        <v>9090</v>
      </c>
      <c r="S688" t="s">
        <v>5971</v>
      </c>
      <c r="T688" t="s">
        <v>5731</v>
      </c>
      <c r="U688" t="s">
        <v>5731</v>
      </c>
      <c r="V688" t="s">
        <v>5731</v>
      </c>
      <c r="W688" t="s">
        <v>5731</v>
      </c>
      <c r="X688" t="str">
        <f t="shared" si="10"/>
        <v>Inversión</v>
      </c>
      <c r="Y688" t="s">
        <v>5735</v>
      </c>
    </row>
    <row r="689" spans="1:25" x14ac:dyDescent="0.25">
      <c r="A689" t="s">
        <v>9090</v>
      </c>
      <c r="B689" t="s">
        <v>8907</v>
      </c>
      <c r="C689" t="s">
        <v>9582</v>
      </c>
      <c r="D689" t="s">
        <v>5720</v>
      </c>
      <c r="E689" t="s">
        <v>5721</v>
      </c>
      <c r="F689" t="s">
        <v>5733</v>
      </c>
      <c r="G689" t="s">
        <v>9545</v>
      </c>
      <c r="H689" t="s">
        <v>461</v>
      </c>
      <c r="I689" t="s">
        <v>644</v>
      </c>
      <c r="J689" t="s">
        <v>273</v>
      </c>
      <c r="K689" t="s">
        <v>5734</v>
      </c>
      <c r="L689" t="s">
        <v>267</v>
      </c>
      <c r="M689">
        <v>6804972</v>
      </c>
      <c r="N689">
        <v>0</v>
      </c>
      <c r="O689">
        <v>6804972</v>
      </c>
      <c r="P689">
        <v>0</v>
      </c>
      <c r="Q689" t="s">
        <v>9583</v>
      </c>
      <c r="R689" t="s">
        <v>9227</v>
      </c>
      <c r="S689" t="s">
        <v>5960</v>
      </c>
      <c r="T689" t="s">
        <v>5731</v>
      </c>
      <c r="U689" t="s">
        <v>5731</v>
      </c>
      <c r="V689" t="s">
        <v>5731</v>
      </c>
      <c r="W689" t="s">
        <v>5731</v>
      </c>
      <c r="X689" t="str">
        <f t="shared" si="10"/>
        <v>Inversión</v>
      </c>
      <c r="Y689" t="s">
        <v>5735</v>
      </c>
    </row>
    <row r="690" spans="1:25" x14ac:dyDescent="0.25">
      <c r="A690" t="s">
        <v>9227</v>
      </c>
      <c r="B690" t="s">
        <v>8907</v>
      </c>
      <c r="C690" t="s">
        <v>9584</v>
      </c>
      <c r="D690" t="s">
        <v>5720</v>
      </c>
      <c r="E690" t="s">
        <v>5721</v>
      </c>
      <c r="F690" t="s">
        <v>5733</v>
      </c>
      <c r="G690" t="s">
        <v>9545</v>
      </c>
      <c r="H690" t="s">
        <v>461</v>
      </c>
      <c r="I690" t="s">
        <v>644</v>
      </c>
      <c r="J690" t="s">
        <v>273</v>
      </c>
      <c r="K690" t="s">
        <v>5734</v>
      </c>
      <c r="L690" t="s">
        <v>267</v>
      </c>
      <c r="M690">
        <v>3402486</v>
      </c>
      <c r="N690">
        <v>0</v>
      </c>
      <c r="O690">
        <v>3402486</v>
      </c>
      <c r="P690">
        <v>0</v>
      </c>
      <c r="Q690" t="s">
        <v>9585</v>
      </c>
      <c r="R690" t="s">
        <v>9292</v>
      </c>
      <c r="S690" t="s">
        <v>5951</v>
      </c>
      <c r="T690" t="s">
        <v>5731</v>
      </c>
      <c r="U690" t="s">
        <v>5731</v>
      </c>
      <c r="V690" t="s">
        <v>5731</v>
      </c>
      <c r="W690" t="s">
        <v>5731</v>
      </c>
      <c r="X690" t="str">
        <f t="shared" si="10"/>
        <v>Inversión</v>
      </c>
      <c r="Y690" t="s">
        <v>5735</v>
      </c>
    </row>
    <row r="691" spans="1:25" x14ac:dyDescent="0.25">
      <c r="A691" t="s">
        <v>5809</v>
      </c>
      <c r="B691" t="s">
        <v>7505</v>
      </c>
      <c r="C691" t="s">
        <v>9586</v>
      </c>
      <c r="D691" t="s">
        <v>5720</v>
      </c>
      <c r="E691" t="s">
        <v>5721</v>
      </c>
      <c r="F691" t="s">
        <v>5733</v>
      </c>
      <c r="G691" t="s">
        <v>9587</v>
      </c>
      <c r="H691" t="s">
        <v>461</v>
      </c>
      <c r="I691" t="s">
        <v>644</v>
      </c>
      <c r="J691" t="s">
        <v>266</v>
      </c>
      <c r="K691" t="s">
        <v>5724</v>
      </c>
      <c r="L691" t="s">
        <v>267</v>
      </c>
      <c r="M691">
        <v>7590634</v>
      </c>
      <c r="N691">
        <v>0</v>
      </c>
      <c r="O691">
        <v>7590634</v>
      </c>
      <c r="P691">
        <v>2196635</v>
      </c>
      <c r="Q691" t="s">
        <v>9588</v>
      </c>
      <c r="R691" t="s">
        <v>5809</v>
      </c>
      <c r="S691" t="s">
        <v>9589</v>
      </c>
      <c r="T691" t="s">
        <v>9590</v>
      </c>
      <c r="U691" t="s">
        <v>9591</v>
      </c>
      <c r="V691" t="s">
        <v>9592</v>
      </c>
      <c r="W691" t="s">
        <v>9089</v>
      </c>
      <c r="X691" t="str">
        <f t="shared" si="10"/>
        <v>Inversión</v>
      </c>
      <c r="Y691" t="s">
        <v>5735</v>
      </c>
    </row>
    <row r="692" spans="1:25" x14ac:dyDescent="0.25">
      <c r="A692" t="s">
        <v>9061</v>
      </c>
      <c r="B692" t="s">
        <v>7552</v>
      </c>
      <c r="C692" t="s">
        <v>9593</v>
      </c>
      <c r="D692" t="s">
        <v>5720</v>
      </c>
      <c r="E692" t="s">
        <v>5721</v>
      </c>
      <c r="F692" t="s">
        <v>5733</v>
      </c>
      <c r="G692" t="s">
        <v>9587</v>
      </c>
      <c r="H692" t="s">
        <v>461</v>
      </c>
      <c r="I692" t="s">
        <v>644</v>
      </c>
      <c r="J692" t="s">
        <v>266</v>
      </c>
      <c r="K692" t="s">
        <v>5724</v>
      </c>
      <c r="L692" t="s">
        <v>267</v>
      </c>
      <c r="M692">
        <v>85797150</v>
      </c>
      <c r="N692">
        <v>0</v>
      </c>
      <c r="O692">
        <v>85797150</v>
      </c>
      <c r="P692">
        <v>0</v>
      </c>
      <c r="Q692" t="s">
        <v>9594</v>
      </c>
      <c r="R692" t="s">
        <v>9061</v>
      </c>
      <c r="S692" t="s">
        <v>9595</v>
      </c>
      <c r="T692" t="s">
        <v>9596</v>
      </c>
      <c r="U692" t="s">
        <v>9597</v>
      </c>
      <c r="V692" t="s">
        <v>9598</v>
      </c>
      <c r="W692" t="s">
        <v>5731</v>
      </c>
      <c r="X692" t="str">
        <f t="shared" si="10"/>
        <v>Inversión</v>
      </c>
      <c r="Y692" t="s">
        <v>5735</v>
      </c>
    </row>
    <row r="693" spans="1:25" x14ac:dyDescent="0.25">
      <c r="A693" t="s">
        <v>9068</v>
      </c>
      <c r="B693" t="s">
        <v>7552</v>
      </c>
      <c r="C693" t="s">
        <v>9599</v>
      </c>
      <c r="D693" t="s">
        <v>5720</v>
      </c>
      <c r="E693" t="s">
        <v>5721</v>
      </c>
      <c r="F693" t="s">
        <v>5733</v>
      </c>
      <c r="G693" t="s">
        <v>9587</v>
      </c>
      <c r="H693" t="s">
        <v>461</v>
      </c>
      <c r="I693" t="s">
        <v>644</v>
      </c>
      <c r="J693" t="s">
        <v>266</v>
      </c>
      <c r="K693" t="s">
        <v>5724</v>
      </c>
      <c r="L693" t="s">
        <v>267</v>
      </c>
      <c r="M693">
        <v>30325000</v>
      </c>
      <c r="N693">
        <v>-12021</v>
      </c>
      <c r="O693">
        <v>30312979</v>
      </c>
      <c r="P693">
        <v>0</v>
      </c>
      <c r="Q693" t="s">
        <v>9600</v>
      </c>
      <c r="R693" t="s">
        <v>9068</v>
      </c>
      <c r="S693" t="s">
        <v>9601</v>
      </c>
      <c r="T693" t="s">
        <v>9233</v>
      </c>
      <c r="U693" t="s">
        <v>9602</v>
      </c>
      <c r="V693" t="s">
        <v>9603</v>
      </c>
      <c r="W693" t="s">
        <v>5731</v>
      </c>
      <c r="X693" t="str">
        <f t="shared" si="10"/>
        <v>Inversión</v>
      </c>
      <c r="Y693" t="s">
        <v>5735</v>
      </c>
    </row>
    <row r="694" spans="1:25" x14ac:dyDescent="0.25">
      <c r="A694" t="s">
        <v>9149</v>
      </c>
      <c r="B694" t="s">
        <v>8305</v>
      </c>
      <c r="C694" t="s">
        <v>9604</v>
      </c>
      <c r="D694" t="s">
        <v>5720</v>
      </c>
      <c r="E694" t="s">
        <v>5721</v>
      </c>
      <c r="F694" t="s">
        <v>5722</v>
      </c>
      <c r="G694" t="s">
        <v>9587</v>
      </c>
      <c r="H694" t="s">
        <v>453</v>
      </c>
      <c r="I694" t="s">
        <v>664</v>
      </c>
      <c r="J694" t="s">
        <v>266</v>
      </c>
      <c r="K694" t="s">
        <v>5724</v>
      </c>
      <c r="L694" t="s">
        <v>267</v>
      </c>
      <c r="M694">
        <v>40060745</v>
      </c>
      <c r="N694">
        <v>-13166745</v>
      </c>
      <c r="O694">
        <v>26894000</v>
      </c>
      <c r="P694">
        <v>0</v>
      </c>
      <c r="Q694" t="s">
        <v>9605</v>
      </c>
      <c r="R694" t="s">
        <v>9149</v>
      </c>
      <c r="S694" t="s">
        <v>5823</v>
      </c>
      <c r="T694" t="s">
        <v>5731</v>
      </c>
      <c r="U694" t="s">
        <v>5731</v>
      </c>
      <c r="V694" t="s">
        <v>5731</v>
      </c>
      <c r="W694" t="s">
        <v>5731</v>
      </c>
      <c r="X694" t="str">
        <f t="shared" si="10"/>
        <v>Inversión</v>
      </c>
      <c r="Y694" t="s">
        <v>5732</v>
      </c>
    </row>
    <row r="695" spans="1:25" x14ac:dyDescent="0.25">
      <c r="A695" t="s">
        <v>9232</v>
      </c>
      <c r="B695" t="s">
        <v>9606</v>
      </c>
      <c r="C695" t="s">
        <v>9607</v>
      </c>
      <c r="D695" t="s">
        <v>5720</v>
      </c>
      <c r="E695" t="s">
        <v>5721</v>
      </c>
      <c r="F695" t="s">
        <v>5733</v>
      </c>
      <c r="G695" t="s">
        <v>9587</v>
      </c>
      <c r="H695" t="s">
        <v>461</v>
      </c>
      <c r="I695" t="s">
        <v>644</v>
      </c>
      <c r="J695" t="s">
        <v>273</v>
      </c>
      <c r="K695" t="s">
        <v>5734</v>
      </c>
      <c r="L695" t="s">
        <v>267</v>
      </c>
      <c r="M695">
        <v>145600664</v>
      </c>
      <c r="N695">
        <v>0</v>
      </c>
      <c r="O695">
        <v>145600664</v>
      </c>
      <c r="P695">
        <v>61154406</v>
      </c>
      <c r="Q695" t="s">
        <v>9608</v>
      </c>
      <c r="R695" t="s">
        <v>9324</v>
      </c>
      <c r="S695" t="s">
        <v>9609</v>
      </c>
      <c r="T695" t="s">
        <v>5731</v>
      </c>
      <c r="U695" t="s">
        <v>5731</v>
      </c>
      <c r="V695" t="s">
        <v>5731</v>
      </c>
      <c r="W695" t="s">
        <v>5731</v>
      </c>
      <c r="X695" t="str">
        <f t="shared" si="10"/>
        <v>Inversión</v>
      </c>
      <c r="Y695" t="s">
        <v>5735</v>
      </c>
    </row>
    <row r="696" spans="1:25" x14ac:dyDescent="0.25">
      <c r="A696" t="s">
        <v>5809</v>
      </c>
      <c r="B696" t="s">
        <v>7237</v>
      </c>
      <c r="C696" t="s">
        <v>9610</v>
      </c>
      <c r="D696" t="s">
        <v>5720</v>
      </c>
      <c r="E696" t="s">
        <v>5721</v>
      </c>
      <c r="F696" t="s">
        <v>5733</v>
      </c>
      <c r="G696" t="s">
        <v>9611</v>
      </c>
      <c r="H696" t="s">
        <v>461</v>
      </c>
      <c r="I696" t="s">
        <v>644</v>
      </c>
      <c r="J696" t="s">
        <v>266</v>
      </c>
      <c r="K696" t="s">
        <v>5724</v>
      </c>
      <c r="L696" t="s">
        <v>267</v>
      </c>
      <c r="M696">
        <v>56245176</v>
      </c>
      <c r="N696">
        <v>0</v>
      </c>
      <c r="O696">
        <v>56245176</v>
      </c>
      <c r="P696">
        <v>0</v>
      </c>
      <c r="Q696" t="s">
        <v>9612</v>
      </c>
      <c r="R696" t="s">
        <v>9061</v>
      </c>
      <c r="S696" t="s">
        <v>9613</v>
      </c>
      <c r="T696" t="s">
        <v>9071</v>
      </c>
      <c r="U696" t="s">
        <v>9614</v>
      </c>
      <c r="V696" t="s">
        <v>9615</v>
      </c>
      <c r="W696" t="s">
        <v>5731</v>
      </c>
      <c r="X696" t="str">
        <f t="shared" si="10"/>
        <v>Inversión</v>
      </c>
      <c r="Y696" t="s">
        <v>5735</v>
      </c>
    </row>
    <row r="697" spans="1:25" x14ac:dyDescent="0.25">
      <c r="A697" t="s">
        <v>9061</v>
      </c>
      <c r="B697" t="s">
        <v>7237</v>
      </c>
      <c r="C697" t="s">
        <v>9616</v>
      </c>
      <c r="D697" t="s">
        <v>5720</v>
      </c>
      <c r="E697" t="s">
        <v>5721</v>
      </c>
      <c r="F697" t="s">
        <v>5733</v>
      </c>
      <c r="G697" t="s">
        <v>9611</v>
      </c>
      <c r="H697" t="s">
        <v>461</v>
      </c>
      <c r="I697" t="s">
        <v>644</v>
      </c>
      <c r="J697" t="s">
        <v>266</v>
      </c>
      <c r="K697" t="s">
        <v>5724</v>
      </c>
      <c r="L697" t="s">
        <v>267</v>
      </c>
      <c r="M697">
        <v>27219888</v>
      </c>
      <c r="N697">
        <v>-7031805</v>
      </c>
      <c r="O697">
        <v>20188083</v>
      </c>
      <c r="P697">
        <v>0</v>
      </c>
      <c r="Q697" t="s">
        <v>9617</v>
      </c>
      <c r="R697" t="s">
        <v>9068</v>
      </c>
      <c r="S697" t="s">
        <v>9071</v>
      </c>
      <c r="T697" t="s">
        <v>9248</v>
      </c>
      <c r="U697" t="s">
        <v>9618</v>
      </c>
      <c r="V697" t="s">
        <v>9619</v>
      </c>
      <c r="W697" t="s">
        <v>5731</v>
      </c>
      <c r="X697" t="str">
        <f t="shared" si="10"/>
        <v>Inversión</v>
      </c>
      <c r="Y697" t="s">
        <v>5735</v>
      </c>
    </row>
    <row r="698" spans="1:25" x14ac:dyDescent="0.25">
      <c r="A698" t="s">
        <v>9068</v>
      </c>
      <c r="B698" t="s">
        <v>7237</v>
      </c>
      <c r="C698" t="s">
        <v>9620</v>
      </c>
      <c r="D698" t="s">
        <v>5720</v>
      </c>
      <c r="E698" t="s">
        <v>5721</v>
      </c>
      <c r="F698" t="s">
        <v>5733</v>
      </c>
      <c r="G698" t="s">
        <v>9611</v>
      </c>
      <c r="H698" t="s">
        <v>461</v>
      </c>
      <c r="I698" t="s">
        <v>644</v>
      </c>
      <c r="J698" t="s">
        <v>266</v>
      </c>
      <c r="K698" t="s">
        <v>5724</v>
      </c>
      <c r="L698" t="s">
        <v>267</v>
      </c>
      <c r="M698">
        <v>13609944</v>
      </c>
      <c r="N698">
        <v>0</v>
      </c>
      <c r="O698">
        <v>13609944</v>
      </c>
      <c r="P698">
        <v>0</v>
      </c>
      <c r="Q698" t="s">
        <v>9621</v>
      </c>
      <c r="R698" t="s">
        <v>9075</v>
      </c>
      <c r="S698" t="s">
        <v>9108</v>
      </c>
      <c r="T698" t="s">
        <v>5787</v>
      </c>
      <c r="U698" t="s">
        <v>9622</v>
      </c>
      <c r="V698" t="s">
        <v>9623</v>
      </c>
      <c r="W698" t="s">
        <v>5731</v>
      </c>
      <c r="X698" t="str">
        <f t="shared" si="10"/>
        <v>Inversión</v>
      </c>
      <c r="Y698" t="s">
        <v>5735</v>
      </c>
    </row>
    <row r="699" spans="1:25" x14ac:dyDescent="0.25">
      <c r="A699" t="s">
        <v>9075</v>
      </c>
      <c r="B699" t="s">
        <v>7237</v>
      </c>
      <c r="C699" t="s">
        <v>9624</v>
      </c>
      <c r="D699" t="s">
        <v>5720</v>
      </c>
      <c r="E699" t="s">
        <v>5721</v>
      </c>
      <c r="F699" t="s">
        <v>5733</v>
      </c>
      <c r="G699" t="s">
        <v>9611</v>
      </c>
      <c r="H699" t="s">
        <v>461</v>
      </c>
      <c r="I699" t="s">
        <v>644</v>
      </c>
      <c r="J699" t="s">
        <v>266</v>
      </c>
      <c r="K699" t="s">
        <v>5724</v>
      </c>
      <c r="L699" t="s">
        <v>267</v>
      </c>
      <c r="M699">
        <v>18883935</v>
      </c>
      <c r="N699">
        <v>0</v>
      </c>
      <c r="O699">
        <v>18883935</v>
      </c>
      <c r="P699">
        <v>0</v>
      </c>
      <c r="Q699" t="s">
        <v>9625</v>
      </c>
      <c r="R699" t="s">
        <v>5844</v>
      </c>
      <c r="S699" t="s">
        <v>9272</v>
      </c>
      <c r="T699" t="s">
        <v>9465</v>
      </c>
      <c r="U699" t="s">
        <v>9626</v>
      </c>
      <c r="V699" t="s">
        <v>9627</v>
      </c>
      <c r="W699" t="s">
        <v>5731</v>
      </c>
      <c r="X699" t="str">
        <f t="shared" si="10"/>
        <v>Inversión</v>
      </c>
      <c r="Y699" t="s">
        <v>5735</v>
      </c>
    </row>
    <row r="700" spans="1:25" x14ac:dyDescent="0.25">
      <c r="A700" t="s">
        <v>5844</v>
      </c>
      <c r="B700" t="s">
        <v>7237</v>
      </c>
      <c r="C700" t="s">
        <v>9628</v>
      </c>
      <c r="D700" t="s">
        <v>5720</v>
      </c>
      <c r="E700" t="s">
        <v>5721</v>
      </c>
      <c r="F700" t="s">
        <v>5733</v>
      </c>
      <c r="G700" t="s">
        <v>9611</v>
      </c>
      <c r="H700" t="s">
        <v>461</v>
      </c>
      <c r="I700" t="s">
        <v>644</v>
      </c>
      <c r="J700" t="s">
        <v>266</v>
      </c>
      <c r="K700" t="s">
        <v>5724</v>
      </c>
      <c r="L700" t="s">
        <v>267</v>
      </c>
      <c r="M700">
        <v>10491075</v>
      </c>
      <c r="N700">
        <v>0</v>
      </c>
      <c r="O700">
        <v>10491075</v>
      </c>
      <c r="P700">
        <v>0</v>
      </c>
      <c r="Q700" t="s">
        <v>9629</v>
      </c>
      <c r="R700" t="s">
        <v>9058</v>
      </c>
      <c r="S700" t="s">
        <v>9324</v>
      </c>
      <c r="T700" t="s">
        <v>9145</v>
      </c>
      <c r="U700" t="s">
        <v>9630</v>
      </c>
      <c r="V700" t="s">
        <v>9631</v>
      </c>
      <c r="W700" t="s">
        <v>5731</v>
      </c>
      <c r="X700" t="str">
        <f t="shared" si="10"/>
        <v>Inversión</v>
      </c>
      <c r="Y700" t="s">
        <v>5735</v>
      </c>
    </row>
    <row r="701" spans="1:25" x14ac:dyDescent="0.25">
      <c r="A701" t="s">
        <v>9058</v>
      </c>
      <c r="B701" t="s">
        <v>7505</v>
      </c>
      <c r="C701" t="s">
        <v>9632</v>
      </c>
      <c r="D701" t="s">
        <v>5720</v>
      </c>
      <c r="E701" t="s">
        <v>5721</v>
      </c>
      <c r="F701" t="s">
        <v>5733</v>
      </c>
      <c r="G701" t="s">
        <v>9611</v>
      </c>
      <c r="H701" t="s">
        <v>461</v>
      </c>
      <c r="I701" t="s">
        <v>644</v>
      </c>
      <c r="J701" t="s">
        <v>266</v>
      </c>
      <c r="K701" t="s">
        <v>5724</v>
      </c>
      <c r="L701" t="s">
        <v>267</v>
      </c>
      <c r="M701">
        <v>7809486</v>
      </c>
      <c r="N701">
        <v>-4294645</v>
      </c>
      <c r="O701">
        <v>3514841</v>
      </c>
      <c r="P701">
        <v>1745954</v>
      </c>
      <c r="Q701" t="s">
        <v>9633</v>
      </c>
      <c r="R701" t="s">
        <v>9057</v>
      </c>
      <c r="S701" t="s">
        <v>9634</v>
      </c>
      <c r="T701" t="s">
        <v>9635</v>
      </c>
      <c r="U701" t="s">
        <v>9636</v>
      </c>
      <c r="V701" t="s">
        <v>9637</v>
      </c>
      <c r="W701" t="s">
        <v>5731</v>
      </c>
      <c r="X701" t="str">
        <f t="shared" si="10"/>
        <v>Inversión</v>
      </c>
      <c r="Y701" t="s">
        <v>5735</v>
      </c>
    </row>
    <row r="702" spans="1:25" x14ac:dyDescent="0.25">
      <c r="A702" t="s">
        <v>9057</v>
      </c>
      <c r="B702" t="s">
        <v>7505</v>
      </c>
      <c r="C702" t="s">
        <v>9638</v>
      </c>
      <c r="D702" t="s">
        <v>5720</v>
      </c>
      <c r="E702" t="s">
        <v>5721</v>
      </c>
      <c r="F702" t="s">
        <v>5733</v>
      </c>
      <c r="G702" t="s">
        <v>9611</v>
      </c>
      <c r="H702" t="s">
        <v>461</v>
      </c>
      <c r="I702" t="s">
        <v>644</v>
      </c>
      <c r="J702" t="s">
        <v>266</v>
      </c>
      <c r="K702" t="s">
        <v>5724</v>
      </c>
      <c r="L702" t="s">
        <v>267</v>
      </c>
      <c r="M702">
        <v>5402487</v>
      </c>
      <c r="N702">
        <v>-2000000</v>
      </c>
      <c r="O702">
        <v>3402487</v>
      </c>
      <c r="P702">
        <v>2289532</v>
      </c>
      <c r="Q702" t="s">
        <v>9639</v>
      </c>
      <c r="R702" t="s">
        <v>9149</v>
      </c>
      <c r="S702" t="s">
        <v>9640</v>
      </c>
      <c r="T702" t="s">
        <v>9641</v>
      </c>
      <c r="U702" t="s">
        <v>9642</v>
      </c>
      <c r="V702" t="s">
        <v>9643</v>
      </c>
      <c r="W702" t="s">
        <v>9236</v>
      </c>
      <c r="X702" t="str">
        <f t="shared" si="10"/>
        <v>Inversión</v>
      </c>
      <c r="Y702" t="s">
        <v>5735</v>
      </c>
    </row>
    <row r="703" spans="1:25" x14ac:dyDescent="0.25">
      <c r="A703" t="s">
        <v>9228</v>
      </c>
      <c r="B703" t="s">
        <v>8073</v>
      </c>
      <c r="C703" t="s">
        <v>9644</v>
      </c>
      <c r="D703" t="s">
        <v>5720</v>
      </c>
      <c r="E703" t="s">
        <v>5721</v>
      </c>
      <c r="F703" t="s">
        <v>5733</v>
      </c>
      <c r="G703" t="s">
        <v>9611</v>
      </c>
      <c r="H703" t="s">
        <v>461</v>
      </c>
      <c r="I703" t="s">
        <v>644</v>
      </c>
      <c r="J703" t="s">
        <v>273</v>
      </c>
      <c r="K703" t="s">
        <v>5734</v>
      </c>
      <c r="L703" t="s">
        <v>267</v>
      </c>
      <c r="M703">
        <v>6294645</v>
      </c>
      <c r="N703">
        <v>0</v>
      </c>
      <c r="O703">
        <v>6294645</v>
      </c>
      <c r="P703">
        <v>0</v>
      </c>
      <c r="Q703" t="s">
        <v>9645</v>
      </c>
      <c r="R703" t="s">
        <v>9154</v>
      </c>
      <c r="S703" t="s">
        <v>9182</v>
      </c>
      <c r="T703" t="s">
        <v>5763</v>
      </c>
      <c r="U703" t="s">
        <v>9646</v>
      </c>
      <c r="V703" t="s">
        <v>9647</v>
      </c>
      <c r="W703" t="s">
        <v>5731</v>
      </c>
      <c r="X703" t="str">
        <f t="shared" si="10"/>
        <v>Inversión</v>
      </c>
      <c r="Y703" t="s">
        <v>5735</v>
      </c>
    </row>
    <row r="704" spans="1:25" x14ac:dyDescent="0.25">
      <c r="A704" t="s">
        <v>9324</v>
      </c>
      <c r="B704" t="s">
        <v>8251</v>
      </c>
      <c r="C704" t="s">
        <v>9648</v>
      </c>
      <c r="D704" t="s">
        <v>5720</v>
      </c>
      <c r="E704" t="s">
        <v>5737</v>
      </c>
      <c r="F704" t="s">
        <v>5733</v>
      </c>
      <c r="G704" t="s">
        <v>9611</v>
      </c>
      <c r="H704" t="s">
        <v>461</v>
      </c>
      <c r="I704" t="s">
        <v>644</v>
      </c>
      <c r="J704" t="s">
        <v>266</v>
      </c>
      <c r="K704" t="s">
        <v>5724</v>
      </c>
      <c r="L704" t="s">
        <v>267</v>
      </c>
      <c r="M704">
        <v>6294645</v>
      </c>
      <c r="N704">
        <v>0</v>
      </c>
      <c r="O704">
        <v>6294645</v>
      </c>
      <c r="P704">
        <v>6294645</v>
      </c>
      <c r="Q704" t="s">
        <v>9649</v>
      </c>
      <c r="R704" t="s">
        <v>9233</v>
      </c>
      <c r="S704" t="s">
        <v>5731</v>
      </c>
      <c r="T704" t="s">
        <v>5731</v>
      </c>
      <c r="U704" t="s">
        <v>5731</v>
      </c>
      <c r="V704" t="s">
        <v>5731</v>
      </c>
      <c r="W704" t="s">
        <v>5731</v>
      </c>
      <c r="X704" t="str">
        <f t="shared" si="10"/>
        <v>Inversión</v>
      </c>
      <c r="Y704" t="s">
        <v>5735</v>
      </c>
    </row>
    <row r="705" spans="1:25" x14ac:dyDescent="0.25">
      <c r="A705" t="s">
        <v>9122</v>
      </c>
      <c r="B705" t="s">
        <v>9650</v>
      </c>
      <c r="C705" t="s">
        <v>9651</v>
      </c>
      <c r="D705" t="s">
        <v>5720</v>
      </c>
      <c r="E705" t="s">
        <v>5721</v>
      </c>
      <c r="F705" t="s">
        <v>5733</v>
      </c>
      <c r="G705" t="s">
        <v>9611</v>
      </c>
      <c r="H705" t="s">
        <v>461</v>
      </c>
      <c r="I705" t="s">
        <v>644</v>
      </c>
      <c r="J705" t="s">
        <v>273</v>
      </c>
      <c r="K705" t="s">
        <v>5734</v>
      </c>
      <c r="L705" t="s">
        <v>267</v>
      </c>
      <c r="M705">
        <v>5651034</v>
      </c>
      <c r="N705">
        <v>0</v>
      </c>
      <c r="O705">
        <v>5651034</v>
      </c>
      <c r="P705">
        <v>0</v>
      </c>
      <c r="Q705" t="s">
        <v>9652</v>
      </c>
      <c r="R705" t="s">
        <v>9292</v>
      </c>
      <c r="S705" t="s">
        <v>5845</v>
      </c>
      <c r="T705" t="s">
        <v>6011</v>
      </c>
      <c r="U705" t="s">
        <v>7057</v>
      </c>
      <c r="V705" t="s">
        <v>9653</v>
      </c>
      <c r="W705" t="s">
        <v>5731</v>
      </c>
      <c r="X705" t="str">
        <f t="shared" si="10"/>
        <v>Inversión</v>
      </c>
      <c r="Y705" t="s">
        <v>5735</v>
      </c>
    </row>
    <row r="706" spans="1:25" x14ac:dyDescent="0.25">
      <c r="A706" t="s">
        <v>9292</v>
      </c>
      <c r="B706" t="s">
        <v>8996</v>
      </c>
      <c r="C706" t="s">
        <v>9654</v>
      </c>
      <c r="D706" t="s">
        <v>5720</v>
      </c>
      <c r="E706" t="s">
        <v>5737</v>
      </c>
      <c r="F706" t="s">
        <v>5733</v>
      </c>
      <c r="G706" t="s">
        <v>9611</v>
      </c>
      <c r="H706" t="s">
        <v>461</v>
      </c>
      <c r="I706" t="s">
        <v>644</v>
      </c>
      <c r="J706" t="s">
        <v>266</v>
      </c>
      <c r="K706" t="s">
        <v>5724</v>
      </c>
      <c r="L706" t="s">
        <v>267</v>
      </c>
      <c r="M706">
        <v>6804972</v>
      </c>
      <c r="N706">
        <v>0</v>
      </c>
      <c r="O706">
        <v>6804972</v>
      </c>
      <c r="P706">
        <v>6804972</v>
      </c>
      <c r="Q706" t="s">
        <v>9655</v>
      </c>
      <c r="R706" t="s">
        <v>9103</v>
      </c>
      <c r="S706" t="s">
        <v>5731</v>
      </c>
      <c r="T706" t="s">
        <v>5731</v>
      </c>
      <c r="U706" t="s">
        <v>5731</v>
      </c>
      <c r="V706" t="s">
        <v>5731</v>
      </c>
      <c r="W706" t="s">
        <v>5731</v>
      </c>
      <c r="X706" t="str">
        <f t="shared" ref="X706:X769" si="11">IF(LEFT(H706,1)="C","Inversión","Funcionamiento")</f>
        <v>Inversión</v>
      </c>
      <c r="Y706" t="s">
        <v>5735</v>
      </c>
    </row>
    <row r="707" spans="1:25" x14ac:dyDescent="0.25">
      <c r="A707" t="s">
        <v>9061</v>
      </c>
      <c r="B707" t="s">
        <v>6103</v>
      </c>
      <c r="C707" t="s">
        <v>9656</v>
      </c>
      <c r="D707" t="s">
        <v>5720</v>
      </c>
      <c r="E707" t="s">
        <v>5721</v>
      </c>
      <c r="F707" t="s">
        <v>5722</v>
      </c>
      <c r="G707" t="s">
        <v>9657</v>
      </c>
      <c r="H707" t="s">
        <v>448</v>
      </c>
      <c r="I707" t="s">
        <v>663</v>
      </c>
      <c r="J707" t="s">
        <v>266</v>
      </c>
      <c r="K707" t="s">
        <v>5724</v>
      </c>
      <c r="L707" t="s">
        <v>267</v>
      </c>
      <c r="M707">
        <v>1849000</v>
      </c>
      <c r="N707">
        <v>-150751</v>
      </c>
      <c r="O707">
        <v>1698249</v>
      </c>
      <c r="P707">
        <v>0</v>
      </c>
      <c r="Q707" t="s">
        <v>9658</v>
      </c>
      <c r="R707" t="s">
        <v>9061</v>
      </c>
      <c r="S707" t="s">
        <v>9228</v>
      </c>
      <c r="T707" t="s">
        <v>9292</v>
      </c>
      <c r="U707" t="s">
        <v>6119</v>
      </c>
      <c r="V707" t="s">
        <v>9659</v>
      </c>
      <c r="W707" t="s">
        <v>5731</v>
      </c>
      <c r="X707" t="str">
        <f t="shared" si="11"/>
        <v>Inversión</v>
      </c>
      <c r="Y707" t="s">
        <v>5732</v>
      </c>
    </row>
    <row r="708" spans="1:25" x14ac:dyDescent="0.25">
      <c r="A708" t="s">
        <v>9057</v>
      </c>
      <c r="B708" t="s">
        <v>9660</v>
      </c>
      <c r="C708" t="s">
        <v>9661</v>
      </c>
      <c r="D708" t="s">
        <v>5720</v>
      </c>
      <c r="E708" t="s">
        <v>5721</v>
      </c>
      <c r="F708" t="s">
        <v>5733</v>
      </c>
      <c r="G708" t="s">
        <v>9657</v>
      </c>
      <c r="H708" t="s">
        <v>461</v>
      </c>
      <c r="I708" t="s">
        <v>644</v>
      </c>
      <c r="J708" t="s">
        <v>266</v>
      </c>
      <c r="K708" t="s">
        <v>5724</v>
      </c>
      <c r="L708" t="s">
        <v>267</v>
      </c>
      <c r="M708">
        <v>12800000</v>
      </c>
      <c r="N708">
        <v>-2081197</v>
      </c>
      <c r="O708">
        <v>10718803</v>
      </c>
      <c r="P708">
        <v>517497</v>
      </c>
      <c r="Q708" t="s">
        <v>9662</v>
      </c>
      <c r="R708" t="s">
        <v>9057</v>
      </c>
      <c r="S708" t="s">
        <v>9663</v>
      </c>
      <c r="T708" t="s">
        <v>9664</v>
      </c>
      <c r="U708" t="s">
        <v>9665</v>
      </c>
      <c r="V708" t="s">
        <v>9666</v>
      </c>
      <c r="W708" t="s">
        <v>9667</v>
      </c>
      <c r="X708" t="str">
        <f t="shared" si="11"/>
        <v>Inversión</v>
      </c>
      <c r="Y708" t="s">
        <v>5735</v>
      </c>
    </row>
    <row r="709" spans="1:25" x14ac:dyDescent="0.25">
      <c r="A709" t="s">
        <v>9149</v>
      </c>
      <c r="B709" t="s">
        <v>7237</v>
      </c>
      <c r="C709" t="s">
        <v>9668</v>
      </c>
      <c r="D709" t="s">
        <v>5720</v>
      </c>
      <c r="E709" t="s">
        <v>5721</v>
      </c>
      <c r="F709" t="s">
        <v>5733</v>
      </c>
      <c r="G709" t="s">
        <v>9657</v>
      </c>
      <c r="H709" t="s">
        <v>461</v>
      </c>
      <c r="I709" t="s">
        <v>644</v>
      </c>
      <c r="J709" t="s">
        <v>266</v>
      </c>
      <c r="K709" t="s">
        <v>5724</v>
      </c>
      <c r="L709" t="s">
        <v>267</v>
      </c>
      <c r="M709">
        <v>31247320</v>
      </c>
      <c r="N709">
        <v>0</v>
      </c>
      <c r="O709">
        <v>31247320</v>
      </c>
      <c r="P709">
        <v>0</v>
      </c>
      <c r="Q709" t="s">
        <v>9669</v>
      </c>
      <c r="R709" t="s">
        <v>9149</v>
      </c>
      <c r="S709" t="s">
        <v>7504</v>
      </c>
      <c r="T709" t="s">
        <v>9108</v>
      </c>
      <c r="U709" t="s">
        <v>9670</v>
      </c>
      <c r="V709" t="s">
        <v>9671</v>
      </c>
      <c r="W709" t="s">
        <v>5731</v>
      </c>
      <c r="X709" t="str">
        <f t="shared" si="11"/>
        <v>Inversión</v>
      </c>
      <c r="Y709" t="s">
        <v>5735</v>
      </c>
    </row>
    <row r="710" spans="1:25" x14ac:dyDescent="0.25">
      <c r="A710" t="s">
        <v>6935</v>
      </c>
      <c r="B710" t="s">
        <v>7237</v>
      </c>
      <c r="C710" t="s">
        <v>9672</v>
      </c>
      <c r="D710" t="s">
        <v>5720</v>
      </c>
      <c r="E710" t="s">
        <v>5721</v>
      </c>
      <c r="F710" t="s">
        <v>5733</v>
      </c>
      <c r="G710" t="s">
        <v>9657</v>
      </c>
      <c r="H710" t="s">
        <v>461</v>
      </c>
      <c r="I710" t="s">
        <v>644</v>
      </c>
      <c r="J710" t="s">
        <v>266</v>
      </c>
      <c r="K710" t="s">
        <v>5724</v>
      </c>
      <c r="L710" t="s">
        <v>267</v>
      </c>
      <c r="M710">
        <v>8506215</v>
      </c>
      <c r="N710">
        <v>0</v>
      </c>
      <c r="O710">
        <v>8506215</v>
      </c>
      <c r="P710">
        <v>0</v>
      </c>
      <c r="Q710" t="s">
        <v>9673</v>
      </c>
      <c r="R710" t="s">
        <v>6935</v>
      </c>
      <c r="S710" t="s">
        <v>9258</v>
      </c>
      <c r="T710" t="s">
        <v>9465</v>
      </c>
      <c r="U710" t="s">
        <v>9674</v>
      </c>
      <c r="V710" t="s">
        <v>9675</v>
      </c>
      <c r="W710" t="s">
        <v>5731</v>
      </c>
      <c r="X710" t="str">
        <f t="shared" si="11"/>
        <v>Inversión</v>
      </c>
      <c r="Y710" t="s">
        <v>5735</v>
      </c>
    </row>
    <row r="711" spans="1:25" x14ac:dyDescent="0.25">
      <c r="A711" t="s">
        <v>9223</v>
      </c>
      <c r="B711" t="s">
        <v>7237</v>
      </c>
      <c r="C711" t="s">
        <v>9676</v>
      </c>
      <c r="D711" t="s">
        <v>5720</v>
      </c>
      <c r="E711" t="s">
        <v>5721</v>
      </c>
      <c r="F711" t="s">
        <v>5733</v>
      </c>
      <c r="G711" t="s">
        <v>9657</v>
      </c>
      <c r="H711" t="s">
        <v>461</v>
      </c>
      <c r="I711" t="s">
        <v>644</v>
      </c>
      <c r="J711" t="s">
        <v>266</v>
      </c>
      <c r="K711" t="s">
        <v>5724</v>
      </c>
      <c r="L711" t="s">
        <v>267</v>
      </c>
      <c r="M711">
        <v>13357415</v>
      </c>
      <c r="N711">
        <v>0</v>
      </c>
      <c r="O711">
        <v>13357415</v>
      </c>
      <c r="P711">
        <v>0</v>
      </c>
      <c r="Q711" t="s">
        <v>9677</v>
      </c>
      <c r="R711" t="s">
        <v>9223</v>
      </c>
      <c r="S711" t="s">
        <v>9272</v>
      </c>
      <c r="T711" t="s">
        <v>9146</v>
      </c>
      <c r="U711" t="s">
        <v>9678</v>
      </c>
      <c r="V711" t="s">
        <v>9679</v>
      </c>
      <c r="W711" t="s">
        <v>5731</v>
      </c>
      <c r="X711" t="str">
        <f t="shared" si="11"/>
        <v>Inversión</v>
      </c>
      <c r="Y711" t="s">
        <v>5735</v>
      </c>
    </row>
    <row r="712" spans="1:25" x14ac:dyDescent="0.25">
      <c r="A712" t="s">
        <v>9226</v>
      </c>
      <c r="B712" t="s">
        <v>7237</v>
      </c>
      <c r="C712" t="s">
        <v>9680</v>
      </c>
      <c r="D712" t="s">
        <v>5720</v>
      </c>
      <c r="E712" t="s">
        <v>5721</v>
      </c>
      <c r="F712" t="s">
        <v>5733</v>
      </c>
      <c r="G712" t="s">
        <v>9657</v>
      </c>
      <c r="H712" t="s">
        <v>461</v>
      </c>
      <c r="I712" t="s">
        <v>644</v>
      </c>
      <c r="J712" t="s">
        <v>266</v>
      </c>
      <c r="K712" t="s">
        <v>5724</v>
      </c>
      <c r="L712" t="s">
        <v>267</v>
      </c>
      <c r="M712">
        <v>29972641</v>
      </c>
      <c r="N712">
        <v>0</v>
      </c>
      <c r="O712">
        <v>29972641</v>
      </c>
      <c r="P712">
        <v>0</v>
      </c>
      <c r="Q712" t="s">
        <v>9681</v>
      </c>
      <c r="R712" t="s">
        <v>9226</v>
      </c>
      <c r="S712" t="s">
        <v>9154</v>
      </c>
      <c r="T712" t="s">
        <v>9145</v>
      </c>
      <c r="U712" t="s">
        <v>9682</v>
      </c>
      <c r="V712" t="s">
        <v>9683</v>
      </c>
      <c r="W712" t="s">
        <v>5731</v>
      </c>
      <c r="X712" t="str">
        <f t="shared" si="11"/>
        <v>Inversión</v>
      </c>
      <c r="Y712" t="s">
        <v>5735</v>
      </c>
    </row>
    <row r="713" spans="1:25" x14ac:dyDescent="0.25">
      <c r="A713" t="s">
        <v>9425</v>
      </c>
      <c r="B713" t="s">
        <v>7237</v>
      </c>
      <c r="C713" t="s">
        <v>9684</v>
      </c>
      <c r="D713" t="s">
        <v>5720</v>
      </c>
      <c r="E713" t="s">
        <v>5721</v>
      </c>
      <c r="F713" t="s">
        <v>5733</v>
      </c>
      <c r="G713" t="s">
        <v>9657</v>
      </c>
      <c r="H713" t="s">
        <v>461</v>
      </c>
      <c r="I713" t="s">
        <v>644</v>
      </c>
      <c r="J713" t="s">
        <v>266</v>
      </c>
      <c r="K713" t="s">
        <v>5724</v>
      </c>
      <c r="L713" t="s">
        <v>267</v>
      </c>
      <c r="M713">
        <v>36402360</v>
      </c>
      <c r="N713">
        <v>0</v>
      </c>
      <c r="O713">
        <v>36402360</v>
      </c>
      <c r="P713">
        <v>0</v>
      </c>
      <c r="Q713" t="s">
        <v>9685</v>
      </c>
      <c r="R713" t="s">
        <v>9425</v>
      </c>
      <c r="S713" t="s">
        <v>9420</v>
      </c>
      <c r="T713" t="s">
        <v>9269</v>
      </c>
      <c r="U713" t="s">
        <v>9686</v>
      </c>
      <c r="V713" t="s">
        <v>9687</v>
      </c>
      <c r="W713" t="s">
        <v>5731</v>
      </c>
      <c r="X713" t="str">
        <f t="shared" si="11"/>
        <v>Inversión</v>
      </c>
      <c r="Y713" t="s">
        <v>5735</v>
      </c>
    </row>
    <row r="714" spans="1:25" x14ac:dyDescent="0.25">
      <c r="A714" t="s">
        <v>9420</v>
      </c>
      <c r="B714" t="s">
        <v>7237</v>
      </c>
      <c r="C714" t="s">
        <v>9688</v>
      </c>
      <c r="D714" t="s">
        <v>5720</v>
      </c>
      <c r="E714" t="s">
        <v>5721</v>
      </c>
      <c r="F714" t="s">
        <v>6619</v>
      </c>
      <c r="G714" t="s">
        <v>9657</v>
      </c>
      <c r="H714" t="s">
        <v>455</v>
      </c>
      <c r="I714" t="s">
        <v>643</v>
      </c>
      <c r="J714" t="s">
        <v>273</v>
      </c>
      <c r="K714" t="s">
        <v>5734</v>
      </c>
      <c r="L714" t="s">
        <v>267</v>
      </c>
      <c r="M714">
        <v>31247320</v>
      </c>
      <c r="N714">
        <v>0</v>
      </c>
      <c r="O714">
        <v>31247320</v>
      </c>
      <c r="P714">
        <v>0</v>
      </c>
      <c r="Q714" t="s">
        <v>9689</v>
      </c>
      <c r="R714" t="s">
        <v>9420</v>
      </c>
      <c r="S714" t="s">
        <v>9465</v>
      </c>
      <c r="T714" t="s">
        <v>5726</v>
      </c>
      <c r="U714" t="s">
        <v>9690</v>
      </c>
      <c r="V714" t="s">
        <v>9691</v>
      </c>
      <c r="W714" t="s">
        <v>5731</v>
      </c>
      <c r="X714" t="str">
        <f t="shared" si="11"/>
        <v>Inversión</v>
      </c>
      <c r="Y714" t="s">
        <v>6626</v>
      </c>
    </row>
    <row r="715" spans="1:25" x14ac:dyDescent="0.25">
      <c r="A715" t="s">
        <v>9228</v>
      </c>
      <c r="B715" t="s">
        <v>7237</v>
      </c>
      <c r="C715" t="s">
        <v>9692</v>
      </c>
      <c r="D715" t="s">
        <v>5720</v>
      </c>
      <c r="E715" t="s">
        <v>5737</v>
      </c>
      <c r="F715" t="s">
        <v>6619</v>
      </c>
      <c r="G715" t="s">
        <v>9657</v>
      </c>
      <c r="H715" t="s">
        <v>455</v>
      </c>
      <c r="I715" t="s">
        <v>643</v>
      </c>
      <c r="J715" t="s">
        <v>273</v>
      </c>
      <c r="K715" t="s">
        <v>5734</v>
      </c>
      <c r="L715" t="s">
        <v>267</v>
      </c>
      <c r="M715">
        <v>40000000</v>
      </c>
      <c r="N715">
        <v>-23879869</v>
      </c>
      <c r="O715">
        <v>16120131</v>
      </c>
      <c r="P715">
        <v>16120131</v>
      </c>
      <c r="Q715" t="s">
        <v>9693</v>
      </c>
      <c r="R715" t="s">
        <v>9228</v>
      </c>
      <c r="S715" t="s">
        <v>5731</v>
      </c>
      <c r="T715" t="s">
        <v>5731</v>
      </c>
      <c r="U715" t="s">
        <v>5731</v>
      </c>
      <c r="V715" t="s">
        <v>5731</v>
      </c>
      <c r="W715" t="s">
        <v>5731</v>
      </c>
      <c r="X715" t="str">
        <f t="shared" si="11"/>
        <v>Inversión</v>
      </c>
      <c r="Y715" t="s">
        <v>6626</v>
      </c>
    </row>
    <row r="716" spans="1:25" x14ac:dyDescent="0.25">
      <c r="A716" t="s">
        <v>9272</v>
      </c>
      <c r="B716" t="s">
        <v>7237</v>
      </c>
      <c r="C716" t="s">
        <v>9694</v>
      </c>
      <c r="D716" t="s">
        <v>5720</v>
      </c>
      <c r="E716" t="s">
        <v>5721</v>
      </c>
      <c r="F716" t="s">
        <v>6619</v>
      </c>
      <c r="G716" t="s">
        <v>9657</v>
      </c>
      <c r="H716" t="s">
        <v>455</v>
      </c>
      <c r="I716" t="s">
        <v>643</v>
      </c>
      <c r="J716" t="s">
        <v>273</v>
      </c>
      <c r="K716" t="s">
        <v>5734</v>
      </c>
      <c r="L716" t="s">
        <v>267</v>
      </c>
      <c r="M716">
        <v>8460680</v>
      </c>
      <c r="N716">
        <v>0</v>
      </c>
      <c r="O716">
        <v>8460680</v>
      </c>
      <c r="P716">
        <v>1596281</v>
      </c>
      <c r="Q716" t="s">
        <v>9695</v>
      </c>
      <c r="R716" t="s">
        <v>9272</v>
      </c>
      <c r="S716" t="s">
        <v>9696</v>
      </c>
      <c r="T716" t="s">
        <v>9697</v>
      </c>
      <c r="U716" t="s">
        <v>9698</v>
      </c>
      <c r="V716" t="s">
        <v>9699</v>
      </c>
      <c r="W716" t="s">
        <v>5731</v>
      </c>
      <c r="X716" t="str">
        <f t="shared" si="11"/>
        <v>Inversión</v>
      </c>
      <c r="Y716" t="s">
        <v>6626</v>
      </c>
    </row>
    <row r="717" spans="1:25" x14ac:dyDescent="0.25">
      <c r="A717" t="s">
        <v>9465</v>
      </c>
      <c r="B717" t="s">
        <v>8112</v>
      </c>
      <c r="C717" t="s">
        <v>9700</v>
      </c>
      <c r="D717" t="s">
        <v>5720</v>
      </c>
      <c r="E717" t="s">
        <v>5721</v>
      </c>
      <c r="F717" t="s">
        <v>5733</v>
      </c>
      <c r="G717" t="s">
        <v>9657</v>
      </c>
      <c r="H717" t="s">
        <v>461</v>
      </c>
      <c r="I717" t="s">
        <v>644</v>
      </c>
      <c r="J717" t="s">
        <v>273</v>
      </c>
      <c r="K717" t="s">
        <v>5734</v>
      </c>
      <c r="L717" t="s">
        <v>267</v>
      </c>
      <c r="M717">
        <v>5675000</v>
      </c>
      <c r="N717">
        <v>-5000</v>
      </c>
      <c r="O717">
        <v>5670000</v>
      </c>
      <c r="P717">
        <v>0</v>
      </c>
      <c r="Q717" t="s">
        <v>9701</v>
      </c>
      <c r="R717" t="s">
        <v>9465</v>
      </c>
      <c r="S717" t="s">
        <v>5749</v>
      </c>
      <c r="T717" t="s">
        <v>6034</v>
      </c>
      <c r="U717" t="s">
        <v>9702</v>
      </c>
      <c r="V717" t="s">
        <v>9703</v>
      </c>
      <c r="W717" t="s">
        <v>5731</v>
      </c>
      <c r="X717" t="str">
        <f t="shared" si="11"/>
        <v>Inversión</v>
      </c>
      <c r="Y717" t="s">
        <v>5735</v>
      </c>
    </row>
    <row r="718" spans="1:25" x14ac:dyDescent="0.25">
      <c r="A718" t="s">
        <v>9090</v>
      </c>
      <c r="B718" t="s">
        <v>8654</v>
      </c>
      <c r="C718" t="s">
        <v>9704</v>
      </c>
      <c r="D718" t="s">
        <v>5720</v>
      </c>
      <c r="E718" t="s">
        <v>5721</v>
      </c>
      <c r="F718" t="s">
        <v>6619</v>
      </c>
      <c r="G718" t="s">
        <v>9657</v>
      </c>
      <c r="H718" t="s">
        <v>455</v>
      </c>
      <c r="I718" t="s">
        <v>643</v>
      </c>
      <c r="J718" t="s">
        <v>273</v>
      </c>
      <c r="K718" t="s">
        <v>5734</v>
      </c>
      <c r="L718" t="s">
        <v>267</v>
      </c>
      <c r="M718">
        <v>9186712</v>
      </c>
      <c r="N718">
        <v>-680497</v>
      </c>
      <c r="O718">
        <v>8506215</v>
      </c>
      <c r="P718">
        <v>0</v>
      </c>
      <c r="Q718" t="s">
        <v>9705</v>
      </c>
      <c r="R718" t="s">
        <v>9090</v>
      </c>
      <c r="S718" t="s">
        <v>5717</v>
      </c>
      <c r="T718" t="s">
        <v>6102</v>
      </c>
      <c r="U718" t="s">
        <v>6667</v>
      </c>
      <c r="V718" t="s">
        <v>9706</v>
      </c>
      <c r="W718" t="s">
        <v>5731</v>
      </c>
      <c r="X718" t="str">
        <f t="shared" si="11"/>
        <v>Inversión</v>
      </c>
      <c r="Y718" t="s">
        <v>6626</v>
      </c>
    </row>
    <row r="719" spans="1:25" x14ac:dyDescent="0.25">
      <c r="A719" t="s">
        <v>9227</v>
      </c>
      <c r="B719" t="s">
        <v>8654</v>
      </c>
      <c r="C719" t="s">
        <v>9707</v>
      </c>
      <c r="D719" t="s">
        <v>5720</v>
      </c>
      <c r="E719" t="s">
        <v>5721</v>
      </c>
      <c r="F719" t="s">
        <v>6619</v>
      </c>
      <c r="G719" t="s">
        <v>9657</v>
      </c>
      <c r="H719" t="s">
        <v>455</v>
      </c>
      <c r="I719" t="s">
        <v>643</v>
      </c>
      <c r="J719" t="s">
        <v>273</v>
      </c>
      <c r="K719" t="s">
        <v>5734</v>
      </c>
      <c r="L719" t="s">
        <v>267</v>
      </c>
      <c r="M719">
        <v>14693157</v>
      </c>
      <c r="N719">
        <v>-1335742</v>
      </c>
      <c r="O719">
        <v>13357415</v>
      </c>
      <c r="P719">
        <v>0</v>
      </c>
      <c r="Q719" t="s">
        <v>9708</v>
      </c>
      <c r="R719" t="s">
        <v>9227</v>
      </c>
      <c r="S719" t="s">
        <v>9111</v>
      </c>
      <c r="T719" t="s">
        <v>6094</v>
      </c>
      <c r="U719" t="s">
        <v>5917</v>
      </c>
      <c r="V719" t="s">
        <v>9709</v>
      </c>
      <c r="W719" t="s">
        <v>5731</v>
      </c>
      <c r="X719" t="str">
        <f t="shared" si="11"/>
        <v>Inversión</v>
      </c>
      <c r="Y719" t="s">
        <v>6626</v>
      </c>
    </row>
    <row r="720" spans="1:25" x14ac:dyDescent="0.25">
      <c r="A720" t="s">
        <v>9103</v>
      </c>
      <c r="B720" t="s">
        <v>8807</v>
      </c>
      <c r="C720" t="s">
        <v>9710</v>
      </c>
      <c r="D720" t="s">
        <v>5720</v>
      </c>
      <c r="E720" t="s">
        <v>5721</v>
      </c>
      <c r="F720" t="s">
        <v>5733</v>
      </c>
      <c r="G720" t="s">
        <v>9657</v>
      </c>
      <c r="H720" t="s">
        <v>461</v>
      </c>
      <c r="I720" t="s">
        <v>644</v>
      </c>
      <c r="J720" t="s">
        <v>273</v>
      </c>
      <c r="K720" t="s">
        <v>5734</v>
      </c>
      <c r="L720" t="s">
        <v>267</v>
      </c>
      <c r="M720">
        <v>74993568</v>
      </c>
      <c r="N720">
        <v>0</v>
      </c>
      <c r="O720">
        <v>74993568</v>
      </c>
      <c r="P720">
        <v>0</v>
      </c>
      <c r="Q720" t="s">
        <v>9711</v>
      </c>
      <c r="R720" t="s">
        <v>9103</v>
      </c>
      <c r="S720" t="s">
        <v>9712</v>
      </c>
      <c r="T720" t="s">
        <v>5731</v>
      </c>
      <c r="U720" t="s">
        <v>5731</v>
      </c>
      <c r="V720" t="s">
        <v>5731</v>
      </c>
      <c r="W720" t="s">
        <v>5731</v>
      </c>
      <c r="X720" t="str">
        <f t="shared" si="11"/>
        <v>Inversión</v>
      </c>
      <c r="Y720" t="s">
        <v>5735</v>
      </c>
    </row>
    <row r="721" spans="1:25" x14ac:dyDescent="0.25">
      <c r="A721" t="s">
        <v>9108</v>
      </c>
      <c r="B721" t="s">
        <v>8807</v>
      </c>
      <c r="C721" t="s">
        <v>9713</v>
      </c>
      <c r="D721" t="s">
        <v>5720</v>
      </c>
      <c r="E721" t="s">
        <v>5721</v>
      </c>
      <c r="F721" t="s">
        <v>5733</v>
      </c>
      <c r="G721" t="s">
        <v>9657</v>
      </c>
      <c r="H721" t="s">
        <v>461</v>
      </c>
      <c r="I721" t="s">
        <v>644</v>
      </c>
      <c r="J721" t="s">
        <v>273</v>
      </c>
      <c r="K721" t="s">
        <v>5734</v>
      </c>
      <c r="L721" t="s">
        <v>267</v>
      </c>
      <c r="M721">
        <v>10685932</v>
      </c>
      <c r="N721">
        <v>0</v>
      </c>
      <c r="O721">
        <v>10685932</v>
      </c>
      <c r="P721">
        <v>0</v>
      </c>
      <c r="Q721" t="s">
        <v>9714</v>
      </c>
      <c r="R721" t="s">
        <v>9108</v>
      </c>
      <c r="S721" t="s">
        <v>5839</v>
      </c>
      <c r="T721" t="s">
        <v>5731</v>
      </c>
      <c r="U721" t="s">
        <v>5731</v>
      </c>
      <c r="V721" t="s">
        <v>5731</v>
      </c>
      <c r="W721" t="s">
        <v>5731</v>
      </c>
      <c r="X721" t="str">
        <f t="shared" si="11"/>
        <v>Inversión</v>
      </c>
      <c r="Y721" t="s">
        <v>5735</v>
      </c>
    </row>
    <row r="722" spans="1:25" x14ac:dyDescent="0.25">
      <c r="A722" t="s">
        <v>9178</v>
      </c>
      <c r="B722" t="s">
        <v>8807</v>
      </c>
      <c r="C722" t="s">
        <v>9715</v>
      </c>
      <c r="D722" t="s">
        <v>5720</v>
      </c>
      <c r="E722" t="s">
        <v>5721</v>
      </c>
      <c r="F722" t="s">
        <v>5733</v>
      </c>
      <c r="G722" t="s">
        <v>9657</v>
      </c>
      <c r="H722" t="s">
        <v>461</v>
      </c>
      <c r="I722" t="s">
        <v>644</v>
      </c>
      <c r="J722" t="s">
        <v>273</v>
      </c>
      <c r="K722" t="s">
        <v>5734</v>
      </c>
      <c r="L722" t="s">
        <v>267</v>
      </c>
      <c r="M722">
        <v>25518645</v>
      </c>
      <c r="N722">
        <v>0</v>
      </c>
      <c r="O722">
        <v>25518645</v>
      </c>
      <c r="P722">
        <v>5103729</v>
      </c>
      <c r="Q722" t="s">
        <v>9716</v>
      </c>
      <c r="R722" t="s">
        <v>9178</v>
      </c>
      <c r="S722" t="s">
        <v>9717</v>
      </c>
      <c r="T722" t="s">
        <v>5731</v>
      </c>
      <c r="U722" t="s">
        <v>5731</v>
      </c>
      <c r="V722" t="s">
        <v>5731</v>
      </c>
      <c r="W722" t="s">
        <v>5731</v>
      </c>
      <c r="X722" t="str">
        <f t="shared" si="11"/>
        <v>Inversión</v>
      </c>
      <c r="Y722" t="s">
        <v>5735</v>
      </c>
    </row>
    <row r="723" spans="1:25" x14ac:dyDescent="0.25">
      <c r="A723" t="s">
        <v>9182</v>
      </c>
      <c r="B723" t="s">
        <v>8807</v>
      </c>
      <c r="C723" t="s">
        <v>9718</v>
      </c>
      <c r="D723" t="s">
        <v>5720</v>
      </c>
      <c r="E723" t="s">
        <v>5737</v>
      </c>
      <c r="F723" t="s">
        <v>5733</v>
      </c>
      <c r="G723" t="s">
        <v>9657</v>
      </c>
      <c r="H723" t="s">
        <v>461</v>
      </c>
      <c r="I723" t="s">
        <v>644</v>
      </c>
      <c r="J723" t="s">
        <v>273</v>
      </c>
      <c r="K723" t="s">
        <v>5734</v>
      </c>
      <c r="L723" t="s">
        <v>267</v>
      </c>
      <c r="M723">
        <v>14874620</v>
      </c>
      <c r="N723">
        <v>0</v>
      </c>
      <c r="O723">
        <v>14874620</v>
      </c>
      <c r="P723">
        <v>14874620</v>
      </c>
      <c r="Q723" t="s">
        <v>9719</v>
      </c>
      <c r="R723" t="s">
        <v>9182</v>
      </c>
      <c r="S723" t="s">
        <v>5731</v>
      </c>
      <c r="T723" t="s">
        <v>5731</v>
      </c>
      <c r="U723" t="s">
        <v>5731</v>
      </c>
      <c r="V723" t="s">
        <v>5731</v>
      </c>
      <c r="W723" t="s">
        <v>5731</v>
      </c>
      <c r="X723" t="str">
        <f t="shared" si="11"/>
        <v>Inversión</v>
      </c>
      <c r="Y723" t="s">
        <v>5735</v>
      </c>
    </row>
    <row r="724" spans="1:25" x14ac:dyDescent="0.25">
      <c r="A724" t="s">
        <v>9106</v>
      </c>
      <c r="B724" t="s">
        <v>9283</v>
      </c>
      <c r="C724" t="s">
        <v>9720</v>
      </c>
      <c r="D724" t="s">
        <v>5720</v>
      </c>
      <c r="E724" t="s">
        <v>5721</v>
      </c>
      <c r="F724" t="s">
        <v>5733</v>
      </c>
      <c r="G724" t="s">
        <v>9657</v>
      </c>
      <c r="H724" t="s">
        <v>461</v>
      </c>
      <c r="I724" t="s">
        <v>644</v>
      </c>
      <c r="J724" t="s">
        <v>266</v>
      </c>
      <c r="K724" t="s">
        <v>5724</v>
      </c>
      <c r="L724" t="s">
        <v>267</v>
      </c>
      <c r="M724">
        <v>3118888</v>
      </c>
      <c r="N724">
        <v>0</v>
      </c>
      <c r="O724">
        <v>3118888</v>
      </c>
      <c r="P724">
        <v>0</v>
      </c>
      <c r="Q724" t="s">
        <v>9721</v>
      </c>
      <c r="R724" t="s">
        <v>9106</v>
      </c>
      <c r="S724" t="s">
        <v>5756</v>
      </c>
      <c r="T724" t="s">
        <v>6066</v>
      </c>
      <c r="U724" t="s">
        <v>6865</v>
      </c>
      <c r="V724" t="s">
        <v>9722</v>
      </c>
      <c r="W724" t="s">
        <v>5731</v>
      </c>
      <c r="X724" t="str">
        <f t="shared" si="11"/>
        <v>Inversión</v>
      </c>
      <c r="Y724" t="s">
        <v>5735</v>
      </c>
    </row>
    <row r="725" spans="1:25" x14ac:dyDescent="0.25">
      <c r="A725" t="s">
        <v>5742</v>
      </c>
      <c r="B725" t="s">
        <v>9355</v>
      </c>
      <c r="C725" t="s">
        <v>9723</v>
      </c>
      <c r="D725" t="s">
        <v>5720</v>
      </c>
      <c r="E725" t="s">
        <v>5737</v>
      </c>
      <c r="F725" t="s">
        <v>5733</v>
      </c>
      <c r="G725" t="s">
        <v>9657</v>
      </c>
      <c r="H725" t="s">
        <v>461</v>
      </c>
      <c r="I725" t="s">
        <v>644</v>
      </c>
      <c r="J725" t="s">
        <v>273</v>
      </c>
      <c r="K725" t="s">
        <v>5734</v>
      </c>
      <c r="L725" t="s">
        <v>267</v>
      </c>
      <c r="M725">
        <v>3800000</v>
      </c>
      <c r="N725">
        <v>0</v>
      </c>
      <c r="O725">
        <v>3800000</v>
      </c>
      <c r="P725">
        <v>3800000</v>
      </c>
      <c r="Q725" t="s">
        <v>9724</v>
      </c>
      <c r="R725" t="s">
        <v>5742</v>
      </c>
      <c r="S725" t="s">
        <v>5731</v>
      </c>
      <c r="T725" t="s">
        <v>5731</v>
      </c>
      <c r="U725" t="s">
        <v>5731</v>
      </c>
      <c r="V725" t="s">
        <v>5731</v>
      </c>
      <c r="W725" t="s">
        <v>5731</v>
      </c>
      <c r="X725" t="str">
        <f t="shared" si="11"/>
        <v>Inversión</v>
      </c>
      <c r="Y725" t="s">
        <v>5735</v>
      </c>
    </row>
    <row r="726" spans="1:25" x14ac:dyDescent="0.25">
      <c r="A726" t="s">
        <v>5749</v>
      </c>
      <c r="B726" t="s">
        <v>9355</v>
      </c>
      <c r="C726" t="s">
        <v>9725</v>
      </c>
      <c r="D726" t="s">
        <v>5720</v>
      </c>
      <c r="E726" t="s">
        <v>5737</v>
      </c>
      <c r="F726" t="s">
        <v>5733</v>
      </c>
      <c r="G726" t="s">
        <v>9657</v>
      </c>
      <c r="H726" t="s">
        <v>461</v>
      </c>
      <c r="I726" t="s">
        <v>644</v>
      </c>
      <c r="J726" t="s">
        <v>273</v>
      </c>
      <c r="K726" t="s">
        <v>5734</v>
      </c>
      <c r="L726" t="s">
        <v>267</v>
      </c>
      <c r="M726">
        <v>1500000</v>
      </c>
      <c r="N726">
        <v>0</v>
      </c>
      <c r="O726">
        <v>1500000</v>
      </c>
      <c r="P726">
        <v>1500000</v>
      </c>
      <c r="Q726" t="s">
        <v>9726</v>
      </c>
      <c r="R726" t="s">
        <v>5749</v>
      </c>
      <c r="S726" t="s">
        <v>5731</v>
      </c>
      <c r="T726" t="s">
        <v>5731</v>
      </c>
      <c r="U726" t="s">
        <v>5731</v>
      </c>
      <c r="V726" t="s">
        <v>5731</v>
      </c>
      <c r="W726" t="s">
        <v>5731</v>
      </c>
      <c r="X726" t="str">
        <f t="shared" si="11"/>
        <v>Inversión</v>
      </c>
      <c r="Y726" t="s">
        <v>5735</v>
      </c>
    </row>
    <row r="727" spans="1:25" x14ac:dyDescent="0.25">
      <c r="A727" t="s">
        <v>5809</v>
      </c>
      <c r="B727" t="s">
        <v>5800</v>
      </c>
      <c r="C727" t="s">
        <v>9727</v>
      </c>
      <c r="D727" t="s">
        <v>5720</v>
      </c>
      <c r="E727" t="s">
        <v>5721</v>
      </c>
      <c r="F727" t="s">
        <v>5802</v>
      </c>
      <c r="G727" t="s">
        <v>9728</v>
      </c>
      <c r="H727" t="s">
        <v>458</v>
      </c>
      <c r="I727" t="s">
        <v>640</v>
      </c>
      <c r="J727" t="s">
        <v>266</v>
      </c>
      <c r="K727" t="s">
        <v>5724</v>
      </c>
      <c r="L727" t="s">
        <v>267</v>
      </c>
      <c r="M727">
        <v>4080150</v>
      </c>
      <c r="N727">
        <v>-534766</v>
      </c>
      <c r="O727">
        <v>3545384</v>
      </c>
      <c r="P727">
        <v>0</v>
      </c>
      <c r="Q727" t="s">
        <v>9729</v>
      </c>
      <c r="R727" t="s">
        <v>5809</v>
      </c>
      <c r="S727" t="s">
        <v>5809</v>
      </c>
      <c r="T727" t="s">
        <v>9061</v>
      </c>
      <c r="U727" t="s">
        <v>9061</v>
      </c>
      <c r="V727" t="s">
        <v>9730</v>
      </c>
      <c r="W727" t="s">
        <v>9089</v>
      </c>
      <c r="X727" t="str">
        <f t="shared" si="11"/>
        <v>Inversión</v>
      </c>
      <c r="Y727" t="s">
        <v>5810</v>
      </c>
    </row>
    <row r="728" spans="1:25" x14ac:dyDescent="0.25">
      <c r="A728" t="s">
        <v>9075</v>
      </c>
      <c r="B728" t="s">
        <v>7237</v>
      </c>
      <c r="C728" t="s">
        <v>9731</v>
      </c>
      <c r="D728" t="s">
        <v>5720</v>
      </c>
      <c r="E728" t="s">
        <v>5721</v>
      </c>
      <c r="F728" t="s">
        <v>5733</v>
      </c>
      <c r="G728" t="s">
        <v>9728</v>
      </c>
      <c r="H728" t="s">
        <v>461</v>
      </c>
      <c r="I728" t="s">
        <v>644</v>
      </c>
      <c r="J728" t="s">
        <v>266</v>
      </c>
      <c r="K728" t="s">
        <v>5724</v>
      </c>
      <c r="L728" t="s">
        <v>267</v>
      </c>
      <c r="M728">
        <v>2551865</v>
      </c>
      <c r="N728">
        <v>0</v>
      </c>
      <c r="O728">
        <v>2551865</v>
      </c>
      <c r="P728">
        <v>0</v>
      </c>
      <c r="Q728" t="s">
        <v>9732</v>
      </c>
      <c r="R728" t="s">
        <v>9075</v>
      </c>
      <c r="S728" t="s">
        <v>9146</v>
      </c>
      <c r="T728" t="s">
        <v>9050</v>
      </c>
      <c r="U728" t="s">
        <v>9733</v>
      </c>
      <c r="V728" t="s">
        <v>9734</v>
      </c>
      <c r="W728" t="s">
        <v>5731</v>
      </c>
      <c r="X728" t="str">
        <f t="shared" si="11"/>
        <v>Inversión</v>
      </c>
      <c r="Y728" t="s">
        <v>5735</v>
      </c>
    </row>
    <row r="729" spans="1:25" x14ac:dyDescent="0.25">
      <c r="A729" t="s">
        <v>5844</v>
      </c>
      <c r="B729" t="s">
        <v>7237</v>
      </c>
      <c r="C729" t="s">
        <v>9735</v>
      </c>
      <c r="D729" t="s">
        <v>5720</v>
      </c>
      <c r="E729" t="s">
        <v>5721</v>
      </c>
      <c r="F729" t="s">
        <v>5733</v>
      </c>
      <c r="G729" t="s">
        <v>9728</v>
      </c>
      <c r="H729" t="s">
        <v>461</v>
      </c>
      <c r="I729" t="s">
        <v>644</v>
      </c>
      <c r="J729" t="s">
        <v>266</v>
      </c>
      <c r="K729" t="s">
        <v>5724</v>
      </c>
      <c r="L729" t="s">
        <v>267</v>
      </c>
      <c r="M729">
        <v>97254395</v>
      </c>
      <c r="N729">
        <v>0</v>
      </c>
      <c r="O729">
        <v>97254395</v>
      </c>
      <c r="P729">
        <v>0</v>
      </c>
      <c r="Q729" t="s">
        <v>9736</v>
      </c>
      <c r="R729" t="s">
        <v>5844</v>
      </c>
      <c r="S729" t="s">
        <v>9737</v>
      </c>
      <c r="T729" t="s">
        <v>9738</v>
      </c>
      <c r="U729" t="s">
        <v>9739</v>
      </c>
      <c r="V729" t="s">
        <v>9740</v>
      </c>
      <c r="W729" t="s">
        <v>5731</v>
      </c>
      <c r="X729" t="str">
        <f t="shared" si="11"/>
        <v>Inversión</v>
      </c>
      <c r="Y729" t="s">
        <v>5735</v>
      </c>
    </row>
    <row r="730" spans="1:25" x14ac:dyDescent="0.25">
      <c r="A730" t="s">
        <v>9058</v>
      </c>
      <c r="B730" t="s">
        <v>7237</v>
      </c>
      <c r="C730" t="s">
        <v>9741</v>
      </c>
      <c r="D730" t="s">
        <v>5720</v>
      </c>
      <c r="E730" t="s">
        <v>5721</v>
      </c>
      <c r="F730" t="s">
        <v>5733</v>
      </c>
      <c r="G730" t="s">
        <v>9728</v>
      </c>
      <c r="H730" t="s">
        <v>461</v>
      </c>
      <c r="I730" t="s">
        <v>644</v>
      </c>
      <c r="J730" t="s">
        <v>266</v>
      </c>
      <c r="K730" t="s">
        <v>5724</v>
      </c>
      <c r="L730" t="s">
        <v>267</v>
      </c>
      <c r="M730">
        <v>99991424</v>
      </c>
      <c r="N730">
        <v>0</v>
      </c>
      <c r="O730">
        <v>99991424</v>
      </c>
      <c r="P730">
        <v>0</v>
      </c>
      <c r="Q730" t="s">
        <v>9742</v>
      </c>
      <c r="R730" t="s">
        <v>9058</v>
      </c>
      <c r="S730" t="s">
        <v>9743</v>
      </c>
      <c r="T730" t="s">
        <v>9744</v>
      </c>
      <c r="U730" t="s">
        <v>9745</v>
      </c>
      <c r="V730" t="s">
        <v>9746</v>
      </c>
      <c r="W730" t="s">
        <v>5731</v>
      </c>
      <c r="X730" t="str">
        <f t="shared" si="11"/>
        <v>Inversión</v>
      </c>
      <c r="Y730" t="s">
        <v>5735</v>
      </c>
    </row>
    <row r="731" spans="1:25" x14ac:dyDescent="0.25">
      <c r="A731" t="s">
        <v>9057</v>
      </c>
      <c r="B731" t="s">
        <v>7342</v>
      </c>
      <c r="C731" t="s">
        <v>9747</v>
      </c>
      <c r="D731" t="s">
        <v>5720</v>
      </c>
      <c r="E731" t="s">
        <v>5721</v>
      </c>
      <c r="F731" t="s">
        <v>5733</v>
      </c>
      <c r="G731" t="s">
        <v>9728</v>
      </c>
      <c r="H731" t="s">
        <v>461</v>
      </c>
      <c r="I731" t="s">
        <v>644</v>
      </c>
      <c r="J731" t="s">
        <v>266</v>
      </c>
      <c r="K731" t="s">
        <v>5724</v>
      </c>
      <c r="L731" t="s">
        <v>267</v>
      </c>
      <c r="M731">
        <v>21376994</v>
      </c>
      <c r="N731">
        <v>0</v>
      </c>
      <c r="O731">
        <v>21376994</v>
      </c>
      <c r="P731">
        <v>9550823</v>
      </c>
      <c r="Q731" t="s">
        <v>9748</v>
      </c>
      <c r="R731" t="s">
        <v>9057</v>
      </c>
      <c r="S731" t="s">
        <v>9749</v>
      </c>
      <c r="T731" t="s">
        <v>9750</v>
      </c>
      <c r="U731" t="s">
        <v>9751</v>
      </c>
      <c r="V731" t="s">
        <v>9752</v>
      </c>
      <c r="W731" t="s">
        <v>9753</v>
      </c>
      <c r="X731" t="str">
        <f t="shared" si="11"/>
        <v>Inversión</v>
      </c>
      <c r="Y731" t="s">
        <v>5735</v>
      </c>
    </row>
    <row r="732" spans="1:25" x14ac:dyDescent="0.25">
      <c r="A732" t="s">
        <v>9149</v>
      </c>
      <c r="B732" t="s">
        <v>7342</v>
      </c>
      <c r="C732" t="s">
        <v>9754</v>
      </c>
      <c r="D732" t="s">
        <v>5720</v>
      </c>
      <c r="E732" t="s">
        <v>5721</v>
      </c>
      <c r="F732" t="s">
        <v>5733</v>
      </c>
      <c r="G732" t="s">
        <v>9728</v>
      </c>
      <c r="H732" t="s">
        <v>461</v>
      </c>
      <c r="I732" t="s">
        <v>644</v>
      </c>
      <c r="J732" t="s">
        <v>266</v>
      </c>
      <c r="K732" t="s">
        <v>5724</v>
      </c>
      <c r="L732" t="s">
        <v>267</v>
      </c>
      <c r="M732">
        <v>27665794</v>
      </c>
      <c r="N732">
        <v>0</v>
      </c>
      <c r="O732">
        <v>27665794</v>
      </c>
      <c r="P732">
        <v>0</v>
      </c>
      <c r="Q732" t="s">
        <v>9755</v>
      </c>
      <c r="R732" t="s">
        <v>9149</v>
      </c>
      <c r="S732" t="s">
        <v>9295</v>
      </c>
      <c r="T732" t="s">
        <v>6412</v>
      </c>
      <c r="U732" t="s">
        <v>9756</v>
      </c>
      <c r="V732" t="s">
        <v>9757</v>
      </c>
      <c r="W732" t="s">
        <v>5731</v>
      </c>
      <c r="X732" t="str">
        <f t="shared" si="11"/>
        <v>Inversión</v>
      </c>
      <c r="Y732" t="s">
        <v>5735</v>
      </c>
    </row>
    <row r="733" spans="1:25" x14ac:dyDescent="0.25">
      <c r="A733" t="s">
        <v>6935</v>
      </c>
      <c r="B733" t="s">
        <v>7342</v>
      </c>
      <c r="C733" t="s">
        <v>9758</v>
      </c>
      <c r="D733" t="s">
        <v>5720</v>
      </c>
      <c r="E733" t="s">
        <v>5721</v>
      </c>
      <c r="F733" t="s">
        <v>5733</v>
      </c>
      <c r="G733" t="s">
        <v>9728</v>
      </c>
      <c r="H733" t="s">
        <v>461</v>
      </c>
      <c r="I733" t="s">
        <v>644</v>
      </c>
      <c r="J733" t="s">
        <v>266</v>
      </c>
      <c r="K733" t="s">
        <v>5724</v>
      </c>
      <c r="L733" t="s">
        <v>267</v>
      </c>
      <c r="M733">
        <v>22660000</v>
      </c>
      <c r="N733">
        <v>0</v>
      </c>
      <c r="O733">
        <v>22660000</v>
      </c>
      <c r="P733">
        <v>0</v>
      </c>
      <c r="Q733" t="s">
        <v>9759</v>
      </c>
      <c r="R733" t="s">
        <v>6935</v>
      </c>
      <c r="S733" t="s">
        <v>5975</v>
      </c>
      <c r="T733" t="s">
        <v>7156</v>
      </c>
      <c r="U733" t="s">
        <v>9760</v>
      </c>
      <c r="V733" t="s">
        <v>9761</v>
      </c>
      <c r="W733" t="s">
        <v>5731</v>
      </c>
      <c r="X733" t="str">
        <f t="shared" si="11"/>
        <v>Inversión</v>
      </c>
      <c r="Y733" t="s">
        <v>5735</v>
      </c>
    </row>
    <row r="734" spans="1:25" x14ac:dyDescent="0.25">
      <c r="A734" t="s">
        <v>9223</v>
      </c>
      <c r="B734" t="s">
        <v>7342</v>
      </c>
      <c r="C734" t="s">
        <v>9762</v>
      </c>
      <c r="D734" t="s">
        <v>5720</v>
      </c>
      <c r="E734" t="s">
        <v>5721</v>
      </c>
      <c r="F734" t="s">
        <v>5733</v>
      </c>
      <c r="G734" t="s">
        <v>9728</v>
      </c>
      <c r="H734" t="s">
        <v>461</v>
      </c>
      <c r="I734" t="s">
        <v>644</v>
      </c>
      <c r="J734" t="s">
        <v>266</v>
      </c>
      <c r="K734" t="s">
        <v>5724</v>
      </c>
      <c r="L734" t="s">
        <v>267</v>
      </c>
      <c r="M734">
        <v>13609944</v>
      </c>
      <c r="N734">
        <v>0</v>
      </c>
      <c r="O734">
        <v>13609944</v>
      </c>
      <c r="P734">
        <v>0</v>
      </c>
      <c r="Q734" t="s">
        <v>9763</v>
      </c>
      <c r="R734" t="s">
        <v>9223</v>
      </c>
      <c r="S734" t="s">
        <v>6046</v>
      </c>
      <c r="T734" t="s">
        <v>7162</v>
      </c>
      <c r="U734" t="s">
        <v>9764</v>
      </c>
      <c r="V734" t="s">
        <v>9765</v>
      </c>
      <c r="W734" t="s">
        <v>5731</v>
      </c>
      <c r="X734" t="str">
        <f t="shared" si="11"/>
        <v>Inversión</v>
      </c>
      <c r="Y734" t="s">
        <v>5735</v>
      </c>
    </row>
    <row r="735" spans="1:25" x14ac:dyDescent="0.25">
      <c r="A735" t="s">
        <v>9226</v>
      </c>
      <c r="B735" t="s">
        <v>7342</v>
      </c>
      <c r="C735" t="s">
        <v>9766</v>
      </c>
      <c r="D735" t="s">
        <v>5720</v>
      </c>
      <c r="E735" t="s">
        <v>5721</v>
      </c>
      <c r="F735" t="s">
        <v>5733</v>
      </c>
      <c r="G735" t="s">
        <v>9728</v>
      </c>
      <c r="H735" t="s">
        <v>461</v>
      </c>
      <c r="I735" t="s">
        <v>644</v>
      </c>
      <c r="J735" t="s">
        <v>266</v>
      </c>
      <c r="K735" t="s">
        <v>5724</v>
      </c>
      <c r="L735" t="s">
        <v>267</v>
      </c>
      <c r="M735">
        <v>2439263</v>
      </c>
      <c r="N735">
        <v>-1993883</v>
      </c>
      <c r="O735">
        <v>445380</v>
      </c>
      <c r="P735">
        <v>0</v>
      </c>
      <c r="Q735" t="s">
        <v>9767</v>
      </c>
      <c r="R735" t="s">
        <v>9226</v>
      </c>
      <c r="S735" t="s">
        <v>5856</v>
      </c>
      <c r="T735" t="s">
        <v>7092</v>
      </c>
      <c r="U735" t="s">
        <v>7141</v>
      </c>
      <c r="V735" t="s">
        <v>9768</v>
      </c>
      <c r="W735" t="s">
        <v>5731</v>
      </c>
      <c r="X735" t="str">
        <f t="shared" si="11"/>
        <v>Inversión</v>
      </c>
      <c r="Y735" t="s">
        <v>5735</v>
      </c>
    </row>
    <row r="736" spans="1:25" x14ac:dyDescent="0.25">
      <c r="A736" t="s">
        <v>9425</v>
      </c>
      <c r="B736" t="s">
        <v>9769</v>
      </c>
      <c r="C736" t="s">
        <v>9770</v>
      </c>
      <c r="D736" t="s">
        <v>5720</v>
      </c>
      <c r="E736" t="s">
        <v>5721</v>
      </c>
      <c r="F736" t="s">
        <v>6619</v>
      </c>
      <c r="G736" t="s">
        <v>9728</v>
      </c>
      <c r="H736" t="s">
        <v>455</v>
      </c>
      <c r="I736" t="s">
        <v>643</v>
      </c>
      <c r="J736" t="s">
        <v>273</v>
      </c>
      <c r="K736" t="s">
        <v>5734</v>
      </c>
      <c r="L736" t="s">
        <v>267</v>
      </c>
      <c r="M736">
        <v>16381062</v>
      </c>
      <c r="N736">
        <v>0</v>
      </c>
      <c r="O736">
        <v>16381062</v>
      </c>
      <c r="P736">
        <v>0</v>
      </c>
      <c r="Q736" t="s">
        <v>9771</v>
      </c>
      <c r="R736" t="s">
        <v>9425</v>
      </c>
      <c r="S736" t="s">
        <v>6030</v>
      </c>
      <c r="T736" t="s">
        <v>7121</v>
      </c>
      <c r="U736" t="s">
        <v>9772</v>
      </c>
      <c r="V736" t="s">
        <v>9773</v>
      </c>
      <c r="W736" t="s">
        <v>5731</v>
      </c>
      <c r="X736" t="str">
        <f t="shared" si="11"/>
        <v>Inversión</v>
      </c>
      <c r="Y736" t="s">
        <v>6626</v>
      </c>
    </row>
    <row r="737" spans="1:25" x14ac:dyDescent="0.25">
      <c r="A737" t="s">
        <v>9420</v>
      </c>
      <c r="B737" t="s">
        <v>9769</v>
      </c>
      <c r="C737" t="s">
        <v>9774</v>
      </c>
      <c r="D737" t="s">
        <v>5720</v>
      </c>
      <c r="E737" t="s">
        <v>5721</v>
      </c>
      <c r="F737" t="s">
        <v>6619</v>
      </c>
      <c r="G737" t="s">
        <v>9728</v>
      </c>
      <c r="H737" t="s">
        <v>455</v>
      </c>
      <c r="I737" t="s">
        <v>643</v>
      </c>
      <c r="J737" t="s">
        <v>273</v>
      </c>
      <c r="K737" t="s">
        <v>5734</v>
      </c>
      <c r="L737" t="s">
        <v>267</v>
      </c>
      <c r="M737">
        <v>7118938</v>
      </c>
      <c r="N737">
        <v>-4000000</v>
      </c>
      <c r="O737">
        <v>3118938</v>
      </c>
      <c r="P737">
        <v>1923381</v>
      </c>
      <c r="Q737" t="s">
        <v>9775</v>
      </c>
      <c r="R737" t="s">
        <v>9420</v>
      </c>
      <c r="S737" t="s">
        <v>9776</v>
      </c>
      <c r="T737" t="s">
        <v>9777</v>
      </c>
      <c r="U737" t="s">
        <v>9778</v>
      </c>
      <c r="V737" t="s">
        <v>9779</v>
      </c>
      <c r="W737" t="s">
        <v>9326</v>
      </c>
      <c r="X737" t="str">
        <f t="shared" si="11"/>
        <v>Inversión</v>
      </c>
      <c r="Y737" t="s">
        <v>6626</v>
      </c>
    </row>
    <row r="738" spans="1:25" x14ac:dyDescent="0.25">
      <c r="A738" t="s">
        <v>9228</v>
      </c>
      <c r="B738" t="s">
        <v>7497</v>
      </c>
      <c r="C738" t="s">
        <v>9780</v>
      </c>
      <c r="D738" t="s">
        <v>5720</v>
      </c>
      <c r="E738" t="s">
        <v>5721</v>
      </c>
      <c r="F738" t="s">
        <v>5733</v>
      </c>
      <c r="G738" t="s">
        <v>9728</v>
      </c>
      <c r="H738" t="s">
        <v>461</v>
      </c>
      <c r="I738" t="s">
        <v>644</v>
      </c>
      <c r="J738" t="s">
        <v>273</v>
      </c>
      <c r="K738" t="s">
        <v>5734</v>
      </c>
      <c r="L738" t="s">
        <v>267</v>
      </c>
      <c r="M738">
        <v>52455375</v>
      </c>
      <c r="N738">
        <v>15736611</v>
      </c>
      <c r="O738">
        <v>68191986</v>
      </c>
      <c r="P738">
        <v>0</v>
      </c>
      <c r="Q738" t="s">
        <v>9781</v>
      </c>
      <c r="R738" t="s">
        <v>9228</v>
      </c>
      <c r="S738" t="s">
        <v>9782</v>
      </c>
      <c r="T738" t="s">
        <v>9783</v>
      </c>
      <c r="U738" t="s">
        <v>9784</v>
      </c>
      <c r="V738" t="s">
        <v>9785</v>
      </c>
      <c r="W738" t="s">
        <v>5731</v>
      </c>
      <c r="X738" t="str">
        <f t="shared" si="11"/>
        <v>Inversión</v>
      </c>
      <c r="Y738" t="s">
        <v>5735</v>
      </c>
    </row>
    <row r="739" spans="1:25" x14ac:dyDescent="0.25">
      <c r="A739" t="s">
        <v>9272</v>
      </c>
      <c r="B739" t="s">
        <v>7505</v>
      </c>
      <c r="C739" t="s">
        <v>9786</v>
      </c>
      <c r="D739" t="s">
        <v>5720</v>
      </c>
      <c r="E739" t="s">
        <v>5721</v>
      </c>
      <c r="F739" t="s">
        <v>5733</v>
      </c>
      <c r="G739" t="s">
        <v>9728</v>
      </c>
      <c r="H739" t="s">
        <v>461</v>
      </c>
      <c r="I739" t="s">
        <v>644</v>
      </c>
      <c r="J739" t="s">
        <v>273</v>
      </c>
      <c r="K739" t="s">
        <v>5734</v>
      </c>
      <c r="L739" t="s">
        <v>267</v>
      </c>
      <c r="M739">
        <v>187483920</v>
      </c>
      <c r="N739">
        <v>43746250</v>
      </c>
      <c r="O739">
        <v>231230170</v>
      </c>
      <c r="P739">
        <v>0</v>
      </c>
      <c r="Q739" t="s">
        <v>9787</v>
      </c>
      <c r="R739" t="s">
        <v>9272</v>
      </c>
      <c r="S739" t="s">
        <v>9788</v>
      </c>
      <c r="T739" t="s">
        <v>9789</v>
      </c>
      <c r="U739" t="s">
        <v>9790</v>
      </c>
      <c r="V739" t="s">
        <v>9791</v>
      </c>
      <c r="W739" t="s">
        <v>5731</v>
      </c>
      <c r="X739" t="str">
        <f t="shared" si="11"/>
        <v>Inversión</v>
      </c>
      <c r="Y739" t="s">
        <v>5735</v>
      </c>
    </row>
    <row r="740" spans="1:25" x14ac:dyDescent="0.25">
      <c r="A740" t="s">
        <v>9154</v>
      </c>
      <c r="B740" t="s">
        <v>7505</v>
      </c>
      <c r="C740" t="s">
        <v>9792</v>
      </c>
      <c r="D740" t="s">
        <v>5720</v>
      </c>
      <c r="E740" t="s">
        <v>5721</v>
      </c>
      <c r="F740" t="s">
        <v>5733</v>
      </c>
      <c r="G740" t="s">
        <v>9728</v>
      </c>
      <c r="H740" t="s">
        <v>461</v>
      </c>
      <c r="I740" t="s">
        <v>644</v>
      </c>
      <c r="J740" t="s">
        <v>273</v>
      </c>
      <c r="K740" t="s">
        <v>5734</v>
      </c>
      <c r="L740" t="s">
        <v>267</v>
      </c>
      <c r="M740">
        <v>412464624</v>
      </c>
      <c r="N740">
        <v>125718386</v>
      </c>
      <c r="O740">
        <v>538183010</v>
      </c>
      <c r="P740">
        <v>0</v>
      </c>
      <c r="Q740" t="s">
        <v>9793</v>
      </c>
      <c r="R740" t="s">
        <v>9154</v>
      </c>
      <c r="S740" t="s">
        <v>9794</v>
      </c>
      <c r="T740" t="s">
        <v>9795</v>
      </c>
      <c r="U740" t="s">
        <v>9796</v>
      </c>
      <c r="V740" t="s">
        <v>9797</v>
      </c>
      <c r="W740" t="s">
        <v>5731</v>
      </c>
      <c r="X740" t="str">
        <f t="shared" si="11"/>
        <v>Inversión</v>
      </c>
      <c r="Y740" t="s">
        <v>5735</v>
      </c>
    </row>
    <row r="741" spans="1:25" x14ac:dyDescent="0.25">
      <c r="A741" t="s">
        <v>9232</v>
      </c>
      <c r="B741" t="s">
        <v>7505</v>
      </c>
      <c r="C741" t="s">
        <v>9798</v>
      </c>
      <c r="D741" t="s">
        <v>5720</v>
      </c>
      <c r="E741" t="s">
        <v>5721</v>
      </c>
      <c r="F741" t="s">
        <v>5733</v>
      </c>
      <c r="G741" t="s">
        <v>9728</v>
      </c>
      <c r="H741" t="s">
        <v>461</v>
      </c>
      <c r="I741" t="s">
        <v>644</v>
      </c>
      <c r="J741" t="s">
        <v>273</v>
      </c>
      <c r="K741" t="s">
        <v>5734</v>
      </c>
      <c r="L741" t="s">
        <v>267</v>
      </c>
      <c r="M741">
        <v>115360000</v>
      </c>
      <c r="N741">
        <v>28840000</v>
      </c>
      <c r="O741">
        <v>144200000</v>
      </c>
      <c r="P741">
        <v>0</v>
      </c>
      <c r="Q741" t="s">
        <v>9799</v>
      </c>
      <c r="R741" t="s">
        <v>9232</v>
      </c>
      <c r="S741" t="s">
        <v>9800</v>
      </c>
      <c r="T741" t="s">
        <v>9801</v>
      </c>
      <c r="U741" t="s">
        <v>9802</v>
      </c>
      <c r="V741" t="s">
        <v>9803</v>
      </c>
      <c r="W741" t="s">
        <v>5731</v>
      </c>
      <c r="X741" t="str">
        <f t="shared" si="11"/>
        <v>Inversión</v>
      </c>
      <c r="Y741" t="s">
        <v>5735</v>
      </c>
    </row>
    <row r="742" spans="1:25" x14ac:dyDescent="0.25">
      <c r="A742" t="s">
        <v>9324</v>
      </c>
      <c r="B742" t="s">
        <v>7505</v>
      </c>
      <c r="C742" t="s">
        <v>9804</v>
      </c>
      <c r="D742" t="s">
        <v>5720</v>
      </c>
      <c r="E742" t="s">
        <v>5721</v>
      </c>
      <c r="F742" t="s">
        <v>5733</v>
      </c>
      <c r="G742" t="s">
        <v>9728</v>
      </c>
      <c r="H742" t="s">
        <v>461</v>
      </c>
      <c r="I742" t="s">
        <v>644</v>
      </c>
      <c r="J742" t="s">
        <v>273</v>
      </c>
      <c r="K742" t="s">
        <v>5734</v>
      </c>
      <c r="L742" t="s">
        <v>267</v>
      </c>
      <c r="M742">
        <v>37400762</v>
      </c>
      <c r="N742">
        <v>0</v>
      </c>
      <c r="O742">
        <v>37400762</v>
      </c>
      <c r="P742">
        <v>0</v>
      </c>
      <c r="Q742" t="s">
        <v>9805</v>
      </c>
      <c r="R742" t="s">
        <v>9324</v>
      </c>
      <c r="S742" t="s">
        <v>9806</v>
      </c>
      <c r="T742" t="s">
        <v>9807</v>
      </c>
      <c r="U742" t="s">
        <v>9808</v>
      </c>
      <c r="V742" t="s">
        <v>9809</v>
      </c>
      <c r="W742" t="s">
        <v>5731</v>
      </c>
      <c r="X742" t="str">
        <f t="shared" si="11"/>
        <v>Inversión</v>
      </c>
      <c r="Y742" t="s">
        <v>5735</v>
      </c>
    </row>
    <row r="743" spans="1:25" x14ac:dyDescent="0.25">
      <c r="A743" t="s">
        <v>9258</v>
      </c>
      <c r="B743" t="s">
        <v>9810</v>
      </c>
      <c r="C743" t="s">
        <v>9811</v>
      </c>
      <c r="D743" t="s">
        <v>5720</v>
      </c>
      <c r="E743" t="s">
        <v>5721</v>
      </c>
      <c r="F743" t="s">
        <v>5733</v>
      </c>
      <c r="G743" t="s">
        <v>9728</v>
      </c>
      <c r="H743" t="s">
        <v>461</v>
      </c>
      <c r="I743" t="s">
        <v>644</v>
      </c>
      <c r="J743" t="s">
        <v>273</v>
      </c>
      <c r="K743" t="s">
        <v>5734</v>
      </c>
      <c r="L743" t="s">
        <v>267</v>
      </c>
      <c r="M743">
        <v>53429660</v>
      </c>
      <c r="N743">
        <v>21371864</v>
      </c>
      <c r="O743">
        <v>74801524</v>
      </c>
      <c r="P743">
        <v>0</v>
      </c>
      <c r="Q743" t="s">
        <v>9812</v>
      </c>
      <c r="R743" t="s">
        <v>9258</v>
      </c>
      <c r="S743" t="s">
        <v>9813</v>
      </c>
      <c r="T743" t="s">
        <v>9814</v>
      </c>
      <c r="U743" t="s">
        <v>9815</v>
      </c>
      <c r="V743" t="s">
        <v>9816</v>
      </c>
      <c r="W743" t="s">
        <v>5731</v>
      </c>
      <c r="X743" t="str">
        <f t="shared" si="11"/>
        <v>Inversión</v>
      </c>
      <c r="Y743" t="s">
        <v>5735</v>
      </c>
    </row>
    <row r="744" spans="1:25" x14ac:dyDescent="0.25">
      <c r="A744" t="s">
        <v>9233</v>
      </c>
      <c r="B744" t="s">
        <v>9810</v>
      </c>
      <c r="C744" t="s">
        <v>9817</v>
      </c>
      <c r="D744" t="s">
        <v>5720</v>
      </c>
      <c r="E744" t="s">
        <v>5721</v>
      </c>
      <c r="F744" t="s">
        <v>5733</v>
      </c>
      <c r="G744" t="s">
        <v>9728</v>
      </c>
      <c r="H744" t="s">
        <v>461</v>
      </c>
      <c r="I744" t="s">
        <v>644</v>
      </c>
      <c r="J744" t="s">
        <v>273</v>
      </c>
      <c r="K744" t="s">
        <v>5734</v>
      </c>
      <c r="L744" t="s">
        <v>267</v>
      </c>
      <c r="M744">
        <v>53429660</v>
      </c>
      <c r="N744">
        <v>23420001</v>
      </c>
      <c r="O744">
        <v>76849661</v>
      </c>
      <c r="P744">
        <v>0</v>
      </c>
      <c r="Q744" t="s">
        <v>9818</v>
      </c>
      <c r="R744" t="s">
        <v>9233</v>
      </c>
      <c r="S744" t="s">
        <v>9819</v>
      </c>
      <c r="T744" t="s">
        <v>9820</v>
      </c>
      <c r="U744" t="s">
        <v>9821</v>
      </c>
      <c r="V744" t="s">
        <v>9822</v>
      </c>
      <c r="W744" t="s">
        <v>5731</v>
      </c>
      <c r="X744" t="str">
        <f t="shared" si="11"/>
        <v>Inversión</v>
      </c>
      <c r="Y744" t="s">
        <v>5735</v>
      </c>
    </row>
    <row r="745" spans="1:25" x14ac:dyDescent="0.25">
      <c r="A745" t="s">
        <v>7504</v>
      </c>
      <c r="B745" t="s">
        <v>9810</v>
      </c>
      <c r="C745" t="s">
        <v>9823</v>
      </c>
      <c r="D745" t="s">
        <v>5720</v>
      </c>
      <c r="E745" t="s">
        <v>5721</v>
      </c>
      <c r="F745" t="s">
        <v>5733</v>
      </c>
      <c r="G745" t="s">
        <v>9728</v>
      </c>
      <c r="H745" t="s">
        <v>461</v>
      </c>
      <c r="I745" t="s">
        <v>644</v>
      </c>
      <c r="J745" t="s">
        <v>273</v>
      </c>
      <c r="K745" t="s">
        <v>5734</v>
      </c>
      <c r="L745" t="s">
        <v>267</v>
      </c>
      <c r="M745">
        <v>74854692</v>
      </c>
      <c r="N745">
        <v>25291819</v>
      </c>
      <c r="O745">
        <v>100146511</v>
      </c>
      <c r="P745">
        <v>0</v>
      </c>
      <c r="Q745" t="s">
        <v>9824</v>
      </c>
      <c r="R745" t="s">
        <v>7504</v>
      </c>
      <c r="S745" t="s">
        <v>9825</v>
      </c>
      <c r="T745" t="s">
        <v>9826</v>
      </c>
      <c r="U745" t="s">
        <v>9827</v>
      </c>
      <c r="V745" t="s">
        <v>9828</v>
      </c>
      <c r="W745" t="s">
        <v>5731</v>
      </c>
      <c r="X745" t="str">
        <f t="shared" si="11"/>
        <v>Inversión</v>
      </c>
      <c r="Y745" t="s">
        <v>5735</v>
      </c>
    </row>
    <row r="746" spans="1:25" x14ac:dyDescent="0.25">
      <c r="A746" t="s">
        <v>9465</v>
      </c>
      <c r="B746" t="s">
        <v>9810</v>
      </c>
      <c r="C746" t="s">
        <v>9829</v>
      </c>
      <c r="D746" t="s">
        <v>5720</v>
      </c>
      <c r="E746" t="s">
        <v>5721</v>
      </c>
      <c r="F746" t="s">
        <v>5733</v>
      </c>
      <c r="G746" t="s">
        <v>9728</v>
      </c>
      <c r="H746" t="s">
        <v>461</v>
      </c>
      <c r="I746" t="s">
        <v>644</v>
      </c>
      <c r="J746" t="s">
        <v>273</v>
      </c>
      <c r="K746" t="s">
        <v>5734</v>
      </c>
      <c r="L746" t="s">
        <v>267</v>
      </c>
      <c r="M746">
        <v>17273379</v>
      </c>
      <c r="N746">
        <v>0</v>
      </c>
      <c r="O746">
        <v>17273379</v>
      </c>
      <c r="P746">
        <v>0</v>
      </c>
      <c r="Q746" t="s">
        <v>9830</v>
      </c>
      <c r="R746" t="s">
        <v>9465</v>
      </c>
      <c r="S746" t="s">
        <v>6231</v>
      </c>
      <c r="T746" t="s">
        <v>7073</v>
      </c>
      <c r="U746" t="s">
        <v>9831</v>
      </c>
      <c r="V746" t="s">
        <v>9832</v>
      </c>
      <c r="W746" t="s">
        <v>5731</v>
      </c>
      <c r="X746" t="str">
        <f t="shared" si="11"/>
        <v>Inversión</v>
      </c>
      <c r="Y746" t="s">
        <v>5735</v>
      </c>
    </row>
    <row r="747" spans="1:25" x14ac:dyDescent="0.25">
      <c r="A747" t="s">
        <v>9146</v>
      </c>
      <c r="B747" t="s">
        <v>9810</v>
      </c>
      <c r="C747" t="s">
        <v>9833</v>
      </c>
      <c r="D747" t="s">
        <v>5720</v>
      </c>
      <c r="E747" t="s">
        <v>5721</v>
      </c>
      <c r="F747" t="s">
        <v>5733</v>
      </c>
      <c r="G747" t="s">
        <v>9728</v>
      </c>
      <c r="H747" t="s">
        <v>461</v>
      </c>
      <c r="I747" t="s">
        <v>644</v>
      </c>
      <c r="J747" t="s">
        <v>273</v>
      </c>
      <c r="K747" t="s">
        <v>5734</v>
      </c>
      <c r="L747" t="s">
        <v>267</v>
      </c>
      <c r="M747">
        <v>16785720</v>
      </c>
      <c r="N747">
        <v>0</v>
      </c>
      <c r="O747">
        <v>16785720</v>
      </c>
      <c r="P747">
        <v>0</v>
      </c>
      <c r="Q747" t="s">
        <v>9834</v>
      </c>
      <c r="R747" t="s">
        <v>9146</v>
      </c>
      <c r="S747" t="s">
        <v>5770</v>
      </c>
      <c r="T747" t="s">
        <v>7051</v>
      </c>
      <c r="U747" t="s">
        <v>9835</v>
      </c>
      <c r="V747" t="s">
        <v>9836</v>
      </c>
      <c r="W747" t="s">
        <v>5731</v>
      </c>
      <c r="X747" t="str">
        <f t="shared" si="11"/>
        <v>Inversión</v>
      </c>
      <c r="Y747" t="s">
        <v>5735</v>
      </c>
    </row>
    <row r="748" spans="1:25" x14ac:dyDescent="0.25">
      <c r="A748" t="s">
        <v>9269</v>
      </c>
      <c r="B748" t="s">
        <v>9810</v>
      </c>
      <c r="C748" t="s">
        <v>9837</v>
      </c>
      <c r="D748" t="s">
        <v>5720</v>
      </c>
      <c r="E748" t="s">
        <v>5737</v>
      </c>
      <c r="F748" t="s">
        <v>5733</v>
      </c>
      <c r="G748" t="s">
        <v>9728</v>
      </c>
      <c r="H748" t="s">
        <v>461</v>
      </c>
      <c r="I748" t="s">
        <v>644</v>
      </c>
      <c r="J748" t="s">
        <v>273</v>
      </c>
      <c r="K748" t="s">
        <v>5734</v>
      </c>
      <c r="L748" t="s">
        <v>267</v>
      </c>
      <c r="M748">
        <v>104495712</v>
      </c>
      <c r="N748">
        <v>-104495712</v>
      </c>
      <c r="O748">
        <v>0</v>
      </c>
      <c r="P748">
        <v>0</v>
      </c>
      <c r="Q748" t="s">
        <v>9838</v>
      </c>
      <c r="R748" t="s">
        <v>9269</v>
      </c>
      <c r="S748" t="s">
        <v>5731</v>
      </c>
      <c r="T748" t="s">
        <v>5731</v>
      </c>
      <c r="U748" t="s">
        <v>5731</v>
      </c>
      <c r="V748" t="s">
        <v>5731</v>
      </c>
      <c r="W748" t="s">
        <v>5731</v>
      </c>
      <c r="X748" t="str">
        <f t="shared" si="11"/>
        <v>Inversión</v>
      </c>
      <c r="Y748" t="s">
        <v>5735</v>
      </c>
    </row>
    <row r="749" spans="1:25" x14ac:dyDescent="0.25">
      <c r="A749" t="s">
        <v>9145</v>
      </c>
      <c r="B749" t="s">
        <v>9810</v>
      </c>
      <c r="C749" t="s">
        <v>9839</v>
      </c>
      <c r="D749" t="s">
        <v>5720</v>
      </c>
      <c r="E749" t="s">
        <v>5721</v>
      </c>
      <c r="F749" t="s">
        <v>5733</v>
      </c>
      <c r="G749" t="s">
        <v>9728</v>
      </c>
      <c r="H749" t="s">
        <v>461</v>
      </c>
      <c r="I749" t="s">
        <v>644</v>
      </c>
      <c r="J749" t="s">
        <v>273</v>
      </c>
      <c r="K749" t="s">
        <v>5734</v>
      </c>
      <c r="L749" t="s">
        <v>267</v>
      </c>
      <c r="M749">
        <v>31247320</v>
      </c>
      <c r="N749">
        <v>8020145</v>
      </c>
      <c r="O749">
        <v>39267465</v>
      </c>
      <c r="P749">
        <v>0</v>
      </c>
      <c r="Q749" t="s">
        <v>9840</v>
      </c>
      <c r="R749" t="s">
        <v>9145</v>
      </c>
      <c r="S749" t="s">
        <v>9841</v>
      </c>
      <c r="T749" t="s">
        <v>9842</v>
      </c>
      <c r="U749" t="s">
        <v>9843</v>
      </c>
      <c r="V749" t="s">
        <v>9844</v>
      </c>
      <c r="W749" t="s">
        <v>5731</v>
      </c>
      <c r="X749" t="str">
        <f t="shared" si="11"/>
        <v>Inversión</v>
      </c>
      <c r="Y749" t="s">
        <v>5735</v>
      </c>
    </row>
    <row r="750" spans="1:25" x14ac:dyDescent="0.25">
      <c r="A750" t="s">
        <v>7381</v>
      </c>
      <c r="B750" t="s">
        <v>9810</v>
      </c>
      <c r="C750" t="s">
        <v>9845</v>
      </c>
      <c r="D750" t="s">
        <v>5720</v>
      </c>
      <c r="E750" t="s">
        <v>5721</v>
      </c>
      <c r="F750" t="s">
        <v>5733</v>
      </c>
      <c r="G750" t="s">
        <v>9728</v>
      </c>
      <c r="H750" t="s">
        <v>461</v>
      </c>
      <c r="I750" t="s">
        <v>644</v>
      </c>
      <c r="J750" t="s">
        <v>273</v>
      </c>
      <c r="K750" t="s">
        <v>5734</v>
      </c>
      <c r="L750" t="s">
        <v>267</v>
      </c>
      <c r="M750">
        <v>74646360</v>
      </c>
      <c r="N750">
        <v>27536213</v>
      </c>
      <c r="O750">
        <v>102182573</v>
      </c>
      <c r="P750">
        <v>0</v>
      </c>
      <c r="Q750" t="s">
        <v>9846</v>
      </c>
      <c r="R750" t="s">
        <v>7381</v>
      </c>
      <c r="S750" t="s">
        <v>9847</v>
      </c>
      <c r="T750" t="s">
        <v>9848</v>
      </c>
      <c r="U750" t="s">
        <v>9849</v>
      </c>
      <c r="V750" t="s">
        <v>9850</v>
      </c>
      <c r="W750" t="s">
        <v>5731</v>
      </c>
      <c r="X750" t="str">
        <f t="shared" si="11"/>
        <v>Inversión</v>
      </c>
      <c r="Y750" t="s">
        <v>5735</v>
      </c>
    </row>
    <row r="751" spans="1:25" x14ac:dyDescent="0.25">
      <c r="A751" t="s">
        <v>9122</v>
      </c>
      <c r="B751" t="s">
        <v>9810</v>
      </c>
      <c r="C751" t="s">
        <v>9851</v>
      </c>
      <c r="D751" t="s">
        <v>5720</v>
      </c>
      <c r="E751" t="s">
        <v>5721</v>
      </c>
      <c r="F751" t="s">
        <v>5733</v>
      </c>
      <c r="G751" t="s">
        <v>9728</v>
      </c>
      <c r="H751" t="s">
        <v>461</v>
      </c>
      <c r="I751" t="s">
        <v>644</v>
      </c>
      <c r="J751" t="s">
        <v>273</v>
      </c>
      <c r="K751" t="s">
        <v>5734</v>
      </c>
      <c r="L751" t="s">
        <v>267</v>
      </c>
      <c r="M751">
        <v>57577930</v>
      </c>
      <c r="N751">
        <v>23127775</v>
      </c>
      <c r="O751">
        <v>80705705</v>
      </c>
      <c r="P751">
        <v>9309072</v>
      </c>
      <c r="Q751" t="s">
        <v>9852</v>
      </c>
      <c r="R751" t="s">
        <v>9122</v>
      </c>
      <c r="S751" t="s">
        <v>9853</v>
      </c>
      <c r="T751" t="s">
        <v>9854</v>
      </c>
      <c r="U751" t="s">
        <v>9855</v>
      </c>
      <c r="V751" t="s">
        <v>9856</v>
      </c>
      <c r="W751" t="s">
        <v>5731</v>
      </c>
      <c r="X751" t="str">
        <f t="shared" si="11"/>
        <v>Inversión</v>
      </c>
      <c r="Y751" t="s">
        <v>5735</v>
      </c>
    </row>
    <row r="752" spans="1:25" x14ac:dyDescent="0.25">
      <c r="A752" t="s">
        <v>9090</v>
      </c>
      <c r="B752" t="s">
        <v>9810</v>
      </c>
      <c r="C752" t="s">
        <v>9857</v>
      </c>
      <c r="D752" t="s">
        <v>5720</v>
      </c>
      <c r="E752" t="s">
        <v>5721</v>
      </c>
      <c r="F752" t="s">
        <v>5733</v>
      </c>
      <c r="G752" t="s">
        <v>9728</v>
      </c>
      <c r="H752" t="s">
        <v>461</v>
      </c>
      <c r="I752" t="s">
        <v>644</v>
      </c>
      <c r="J752" t="s">
        <v>273</v>
      </c>
      <c r="K752" t="s">
        <v>5734</v>
      </c>
      <c r="L752" t="s">
        <v>267</v>
      </c>
      <c r="M752">
        <v>13357415</v>
      </c>
      <c r="N752">
        <v>6678707</v>
      </c>
      <c r="O752">
        <v>20036122</v>
      </c>
      <c r="P752">
        <v>0</v>
      </c>
      <c r="Q752" t="s">
        <v>9858</v>
      </c>
      <c r="R752" t="s">
        <v>9090</v>
      </c>
      <c r="S752" t="s">
        <v>9358</v>
      </c>
      <c r="T752" t="s">
        <v>7229</v>
      </c>
      <c r="U752" t="s">
        <v>9859</v>
      </c>
      <c r="V752" t="s">
        <v>9860</v>
      </c>
      <c r="W752" t="s">
        <v>5731</v>
      </c>
      <c r="X752" t="str">
        <f t="shared" si="11"/>
        <v>Inversión</v>
      </c>
      <c r="Y752" t="s">
        <v>5735</v>
      </c>
    </row>
    <row r="753" spans="1:25" x14ac:dyDescent="0.25">
      <c r="A753" t="s">
        <v>9227</v>
      </c>
      <c r="B753" t="s">
        <v>9810</v>
      </c>
      <c r="C753" t="s">
        <v>9861</v>
      </c>
      <c r="D753" t="s">
        <v>5720</v>
      </c>
      <c r="E753" t="s">
        <v>5721</v>
      </c>
      <c r="F753" t="s">
        <v>5733</v>
      </c>
      <c r="G753" t="s">
        <v>9728</v>
      </c>
      <c r="H753" t="s">
        <v>461</v>
      </c>
      <c r="I753" t="s">
        <v>644</v>
      </c>
      <c r="J753" t="s">
        <v>273</v>
      </c>
      <c r="K753" t="s">
        <v>5734</v>
      </c>
      <c r="L753" t="s">
        <v>267</v>
      </c>
      <c r="M753">
        <v>69663808</v>
      </c>
      <c r="N753">
        <v>0</v>
      </c>
      <c r="O753">
        <v>69663808</v>
      </c>
      <c r="P753">
        <v>0</v>
      </c>
      <c r="Q753" t="s">
        <v>9862</v>
      </c>
      <c r="R753" t="s">
        <v>9227</v>
      </c>
      <c r="S753" t="s">
        <v>5749</v>
      </c>
      <c r="T753" t="s">
        <v>6835</v>
      </c>
      <c r="U753" t="s">
        <v>9863</v>
      </c>
      <c r="V753" t="s">
        <v>9864</v>
      </c>
      <c r="W753" t="s">
        <v>5731</v>
      </c>
      <c r="X753" t="str">
        <f t="shared" si="11"/>
        <v>Inversión</v>
      </c>
      <c r="Y753" t="s">
        <v>5735</v>
      </c>
    </row>
    <row r="754" spans="1:25" x14ac:dyDescent="0.25">
      <c r="A754" t="s">
        <v>9292</v>
      </c>
      <c r="B754" t="s">
        <v>9810</v>
      </c>
      <c r="C754" t="s">
        <v>9865</v>
      </c>
      <c r="D754" t="s">
        <v>5720</v>
      </c>
      <c r="E754" t="s">
        <v>5721</v>
      </c>
      <c r="F754" t="s">
        <v>5733</v>
      </c>
      <c r="G754" t="s">
        <v>9728</v>
      </c>
      <c r="H754" t="s">
        <v>461</v>
      </c>
      <c r="I754" t="s">
        <v>644</v>
      </c>
      <c r="J754" t="s">
        <v>273</v>
      </c>
      <c r="K754" t="s">
        <v>5734</v>
      </c>
      <c r="L754" t="s">
        <v>267</v>
      </c>
      <c r="M754">
        <v>37000000</v>
      </c>
      <c r="N754">
        <v>-14096000</v>
      </c>
      <c r="O754">
        <v>22904000</v>
      </c>
      <c r="P754">
        <v>0</v>
      </c>
      <c r="Q754" t="s">
        <v>9866</v>
      </c>
      <c r="R754" t="s">
        <v>9292</v>
      </c>
      <c r="S754" t="s">
        <v>6023</v>
      </c>
      <c r="T754" t="s">
        <v>9867</v>
      </c>
      <c r="U754" t="s">
        <v>9868</v>
      </c>
      <c r="V754" t="s">
        <v>9869</v>
      </c>
      <c r="W754" t="s">
        <v>5731</v>
      </c>
      <c r="X754" t="str">
        <f t="shared" si="11"/>
        <v>Inversión</v>
      </c>
      <c r="Y754" t="s">
        <v>5735</v>
      </c>
    </row>
    <row r="755" spans="1:25" x14ac:dyDescent="0.25">
      <c r="A755" t="s">
        <v>9295</v>
      </c>
      <c r="B755" t="s">
        <v>9870</v>
      </c>
      <c r="C755" t="s">
        <v>9871</v>
      </c>
      <c r="D755" t="s">
        <v>5720</v>
      </c>
      <c r="E755" t="s">
        <v>5721</v>
      </c>
      <c r="F755" t="s">
        <v>5733</v>
      </c>
      <c r="G755" t="s">
        <v>9728</v>
      </c>
      <c r="H755" t="s">
        <v>461</v>
      </c>
      <c r="I755" t="s">
        <v>644</v>
      </c>
      <c r="J755" t="s">
        <v>273</v>
      </c>
      <c r="K755" t="s">
        <v>5734</v>
      </c>
      <c r="L755" t="s">
        <v>267</v>
      </c>
      <c r="M755">
        <v>45705001</v>
      </c>
      <c r="N755">
        <v>0</v>
      </c>
      <c r="O755">
        <v>45705001</v>
      </c>
      <c r="P755">
        <v>2032132.06</v>
      </c>
      <c r="Q755" t="s">
        <v>9872</v>
      </c>
      <c r="R755" t="s">
        <v>9295</v>
      </c>
      <c r="S755" t="s">
        <v>9873</v>
      </c>
      <c r="T755" t="s">
        <v>9874</v>
      </c>
      <c r="U755" t="s">
        <v>9875</v>
      </c>
      <c r="V755" t="s">
        <v>9876</v>
      </c>
      <c r="W755" t="s">
        <v>9877</v>
      </c>
      <c r="X755" t="str">
        <f t="shared" si="11"/>
        <v>Inversión</v>
      </c>
      <c r="Y755" t="s">
        <v>5735</v>
      </c>
    </row>
    <row r="756" spans="1:25" x14ac:dyDescent="0.25">
      <c r="A756" t="s">
        <v>9093</v>
      </c>
      <c r="B756" t="s">
        <v>7552</v>
      </c>
      <c r="C756" t="s">
        <v>9878</v>
      </c>
      <c r="D756" t="s">
        <v>5720</v>
      </c>
      <c r="E756" t="s">
        <v>5721</v>
      </c>
      <c r="F756" t="s">
        <v>5733</v>
      </c>
      <c r="G756" t="s">
        <v>9728</v>
      </c>
      <c r="H756" t="s">
        <v>461</v>
      </c>
      <c r="I756" t="s">
        <v>644</v>
      </c>
      <c r="J756" t="s">
        <v>273</v>
      </c>
      <c r="K756" t="s">
        <v>5734</v>
      </c>
      <c r="L756" t="s">
        <v>267</v>
      </c>
      <c r="M756">
        <v>115245455</v>
      </c>
      <c r="N756">
        <v>0</v>
      </c>
      <c r="O756">
        <v>115245455</v>
      </c>
      <c r="P756">
        <v>45899874</v>
      </c>
      <c r="Q756" t="s">
        <v>9879</v>
      </c>
      <c r="R756" t="s">
        <v>9093</v>
      </c>
      <c r="S756" t="s">
        <v>9880</v>
      </c>
      <c r="T756" t="s">
        <v>9881</v>
      </c>
      <c r="U756" t="s">
        <v>9882</v>
      </c>
      <c r="V756" t="s">
        <v>9883</v>
      </c>
      <c r="W756" t="s">
        <v>9884</v>
      </c>
      <c r="X756" t="str">
        <f t="shared" si="11"/>
        <v>Inversión</v>
      </c>
      <c r="Y756" t="s">
        <v>5735</v>
      </c>
    </row>
    <row r="757" spans="1:25" x14ac:dyDescent="0.25">
      <c r="A757" t="s">
        <v>9103</v>
      </c>
      <c r="B757" t="s">
        <v>7552</v>
      </c>
      <c r="C757" t="s">
        <v>9885</v>
      </c>
      <c r="D757" t="s">
        <v>5720</v>
      </c>
      <c r="E757" t="s">
        <v>5721</v>
      </c>
      <c r="F757" t="s">
        <v>5733</v>
      </c>
      <c r="G757" t="s">
        <v>9728</v>
      </c>
      <c r="H757" t="s">
        <v>461</v>
      </c>
      <c r="I757" t="s">
        <v>644</v>
      </c>
      <c r="J757" t="s">
        <v>273</v>
      </c>
      <c r="K757" t="s">
        <v>5734</v>
      </c>
      <c r="L757" t="s">
        <v>267</v>
      </c>
      <c r="M757">
        <v>37000000</v>
      </c>
      <c r="N757">
        <v>0</v>
      </c>
      <c r="O757">
        <v>37000000</v>
      </c>
      <c r="P757">
        <v>0</v>
      </c>
      <c r="Q757" t="s">
        <v>9886</v>
      </c>
      <c r="R757" t="s">
        <v>9103</v>
      </c>
      <c r="S757" t="s">
        <v>5759</v>
      </c>
      <c r="T757" t="s">
        <v>9887</v>
      </c>
      <c r="U757" t="s">
        <v>9888</v>
      </c>
      <c r="V757" t="s">
        <v>9889</v>
      </c>
      <c r="W757" t="s">
        <v>5731</v>
      </c>
      <c r="X757" t="str">
        <f t="shared" si="11"/>
        <v>Inversión</v>
      </c>
      <c r="Y757" t="s">
        <v>5735</v>
      </c>
    </row>
    <row r="758" spans="1:25" x14ac:dyDescent="0.25">
      <c r="A758" t="s">
        <v>9111</v>
      </c>
      <c r="B758" t="s">
        <v>7674</v>
      </c>
      <c r="C758" t="s">
        <v>9890</v>
      </c>
      <c r="D758" t="s">
        <v>5720</v>
      </c>
      <c r="E758" t="s">
        <v>5721</v>
      </c>
      <c r="F758" t="s">
        <v>5733</v>
      </c>
      <c r="G758" t="s">
        <v>9728</v>
      </c>
      <c r="H758" t="s">
        <v>461</v>
      </c>
      <c r="I758" t="s">
        <v>644</v>
      </c>
      <c r="J758" t="s">
        <v>266</v>
      </c>
      <c r="K758" t="s">
        <v>5724</v>
      </c>
      <c r="L758" t="s">
        <v>267</v>
      </c>
      <c r="M758">
        <v>1993883</v>
      </c>
      <c r="N758">
        <v>0</v>
      </c>
      <c r="O758">
        <v>1993883</v>
      </c>
      <c r="P758">
        <v>486594</v>
      </c>
      <c r="Q758" t="s">
        <v>9891</v>
      </c>
      <c r="R758" t="s">
        <v>9111</v>
      </c>
      <c r="S758" t="s">
        <v>9892</v>
      </c>
      <c r="T758" t="s">
        <v>9893</v>
      </c>
      <c r="U758" t="s">
        <v>9894</v>
      </c>
      <c r="V758" t="s">
        <v>9895</v>
      </c>
      <c r="W758" t="s">
        <v>5731</v>
      </c>
      <c r="X758" t="str">
        <f t="shared" si="11"/>
        <v>Inversión</v>
      </c>
      <c r="Y758" t="s">
        <v>5735</v>
      </c>
    </row>
    <row r="759" spans="1:25" x14ac:dyDescent="0.25">
      <c r="A759" t="s">
        <v>5742</v>
      </c>
      <c r="B759" t="s">
        <v>9896</v>
      </c>
      <c r="C759" t="s">
        <v>9897</v>
      </c>
      <c r="D759" t="s">
        <v>5720</v>
      </c>
      <c r="E759" t="s">
        <v>5721</v>
      </c>
      <c r="F759" t="s">
        <v>6619</v>
      </c>
      <c r="G759" t="s">
        <v>9728</v>
      </c>
      <c r="H759" t="s">
        <v>455</v>
      </c>
      <c r="I759" t="s">
        <v>643</v>
      </c>
      <c r="J759" t="s">
        <v>273</v>
      </c>
      <c r="K759" t="s">
        <v>5734</v>
      </c>
      <c r="L759" t="s">
        <v>267</v>
      </c>
      <c r="M759">
        <v>4000000</v>
      </c>
      <c r="N759">
        <v>0</v>
      </c>
      <c r="O759">
        <v>4000000</v>
      </c>
      <c r="P759">
        <v>3365765</v>
      </c>
      <c r="Q759" t="s">
        <v>9898</v>
      </c>
      <c r="R759" t="s">
        <v>5742</v>
      </c>
      <c r="S759" t="s">
        <v>9899</v>
      </c>
      <c r="T759" t="s">
        <v>9900</v>
      </c>
      <c r="U759" t="s">
        <v>9901</v>
      </c>
      <c r="V759" t="s">
        <v>9902</v>
      </c>
      <c r="W759" t="s">
        <v>5731</v>
      </c>
      <c r="X759" t="str">
        <f t="shared" si="11"/>
        <v>Inversión</v>
      </c>
      <c r="Y759" t="s">
        <v>6626</v>
      </c>
    </row>
    <row r="760" spans="1:25" x14ac:dyDescent="0.25">
      <c r="A760" t="s">
        <v>5777</v>
      </c>
      <c r="B760" t="s">
        <v>9903</v>
      </c>
      <c r="C760" t="s">
        <v>9904</v>
      </c>
      <c r="D760" t="s">
        <v>5720</v>
      </c>
      <c r="E760" t="s">
        <v>5721</v>
      </c>
      <c r="F760" t="s">
        <v>5733</v>
      </c>
      <c r="G760" t="s">
        <v>9728</v>
      </c>
      <c r="H760" t="s">
        <v>461</v>
      </c>
      <c r="I760" t="s">
        <v>644</v>
      </c>
      <c r="J760" t="s">
        <v>273</v>
      </c>
      <c r="K760" t="s">
        <v>5734</v>
      </c>
      <c r="L760" t="s">
        <v>267</v>
      </c>
      <c r="M760">
        <v>28000000</v>
      </c>
      <c r="N760">
        <v>0</v>
      </c>
      <c r="O760">
        <v>28000000</v>
      </c>
      <c r="P760">
        <v>0</v>
      </c>
      <c r="Q760" t="s">
        <v>9905</v>
      </c>
      <c r="R760" t="s">
        <v>5777</v>
      </c>
      <c r="S760" t="s">
        <v>9906</v>
      </c>
      <c r="T760" t="s">
        <v>9907</v>
      </c>
      <c r="U760" t="s">
        <v>9908</v>
      </c>
      <c r="V760" t="s">
        <v>9909</v>
      </c>
      <c r="W760" t="s">
        <v>5731</v>
      </c>
      <c r="X760" t="str">
        <f t="shared" si="11"/>
        <v>Inversión</v>
      </c>
      <c r="Y760" t="s">
        <v>5735</v>
      </c>
    </row>
    <row r="761" spans="1:25" x14ac:dyDescent="0.25">
      <c r="A761" t="s">
        <v>5784</v>
      </c>
      <c r="B761" t="s">
        <v>8297</v>
      </c>
      <c r="C761" t="s">
        <v>9910</v>
      </c>
      <c r="D761" t="s">
        <v>5720</v>
      </c>
      <c r="E761" t="s">
        <v>5721</v>
      </c>
      <c r="F761" t="s">
        <v>5733</v>
      </c>
      <c r="G761" t="s">
        <v>9728</v>
      </c>
      <c r="H761" t="s">
        <v>461</v>
      </c>
      <c r="I761" t="s">
        <v>644</v>
      </c>
      <c r="J761" t="s">
        <v>273</v>
      </c>
      <c r="K761" t="s">
        <v>5734</v>
      </c>
      <c r="L761" t="s">
        <v>267</v>
      </c>
      <c r="M761">
        <v>14000000</v>
      </c>
      <c r="N761">
        <v>0</v>
      </c>
      <c r="O761">
        <v>14000000</v>
      </c>
      <c r="P761">
        <v>0</v>
      </c>
      <c r="Q761" t="s">
        <v>9911</v>
      </c>
      <c r="R761" t="s">
        <v>5784</v>
      </c>
      <c r="S761" t="s">
        <v>6432</v>
      </c>
      <c r="T761" t="s">
        <v>5731</v>
      </c>
      <c r="U761" t="s">
        <v>5731</v>
      </c>
      <c r="V761" t="s">
        <v>5731</v>
      </c>
      <c r="W761" t="s">
        <v>5731</v>
      </c>
      <c r="X761" t="str">
        <f t="shared" si="11"/>
        <v>Inversión</v>
      </c>
      <c r="Y761" t="s">
        <v>5735</v>
      </c>
    </row>
    <row r="762" spans="1:25" x14ac:dyDescent="0.25">
      <c r="A762" t="s">
        <v>5794</v>
      </c>
      <c r="B762" t="s">
        <v>8377</v>
      </c>
      <c r="C762" t="s">
        <v>9912</v>
      </c>
      <c r="D762" t="s">
        <v>5720</v>
      </c>
      <c r="E762" t="s">
        <v>5721</v>
      </c>
      <c r="F762" t="s">
        <v>5733</v>
      </c>
      <c r="G762" t="s">
        <v>9728</v>
      </c>
      <c r="H762" t="s">
        <v>461</v>
      </c>
      <c r="I762" t="s">
        <v>644</v>
      </c>
      <c r="J762" t="s">
        <v>273</v>
      </c>
      <c r="K762" t="s">
        <v>5734</v>
      </c>
      <c r="L762" t="s">
        <v>267</v>
      </c>
      <c r="M762">
        <v>112490352</v>
      </c>
      <c r="N762">
        <v>-53120444</v>
      </c>
      <c r="O762">
        <v>59369908</v>
      </c>
      <c r="P762">
        <v>0</v>
      </c>
      <c r="Q762" t="s">
        <v>9913</v>
      </c>
      <c r="R762" t="s">
        <v>5794</v>
      </c>
      <c r="S762" t="s">
        <v>9914</v>
      </c>
      <c r="T762" t="s">
        <v>9915</v>
      </c>
      <c r="U762" t="s">
        <v>9916</v>
      </c>
      <c r="V762" t="s">
        <v>9917</v>
      </c>
      <c r="W762" t="s">
        <v>5731</v>
      </c>
      <c r="X762" t="str">
        <f t="shared" si="11"/>
        <v>Inversión</v>
      </c>
      <c r="Y762" t="s">
        <v>5735</v>
      </c>
    </row>
    <row r="763" spans="1:25" x14ac:dyDescent="0.25">
      <c r="A763" t="s">
        <v>5848</v>
      </c>
      <c r="B763" t="s">
        <v>8377</v>
      </c>
      <c r="C763" t="s">
        <v>9918</v>
      </c>
      <c r="D763" t="s">
        <v>5720</v>
      </c>
      <c r="E763" t="s">
        <v>5721</v>
      </c>
      <c r="F763" t="s">
        <v>5733</v>
      </c>
      <c r="G763" t="s">
        <v>9728</v>
      </c>
      <c r="H763" t="s">
        <v>461</v>
      </c>
      <c r="I763" t="s">
        <v>644</v>
      </c>
      <c r="J763" t="s">
        <v>273</v>
      </c>
      <c r="K763" t="s">
        <v>5734</v>
      </c>
      <c r="L763" t="s">
        <v>267</v>
      </c>
      <c r="M763">
        <v>21630000</v>
      </c>
      <c r="N763">
        <v>0</v>
      </c>
      <c r="O763">
        <v>21630000</v>
      </c>
      <c r="P763">
        <v>0</v>
      </c>
      <c r="Q763" t="s">
        <v>9919</v>
      </c>
      <c r="R763" t="s">
        <v>5848</v>
      </c>
      <c r="S763" t="s">
        <v>9920</v>
      </c>
      <c r="T763" t="s">
        <v>9921</v>
      </c>
      <c r="U763" t="s">
        <v>9922</v>
      </c>
      <c r="V763" t="s">
        <v>9923</v>
      </c>
      <c r="W763" t="s">
        <v>5731</v>
      </c>
      <c r="X763" t="str">
        <f t="shared" si="11"/>
        <v>Inversión</v>
      </c>
      <c r="Y763" t="s">
        <v>5735</v>
      </c>
    </row>
    <row r="764" spans="1:25" x14ac:dyDescent="0.25">
      <c r="A764" t="s">
        <v>5823</v>
      </c>
      <c r="B764" t="s">
        <v>8377</v>
      </c>
      <c r="C764" t="s">
        <v>9924</v>
      </c>
      <c r="D764" t="s">
        <v>5720</v>
      </c>
      <c r="E764" t="s">
        <v>5721</v>
      </c>
      <c r="F764" t="s">
        <v>5733</v>
      </c>
      <c r="G764" t="s">
        <v>9728</v>
      </c>
      <c r="H764" t="s">
        <v>461</v>
      </c>
      <c r="I764" t="s">
        <v>644</v>
      </c>
      <c r="J764" t="s">
        <v>273</v>
      </c>
      <c r="K764" t="s">
        <v>5734</v>
      </c>
      <c r="L764" t="s">
        <v>267</v>
      </c>
      <c r="M764">
        <v>14929272</v>
      </c>
      <c r="N764">
        <v>4976424</v>
      </c>
      <c r="O764">
        <v>19905696</v>
      </c>
      <c r="P764">
        <v>0</v>
      </c>
      <c r="Q764" t="s">
        <v>9925</v>
      </c>
      <c r="R764" t="s">
        <v>5823</v>
      </c>
      <c r="S764" t="s">
        <v>6646</v>
      </c>
      <c r="T764" t="s">
        <v>9926</v>
      </c>
      <c r="U764" t="s">
        <v>9927</v>
      </c>
      <c r="V764" t="s">
        <v>9928</v>
      </c>
      <c r="W764" t="s">
        <v>5731</v>
      </c>
      <c r="X764" t="str">
        <f t="shared" si="11"/>
        <v>Inversión</v>
      </c>
      <c r="Y764" t="s">
        <v>5735</v>
      </c>
    </row>
    <row r="765" spans="1:25" x14ac:dyDescent="0.25">
      <c r="A765" t="s">
        <v>5839</v>
      </c>
      <c r="B765" t="s">
        <v>8377</v>
      </c>
      <c r="C765" t="s">
        <v>9929</v>
      </c>
      <c r="D765" t="s">
        <v>5720</v>
      </c>
      <c r="E765" t="s">
        <v>5721</v>
      </c>
      <c r="F765" t="s">
        <v>5733</v>
      </c>
      <c r="G765" t="s">
        <v>9728</v>
      </c>
      <c r="H765" t="s">
        <v>461</v>
      </c>
      <c r="I765" t="s">
        <v>644</v>
      </c>
      <c r="J765" t="s">
        <v>273</v>
      </c>
      <c r="K765" t="s">
        <v>5734</v>
      </c>
      <c r="L765" t="s">
        <v>267</v>
      </c>
      <c r="M765">
        <v>21371864</v>
      </c>
      <c r="N765">
        <v>0</v>
      </c>
      <c r="O765">
        <v>21371864</v>
      </c>
      <c r="P765">
        <v>0</v>
      </c>
      <c r="Q765" t="s">
        <v>9930</v>
      </c>
      <c r="R765" t="s">
        <v>5839</v>
      </c>
      <c r="S765" t="s">
        <v>9931</v>
      </c>
      <c r="T765" t="s">
        <v>9932</v>
      </c>
      <c r="U765" t="s">
        <v>9933</v>
      </c>
      <c r="V765" t="s">
        <v>9934</v>
      </c>
      <c r="W765" t="s">
        <v>5731</v>
      </c>
      <c r="X765" t="str">
        <f t="shared" si="11"/>
        <v>Inversión</v>
      </c>
      <c r="Y765" t="s">
        <v>5735</v>
      </c>
    </row>
    <row r="766" spans="1:25" x14ac:dyDescent="0.25">
      <c r="A766" t="s">
        <v>5799</v>
      </c>
      <c r="B766" t="s">
        <v>9342</v>
      </c>
      <c r="C766" t="s">
        <v>9935</v>
      </c>
      <c r="D766" t="s">
        <v>5720</v>
      </c>
      <c r="E766" t="s">
        <v>5721</v>
      </c>
      <c r="F766" t="s">
        <v>5733</v>
      </c>
      <c r="G766" t="s">
        <v>9728</v>
      </c>
      <c r="H766" t="s">
        <v>461</v>
      </c>
      <c r="I766" t="s">
        <v>644</v>
      </c>
      <c r="J766" t="s">
        <v>273</v>
      </c>
      <c r="K766" t="s">
        <v>5734</v>
      </c>
      <c r="L766" t="s">
        <v>267</v>
      </c>
      <c r="M766">
        <v>16995000</v>
      </c>
      <c r="N766">
        <v>0</v>
      </c>
      <c r="O766">
        <v>16995000</v>
      </c>
      <c r="P766">
        <v>0</v>
      </c>
      <c r="Q766" t="s">
        <v>9936</v>
      </c>
      <c r="R766" t="s">
        <v>5799</v>
      </c>
      <c r="S766" t="s">
        <v>9937</v>
      </c>
      <c r="T766" t="s">
        <v>9938</v>
      </c>
      <c r="U766" t="s">
        <v>9939</v>
      </c>
      <c r="V766" t="s">
        <v>9940</v>
      </c>
      <c r="W766" t="s">
        <v>5731</v>
      </c>
      <c r="X766" t="str">
        <f t="shared" si="11"/>
        <v>Inversión</v>
      </c>
      <c r="Y766" t="s">
        <v>5735</v>
      </c>
    </row>
    <row r="767" spans="1:25" x14ac:dyDescent="0.25">
      <c r="A767" t="s">
        <v>5811</v>
      </c>
      <c r="B767" t="s">
        <v>9342</v>
      </c>
      <c r="C767" t="s">
        <v>9941</v>
      </c>
      <c r="D767" t="s">
        <v>5720</v>
      </c>
      <c r="E767" t="s">
        <v>5721</v>
      </c>
      <c r="F767" t="s">
        <v>5733</v>
      </c>
      <c r="G767" t="s">
        <v>9728</v>
      </c>
      <c r="H767" t="s">
        <v>461</v>
      </c>
      <c r="I767" t="s">
        <v>644</v>
      </c>
      <c r="J767" t="s">
        <v>273</v>
      </c>
      <c r="K767" t="s">
        <v>5734</v>
      </c>
      <c r="L767" t="s">
        <v>267</v>
      </c>
      <c r="M767">
        <v>5103729</v>
      </c>
      <c r="N767">
        <v>0</v>
      </c>
      <c r="O767">
        <v>5103729</v>
      </c>
      <c r="P767">
        <v>0</v>
      </c>
      <c r="Q767" t="s">
        <v>9942</v>
      </c>
      <c r="R767" t="s">
        <v>5811</v>
      </c>
      <c r="S767" t="s">
        <v>7141</v>
      </c>
      <c r="T767" t="s">
        <v>9943</v>
      </c>
      <c r="U767" t="s">
        <v>9944</v>
      </c>
      <c r="V767" t="s">
        <v>9945</v>
      </c>
      <c r="W767" t="s">
        <v>5731</v>
      </c>
      <c r="X767" t="str">
        <f t="shared" si="11"/>
        <v>Inversión</v>
      </c>
      <c r="Y767" t="s">
        <v>5735</v>
      </c>
    </row>
    <row r="768" spans="1:25" x14ac:dyDescent="0.25">
      <c r="A768" t="s">
        <v>5820</v>
      </c>
      <c r="B768" t="s">
        <v>9342</v>
      </c>
      <c r="C768" t="s">
        <v>9946</v>
      </c>
      <c r="D768" t="s">
        <v>5720</v>
      </c>
      <c r="E768" t="s">
        <v>5721</v>
      </c>
      <c r="F768" t="s">
        <v>5733</v>
      </c>
      <c r="G768" t="s">
        <v>9728</v>
      </c>
      <c r="H768" t="s">
        <v>461</v>
      </c>
      <c r="I768" t="s">
        <v>644</v>
      </c>
      <c r="J768" t="s">
        <v>273</v>
      </c>
      <c r="K768" t="s">
        <v>5734</v>
      </c>
      <c r="L768" t="s">
        <v>267</v>
      </c>
      <c r="M768">
        <v>8014449</v>
      </c>
      <c r="N768">
        <v>0</v>
      </c>
      <c r="O768">
        <v>8014449</v>
      </c>
      <c r="P768">
        <v>0</v>
      </c>
      <c r="Q768" t="s">
        <v>9947</v>
      </c>
      <c r="R768" t="s">
        <v>5820</v>
      </c>
      <c r="S768" t="s">
        <v>6169</v>
      </c>
      <c r="T768" t="s">
        <v>9948</v>
      </c>
      <c r="U768" t="s">
        <v>9949</v>
      </c>
      <c r="V768" t="s">
        <v>9950</v>
      </c>
      <c r="W768" t="s">
        <v>5731</v>
      </c>
      <c r="X768" t="str">
        <f t="shared" si="11"/>
        <v>Inversión</v>
      </c>
      <c r="Y768" t="s">
        <v>5735</v>
      </c>
    </row>
    <row r="769" spans="1:25" x14ac:dyDescent="0.25">
      <c r="A769" t="s">
        <v>5829</v>
      </c>
      <c r="B769" t="s">
        <v>9342</v>
      </c>
      <c r="C769" t="s">
        <v>9951</v>
      </c>
      <c r="D769" t="s">
        <v>5720</v>
      </c>
      <c r="E769" t="s">
        <v>5737</v>
      </c>
      <c r="F769" t="s">
        <v>5733</v>
      </c>
      <c r="G769" t="s">
        <v>9728</v>
      </c>
      <c r="H769" t="s">
        <v>461</v>
      </c>
      <c r="I769" t="s">
        <v>644</v>
      </c>
      <c r="J769" t="s">
        <v>273</v>
      </c>
      <c r="K769" t="s">
        <v>5734</v>
      </c>
      <c r="L769" t="s">
        <v>267</v>
      </c>
      <c r="M769">
        <v>8392860</v>
      </c>
      <c r="N769">
        <v>-8392860</v>
      </c>
      <c r="O769">
        <v>0</v>
      </c>
      <c r="P769">
        <v>0</v>
      </c>
      <c r="Q769" t="s">
        <v>9952</v>
      </c>
      <c r="R769" t="s">
        <v>5829</v>
      </c>
      <c r="S769" t="s">
        <v>5731</v>
      </c>
      <c r="T769" t="s">
        <v>5731</v>
      </c>
      <c r="U769" t="s">
        <v>5731</v>
      </c>
      <c r="V769" t="s">
        <v>5731</v>
      </c>
      <c r="W769" t="s">
        <v>5731</v>
      </c>
      <c r="X769" t="str">
        <f t="shared" si="11"/>
        <v>Inversión</v>
      </c>
      <c r="Y769" t="s">
        <v>5735</v>
      </c>
    </row>
    <row r="770" spans="1:25" x14ac:dyDescent="0.25">
      <c r="A770" t="s">
        <v>5836</v>
      </c>
      <c r="B770" t="s">
        <v>9342</v>
      </c>
      <c r="C770" t="s">
        <v>9953</v>
      </c>
      <c r="D770" t="s">
        <v>5720</v>
      </c>
      <c r="E770" t="s">
        <v>5721</v>
      </c>
      <c r="F770" t="s">
        <v>5733</v>
      </c>
      <c r="G770" t="s">
        <v>9728</v>
      </c>
      <c r="H770" t="s">
        <v>461</v>
      </c>
      <c r="I770" t="s">
        <v>644</v>
      </c>
      <c r="J770" t="s">
        <v>273</v>
      </c>
      <c r="K770" t="s">
        <v>5734</v>
      </c>
      <c r="L770" t="s">
        <v>267</v>
      </c>
      <c r="M770">
        <v>5103729</v>
      </c>
      <c r="N770">
        <v>0</v>
      </c>
      <c r="O770">
        <v>5103729</v>
      </c>
      <c r="P770">
        <v>0</v>
      </c>
      <c r="Q770" t="s">
        <v>9954</v>
      </c>
      <c r="R770" t="s">
        <v>5836</v>
      </c>
      <c r="S770" t="s">
        <v>7290</v>
      </c>
      <c r="T770" t="s">
        <v>9955</v>
      </c>
      <c r="U770" t="s">
        <v>9956</v>
      </c>
      <c r="V770" t="s">
        <v>9957</v>
      </c>
      <c r="W770" t="s">
        <v>5731</v>
      </c>
      <c r="X770" t="str">
        <f t="shared" ref="X770:X833" si="12">IF(LEFT(H770,1)="C","Inversión","Funcionamiento")</f>
        <v>Inversión</v>
      </c>
      <c r="Y770" t="s">
        <v>5735</v>
      </c>
    </row>
    <row r="771" spans="1:25" x14ac:dyDescent="0.25">
      <c r="A771" t="s">
        <v>5845</v>
      </c>
      <c r="B771" t="s">
        <v>9342</v>
      </c>
      <c r="C771" t="s">
        <v>9958</v>
      </c>
      <c r="D771" t="s">
        <v>5720</v>
      </c>
      <c r="E771" t="s">
        <v>5721</v>
      </c>
      <c r="F771" t="s">
        <v>5733</v>
      </c>
      <c r="G771" t="s">
        <v>9728</v>
      </c>
      <c r="H771" t="s">
        <v>461</v>
      </c>
      <c r="I771" t="s">
        <v>644</v>
      </c>
      <c r="J771" t="s">
        <v>273</v>
      </c>
      <c r="K771" t="s">
        <v>5734</v>
      </c>
      <c r="L771" t="s">
        <v>267</v>
      </c>
      <c r="M771">
        <v>21630000</v>
      </c>
      <c r="N771">
        <v>0</v>
      </c>
      <c r="O771">
        <v>21630000</v>
      </c>
      <c r="P771">
        <v>3605000</v>
      </c>
      <c r="Q771" t="s">
        <v>9959</v>
      </c>
      <c r="R771" t="s">
        <v>5845</v>
      </c>
      <c r="S771" t="s">
        <v>9960</v>
      </c>
      <c r="T771" t="s">
        <v>9961</v>
      </c>
      <c r="U771" t="s">
        <v>9962</v>
      </c>
      <c r="V771" t="s">
        <v>9963</v>
      </c>
      <c r="W771" t="s">
        <v>5731</v>
      </c>
      <c r="X771" t="str">
        <f t="shared" si="12"/>
        <v>Inversión</v>
      </c>
      <c r="Y771" t="s">
        <v>5735</v>
      </c>
    </row>
    <row r="772" spans="1:25" x14ac:dyDescent="0.25">
      <c r="A772" t="s">
        <v>5870</v>
      </c>
      <c r="B772" t="s">
        <v>8676</v>
      </c>
      <c r="C772" t="s">
        <v>9964</v>
      </c>
      <c r="D772" t="s">
        <v>5720</v>
      </c>
      <c r="E772" t="s">
        <v>5721</v>
      </c>
      <c r="F772" t="s">
        <v>5733</v>
      </c>
      <c r="G772" t="s">
        <v>9728</v>
      </c>
      <c r="H772" t="s">
        <v>461</v>
      </c>
      <c r="I772" t="s">
        <v>644</v>
      </c>
      <c r="J772" t="s">
        <v>273</v>
      </c>
      <c r="K772" t="s">
        <v>5734</v>
      </c>
      <c r="L772" t="s">
        <v>267</v>
      </c>
      <c r="M772">
        <v>10685932</v>
      </c>
      <c r="N772">
        <v>0</v>
      </c>
      <c r="O772">
        <v>10685932</v>
      </c>
      <c r="P772">
        <v>0</v>
      </c>
      <c r="Q772" t="s">
        <v>9965</v>
      </c>
      <c r="R772" t="s">
        <v>5870</v>
      </c>
      <c r="S772" t="s">
        <v>7128</v>
      </c>
      <c r="T772" t="s">
        <v>9966</v>
      </c>
      <c r="U772" t="s">
        <v>9967</v>
      </c>
      <c r="V772" t="s">
        <v>9968</v>
      </c>
      <c r="W772" t="s">
        <v>5731</v>
      </c>
      <c r="X772" t="str">
        <f t="shared" si="12"/>
        <v>Inversión</v>
      </c>
      <c r="Y772" t="s">
        <v>5735</v>
      </c>
    </row>
    <row r="773" spans="1:25" x14ac:dyDescent="0.25">
      <c r="A773" t="s">
        <v>5893</v>
      </c>
      <c r="B773" t="s">
        <v>9095</v>
      </c>
      <c r="C773" t="s">
        <v>9969</v>
      </c>
      <c r="D773" t="s">
        <v>5720</v>
      </c>
      <c r="E773" t="s">
        <v>5737</v>
      </c>
      <c r="F773" t="s">
        <v>5733</v>
      </c>
      <c r="G773" t="s">
        <v>9728</v>
      </c>
      <c r="H773" t="s">
        <v>461</v>
      </c>
      <c r="I773" t="s">
        <v>644</v>
      </c>
      <c r="J773" t="s">
        <v>273</v>
      </c>
      <c r="K773" t="s">
        <v>5734</v>
      </c>
      <c r="L773" t="s">
        <v>267</v>
      </c>
      <c r="M773">
        <v>14096000</v>
      </c>
      <c r="N773">
        <v>-14096000</v>
      </c>
      <c r="O773">
        <v>0</v>
      </c>
      <c r="P773">
        <v>0</v>
      </c>
      <c r="Q773" t="s">
        <v>9970</v>
      </c>
      <c r="R773" t="s">
        <v>5914</v>
      </c>
      <c r="S773" t="s">
        <v>5731</v>
      </c>
      <c r="T773" t="s">
        <v>5731</v>
      </c>
      <c r="U773" t="s">
        <v>5731</v>
      </c>
      <c r="V773" t="s">
        <v>5731</v>
      </c>
      <c r="W773" t="s">
        <v>5731</v>
      </c>
      <c r="X773" t="str">
        <f t="shared" si="12"/>
        <v>Inversión</v>
      </c>
      <c r="Y773" t="s">
        <v>5735</v>
      </c>
    </row>
    <row r="774" spans="1:25" x14ac:dyDescent="0.25">
      <c r="A774" t="s">
        <v>5900</v>
      </c>
      <c r="B774" t="s">
        <v>9195</v>
      </c>
      <c r="C774" t="s">
        <v>9971</v>
      </c>
      <c r="D774" t="s">
        <v>5720</v>
      </c>
      <c r="E774" t="s">
        <v>5721</v>
      </c>
      <c r="F774" t="s">
        <v>5733</v>
      </c>
      <c r="G774" t="s">
        <v>9728</v>
      </c>
      <c r="H774" t="s">
        <v>461</v>
      </c>
      <c r="I774" t="s">
        <v>644</v>
      </c>
      <c r="J774" t="s">
        <v>273</v>
      </c>
      <c r="K774" t="s">
        <v>5734</v>
      </c>
      <c r="L774" t="s">
        <v>267</v>
      </c>
      <c r="M774">
        <v>28122588</v>
      </c>
      <c r="N774">
        <v>0</v>
      </c>
      <c r="O774">
        <v>28122588</v>
      </c>
      <c r="P774">
        <v>18748392</v>
      </c>
      <c r="Q774" t="s">
        <v>9972</v>
      </c>
      <c r="R774" t="s">
        <v>5921</v>
      </c>
      <c r="S774" t="s">
        <v>7357</v>
      </c>
      <c r="T774" t="s">
        <v>5731</v>
      </c>
      <c r="U774" t="s">
        <v>5731</v>
      </c>
      <c r="V774" t="s">
        <v>5731</v>
      </c>
      <c r="W774" t="s">
        <v>5731</v>
      </c>
      <c r="X774" t="str">
        <f t="shared" si="12"/>
        <v>Inversión</v>
      </c>
      <c r="Y774" t="s">
        <v>5735</v>
      </c>
    </row>
    <row r="775" spans="1:25" x14ac:dyDescent="0.25">
      <c r="A775" t="s">
        <v>5907</v>
      </c>
      <c r="B775" t="s">
        <v>9195</v>
      </c>
      <c r="C775" t="s">
        <v>9973</v>
      </c>
      <c r="D775" t="s">
        <v>5720</v>
      </c>
      <c r="E775" t="s">
        <v>5721</v>
      </c>
      <c r="F775" t="s">
        <v>5733</v>
      </c>
      <c r="G775" t="s">
        <v>9728</v>
      </c>
      <c r="H775" t="s">
        <v>461</v>
      </c>
      <c r="I775" t="s">
        <v>644</v>
      </c>
      <c r="J775" t="s">
        <v>273</v>
      </c>
      <c r="K775" t="s">
        <v>5734</v>
      </c>
      <c r="L775" t="s">
        <v>267</v>
      </c>
      <c r="M775">
        <v>21371864</v>
      </c>
      <c r="N775">
        <v>0</v>
      </c>
      <c r="O775">
        <v>21371864</v>
      </c>
      <c r="P775">
        <v>0</v>
      </c>
      <c r="Q775" t="s">
        <v>9974</v>
      </c>
      <c r="R775" t="s">
        <v>5928</v>
      </c>
      <c r="S775" t="s">
        <v>9975</v>
      </c>
      <c r="T775" t="s">
        <v>5731</v>
      </c>
      <c r="U775" t="s">
        <v>5731</v>
      </c>
      <c r="V775" t="s">
        <v>5731</v>
      </c>
      <c r="W775" t="s">
        <v>5731</v>
      </c>
      <c r="X775" t="str">
        <f t="shared" si="12"/>
        <v>Inversión</v>
      </c>
      <c r="Y775" t="s">
        <v>5735</v>
      </c>
    </row>
    <row r="776" spans="1:25" x14ac:dyDescent="0.25">
      <c r="A776" t="s">
        <v>5914</v>
      </c>
      <c r="B776" t="s">
        <v>9195</v>
      </c>
      <c r="C776" t="s">
        <v>9976</v>
      </c>
      <c r="D776" t="s">
        <v>5720</v>
      </c>
      <c r="E776" t="s">
        <v>5721</v>
      </c>
      <c r="F776" t="s">
        <v>5733</v>
      </c>
      <c r="G776" t="s">
        <v>9728</v>
      </c>
      <c r="H776" t="s">
        <v>461</v>
      </c>
      <c r="I776" t="s">
        <v>644</v>
      </c>
      <c r="J776" t="s">
        <v>273</v>
      </c>
      <c r="K776" t="s">
        <v>5734</v>
      </c>
      <c r="L776" t="s">
        <v>267</v>
      </c>
      <c r="M776">
        <v>27219888</v>
      </c>
      <c r="N776">
        <v>0</v>
      </c>
      <c r="O776">
        <v>27219888</v>
      </c>
      <c r="P776">
        <v>0</v>
      </c>
      <c r="Q776" t="s">
        <v>9977</v>
      </c>
      <c r="R776" t="s">
        <v>5935</v>
      </c>
      <c r="S776" t="s">
        <v>9978</v>
      </c>
      <c r="T776" t="s">
        <v>5731</v>
      </c>
      <c r="U776" t="s">
        <v>5731</v>
      </c>
      <c r="V776" t="s">
        <v>5731</v>
      </c>
      <c r="W776" t="s">
        <v>5731</v>
      </c>
      <c r="X776" t="str">
        <f t="shared" si="12"/>
        <v>Inversión</v>
      </c>
      <c r="Y776" t="s">
        <v>5735</v>
      </c>
    </row>
    <row r="777" spans="1:25" x14ac:dyDescent="0.25">
      <c r="A777" t="s">
        <v>5921</v>
      </c>
      <c r="B777" t="s">
        <v>9195</v>
      </c>
      <c r="C777" t="s">
        <v>9979</v>
      </c>
      <c r="D777" t="s">
        <v>5720</v>
      </c>
      <c r="E777" t="s">
        <v>5737</v>
      </c>
      <c r="F777" t="s">
        <v>5733</v>
      </c>
      <c r="G777" t="s">
        <v>9728</v>
      </c>
      <c r="H777" t="s">
        <v>461</v>
      </c>
      <c r="I777" t="s">
        <v>644</v>
      </c>
      <c r="J777" t="s">
        <v>273</v>
      </c>
      <c r="K777" t="s">
        <v>5734</v>
      </c>
      <c r="L777" t="s">
        <v>267</v>
      </c>
      <c r="M777">
        <v>6249464</v>
      </c>
      <c r="N777">
        <v>0</v>
      </c>
      <c r="O777">
        <v>6249464</v>
      </c>
      <c r="P777">
        <v>6249464</v>
      </c>
      <c r="Q777" t="s">
        <v>9980</v>
      </c>
      <c r="R777" t="s">
        <v>5942</v>
      </c>
      <c r="S777" t="s">
        <v>5731</v>
      </c>
      <c r="T777" t="s">
        <v>5731</v>
      </c>
      <c r="U777" t="s">
        <v>5731</v>
      </c>
      <c r="V777" t="s">
        <v>5731</v>
      </c>
      <c r="W777" t="s">
        <v>5731</v>
      </c>
      <c r="X777" t="str">
        <f t="shared" si="12"/>
        <v>Inversión</v>
      </c>
      <c r="Y777" t="s">
        <v>5735</v>
      </c>
    </row>
    <row r="778" spans="1:25" x14ac:dyDescent="0.25">
      <c r="A778" t="s">
        <v>5928</v>
      </c>
      <c r="B778" t="s">
        <v>9650</v>
      </c>
      <c r="C778" t="s">
        <v>9981</v>
      </c>
      <c r="D778" t="s">
        <v>5720</v>
      </c>
      <c r="E778" t="s">
        <v>5721</v>
      </c>
      <c r="F778" t="s">
        <v>5733</v>
      </c>
      <c r="G778" t="s">
        <v>9728</v>
      </c>
      <c r="H778" t="s">
        <v>461</v>
      </c>
      <c r="I778" t="s">
        <v>644</v>
      </c>
      <c r="J778" t="s">
        <v>266</v>
      </c>
      <c r="K778" t="s">
        <v>5724</v>
      </c>
      <c r="L778" t="s">
        <v>267</v>
      </c>
      <c r="M778">
        <v>21371864</v>
      </c>
      <c r="N778">
        <v>0</v>
      </c>
      <c r="O778">
        <v>21371864</v>
      </c>
      <c r="P778">
        <v>10774981</v>
      </c>
      <c r="Q778" t="s">
        <v>9982</v>
      </c>
      <c r="R778" t="s">
        <v>5945</v>
      </c>
      <c r="S778" t="s">
        <v>7399</v>
      </c>
      <c r="T778" t="s">
        <v>5731</v>
      </c>
      <c r="U778" t="s">
        <v>5731</v>
      </c>
      <c r="V778" t="s">
        <v>5731</v>
      </c>
      <c r="W778" t="s">
        <v>5731</v>
      </c>
      <c r="X778" t="str">
        <f t="shared" si="12"/>
        <v>Inversión</v>
      </c>
      <c r="Y778" t="s">
        <v>5735</v>
      </c>
    </row>
    <row r="779" spans="1:25" x14ac:dyDescent="0.25">
      <c r="A779" t="s">
        <v>9075</v>
      </c>
      <c r="B779" t="s">
        <v>9112</v>
      </c>
      <c r="C779" t="s">
        <v>9983</v>
      </c>
      <c r="D779" t="s">
        <v>5720</v>
      </c>
      <c r="E779" t="s">
        <v>5969</v>
      </c>
      <c r="F779" t="s">
        <v>5733</v>
      </c>
      <c r="G779" t="s">
        <v>9984</v>
      </c>
      <c r="H779" t="s">
        <v>461</v>
      </c>
      <c r="I779" t="s">
        <v>644</v>
      </c>
      <c r="J779" t="s">
        <v>273</v>
      </c>
      <c r="K779" t="s">
        <v>5734</v>
      </c>
      <c r="L779" t="s">
        <v>267</v>
      </c>
      <c r="M779">
        <v>169682405</v>
      </c>
      <c r="N779">
        <v>-169682405</v>
      </c>
      <c r="O779">
        <v>0</v>
      </c>
      <c r="P779">
        <v>0</v>
      </c>
      <c r="Q779" t="s">
        <v>9985</v>
      </c>
      <c r="R779" t="s">
        <v>9075</v>
      </c>
      <c r="S779" t="s">
        <v>5731</v>
      </c>
      <c r="T779" t="s">
        <v>5731</v>
      </c>
      <c r="U779" t="s">
        <v>5731</v>
      </c>
      <c r="V779" t="s">
        <v>5731</v>
      </c>
      <c r="W779" t="s">
        <v>5731</v>
      </c>
      <c r="X779" t="str">
        <f t="shared" si="12"/>
        <v>Inversión</v>
      </c>
      <c r="Y779" t="s">
        <v>5735</v>
      </c>
    </row>
    <row r="780" spans="1:25" x14ac:dyDescent="0.25">
      <c r="A780" t="s">
        <v>5844</v>
      </c>
      <c r="B780" t="s">
        <v>7342</v>
      </c>
      <c r="C780" t="s">
        <v>9986</v>
      </c>
      <c r="D780" t="s">
        <v>5720</v>
      </c>
      <c r="E780" t="s">
        <v>5721</v>
      </c>
      <c r="F780" t="s">
        <v>5733</v>
      </c>
      <c r="G780" t="s">
        <v>9984</v>
      </c>
      <c r="H780" t="s">
        <v>461</v>
      </c>
      <c r="I780" t="s">
        <v>644</v>
      </c>
      <c r="J780" t="s">
        <v>273</v>
      </c>
      <c r="K780" t="s">
        <v>5734</v>
      </c>
      <c r="L780" t="s">
        <v>267</v>
      </c>
      <c r="M780">
        <v>106180200</v>
      </c>
      <c r="N780">
        <v>-7042700</v>
      </c>
      <c r="O780">
        <v>99137500</v>
      </c>
      <c r="P780">
        <v>0</v>
      </c>
      <c r="Q780" t="s">
        <v>9987</v>
      </c>
      <c r="R780" t="s">
        <v>6935</v>
      </c>
      <c r="S780" t="s">
        <v>9988</v>
      </c>
      <c r="T780" t="s">
        <v>9989</v>
      </c>
      <c r="U780" t="s">
        <v>9990</v>
      </c>
      <c r="V780" t="s">
        <v>9991</v>
      </c>
      <c r="W780" t="s">
        <v>5731</v>
      </c>
      <c r="X780" t="str">
        <f t="shared" si="12"/>
        <v>Inversión</v>
      </c>
      <c r="Y780" t="s">
        <v>5735</v>
      </c>
    </row>
    <row r="781" spans="1:25" x14ac:dyDescent="0.25">
      <c r="A781" t="s">
        <v>9058</v>
      </c>
      <c r="B781" t="s">
        <v>7342</v>
      </c>
      <c r="C781" t="s">
        <v>9992</v>
      </c>
      <c r="D781" t="s">
        <v>5720</v>
      </c>
      <c r="E781" t="s">
        <v>5721</v>
      </c>
      <c r="F781" t="s">
        <v>5733</v>
      </c>
      <c r="G781" t="s">
        <v>9984</v>
      </c>
      <c r="H781" t="s">
        <v>461</v>
      </c>
      <c r="I781" t="s">
        <v>644</v>
      </c>
      <c r="J781" t="s">
        <v>273</v>
      </c>
      <c r="K781" t="s">
        <v>5734</v>
      </c>
      <c r="L781" t="s">
        <v>267</v>
      </c>
      <c r="M781">
        <v>12968365</v>
      </c>
      <c r="N781">
        <v>0</v>
      </c>
      <c r="O781">
        <v>12968365</v>
      </c>
      <c r="P781">
        <v>0</v>
      </c>
      <c r="Q781" t="s">
        <v>9993</v>
      </c>
      <c r="R781" t="s">
        <v>9223</v>
      </c>
      <c r="S781" t="s">
        <v>9295</v>
      </c>
      <c r="T781" t="s">
        <v>9111</v>
      </c>
      <c r="U781" t="s">
        <v>9994</v>
      </c>
      <c r="V781" t="s">
        <v>9995</v>
      </c>
      <c r="W781" t="s">
        <v>5731</v>
      </c>
      <c r="X781" t="str">
        <f t="shared" si="12"/>
        <v>Inversión</v>
      </c>
      <c r="Y781" t="s">
        <v>5735</v>
      </c>
    </row>
    <row r="782" spans="1:25" x14ac:dyDescent="0.25">
      <c r="A782" t="s">
        <v>9057</v>
      </c>
      <c r="B782" t="s">
        <v>7342</v>
      </c>
      <c r="C782" t="s">
        <v>9996</v>
      </c>
      <c r="D782" t="s">
        <v>5720</v>
      </c>
      <c r="E782" t="s">
        <v>5721</v>
      </c>
      <c r="F782" t="s">
        <v>5733</v>
      </c>
      <c r="G782" t="s">
        <v>9984</v>
      </c>
      <c r="H782" t="s">
        <v>461</v>
      </c>
      <c r="I782" t="s">
        <v>644</v>
      </c>
      <c r="J782" t="s">
        <v>273</v>
      </c>
      <c r="K782" t="s">
        <v>5734</v>
      </c>
      <c r="L782" t="s">
        <v>267</v>
      </c>
      <c r="M782">
        <v>26427072</v>
      </c>
      <c r="N782">
        <v>0</v>
      </c>
      <c r="O782">
        <v>26427072</v>
      </c>
      <c r="P782">
        <v>0</v>
      </c>
      <c r="Q782" t="s">
        <v>9997</v>
      </c>
      <c r="R782" t="s">
        <v>9226</v>
      </c>
      <c r="S782" t="s">
        <v>9998</v>
      </c>
      <c r="T782" t="s">
        <v>9999</v>
      </c>
      <c r="U782" t="s">
        <v>10000</v>
      </c>
      <c r="V782" t="s">
        <v>10001</v>
      </c>
      <c r="W782" t="s">
        <v>5731</v>
      </c>
      <c r="X782" t="str">
        <f t="shared" si="12"/>
        <v>Inversión</v>
      </c>
      <c r="Y782" t="s">
        <v>5735</v>
      </c>
    </row>
    <row r="783" spans="1:25" x14ac:dyDescent="0.25">
      <c r="A783" t="s">
        <v>9149</v>
      </c>
      <c r="B783" t="s">
        <v>7342</v>
      </c>
      <c r="C783" t="s">
        <v>10002</v>
      </c>
      <c r="D783" t="s">
        <v>5720</v>
      </c>
      <c r="E783" t="s">
        <v>5721</v>
      </c>
      <c r="F783" t="s">
        <v>5733</v>
      </c>
      <c r="G783" t="s">
        <v>9984</v>
      </c>
      <c r="H783" t="s">
        <v>461</v>
      </c>
      <c r="I783" t="s">
        <v>644</v>
      </c>
      <c r="J783" t="s">
        <v>273</v>
      </c>
      <c r="K783" t="s">
        <v>5734</v>
      </c>
      <c r="L783" t="s">
        <v>267</v>
      </c>
      <c r="M783">
        <v>17500000</v>
      </c>
      <c r="N783">
        <v>0</v>
      </c>
      <c r="O783">
        <v>17500000</v>
      </c>
      <c r="P783">
        <v>0</v>
      </c>
      <c r="Q783" t="s">
        <v>10003</v>
      </c>
      <c r="R783" t="s">
        <v>9425</v>
      </c>
      <c r="S783" t="s">
        <v>9111</v>
      </c>
      <c r="T783" t="s">
        <v>5862</v>
      </c>
      <c r="U783" t="s">
        <v>10004</v>
      </c>
      <c r="V783" t="s">
        <v>10005</v>
      </c>
      <c r="W783" t="s">
        <v>5731</v>
      </c>
      <c r="X783" t="str">
        <f t="shared" si="12"/>
        <v>Inversión</v>
      </c>
      <c r="Y783" t="s">
        <v>5735</v>
      </c>
    </row>
    <row r="784" spans="1:25" x14ac:dyDescent="0.25">
      <c r="A784" t="s">
        <v>6935</v>
      </c>
      <c r="B784" t="s">
        <v>7342</v>
      </c>
      <c r="C784" t="s">
        <v>10006</v>
      </c>
      <c r="D784" t="s">
        <v>5720</v>
      </c>
      <c r="E784" t="s">
        <v>5721</v>
      </c>
      <c r="F784" t="s">
        <v>5733</v>
      </c>
      <c r="G784" t="s">
        <v>9984</v>
      </c>
      <c r="H784" t="s">
        <v>461</v>
      </c>
      <c r="I784" t="s">
        <v>644</v>
      </c>
      <c r="J784" t="s">
        <v>273</v>
      </c>
      <c r="K784" t="s">
        <v>5734</v>
      </c>
      <c r="L784" t="s">
        <v>267</v>
      </c>
      <c r="M784">
        <v>6606768</v>
      </c>
      <c r="N784">
        <v>0</v>
      </c>
      <c r="O784">
        <v>6606768</v>
      </c>
      <c r="P784">
        <v>0</v>
      </c>
      <c r="Q784" t="s">
        <v>10007</v>
      </c>
      <c r="R784" t="s">
        <v>9420</v>
      </c>
      <c r="S784" t="s">
        <v>9154</v>
      </c>
      <c r="T784" t="s">
        <v>5749</v>
      </c>
      <c r="U784" t="s">
        <v>10008</v>
      </c>
      <c r="V784" t="s">
        <v>10009</v>
      </c>
      <c r="W784" t="s">
        <v>5731</v>
      </c>
      <c r="X784" t="str">
        <f t="shared" si="12"/>
        <v>Inversión</v>
      </c>
      <c r="Y784" t="s">
        <v>5735</v>
      </c>
    </row>
    <row r="785" spans="1:25" x14ac:dyDescent="0.25">
      <c r="A785" t="s">
        <v>9223</v>
      </c>
      <c r="B785" t="s">
        <v>7342</v>
      </c>
      <c r="C785" t="s">
        <v>10010</v>
      </c>
      <c r="D785" t="s">
        <v>5720</v>
      </c>
      <c r="E785" t="s">
        <v>5721</v>
      </c>
      <c r="F785" t="s">
        <v>5733</v>
      </c>
      <c r="G785" t="s">
        <v>9984</v>
      </c>
      <c r="H785" t="s">
        <v>461</v>
      </c>
      <c r="I785" t="s">
        <v>644</v>
      </c>
      <c r="J785" t="s">
        <v>266</v>
      </c>
      <c r="K785" t="s">
        <v>5724</v>
      </c>
      <c r="L785" t="s">
        <v>267</v>
      </c>
      <c r="M785">
        <v>34372074</v>
      </c>
      <c r="N785">
        <v>-3228892</v>
      </c>
      <c r="O785">
        <v>31143182</v>
      </c>
      <c r="P785">
        <v>0</v>
      </c>
      <c r="Q785" t="s">
        <v>10011</v>
      </c>
      <c r="R785" t="s">
        <v>9228</v>
      </c>
      <c r="S785" t="s">
        <v>5756</v>
      </c>
      <c r="T785" t="s">
        <v>5945</v>
      </c>
      <c r="U785" t="s">
        <v>10012</v>
      </c>
      <c r="V785" t="s">
        <v>10013</v>
      </c>
      <c r="W785" t="s">
        <v>5731</v>
      </c>
      <c r="X785" t="str">
        <f t="shared" si="12"/>
        <v>Inversión</v>
      </c>
      <c r="Y785" t="s">
        <v>5735</v>
      </c>
    </row>
    <row r="786" spans="1:25" x14ac:dyDescent="0.25">
      <c r="A786" t="s">
        <v>9226</v>
      </c>
      <c r="B786" t="s">
        <v>7342</v>
      </c>
      <c r="C786" t="s">
        <v>10014</v>
      </c>
      <c r="D786" t="s">
        <v>5720</v>
      </c>
      <c r="E786" t="s">
        <v>5721</v>
      </c>
      <c r="F786" t="s">
        <v>5733</v>
      </c>
      <c r="G786" t="s">
        <v>9984</v>
      </c>
      <c r="H786" t="s">
        <v>461</v>
      </c>
      <c r="I786" t="s">
        <v>644</v>
      </c>
      <c r="J786" t="s">
        <v>266</v>
      </c>
      <c r="K786" t="s">
        <v>5724</v>
      </c>
      <c r="L786" t="s">
        <v>267</v>
      </c>
      <c r="M786">
        <v>62315000</v>
      </c>
      <c r="N786">
        <v>-5853834</v>
      </c>
      <c r="O786">
        <v>56461166</v>
      </c>
      <c r="P786">
        <v>0</v>
      </c>
      <c r="Q786" t="s">
        <v>10015</v>
      </c>
      <c r="R786" t="s">
        <v>9272</v>
      </c>
      <c r="S786" t="s">
        <v>10016</v>
      </c>
      <c r="T786" t="s">
        <v>10017</v>
      </c>
      <c r="U786" t="s">
        <v>10018</v>
      </c>
      <c r="V786" t="s">
        <v>10019</v>
      </c>
      <c r="W786" t="s">
        <v>5731</v>
      </c>
      <c r="X786" t="str">
        <f t="shared" si="12"/>
        <v>Inversión</v>
      </c>
      <c r="Y786" t="s">
        <v>5735</v>
      </c>
    </row>
    <row r="787" spans="1:25" x14ac:dyDescent="0.25">
      <c r="A787" t="s">
        <v>9425</v>
      </c>
      <c r="B787" t="s">
        <v>7342</v>
      </c>
      <c r="C787" t="s">
        <v>10020</v>
      </c>
      <c r="D787" t="s">
        <v>5720</v>
      </c>
      <c r="E787" t="s">
        <v>5721</v>
      </c>
      <c r="F787" t="s">
        <v>5733</v>
      </c>
      <c r="G787" t="s">
        <v>9984</v>
      </c>
      <c r="H787" t="s">
        <v>461</v>
      </c>
      <c r="I787" t="s">
        <v>644</v>
      </c>
      <c r="J787" t="s">
        <v>266</v>
      </c>
      <c r="K787" t="s">
        <v>5724</v>
      </c>
      <c r="L787" t="s">
        <v>267</v>
      </c>
      <c r="M787">
        <v>21317864</v>
      </c>
      <c r="N787">
        <v>0</v>
      </c>
      <c r="O787">
        <v>21317864</v>
      </c>
      <c r="P787">
        <v>0</v>
      </c>
      <c r="Q787" t="s">
        <v>10021</v>
      </c>
      <c r="R787" t="s">
        <v>9154</v>
      </c>
      <c r="S787" t="s">
        <v>9324</v>
      </c>
      <c r="T787" t="s">
        <v>9106</v>
      </c>
      <c r="U787" t="s">
        <v>10022</v>
      </c>
      <c r="V787" t="s">
        <v>10023</v>
      </c>
      <c r="W787" t="s">
        <v>5731</v>
      </c>
      <c r="X787" t="str">
        <f t="shared" si="12"/>
        <v>Inversión</v>
      </c>
      <c r="Y787" t="s">
        <v>5735</v>
      </c>
    </row>
    <row r="788" spans="1:25" x14ac:dyDescent="0.25">
      <c r="A788" t="s">
        <v>9420</v>
      </c>
      <c r="B788" t="s">
        <v>7342</v>
      </c>
      <c r="C788" t="s">
        <v>10024</v>
      </c>
      <c r="D788" t="s">
        <v>5720</v>
      </c>
      <c r="E788" t="s">
        <v>5721</v>
      </c>
      <c r="F788" t="s">
        <v>5733</v>
      </c>
      <c r="G788" t="s">
        <v>9984</v>
      </c>
      <c r="H788" t="s">
        <v>461</v>
      </c>
      <c r="I788" t="s">
        <v>644</v>
      </c>
      <c r="J788" t="s">
        <v>266</v>
      </c>
      <c r="K788" t="s">
        <v>5724</v>
      </c>
      <c r="L788" t="s">
        <v>267</v>
      </c>
      <c r="M788">
        <v>84975000</v>
      </c>
      <c r="N788">
        <v>0</v>
      </c>
      <c r="O788">
        <v>84975000</v>
      </c>
      <c r="P788">
        <v>0</v>
      </c>
      <c r="Q788" t="s">
        <v>10025</v>
      </c>
      <c r="R788" t="s">
        <v>9232</v>
      </c>
      <c r="S788" t="s">
        <v>10026</v>
      </c>
      <c r="T788" t="s">
        <v>10027</v>
      </c>
      <c r="U788" t="s">
        <v>10028</v>
      </c>
      <c r="V788" t="s">
        <v>10029</v>
      </c>
      <c r="W788" t="s">
        <v>5731</v>
      </c>
      <c r="X788" t="str">
        <f t="shared" si="12"/>
        <v>Inversión</v>
      </c>
      <c r="Y788" t="s">
        <v>5735</v>
      </c>
    </row>
    <row r="789" spans="1:25" x14ac:dyDescent="0.25">
      <c r="A789" t="s">
        <v>9228</v>
      </c>
      <c r="B789" t="s">
        <v>7342</v>
      </c>
      <c r="C789" t="s">
        <v>10030</v>
      </c>
      <c r="D789" t="s">
        <v>5720</v>
      </c>
      <c r="E789" t="s">
        <v>5721</v>
      </c>
      <c r="F789" t="s">
        <v>5733</v>
      </c>
      <c r="G789" t="s">
        <v>9984</v>
      </c>
      <c r="H789" t="s">
        <v>461</v>
      </c>
      <c r="I789" t="s">
        <v>644</v>
      </c>
      <c r="J789" t="s">
        <v>266</v>
      </c>
      <c r="K789" t="s">
        <v>5724</v>
      </c>
      <c r="L789" t="s">
        <v>267</v>
      </c>
      <c r="M789">
        <v>68049720</v>
      </c>
      <c r="N789">
        <v>0</v>
      </c>
      <c r="O789">
        <v>68049720</v>
      </c>
      <c r="P789">
        <v>0</v>
      </c>
      <c r="Q789" t="s">
        <v>10031</v>
      </c>
      <c r="R789" t="s">
        <v>9324</v>
      </c>
      <c r="S789" t="s">
        <v>10032</v>
      </c>
      <c r="T789" t="s">
        <v>10033</v>
      </c>
      <c r="U789" t="s">
        <v>10034</v>
      </c>
      <c r="V789" t="s">
        <v>10035</v>
      </c>
      <c r="W789" t="s">
        <v>5731</v>
      </c>
      <c r="X789" t="str">
        <f t="shared" si="12"/>
        <v>Inversión</v>
      </c>
      <c r="Y789" t="s">
        <v>5735</v>
      </c>
    </row>
    <row r="790" spans="1:25" x14ac:dyDescent="0.25">
      <c r="A790" t="s">
        <v>9272</v>
      </c>
      <c r="B790" t="s">
        <v>7342</v>
      </c>
      <c r="C790" t="s">
        <v>10036</v>
      </c>
      <c r="D790" t="s">
        <v>5720</v>
      </c>
      <c r="E790" t="s">
        <v>5721</v>
      </c>
      <c r="F790" t="s">
        <v>5733</v>
      </c>
      <c r="G790" t="s">
        <v>9984</v>
      </c>
      <c r="H790" t="s">
        <v>461</v>
      </c>
      <c r="I790" t="s">
        <v>644</v>
      </c>
      <c r="J790" t="s">
        <v>273</v>
      </c>
      <c r="K790" t="s">
        <v>5734</v>
      </c>
      <c r="L790" t="s">
        <v>267</v>
      </c>
      <c r="M790">
        <v>0</v>
      </c>
      <c r="N790">
        <v>7042700</v>
      </c>
      <c r="O790">
        <v>7042700</v>
      </c>
      <c r="P790">
        <v>1736675</v>
      </c>
      <c r="Q790" t="s">
        <v>10037</v>
      </c>
      <c r="R790" t="s">
        <v>9258</v>
      </c>
      <c r="S790" t="s">
        <v>10038</v>
      </c>
      <c r="T790" t="s">
        <v>10039</v>
      </c>
      <c r="U790" t="s">
        <v>10040</v>
      </c>
      <c r="V790" t="s">
        <v>10041</v>
      </c>
      <c r="W790" t="s">
        <v>10042</v>
      </c>
      <c r="X790" t="str">
        <f t="shared" si="12"/>
        <v>Inversión</v>
      </c>
      <c r="Y790" t="s">
        <v>5735</v>
      </c>
    </row>
    <row r="791" spans="1:25" x14ac:dyDescent="0.25">
      <c r="A791" t="s">
        <v>9272</v>
      </c>
      <c r="B791" t="s">
        <v>7342</v>
      </c>
      <c r="C791" t="s">
        <v>10036</v>
      </c>
      <c r="D791" t="s">
        <v>5720</v>
      </c>
      <c r="E791" t="s">
        <v>5721</v>
      </c>
      <c r="F791" t="s">
        <v>5733</v>
      </c>
      <c r="G791" t="s">
        <v>9984</v>
      </c>
      <c r="H791" t="s">
        <v>461</v>
      </c>
      <c r="I791" t="s">
        <v>644</v>
      </c>
      <c r="J791" t="s">
        <v>266</v>
      </c>
      <c r="K791" t="s">
        <v>5724</v>
      </c>
      <c r="L791" t="s">
        <v>267</v>
      </c>
      <c r="M791">
        <v>16573520</v>
      </c>
      <c r="N791">
        <v>7082726</v>
      </c>
      <c r="O791">
        <v>23656246</v>
      </c>
      <c r="P791">
        <v>240254</v>
      </c>
      <c r="Q791" t="s">
        <v>10037</v>
      </c>
      <c r="R791" t="s">
        <v>9258</v>
      </c>
      <c r="S791" t="s">
        <v>10038</v>
      </c>
      <c r="T791" t="s">
        <v>10039</v>
      </c>
      <c r="U791" t="s">
        <v>10040</v>
      </c>
      <c r="V791" t="s">
        <v>10041</v>
      </c>
      <c r="W791" t="s">
        <v>10042</v>
      </c>
      <c r="X791" t="str">
        <f t="shared" si="12"/>
        <v>Inversión</v>
      </c>
      <c r="Y791" t="s">
        <v>5735</v>
      </c>
    </row>
    <row r="792" spans="1:25" x14ac:dyDescent="0.25">
      <c r="A792" t="s">
        <v>9154</v>
      </c>
      <c r="B792" t="s">
        <v>7342</v>
      </c>
      <c r="C792" t="s">
        <v>10043</v>
      </c>
      <c r="D792" t="s">
        <v>5720</v>
      </c>
      <c r="E792" t="s">
        <v>5721</v>
      </c>
      <c r="F792" t="s">
        <v>6619</v>
      </c>
      <c r="G792" t="s">
        <v>9984</v>
      </c>
      <c r="H792" t="s">
        <v>455</v>
      </c>
      <c r="I792" t="s">
        <v>643</v>
      </c>
      <c r="J792" t="s">
        <v>273</v>
      </c>
      <c r="K792" t="s">
        <v>5734</v>
      </c>
      <c r="L792" t="s">
        <v>267</v>
      </c>
      <c r="M792">
        <v>38222478</v>
      </c>
      <c r="N792">
        <v>-3761577</v>
      </c>
      <c r="O792">
        <v>34460901</v>
      </c>
      <c r="P792">
        <v>0</v>
      </c>
      <c r="Q792" t="s">
        <v>10044</v>
      </c>
      <c r="R792" t="s">
        <v>9233</v>
      </c>
      <c r="S792" t="s">
        <v>5814</v>
      </c>
      <c r="T792" t="s">
        <v>5866</v>
      </c>
      <c r="U792" t="s">
        <v>10045</v>
      </c>
      <c r="V792" t="s">
        <v>10046</v>
      </c>
      <c r="W792" t="s">
        <v>5731</v>
      </c>
      <c r="X792" t="str">
        <f t="shared" si="12"/>
        <v>Inversión</v>
      </c>
      <c r="Y792" t="s">
        <v>6626</v>
      </c>
    </row>
    <row r="793" spans="1:25" x14ac:dyDescent="0.25">
      <c r="A793" t="s">
        <v>9232</v>
      </c>
      <c r="B793" t="s">
        <v>7342</v>
      </c>
      <c r="C793" t="s">
        <v>10047</v>
      </c>
      <c r="D793" t="s">
        <v>5720</v>
      </c>
      <c r="E793" t="s">
        <v>5721</v>
      </c>
      <c r="F793" t="s">
        <v>6619</v>
      </c>
      <c r="G793" t="s">
        <v>9984</v>
      </c>
      <c r="H793" t="s">
        <v>455</v>
      </c>
      <c r="I793" t="s">
        <v>643</v>
      </c>
      <c r="J793" t="s">
        <v>273</v>
      </c>
      <c r="K793" t="s">
        <v>5734</v>
      </c>
      <c r="L793" t="s">
        <v>267</v>
      </c>
      <c r="M793">
        <v>60000000</v>
      </c>
      <c r="N793">
        <v>-15000000</v>
      </c>
      <c r="O793">
        <v>45000000</v>
      </c>
      <c r="P793">
        <v>0</v>
      </c>
      <c r="Q793" t="s">
        <v>10048</v>
      </c>
      <c r="R793" t="s">
        <v>7504</v>
      </c>
      <c r="S793" t="s">
        <v>10049</v>
      </c>
      <c r="T793" t="s">
        <v>5731</v>
      </c>
      <c r="U793" t="s">
        <v>5731</v>
      </c>
      <c r="V793" t="s">
        <v>5731</v>
      </c>
      <c r="W793" t="s">
        <v>5731</v>
      </c>
      <c r="X793" t="str">
        <f t="shared" si="12"/>
        <v>Inversión</v>
      </c>
      <c r="Y793" t="s">
        <v>6626</v>
      </c>
    </row>
    <row r="794" spans="1:25" x14ac:dyDescent="0.25">
      <c r="A794" t="s">
        <v>9324</v>
      </c>
      <c r="B794" t="s">
        <v>7342</v>
      </c>
      <c r="C794" t="s">
        <v>10050</v>
      </c>
      <c r="D794" t="s">
        <v>5720</v>
      </c>
      <c r="E794" t="s">
        <v>5721</v>
      </c>
      <c r="F794" t="s">
        <v>6619</v>
      </c>
      <c r="G794" t="s">
        <v>9984</v>
      </c>
      <c r="H794" t="s">
        <v>455</v>
      </c>
      <c r="I794" t="s">
        <v>643</v>
      </c>
      <c r="J794" t="s">
        <v>273</v>
      </c>
      <c r="K794" t="s">
        <v>5734</v>
      </c>
      <c r="L794" t="s">
        <v>267</v>
      </c>
      <c r="M794">
        <v>1485522</v>
      </c>
      <c r="N794">
        <v>3761577</v>
      </c>
      <c r="O794">
        <v>5247099</v>
      </c>
      <c r="P794">
        <v>4184871</v>
      </c>
      <c r="Q794" t="s">
        <v>10051</v>
      </c>
      <c r="R794" t="s">
        <v>9465</v>
      </c>
      <c r="S794" t="s">
        <v>10052</v>
      </c>
      <c r="T794" t="s">
        <v>10053</v>
      </c>
      <c r="U794" t="s">
        <v>10054</v>
      </c>
      <c r="V794" t="s">
        <v>10055</v>
      </c>
      <c r="W794" t="s">
        <v>9236</v>
      </c>
      <c r="X794" t="str">
        <f t="shared" si="12"/>
        <v>Inversión</v>
      </c>
      <c r="Y794" t="s">
        <v>6626</v>
      </c>
    </row>
    <row r="795" spans="1:25" x14ac:dyDescent="0.25">
      <c r="A795" t="s">
        <v>9122</v>
      </c>
      <c r="B795" t="s">
        <v>10056</v>
      </c>
      <c r="C795" t="s">
        <v>10057</v>
      </c>
      <c r="D795" t="s">
        <v>5720</v>
      </c>
      <c r="E795" t="s">
        <v>5721</v>
      </c>
      <c r="F795" t="s">
        <v>5733</v>
      </c>
      <c r="G795" t="s">
        <v>9984</v>
      </c>
      <c r="H795" t="s">
        <v>461</v>
      </c>
      <c r="I795" t="s">
        <v>644</v>
      </c>
      <c r="J795" t="s">
        <v>266</v>
      </c>
      <c r="K795" t="s">
        <v>5724</v>
      </c>
      <c r="L795" t="s">
        <v>267</v>
      </c>
      <c r="M795">
        <v>14460565</v>
      </c>
      <c r="N795">
        <v>0</v>
      </c>
      <c r="O795">
        <v>14460565</v>
      </c>
      <c r="P795">
        <v>0</v>
      </c>
      <c r="Q795" t="s">
        <v>10058</v>
      </c>
      <c r="R795" t="s">
        <v>9093</v>
      </c>
      <c r="S795" t="s">
        <v>5881</v>
      </c>
      <c r="T795" t="s">
        <v>6042</v>
      </c>
      <c r="U795" t="s">
        <v>10059</v>
      </c>
      <c r="V795" t="s">
        <v>10060</v>
      </c>
      <c r="W795" t="s">
        <v>5731</v>
      </c>
      <c r="X795" t="str">
        <f t="shared" si="12"/>
        <v>Inversión</v>
      </c>
      <c r="Y795" t="s">
        <v>5735</v>
      </c>
    </row>
    <row r="796" spans="1:25" x14ac:dyDescent="0.25">
      <c r="A796" t="s">
        <v>9292</v>
      </c>
      <c r="B796" t="s">
        <v>10061</v>
      </c>
      <c r="C796" t="s">
        <v>10062</v>
      </c>
      <c r="D796" t="s">
        <v>5720</v>
      </c>
      <c r="E796" t="s">
        <v>5737</v>
      </c>
      <c r="F796" t="s">
        <v>5733</v>
      </c>
      <c r="G796" t="s">
        <v>9984</v>
      </c>
      <c r="H796" t="s">
        <v>461</v>
      </c>
      <c r="I796" t="s">
        <v>644</v>
      </c>
      <c r="J796" t="s">
        <v>266</v>
      </c>
      <c r="K796" t="s">
        <v>5724</v>
      </c>
      <c r="L796" t="s">
        <v>267</v>
      </c>
      <c r="M796">
        <v>2000000</v>
      </c>
      <c r="N796">
        <v>0</v>
      </c>
      <c r="O796">
        <v>2000000</v>
      </c>
      <c r="P796">
        <v>2000000</v>
      </c>
      <c r="Q796" t="s">
        <v>10063</v>
      </c>
      <c r="R796" t="s">
        <v>9178</v>
      </c>
      <c r="S796" t="s">
        <v>5731</v>
      </c>
      <c r="T796" t="s">
        <v>5731</v>
      </c>
      <c r="U796" t="s">
        <v>5731</v>
      </c>
      <c r="V796" t="s">
        <v>5731</v>
      </c>
      <c r="W796" t="s">
        <v>5731</v>
      </c>
      <c r="X796" t="str">
        <f t="shared" si="12"/>
        <v>Inversión</v>
      </c>
      <c r="Y796" t="s">
        <v>5735</v>
      </c>
    </row>
    <row r="797" spans="1:25" x14ac:dyDescent="0.25">
      <c r="A797" t="s">
        <v>9108</v>
      </c>
      <c r="B797" t="s">
        <v>8495</v>
      </c>
      <c r="C797" t="s">
        <v>10064</v>
      </c>
      <c r="D797" t="s">
        <v>5720</v>
      </c>
      <c r="E797" t="s">
        <v>5721</v>
      </c>
      <c r="F797" t="s">
        <v>5733</v>
      </c>
      <c r="G797" t="s">
        <v>9984</v>
      </c>
      <c r="H797" t="s">
        <v>461</v>
      </c>
      <c r="I797" t="s">
        <v>644</v>
      </c>
      <c r="J797" t="s">
        <v>273</v>
      </c>
      <c r="K797" t="s">
        <v>5734</v>
      </c>
      <c r="L797" t="s">
        <v>267</v>
      </c>
      <c r="M797">
        <v>6505000</v>
      </c>
      <c r="N797">
        <v>0</v>
      </c>
      <c r="O797">
        <v>6505000</v>
      </c>
      <c r="P797">
        <v>0</v>
      </c>
      <c r="Q797" t="s">
        <v>10065</v>
      </c>
      <c r="R797" t="s">
        <v>9111</v>
      </c>
      <c r="S797" t="s">
        <v>6034</v>
      </c>
      <c r="T797" t="s">
        <v>5731</v>
      </c>
      <c r="U797" t="s">
        <v>5731</v>
      </c>
      <c r="V797" t="s">
        <v>5731</v>
      </c>
      <c r="W797" t="s">
        <v>5731</v>
      </c>
      <c r="X797" t="str">
        <f t="shared" si="12"/>
        <v>Inversión</v>
      </c>
      <c r="Y797" t="s">
        <v>5735</v>
      </c>
    </row>
    <row r="798" spans="1:25" x14ac:dyDescent="0.25">
      <c r="A798" t="s">
        <v>9106</v>
      </c>
      <c r="B798" t="s">
        <v>8751</v>
      </c>
      <c r="C798" t="s">
        <v>10066</v>
      </c>
      <c r="D798" t="s">
        <v>5720</v>
      </c>
      <c r="E798" t="s">
        <v>5737</v>
      </c>
      <c r="F798" t="s">
        <v>5722</v>
      </c>
      <c r="G798" t="s">
        <v>9984</v>
      </c>
      <c r="H798" t="s">
        <v>453</v>
      </c>
      <c r="I798" t="s">
        <v>664</v>
      </c>
      <c r="J798" t="s">
        <v>266</v>
      </c>
      <c r="K798" t="s">
        <v>5724</v>
      </c>
      <c r="L798" t="s">
        <v>267</v>
      </c>
      <c r="M798">
        <v>350000</v>
      </c>
      <c r="N798">
        <v>0</v>
      </c>
      <c r="O798">
        <v>350000</v>
      </c>
      <c r="P798">
        <v>350000</v>
      </c>
      <c r="Q798" t="s">
        <v>10067</v>
      </c>
      <c r="R798" t="s">
        <v>5763</v>
      </c>
      <c r="S798" t="s">
        <v>5731</v>
      </c>
      <c r="T798" t="s">
        <v>5731</v>
      </c>
      <c r="U798" t="s">
        <v>5731</v>
      </c>
      <c r="V798" t="s">
        <v>5731</v>
      </c>
      <c r="W798" t="s">
        <v>5731</v>
      </c>
      <c r="X798" t="str">
        <f t="shared" si="12"/>
        <v>Inversión</v>
      </c>
      <c r="Y798" t="s">
        <v>5732</v>
      </c>
    </row>
    <row r="799" spans="1:25" x14ac:dyDescent="0.25">
      <c r="A799" t="s">
        <v>9058</v>
      </c>
      <c r="B799" t="s">
        <v>7505</v>
      </c>
      <c r="C799" t="s">
        <v>10068</v>
      </c>
      <c r="D799" t="s">
        <v>5720</v>
      </c>
      <c r="E799" t="s">
        <v>5721</v>
      </c>
      <c r="F799" t="s">
        <v>5733</v>
      </c>
      <c r="G799" t="s">
        <v>10069</v>
      </c>
      <c r="H799" t="s">
        <v>461</v>
      </c>
      <c r="I799" t="s">
        <v>644</v>
      </c>
      <c r="J799" t="s">
        <v>266</v>
      </c>
      <c r="K799" t="s">
        <v>5724</v>
      </c>
      <c r="L799" t="s">
        <v>267</v>
      </c>
      <c r="M799">
        <v>62494640</v>
      </c>
      <c r="N799">
        <v>-1666524</v>
      </c>
      <c r="O799">
        <v>60828116</v>
      </c>
      <c r="P799">
        <v>0</v>
      </c>
      <c r="Q799" t="s">
        <v>10070</v>
      </c>
      <c r="R799" t="s">
        <v>9058</v>
      </c>
      <c r="S799" t="s">
        <v>9247</v>
      </c>
      <c r="T799" t="s">
        <v>9333</v>
      </c>
      <c r="U799" t="s">
        <v>10071</v>
      </c>
      <c r="V799" t="s">
        <v>10072</v>
      </c>
      <c r="W799" t="s">
        <v>5731</v>
      </c>
      <c r="X799" t="str">
        <f t="shared" si="12"/>
        <v>Inversión</v>
      </c>
      <c r="Y799" t="s">
        <v>5735</v>
      </c>
    </row>
    <row r="800" spans="1:25" x14ac:dyDescent="0.25">
      <c r="A800" t="s">
        <v>9057</v>
      </c>
      <c r="B800" t="s">
        <v>7505</v>
      </c>
      <c r="C800" t="s">
        <v>10073</v>
      </c>
      <c r="D800" t="s">
        <v>5720</v>
      </c>
      <c r="E800" t="s">
        <v>5721</v>
      </c>
      <c r="F800" t="s">
        <v>5733</v>
      </c>
      <c r="G800" t="s">
        <v>10069</v>
      </c>
      <c r="H800" t="s">
        <v>461</v>
      </c>
      <c r="I800" t="s">
        <v>644</v>
      </c>
      <c r="J800" t="s">
        <v>266</v>
      </c>
      <c r="K800" t="s">
        <v>5724</v>
      </c>
      <c r="L800" t="s">
        <v>267</v>
      </c>
      <c r="M800">
        <v>31247320</v>
      </c>
      <c r="N800">
        <v>-6491578</v>
      </c>
      <c r="O800">
        <v>24755742</v>
      </c>
      <c r="P800">
        <v>0</v>
      </c>
      <c r="Q800" t="s">
        <v>10074</v>
      </c>
      <c r="R800" t="s">
        <v>9057</v>
      </c>
      <c r="S800" t="s">
        <v>9295</v>
      </c>
      <c r="T800" t="s">
        <v>5794</v>
      </c>
      <c r="U800" t="s">
        <v>10075</v>
      </c>
      <c r="V800" t="s">
        <v>10076</v>
      </c>
      <c r="W800" t="s">
        <v>5731</v>
      </c>
      <c r="X800" t="str">
        <f t="shared" si="12"/>
        <v>Inversión</v>
      </c>
      <c r="Y800" t="s">
        <v>5735</v>
      </c>
    </row>
    <row r="801" spans="1:25" x14ac:dyDescent="0.25">
      <c r="A801" t="s">
        <v>9149</v>
      </c>
      <c r="B801" t="s">
        <v>7505</v>
      </c>
      <c r="C801" t="s">
        <v>10077</v>
      </c>
      <c r="D801" t="s">
        <v>5720</v>
      </c>
      <c r="E801" t="s">
        <v>5721</v>
      </c>
      <c r="F801" t="s">
        <v>5733</v>
      </c>
      <c r="G801" t="s">
        <v>10069</v>
      </c>
      <c r="H801" t="s">
        <v>461</v>
      </c>
      <c r="I801" t="s">
        <v>644</v>
      </c>
      <c r="J801" t="s">
        <v>266</v>
      </c>
      <c r="K801" t="s">
        <v>5724</v>
      </c>
      <c r="L801" t="s">
        <v>267</v>
      </c>
      <c r="M801">
        <v>34024860</v>
      </c>
      <c r="N801">
        <v>-907330</v>
      </c>
      <c r="O801">
        <v>33117530</v>
      </c>
      <c r="P801">
        <v>0</v>
      </c>
      <c r="Q801" t="s">
        <v>10078</v>
      </c>
      <c r="R801" t="s">
        <v>9149</v>
      </c>
      <c r="S801" t="s">
        <v>10079</v>
      </c>
      <c r="T801" t="s">
        <v>10080</v>
      </c>
      <c r="U801" t="s">
        <v>10081</v>
      </c>
      <c r="V801" t="s">
        <v>10082</v>
      </c>
      <c r="W801" t="s">
        <v>5731</v>
      </c>
      <c r="X801" t="str">
        <f t="shared" si="12"/>
        <v>Inversión</v>
      </c>
      <c r="Y801" t="s">
        <v>5735</v>
      </c>
    </row>
    <row r="802" spans="1:25" x14ac:dyDescent="0.25">
      <c r="A802" t="s">
        <v>6935</v>
      </c>
      <c r="B802" t="s">
        <v>7505</v>
      </c>
      <c r="C802" t="s">
        <v>10083</v>
      </c>
      <c r="D802" t="s">
        <v>5720</v>
      </c>
      <c r="E802" t="s">
        <v>5721</v>
      </c>
      <c r="F802" t="s">
        <v>5733</v>
      </c>
      <c r="G802" t="s">
        <v>10069</v>
      </c>
      <c r="H802" t="s">
        <v>461</v>
      </c>
      <c r="I802" t="s">
        <v>644</v>
      </c>
      <c r="J802" t="s">
        <v>266</v>
      </c>
      <c r="K802" t="s">
        <v>5724</v>
      </c>
      <c r="L802" t="s">
        <v>267</v>
      </c>
      <c r="M802">
        <v>26714830</v>
      </c>
      <c r="N802">
        <v>-712395</v>
      </c>
      <c r="O802">
        <v>26002435</v>
      </c>
      <c r="P802">
        <v>0</v>
      </c>
      <c r="Q802" t="s">
        <v>10084</v>
      </c>
      <c r="R802" t="s">
        <v>6935</v>
      </c>
      <c r="S802" t="s">
        <v>7504</v>
      </c>
      <c r="T802" t="s">
        <v>9108</v>
      </c>
      <c r="U802" t="s">
        <v>10085</v>
      </c>
      <c r="V802" t="s">
        <v>10086</v>
      </c>
      <c r="W802" t="s">
        <v>5731</v>
      </c>
      <c r="X802" t="str">
        <f t="shared" si="12"/>
        <v>Inversión</v>
      </c>
      <c r="Y802" t="s">
        <v>5735</v>
      </c>
    </row>
    <row r="803" spans="1:25" x14ac:dyDescent="0.25">
      <c r="A803" t="s">
        <v>9223</v>
      </c>
      <c r="B803" t="s">
        <v>7505</v>
      </c>
      <c r="C803" t="s">
        <v>10087</v>
      </c>
      <c r="D803" t="s">
        <v>5720</v>
      </c>
      <c r="E803" t="s">
        <v>5721</v>
      </c>
      <c r="F803" t="s">
        <v>5733</v>
      </c>
      <c r="G803" t="s">
        <v>10069</v>
      </c>
      <c r="H803" t="s">
        <v>461</v>
      </c>
      <c r="I803" t="s">
        <v>644</v>
      </c>
      <c r="J803" t="s">
        <v>266</v>
      </c>
      <c r="K803" t="s">
        <v>5724</v>
      </c>
      <c r="L803" t="s">
        <v>267</v>
      </c>
      <c r="M803">
        <v>26714830</v>
      </c>
      <c r="N803">
        <v>-712395.47</v>
      </c>
      <c r="O803">
        <v>26002434.530000001</v>
      </c>
      <c r="P803">
        <v>0</v>
      </c>
      <c r="Q803" t="s">
        <v>10088</v>
      </c>
      <c r="R803" t="s">
        <v>9223</v>
      </c>
      <c r="S803" t="s">
        <v>9258</v>
      </c>
      <c r="T803" t="s">
        <v>9098</v>
      </c>
      <c r="U803" t="s">
        <v>10089</v>
      </c>
      <c r="V803" t="s">
        <v>10090</v>
      </c>
      <c r="W803" t="s">
        <v>5731</v>
      </c>
      <c r="X803" t="str">
        <f t="shared" si="12"/>
        <v>Inversión</v>
      </c>
      <c r="Y803" t="s">
        <v>5735</v>
      </c>
    </row>
    <row r="804" spans="1:25" x14ac:dyDescent="0.25">
      <c r="A804" t="s">
        <v>9226</v>
      </c>
      <c r="B804" t="s">
        <v>7505</v>
      </c>
      <c r="C804" t="s">
        <v>10091</v>
      </c>
      <c r="D804" t="s">
        <v>5720</v>
      </c>
      <c r="E804" t="s">
        <v>5721</v>
      </c>
      <c r="F804" t="s">
        <v>5733</v>
      </c>
      <c r="G804" t="s">
        <v>10069</v>
      </c>
      <c r="H804" t="s">
        <v>461</v>
      </c>
      <c r="I804" t="s">
        <v>644</v>
      </c>
      <c r="J804" t="s">
        <v>266</v>
      </c>
      <c r="K804" t="s">
        <v>5724</v>
      </c>
      <c r="L804" t="s">
        <v>267</v>
      </c>
      <c r="M804">
        <v>17863052</v>
      </c>
      <c r="N804">
        <v>-1304287</v>
      </c>
      <c r="O804">
        <v>16558765</v>
      </c>
      <c r="P804">
        <v>0</v>
      </c>
      <c r="Q804" t="s">
        <v>10092</v>
      </c>
      <c r="R804" t="s">
        <v>9226</v>
      </c>
      <c r="S804" t="s">
        <v>9233</v>
      </c>
      <c r="T804" t="s">
        <v>9106</v>
      </c>
      <c r="U804" t="s">
        <v>10093</v>
      </c>
      <c r="V804" t="s">
        <v>10094</v>
      </c>
      <c r="W804" t="s">
        <v>5731</v>
      </c>
      <c r="X804" t="str">
        <f t="shared" si="12"/>
        <v>Inversión</v>
      </c>
      <c r="Y804" t="s">
        <v>5735</v>
      </c>
    </row>
    <row r="805" spans="1:25" x14ac:dyDescent="0.25">
      <c r="A805" t="s">
        <v>9425</v>
      </c>
      <c r="B805" t="s">
        <v>7552</v>
      </c>
      <c r="C805" t="s">
        <v>10095</v>
      </c>
      <c r="D805" t="s">
        <v>5720</v>
      </c>
      <c r="E805" t="s">
        <v>5721</v>
      </c>
      <c r="F805" t="s">
        <v>5733</v>
      </c>
      <c r="G805" t="s">
        <v>10069</v>
      </c>
      <c r="H805" t="s">
        <v>461</v>
      </c>
      <c r="I805" t="s">
        <v>644</v>
      </c>
      <c r="J805" t="s">
        <v>273</v>
      </c>
      <c r="K805" t="s">
        <v>5734</v>
      </c>
      <c r="L805" t="s">
        <v>267</v>
      </c>
      <c r="M805">
        <v>0</v>
      </c>
      <c r="N805">
        <v>6034364</v>
      </c>
      <c r="O805">
        <v>6034364</v>
      </c>
      <c r="P805">
        <v>3945881</v>
      </c>
      <c r="Q805" t="s">
        <v>10096</v>
      </c>
      <c r="R805" t="s">
        <v>9425</v>
      </c>
      <c r="S805" t="s">
        <v>10097</v>
      </c>
      <c r="T805" t="s">
        <v>10098</v>
      </c>
      <c r="U805" t="s">
        <v>10099</v>
      </c>
      <c r="V805" t="s">
        <v>10100</v>
      </c>
      <c r="W805" t="s">
        <v>5844</v>
      </c>
      <c r="X805" t="str">
        <f t="shared" si="12"/>
        <v>Inversión</v>
      </c>
      <c r="Y805" t="s">
        <v>5735</v>
      </c>
    </row>
    <row r="806" spans="1:25" x14ac:dyDescent="0.25">
      <c r="A806" t="s">
        <v>9425</v>
      </c>
      <c r="B806" t="s">
        <v>7552</v>
      </c>
      <c r="C806" t="s">
        <v>10095</v>
      </c>
      <c r="D806" t="s">
        <v>5720</v>
      </c>
      <c r="E806" t="s">
        <v>5721</v>
      </c>
      <c r="F806" t="s">
        <v>5733</v>
      </c>
      <c r="G806" t="s">
        <v>10069</v>
      </c>
      <c r="H806" t="s">
        <v>461</v>
      </c>
      <c r="I806" t="s">
        <v>644</v>
      </c>
      <c r="J806" t="s">
        <v>266</v>
      </c>
      <c r="K806" t="s">
        <v>5724</v>
      </c>
      <c r="L806" t="s">
        <v>267</v>
      </c>
      <c r="M806">
        <v>1382425</v>
      </c>
      <c r="N806">
        <v>11974162.470000001</v>
      </c>
      <c r="O806">
        <v>13356587.470000001</v>
      </c>
      <c r="P806">
        <v>7444877.4699999997</v>
      </c>
      <c r="Q806" t="s">
        <v>10096</v>
      </c>
      <c r="R806" t="s">
        <v>9425</v>
      </c>
      <c r="S806" t="s">
        <v>10097</v>
      </c>
      <c r="T806" t="s">
        <v>10098</v>
      </c>
      <c r="U806" t="s">
        <v>10099</v>
      </c>
      <c r="V806" t="s">
        <v>10100</v>
      </c>
      <c r="W806" t="s">
        <v>5844</v>
      </c>
      <c r="X806" t="str">
        <f t="shared" si="12"/>
        <v>Inversión</v>
      </c>
      <c r="Y806" t="s">
        <v>5735</v>
      </c>
    </row>
    <row r="807" spans="1:25" x14ac:dyDescent="0.25">
      <c r="A807" t="s">
        <v>9420</v>
      </c>
      <c r="B807" t="s">
        <v>7552</v>
      </c>
      <c r="C807" t="s">
        <v>10101</v>
      </c>
      <c r="D807" t="s">
        <v>5720</v>
      </c>
      <c r="E807" t="s">
        <v>5721</v>
      </c>
      <c r="F807" t="s">
        <v>5733</v>
      </c>
      <c r="G807" t="s">
        <v>10069</v>
      </c>
      <c r="H807" t="s">
        <v>461</v>
      </c>
      <c r="I807" t="s">
        <v>644</v>
      </c>
      <c r="J807" t="s">
        <v>266</v>
      </c>
      <c r="K807" t="s">
        <v>5724</v>
      </c>
      <c r="L807" t="s">
        <v>267</v>
      </c>
      <c r="M807">
        <v>1149379</v>
      </c>
      <c r="N807">
        <v>1304287</v>
      </c>
      <c r="O807">
        <v>2453666</v>
      </c>
      <c r="P807">
        <v>1158666</v>
      </c>
      <c r="Q807" t="s">
        <v>10102</v>
      </c>
      <c r="R807" t="s">
        <v>9420</v>
      </c>
      <c r="S807" t="s">
        <v>10103</v>
      </c>
      <c r="T807" t="s">
        <v>10104</v>
      </c>
      <c r="U807" t="s">
        <v>10105</v>
      </c>
      <c r="V807" t="s">
        <v>10106</v>
      </c>
      <c r="W807" t="s">
        <v>10107</v>
      </c>
      <c r="X807" t="str">
        <f t="shared" si="12"/>
        <v>Inversión</v>
      </c>
      <c r="Y807" t="s">
        <v>5735</v>
      </c>
    </row>
    <row r="808" spans="1:25" x14ac:dyDescent="0.25">
      <c r="A808" t="s">
        <v>9154</v>
      </c>
      <c r="B808" t="s">
        <v>7704</v>
      </c>
      <c r="C808" t="s">
        <v>10108</v>
      </c>
      <c r="D808" t="s">
        <v>5720</v>
      </c>
      <c r="E808" t="s">
        <v>5721</v>
      </c>
      <c r="F808" t="s">
        <v>6619</v>
      </c>
      <c r="G808" t="s">
        <v>10069</v>
      </c>
      <c r="H808" t="s">
        <v>455</v>
      </c>
      <c r="I808" t="s">
        <v>643</v>
      </c>
      <c r="J808" t="s">
        <v>273</v>
      </c>
      <c r="K808" t="s">
        <v>5734</v>
      </c>
      <c r="L808" t="s">
        <v>267</v>
      </c>
      <c r="M808">
        <v>5298820</v>
      </c>
      <c r="N808">
        <v>0</v>
      </c>
      <c r="O808">
        <v>5298820</v>
      </c>
      <c r="P808">
        <v>619185</v>
      </c>
      <c r="Q808" t="s">
        <v>10109</v>
      </c>
      <c r="R808" t="s">
        <v>9154</v>
      </c>
      <c r="S808" t="s">
        <v>10110</v>
      </c>
      <c r="T808" t="s">
        <v>10111</v>
      </c>
      <c r="U808" t="s">
        <v>10112</v>
      </c>
      <c r="V808" t="s">
        <v>10113</v>
      </c>
      <c r="W808" t="s">
        <v>10114</v>
      </c>
      <c r="X808" t="str">
        <f t="shared" si="12"/>
        <v>Inversión</v>
      </c>
      <c r="Y808" t="s">
        <v>6626</v>
      </c>
    </row>
    <row r="809" spans="1:25" x14ac:dyDescent="0.25">
      <c r="A809" t="s">
        <v>7504</v>
      </c>
      <c r="B809" t="s">
        <v>8112</v>
      </c>
      <c r="C809" t="s">
        <v>10115</v>
      </c>
      <c r="D809" t="s">
        <v>5720</v>
      </c>
      <c r="E809" t="s">
        <v>5721</v>
      </c>
      <c r="F809" t="s">
        <v>5733</v>
      </c>
      <c r="G809" t="s">
        <v>10069</v>
      </c>
      <c r="H809" t="s">
        <v>461</v>
      </c>
      <c r="I809" t="s">
        <v>644</v>
      </c>
      <c r="J809" t="s">
        <v>273</v>
      </c>
      <c r="K809" t="s">
        <v>5734</v>
      </c>
      <c r="L809" t="s">
        <v>267</v>
      </c>
      <c r="M809">
        <v>31473225</v>
      </c>
      <c r="N809">
        <v>0</v>
      </c>
      <c r="O809">
        <v>31473225</v>
      </c>
      <c r="P809">
        <v>0</v>
      </c>
      <c r="Q809" t="s">
        <v>10116</v>
      </c>
      <c r="R809" t="s">
        <v>7504</v>
      </c>
      <c r="S809" t="s">
        <v>10117</v>
      </c>
      <c r="T809" t="s">
        <v>10118</v>
      </c>
      <c r="U809" t="s">
        <v>10119</v>
      </c>
      <c r="V809" t="s">
        <v>10120</v>
      </c>
      <c r="W809" t="s">
        <v>5731</v>
      </c>
      <c r="X809" t="str">
        <f t="shared" si="12"/>
        <v>Inversión</v>
      </c>
      <c r="Y809" t="s">
        <v>5735</v>
      </c>
    </row>
    <row r="810" spans="1:25" x14ac:dyDescent="0.25">
      <c r="A810" t="s">
        <v>9227</v>
      </c>
      <c r="B810" t="s">
        <v>8676</v>
      </c>
      <c r="C810" t="s">
        <v>10121</v>
      </c>
      <c r="D810" t="s">
        <v>5720</v>
      </c>
      <c r="E810" t="s">
        <v>5721</v>
      </c>
      <c r="F810" t="s">
        <v>5733</v>
      </c>
      <c r="G810" t="s">
        <v>10069</v>
      </c>
      <c r="H810" t="s">
        <v>461</v>
      </c>
      <c r="I810" t="s">
        <v>644</v>
      </c>
      <c r="J810" t="s">
        <v>273</v>
      </c>
      <c r="K810" t="s">
        <v>5734</v>
      </c>
      <c r="L810" t="s">
        <v>267</v>
      </c>
      <c r="M810">
        <v>40829832</v>
      </c>
      <c r="N810">
        <v>0</v>
      </c>
      <c r="O810">
        <v>40829832</v>
      </c>
      <c r="P810">
        <v>0</v>
      </c>
      <c r="Q810" t="s">
        <v>10122</v>
      </c>
      <c r="R810" t="s">
        <v>9295</v>
      </c>
      <c r="S810" t="s">
        <v>10123</v>
      </c>
      <c r="T810" t="s">
        <v>10124</v>
      </c>
      <c r="U810" t="s">
        <v>10125</v>
      </c>
      <c r="V810" t="s">
        <v>10126</v>
      </c>
      <c r="W810" t="s">
        <v>5731</v>
      </c>
      <c r="X810" t="str">
        <f t="shared" si="12"/>
        <v>Inversión</v>
      </c>
      <c r="Y810" t="s">
        <v>5735</v>
      </c>
    </row>
    <row r="811" spans="1:25" x14ac:dyDescent="0.25">
      <c r="A811" t="s">
        <v>9292</v>
      </c>
      <c r="B811" t="s">
        <v>8676</v>
      </c>
      <c r="C811" t="s">
        <v>8677</v>
      </c>
      <c r="D811" t="s">
        <v>5720</v>
      </c>
      <c r="E811" t="s">
        <v>5721</v>
      </c>
      <c r="F811" t="s">
        <v>5733</v>
      </c>
      <c r="G811" t="s">
        <v>10069</v>
      </c>
      <c r="H811" t="s">
        <v>461</v>
      </c>
      <c r="I811" t="s">
        <v>644</v>
      </c>
      <c r="J811" t="s">
        <v>273</v>
      </c>
      <c r="K811" t="s">
        <v>5734</v>
      </c>
      <c r="L811" t="s">
        <v>267</v>
      </c>
      <c r="M811">
        <v>74993568</v>
      </c>
      <c r="N811">
        <v>0</v>
      </c>
      <c r="O811">
        <v>74993568</v>
      </c>
      <c r="P811">
        <v>0</v>
      </c>
      <c r="Q811" t="s">
        <v>10127</v>
      </c>
      <c r="R811" t="s">
        <v>9093</v>
      </c>
      <c r="S811" t="s">
        <v>10128</v>
      </c>
      <c r="T811" t="s">
        <v>10129</v>
      </c>
      <c r="U811" t="s">
        <v>10130</v>
      </c>
      <c r="V811" t="s">
        <v>10131</v>
      </c>
      <c r="W811" t="s">
        <v>5731</v>
      </c>
      <c r="X811" t="str">
        <f t="shared" si="12"/>
        <v>Inversión</v>
      </c>
      <c r="Y811" t="s">
        <v>5735</v>
      </c>
    </row>
    <row r="812" spans="1:25" x14ac:dyDescent="0.25">
      <c r="A812" t="s">
        <v>9295</v>
      </c>
      <c r="B812" t="s">
        <v>8676</v>
      </c>
      <c r="C812" t="s">
        <v>8684</v>
      </c>
      <c r="D812" t="s">
        <v>5720</v>
      </c>
      <c r="E812" t="s">
        <v>5721</v>
      </c>
      <c r="F812" t="s">
        <v>5733</v>
      </c>
      <c r="G812" t="s">
        <v>10069</v>
      </c>
      <c r="H812" t="s">
        <v>461</v>
      </c>
      <c r="I812" t="s">
        <v>644</v>
      </c>
      <c r="J812" t="s">
        <v>273</v>
      </c>
      <c r="K812" t="s">
        <v>5734</v>
      </c>
      <c r="L812" t="s">
        <v>267</v>
      </c>
      <c r="M812">
        <v>12498928</v>
      </c>
      <c r="N812">
        <v>0</v>
      </c>
      <c r="O812">
        <v>12498928</v>
      </c>
      <c r="P812">
        <v>0</v>
      </c>
      <c r="Q812" t="s">
        <v>10132</v>
      </c>
      <c r="R812" t="s">
        <v>9103</v>
      </c>
      <c r="S812" t="s">
        <v>5995</v>
      </c>
      <c r="T812" t="s">
        <v>6416</v>
      </c>
      <c r="U812" t="s">
        <v>10133</v>
      </c>
      <c r="V812" t="s">
        <v>10134</v>
      </c>
      <c r="W812" t="s">
        <v>5731</v>
      </c>
      <c r="X812" t="str">
        <f t="shared" si="12"/>
        <v>Inversión</v>
      </c>
      <c r="Y812" t="s">
        <v>5735</v>
      </c>
    </row>
    <row r="813" spans="1:25" x14ac:dyDescent="0.25">
      <c r="A813" t="s">
        <v>9093</v>
      </c>
      <c r="B813" t="s">
        <v>8676</v>
      </c>
      <c r="C813" t="s">
        <v>10135</v>
      </c>
      <c r="D813" t="s">
        <v>5720</v>
      </c>
      <c r="E813" t="s">
        <v>5721</v>
      </c>
      <c r="F813" t="s">
        <v>5733</v>
      </c>
      <c r="G813" t="s">
        <v>10069</v>
      </c>
      <c r="H813" t="s">
        <v>461</v>
      </c>
      <c r="I813" t="s">
        <v>644</v>
      </c>
      <c r="J813" t="s">
        <v>273</v>
      </c>
      <c r="K813" t="s">
        <v>5734</v>
      </c>
      <c r="L813" t="s">
        <v>267</v>
      </c>
      <c r="M813">
        <v>10685932</v>
      </c>
      <c r="N813">
        <v>0</v>
      </c>
      <c r="O813">
        <v>10685932</v>
      </c>
      <c r="P813">
        <v>0</v>
      </c>
      <c r="Q813" t="s">
        <v>10136</v>
      </c>
      <c r="R813" t="s">
        <v>9108</v>
      </c>
      <c r="S813" t="s">
        <v>6003</v>
      </c>
      <c r="T813" t="s">
        <v>6315</v>
      </c>
      <c r="U813" t="s">
        <v>10137</v>
      </c>
      <c r="V813" t="s">
        <v>10138</v>
      </c>
      <c r="W813" t="s">
        <v>5731</v>
      </c>
      <c r="X813" t="str">
        <f t="shared" si="12"/>
        <v>Inversión</v>
      </c>
      <c r="Y813" t="s">
        <v>5735</v>
      </c>
    </row>
    <row r="814" spans="1:25" x14ac:dyDescent="0.25">
      <c r="A814" t="s">
        <v>9108</v>
      </c>
      <c r="B814" t="s">
        <v>8694</v>
      </c>
      <c r="C814" t="s">
        <v>10139</v>
      </c>
      <c r="D814" t="s">
        <v>5720</v>
      </c>
      <c r="E814" t="s">
        <v>5737</v>
      </c>
      <c r="F814" t="s">
        <v>5722</v>
      </c>
      <c r="G814" t="s">
        <v>10069</v>
      </c>
      <c r="H814" t="s">
        <v>453</v>
      </c>
      <c r="I814" t="s">
        <v>664</v>
      </c>
      <c r="J814" t="s">
        <v>266</v>
      </c>
      <c r="K814" t="s">
        <v>5724</v>
      </c>
      <c r="L814" t="s">
        <v>267</v>
      </c>
      <c r="M814">
        <v>4000000</v>
      </c>
      <c r="N814">
        <v>0</v>
      </c>
      <c r="O814">
        <v>4000000</v>
      </c>
      <c r="P814">
        <v>4000000</v>
      </c>
      <c r="Q814" t="s">
        <v>10140</v>
      </c>
      <c r="R814" t="s">
        <v>9182</v>
      </c>
      <c r="S814" t="s">
        <v>5731</v>
      </c>
      <c r="T814" t="s">
        <v>5731</v>
      </c>
      <c r="U814" t="s">
        <v>5731</v>
      </c>
      <c r="V814" t="s">
        <v>5731</v>
      </c>
      <c r="W814" t="s">
        <v>5731</v>
      </c>
      <c r="X814" t="str">
        <f t="shared" si="12"/>
        <v>Inversión</v>
      </c>
      <c r="Y814" t="s">
        <v>5732</v>
      </c>
    </row>
    <row r="815" spans="1:25" x14ac:dyDescent="0.25">
      <c r="A815" t="s">
        <v>9178</v>
      </c>
      <c r="B815" t="s">
        <v>8784</v>
      </c>
      <c r="C815" t="s">
        <v>10141</v>
      </c>
      <c r="D815" t="s">
        <v>5720</v>
      </c>
      <c r="E815" t="s">
        <v>5969</v>
      </c>
      <c r="F815" t="s">
        <v>5733</v>
      </c>
      <c r="G815" t="s">
        <v>10069</v>
      </c>
      <c r="H815" t="s">
        <v>461</v>
      </c>
      <c r="I815" t="s">
        <v>644</v>
      </c>
      <c r="J815" t="s">
        <v>266</v>
      </c>
      <c r="K815" t="s">
        <v>5724</v>
      </c>
      <c r="L815" t="s">
        <v>267</v>
      </c>
      <c r="M815">
        <v>1483940</v>
      </c>
      <c r="N815">
        <v>-1483940</v>
      </c>
      <c r="O815">
        <v>0</v>
      </c>
      <c r="P815">
        <v>0</v>
      </c>
      <c r="Q815" t="s">
        <v>10142</v>
      </c>
      <c r="R815" t="s">
        <v>9106</v>
      </c>
      <c r="S815" t="s">
        <v>5731</v>
      </c>
      <c r="T815" t="s">
        <v>5731</v>
      </c>
      <c r="U815" t="s">
        <v>5731</v>
      </c>
      <c r="V815" t="s">
        <v>5731</v>
      </c>
      <c r="W815" t="s">
        <v>5731</v>
      </c>
      <c r="X815" t="str">
        <f t="shared" si="12"/>
        <v>Inversión</v>
      </c>
      <c r="Y815" t="s">
        <v>5735</v>
      </c>
    </row>
    <row r="816" spans="1:25" x14ac:dyDescent="0.25">
      <c r="A816" t="s">
        <v>9111</v>
      </c>
      <c r="B816" t="s">
        <v>8907</v>
      </c>
      <c r="C816" t="s">
        <v>10143</v>
      </c>
      <c r="D816" t="s">
        <v>5720</v>
      </c>
      <c r="E816" t="s">
        <v>5737</v>
      </c>
      <c r="F816" t="s">
        <v>5733</v>
      </c>
      <c r="G816" t="s">
        <v>10069</v>
      </c>
      <c r="H816" t="s">
        <v>461</v>
      </c>
      <c r="I816" t="s">
        <v>644</v>
      </c>
      <c r="J816" t="s">
        <v>273</v>
      </c>
      <c r="K816" t="s">
        <v>5734</v>
      </c>
      <c r="L816" t="s">
        <v>267</v>
      </c>
      <c r="M816">
        <v>10685932</v>
      </c>
      <c r="N816">
        <v>0</v>
      </c>
      <c r="O816">
        <v>10685932</v>
      </c>
      <c r="P816">
        <v>10685932</v>
      </c>
      <c r="Q816" t="s">
        <v>10144</v>
      </c>
      <c r="R816" t="s">
        <v>5726</v>
      </c>
      <c r="S816" t="s">
        <v>5731</v>
      </c>
      <c r="T816" t="s">
        <v>5731</v>
      </c>
      <c r="U816" t="s">
        <v>5731</v>
      </c>
      <c r="V816" t="s">
        <v>5731</v>
      </c>
      <c r="W816" t="s">
        <v>5731</v>
      </c>
      <c r="X816" t="str">
        <f t="shared" si="12"/>
        <v>Inversión</v>
      </c>
      <c r="Y816" t="s">
        <v>5735</v>
      </c>
    </row>
    <row r="817" spans="1:25" x14ac:dyDescent="0.25">
      <c r="A817" t="s">
        <v>9061</v>
      </c>
      <c r="B817" t="s">
        <v>7118</v>
      </c>
      <c r="C817" t="s">
        <v>10145</v>
      </c>
      <c r="D817" t="s">
        <v>5720</v>
      </c>
      <c r="E817" t="s">
        <v>5721</v>
      </c>
      <c r="F817" t="s">
        <v>6619</v>
      </c>
      <c r="G817" t="s">
        <v>10146</v>
      </c>
      <c r="H817" t="s">
        <v>455</v>
      </c>
      <c r="I817" t="s">
        <v>643</v>
      </c>
      <c r="J817" t="s">
        <v>273</v>
      </c>
      <c r="K817" t="s">
        <v>5734</v>
      </c>
      <c r="L817" t="s">
        <v>267</v>
      </c>
      <c r="M817">
        <v>3500000</v>
      </c>
      <c r="N817">
        <v>0</v>
      </c>
      <c r="O817">
        <v>3500000</v>
      </c>
      <c r="P817">
        <v>2395617</v>
      </c>
      <c r="Q817" t="s">
        <v>10147</v>
      </c>
      <c r="R817" t="s">
        <v>9061</v>
      </c>
      <c r="S817" t="s">
        <v>10148</v>
      </c>
      <c r="T817" t="s">
        <v>10149</v>
      </c>
      <c r="U817" t="s">
        <v>10150</v>
      </c>
      <c r="V817" t="s">
        <v>10151</v>
      </c>
      <c r="W817" t="s">
        <v>5731</v>
      </c>
      <c r="X817" t="str">
        <f t="shared" si="12"/>
        <v>Inversión</v>
      </c>
      <c r="Y817" t="s">
        <v>6626</v>
      </c>
    </row>
    <row r="818" spans="1:25" x14ac:dyDescent="0.25">
      <c r="A818" t="s">
        <v>9068</v>
      </c>
      <c r="B818" t="s">
        <v>7237</v>
      </c>
      <c r="C818" t="s">
        <v>10152</v>
      </c>
      <c r="D818" t="s">
        <v>5720</v>
      </c>
      <c r="E818" t="s">
        <v>5721</v>
      </c>
      <c r="F818" t="s">
        <v>5733</v>
      </c>
      <c r="G818" t="s">
        <v>10146</v>
      </c>
      <c r="H818" t="s">
        <v>461</v>
      </c>
      <c r="I818" t="s">
        <v>644</v>
      </c>
      <c r="J818" t="s">
        <v>266</v>
      </c>
      <c r="K818" t="s">
        <v>5724</v>
      </c>
      <c r="L818" t="s">
        <v>267</v>
      </c>
      <c r="M818">
        <v>48152500</v>
      </c>
      <c r="N818">
        <v>-11235583</v>
      </c>
      <c r="O818">
        <v>36916917</v>
      </c>
      <c r="P818">
        <v>0</v>
      </c>
      <c r="Q818" t="s">
        <v>10153</v>
      </c>
      <c r="R818" t="s">
        <v>9068</v>
      </c>
      <c r="S818" t="s">
        <v>9381</v>
      </c>
      <c r="T818" t="s">
        <v>10154</v>
      </c>
      <c r="U818" t="s">
        <v>10155</v>
      </c>
      <c r="V818" t="s">
        <v>10156</v>
      </c>
      <c r="W818" t="s">
        <v>5731</v>
      </c>
      <c r="X818" t="str">
        <f t="shared" si="12"/>
        <v>Inversión</v>
      </c>
      <c r="Y818" t="s">
        <v>5735</v>
      </c>
    </row>
    <row r="819" spans="1:25" x14ac:dyDescent="0.25">
      <c r="A819" t="s">
        <v>9075</v>
      </c>
      <c r="B819" t="s">
        <v>7237</v>
      </c>
      <c r="C819" t="s">
        <v>10157</v>
      </c>
      <c r="D819" t="s">
        <v>5720</v>
      </c>
      <c r="E819" t="s">
        <v>5721</v>
      </c>
      <c r="F819" t="s">
        <v>5733</v>
      </c>
      <c r="G819" t="s">
        <v>10146</v>
      </c>
      <c r="H819" t="s">
        <v>461</v>
      </c>
      <c r="I819" t="s">
        <v>644</v>
      </c>
      <c r="J819" t="s">
        <v>266</v>
      </c>
      <c r="K819" t="s">
        <v>5724</v>
      </c>
      <c r="L819" t="s">
        <v>267</v>
      </c>
      <c r="M819">
        <v>53589155</v>
      </c>
      <c r="N819">
        <v>-510377</v>
      </c>
      <c r="O819">
        <v>53078778</v>
      </c>
      <c r="P819">
        <v>0</v>
      </c>
      <c r="Q819" t="s">
        <v>10158</v>
      </c>
      <c r="R819" t="s">
        <v>9075</v>
      </c>
      <c r="S819" t="s">
        <v>5819</v>
      </c>
      <c r="T819" t="s">
        <v>10159</v>
      </c>
      <c r="U819" t="s">
        <v>10160</v>
      </c>
      <c r="V819" t="s">
        <v>10161</v>
      </c>
      <c r="W819" t="s">
        <v>5731</v>
      </c>
      <c r="X819" t="str">
        <f t="shared" si="12"/>
        <v>Inversión</v>
      </c>
      <c r="Y819" t="s">
        <v>5735</v>
      </c>
    </row>
    <row r="820" spans="1:25" x14ac:dyDescent="0.25">
      <c r="A820" t="s">
        <v>9149</v>
      </c>
      <c r="B820" t="s">
        <v>7758</v>
      </c>
      <c r="C820" t="s">
        <v>10162</v>
      </c>
      <c r="D820" t="s">
        <v>5720</v>
      </c>
      <c r="E820" t="s">
        <v>5721</v>
      </c>
      <c r="F820" t="s">
        <v>5733</v>
      </c>
      <c r="G820" t="s">
        <v>10146</v>
      </c>
      <c r="H820" t="s">
        <v>461</v>
      </c>
      <c r="I820" t="s">
        <v>644</v>
      </c>
      <c r="J820" t="s">
        <v>266</v>
      </c>
      <c r="K820" t="s">
        <v>5724</v>
      </c>
      <c r="L820" t="s">
        <v>267</v>
      </c>
      <c r="M820">
        <v>2041394</v>
      </c>
      <c r="N820">
        <v>0</v>
      </c>
      <c r="O820">
        <v>2041394</v>
      </c>
      <c r="P820">
        <v>1123017</v>
      </c>
      <c r="Q820" t="s">
        <v>10163</v>
      </c>
      <c r="R820" t="s">
        <v>9149</v>
      </c>
      <c r="S820" t="s">
        <v>10164</v>
      </c>
      <c r="T820" t="s">
        <v>10165</v>
      </c>
      <c r="U820" t="s">
        <v>10166</v>
      </c>
      <c r="V820" t="s">
        <v>10167</v>
      </c>
      <c r="W820" t="s">
        <v>5731</v>
      </c>
      <c r="X820" t="str">
        <f t="shared" si="12"/>
        <v>Inversión</v>
      </c>
      <c r="Y820" t="s">
        <v>5735</v>
      </c>
    </row>
    <row r="821" spans="1:25" x14ac:dyDescent="0.25">
      <c r="A821" t="s">
        <v>9425</v>
      </c>
      <c r="B821" t="s">
        <v>8097</v>
      </c>
      <c r="C821" t="s">
        <v>10168</v>
      </c>
      <c r="D821" t="s">
        <v>5720</v>
      </c>
      <c r="E821" t="s">
        <v>5721</v>
      </c>
      <c r="F821" t="s">
        <v>5733</v>
      </c>
      <c r="G821" t="s">
        <v>10146</v>
      </c>
      <c r="H821" t="s">
        <v>461</v>
      </c>
      <c r="I821" t="s">
        <v>644</v>
      </c>
      <c r="J821" t="s">
        <v>273</v>
      </c>
      <c r="K821" t="s">
        <v>5734</v>
      </c>
      <c r="L821" t="s">
        <v>267</v>
      </c>
      <c r="M821">
        <v>6294645</v>
      </c>
      <c r="N821">
        <v>0</v>
      </c>
      <c r="O821">
        <v>6294645</v>
      </c>
      <c r="P821">
        <v>0</v>
      </c>
      <c r="Q821" t="s">
        <v>10169</v>
      </c>
      <c r="R821" t="s">
        <v>9425</v>
      </c>
      <c r="S821" t="s">
        <v>9295</v>
      </c>
      <c r="T821" t="s">
        <v>5848</v>
      </c>
      <c r="U821" t="s">
        <v>10170</v>
      </c>
      <c r="V821" t="s">
        <v>10171</v>
      </c>
      <c r="W821" t="s">
        <v>5731</v>
      </c>
      <c r="X821" t="str">
        <f t="shared" si="12"/>
        <v>Inversión</v>
      </c>
      <c r="Y821" t="s">
        <v>5735</v>
      </c>
    </row>
    <row r="822" spans="1:25" x14ac:dyDescent="0.25">
      <c r="A822" t="s">
        <v>9269</v>
      </c>
      <c r="B822" t="s">
        <v>9606</v>
      </c>
      <c r="C822" t="s">
        <v>10172</v>
      </c>
      <c r="D822" t="s">
        <v>5720</v>
      </c>
      <c r="E822" t="s">
        <v>5721</v>
      </c>
      <c r="F822" t="s">
        <v>5733</v>
      </c>
      <c r="G822" t="s">
        <v>10146</v>
      </c>
      <c r="H822" t="s">
        <v>461</v>
      </c>
      <c r="I822" t="s">
        <v>644</v>
      </c>
      <c r="J822" t="s">
        <v>273</v>
      </c>
      <c r="K822" t="s">
        <v>5734</v>
      </c>
      <c r="L822" t="s">
        <v>267</v>
      </c>
      <c r="M822">
        <v>2299752</v>
      </c>
      <c r="N822">
        <v>0</v>
      </c>
      <c r="O822">
        <v>2299752</v>
      </c>
      <c r="P822">
        <v>0</v>
      </c>
      <c r="Q822" t="s">
        <v>10173</v>
      </c>
      <c r="R822" t="s">
        <v>9269</v>
      </c>
      <c r="S822" t="s">
        <v>10174</v>
      </c>
      <c r="T822" t="s">
        <v>10175</v>
      </c>
      <c r="U822" t="s">
        <v>10176</v>
      </c>
      <c r="V822" t="s">
        <v>10177</v>
      </c>
      <c r="W822" t="s">
        <v>5731</v>
      </c>
      <c r="X822" t="str">
        <f t="shared" si="12"/>
        <v>Inversión</v>
      </c>
      <c r="Y822" t="s">
        <v>5735</v>
      </c>
    </row>
    <row r="823" spans="1:25" x14ac:dyDescent="0.25">
      <c r="A823" t="s">
        <v>9122</v>
      </c>
      <c r="B823" t="s">
        <v>9355</v>
      </c>
      <c r="C823" t="s">
        <v>10178</v>
      </c>
      <c r="D823" t="s">
        <v>5720</v>
      </c>
      <c r="E823" t="s">
        <v>5721</v>
      </c>
      <c r="F823" t="s">
        <v>5733</v>
      </c>
      <c r="G823" t="s">
        <v>10146</v>
      </c>
      <c r="H823" t="s">
        <v>461</v>
      </c>
      <c r="I823" t="s">
        <v>644</v>
      </c>
      <c r="J823" t="s">
        <v>273</v>
      </c>
      <c r="K823" t="s">
        <v>5734</v>
      </c>
      <c r="L823" t="s">
        <v>267</v>
      </c>
      <c r="M823">
        <v>10685932</v>
      </c>
      <c r="N823">
        <v>0</v>
      </c>
      <c r="O823">
        <v>10685932</v>
      </c>
      <c r="P823">
        <v>0</v>
      </c>
      <c r="Q823" t="s">
        <v>10179</v>
      </c>
      <c r="R823" t="s">
        <v>9122</v>
      </c>
      <c r="S823" t="s">
        <v>5907</v>
      </c>
      <c r="T823" t="s">
        <v>5731</v>
      </c>
      <c r="U823" t="s">
        <v>5731</v>
      </c>
      <c r="V823" t="s">
        <v>5731</v>
      </c>
      <c r="W823" t="s">
        <v>5731</v>
      </c>
      <c r="X823" t="str">
        <f t="shared" si="12"/>
        <v>Inversión</v>
      </c>
      <c r="Y823" t="s">
        <v>5735</v>
      </c>
    </row>
    <row r="824" spans="1:25" x14ac:dyDescent="0.25">
      <c r="A824" t="s">
        <v>9090</v>
      </c>
      <c r="B824" t="s">
        <v>9355</v>
      </c>
      <c r="C824" t="s">
        <v>10180</v>
      </c>
      <c r="D824" t="s">
        <v>5720</v>
      </c>
      <c r="E824" t="s">
        <v>5737</v>
      </c>
      <c r="F824" t="s">
        <v>5733</v>
      </c>
      <c r="G824" t="s">
        <v>10146</v>
      </c>
      <c r="H824" t="s">
        <v>461</v>
      </c>
      <c r="I824" t="s">
        <v>644</v>
      </c>
      <c r="J824" t="s">
        <v>266</v>
      </c>
      <c r="K824" t="s">
        <v>5724</v>
      </c>
      <c r="L824" t="s">
        <v>267</v>
      </c>
      <c r="M824">
        <v>11235583</v>
      </c>
      <c r="N824">
        <v>0</v>
      </c>
      <c r="O824">
        <v>11235583</v>
      </c>
      <c r="P824">
        <v>11235583</v>
      </c>
      <c r="Q824" t="s">
        <v>10181</v>
      </c>
      <c r="R824" t="s">
        <v>9090</v>
      </c>
      <c r="S824" t="s">
        <v>5731</v>
      </c>
      <c r="T824" t="s">
        <v>5731</v>
      </c>
      <c r="U824" t="s">
        <v>5731</v>
      </c>
      <c r="V824" t="s">
        <v>5731</v>
      </c>
      <c r="W824" t="s">
        <v>5731</v>
      </c>
      <c r="X824" t="str">
        <f t="shared" si="12"/>
        <v>Inversión</v>
      </c>
      <c r="Y824" t="s">
        <v>5735</v>
      </c>
    </row>
    <row r="825" spans="1:25" x14ac:dyDescent="0.25">
      <c r="A825" t="s">
        <v>9075</v>
      </c>
      <c r="B825" t="s">
        <v>9112</v>
      </c>
      <c r="C825" t="s">
        <v>10182</v>
      </c>
      <c r="D825" t="s">
        <v>5720</v>
      </c>
      <c r="E825" t="s">
        <v>5721</v>
      </c>
      <c r="F825" t="s">
        <v>5733</v>
      </c>
      <c r="G825" t="s">
        <v>10183</v>
      </c>
      <c r="H825" t="s">
        <v>461</v>
      </c>
      <c r="I825" t="s">
        <v>644</v>
      </c>
      <c r="J825" t="s">
        <v>266</v>
      </c>
      <c r="K825" t="s">
        <v>5724</v>
      </c>
      <c r="L825" t="s">
        <v>267</v>
      </c>
      <c r="M825">
        <v>68006145</v>
      </c>
      <c r="N825">
        <v>-1</v>
      </c>
      <c r="O825">
        <v>68006144</v>
      </c>
      <c r="P825">
        <v>0</v>
      </c>
      <c r="Q825" t="s">
        <v>10184</v>
      </c>
      <c r="R825" t="s">
        <v>9075</v>
      </c>
      <c r="S825" t="s">
        <v>10185</v>
      </c>
      <c r="T825" t="s">
        <v>10186</v>
      </c>
      <c r="U825" t="s">
        <v>10187</v>
      </c>
      <c r="V825" t="s">
        <v>10188</v>
      </c>
      <c r="W825" t="s">
        <v>5731</v>
      </c>
      <c r="X825" t="str">
        <f t="shared" si="12"/>
        <v>Inversión</v>
      </c>
      <c r="Y825" t="s">
        <v>5735</v>
      </c>
    </row>
    <row r="826" spans="1:25" x14ac:dyDescent="0.25">
      <c r="A826" t="s">
        <v>5844</v>
      </c>
      <c r="B826" t="s">
        <v>9112</v>
      </c>
      <c r="C826" t="s">
        <v>10189</v>
      </c>
      <c r="D826" t="s">
        <v>5720</v>
      </c>
      <c r="E826" t="s">
        <v>5721</v>
      </c>
      <c r="F826" t="s">
        <v>5733</v>
      </c>
      <c r="G826" t="s">
        <v>10183</v>
      </c>
      <c r="H826" t="s">
        <v>461</v>
      </c>
      <c r="I826" t="s">
        <v>644</v>
      </c>
      <c r="J826" t="s">
        <v>266</v>
      </c>
      <c r="K826" t="s">
        <v>5724</v>
      </c>
      <c r="L826" t="s">
        <v>267</v>
      </c>
      <c r="M826">
        <v>29974860</v>
      </c>
      <c r="N826">
        <v>1466578</v>
      </c>
      <c r="O826">
        <v>31441438</v>
      </c>
      <c r="P826">
        <v>62259</v>
      </c>
      <c r="Q826" t="s">
        <v>10190</v>
      </c>
      <c r="R826" t="s">
        <v>5844</v>
      </c>
      <c r="S826" t="s">
        <v>10191</v>
      </c>
      <c r="T826" t="s">
        <v>10192</v>
      </c>
      <c r="U826" t="s">
        <v>10193</v>
      </c>
      <c r="V826" t="s">
        <v>10194</v>
      </c>
      <c r="W826" t="s">
        <v>5731</v>
      </c>
      <c r="X826" t="str">
        <f t="shared" si="12"/>
        <v>Inversión</v>
      </c>
      <c r="Y826" t="s">
        <v>5735</v>
      </c>
    </row>
    <row r="827" spans="1:25" x14ac:dyDescent="0.25">
      <c r="A827" t="s">
        <v>9058</v>
      </c>
      <c r="B827" t="s">
        <v>9112</v>
      </c>
      <c r="C827" t="s">
        <v>10195</v>
      </c>
      <c r="D827" t="s">
        <v>5720</v>
      </c>
      <c r="E827" t="s">
        <v>5721</v>
      </c>
      <c r="F827" t="s">
        <v>5733</v>
      </c>
      <c r="G827" t="s">
        <v>10183</v>
      </c>
      <c r="H827" t="s">
        <v>461</v>
      </c>
      <c r="I827" t="s">
        <v>644</v>
      </c>
      <c r="J827" t="s">
        <v>266</v>
      </c>
      <c r="K827" t="s">
        <v>5724</v>
      </c>
      <c r="L827" t="s">
        <v>267</v>
      </c>
      <c r="M827">
        <v>17012430</v>
      </c>
      <c r="N827">
        <v>0</v>
      </c>
      <c r="O827">
        <v>17012430</v>
      </c>
      <c r="P827">
        <v>0</v>
      </c>
      <c r="Q827" t="s">
        <v>10196</v>
      </c>
      <c r="R827" t="s">
        <v>9058</v>
      </c>
      <c r="S827" t="s">
        <v>9098</v>
      </c>
      <c r="T827" t="s">
        <v>5951</v>
      </c>
      <c r="U827" t="s">
        <v>10197</v>
      </c>
      <c r="V827" t="s">
        <v>10198</v>
      </c>
      <c r="W827" t="s">
        <v>5731</v>
      </c>
      <c r="X827" t="str">
        <f t="shared" si="12"/>
        <v>Inversión</v>
      </c>
      <c r="Y827" t="s">
        <v>5735</v>
      </c>
    </row>
    <row r="828" spans="1:25" x14ac:dyDescent="0.25">
      <c r="A828" t="s">
        <v>9057</v>
      </c>
      <c r="B828" t="s">
        <v>9112</v>
      </c>
      <c r="C828" t="s">
        <v>10199</v>
      </c>
      <c r="D828" t="s">
        <v>5720</v>
      </c>
      <c r="E828" t="s">
        <v>5737</v>
      </c>
      <c r="F828" t="s">
        <v>5733</v>
      </c>
      <c r="G828" t="s">
        <v>10183</v>
      </c>
      <c r="H828" t="s">
        <v>461</v>
      </c>
      <c r="I828" t="s">
        <v>644</v>
      </c>
      <c r="J828" t="s">
        <v>266</v>
      </c>
      <c r="K828" t="s">
        <v>5724</v>
      </c>
      <c r="L828" t="s">
        <v>267</v>
      </c>
      <c r="M828">
        <v>2000000</v>
      </c>
      <c r="N828">
        <v>0</v>
      </c>
      <c r="O828">
        <v>2000000</v>
      </c>
      <c r="P828">
        <v>2000000</v>
      </c>
      <c r="Q828" t="s">
        <v>10200</v>
      </c>
      <c r="R828" t="s">
        <v>9057</v>
      </c>
      <c r="S828" t="s">
        <v>5731</v>
      </c>
      <c r="T828" t="s">
        <v>5731</v>
      </c>
      <c r="U828" t="s">
        <v>5731</v>
      </c>
      <c r="V828" t="s">
        <v>5731</v>
      </c>
      <c r="W828" t="s">
        <v>5731</v>
      </c>
      <c r="X828" t="str">
        <f t="shared" si="12"/>
        <v>Inversión</v>
      </c>
      <c r="Y828" t="s">
        <v>5735</v>
      </c>
    </row>
    <row r="829" spans="1:25" x14ac:dyDescent="0.25">
      <c r="A829" t="s">
        <v>9149</v>
      </c>
      <c r="B829" t="s">
        <v>9112</v>
      </c>
      <c r="C829" t="s">
        <v>10201</v>
      </c>
      <c r="D829" t="s">
        <v>5720</v>
      </c>
      <c r="E829" t="s">
        <v>5721</v>
      </c>
      <c r="F829" t="s">
        <v>6619</v>
      </c>
      <c r="G829" t="s">
        <v>10183</v>
      </c>
      <c r="H829" t="s">
        <v>455</v>
      </c>
      <c r="I829" t="s">
        <v>643</v>
      </c>
      <c r="J829" t="s">
        <v>273</v>
      </c>
      <c r="K829" t="s">
        <v>5734</v>
      </c>
      <c r="L829" t="s">
        <v>267</v>
      </c>
      <c r="M829">
        <v>20000000</v>
      </c>
      <c r="N829">
        <v>0</v>
      </c>
      <c r="O829">
        <v>20000000</v>
      </c>
      <c r="P829">
        <v>0</v>
      </c>
      <c r="Q829" t="s">
        <v>10202</v>
      </c>
      <c r="R829" t="s">
        <v>9149</v>
      </c>
      <c r="S829" t="s">
        <v>5848</v>
      </c>
      <c r="T829" t="s">
        <v>6469</v>
      </c>
      <c r="U829" t="s">
        <v>7275</v>
      </c>
      <c r="V829" t="s">
        <v>10203</v>
      </c>
      <c r="W829" t="s">
        <v>5731</v>
      </c>
      <c r="X829" t="str">
        <f t="shared" si="12"/>
        <v>Inversión</v>
      </c>
      <c r="Y829" t="s">
        <v>6626</v>
      </c>
    </row>
    <row r="830" spans="1:25" x14ac:dyDescent="0.25">
      <c r="A830" t="s">
        <v>6935</v>
      </c>
      <c r="B830" t="s">
        <v>9112</v>
      </c>
      <c r="C830" t="s">
        <v>10204</v>
      </c>
      <c r="D830" t="s">
        <v>5720</v>
      </c>
      <c r="E830" t="s">
        <v>5737</v>
      </c>
      <c r="F830" t="s">
        <v>6619</v>
      </c>
      <c r="G830" t="s">
        <v>10183</v>
      </c>
      <c r="H830" t="s">
        <v>455</v>
      </c>
      <c r="I830" t="s">
        <v>643</v>
      </c>
      <c r="J830" t="s">
        <v>273</v>
      </c>
      <c r="K830" t="s">
        <v>5734</v>
      </c>
      <c r="L830" t="s">
        <v>267</v>
      </c>
      <c r="M830">
        <v>3500000</v>
      </c>
      <c r="N830">
        <v>0</v>
      </c>
      <c r="O830">
        <v>3500000</v>
      </c>
      <c r="P830">
        <v>3500000</v>
      </c>
      <c r="Q830" t="s">
        <v>10205</v>
      </c>
      <c r="R830" t="s">
        <v>6935</v>
      </c>
      <c r="S830" t="s">
        <v>5731</v>
      </c>
      <c r="T830" t="s">
        <v>5731</v>
      </c>
      <c r="U830" t="s">
        <v>5731</v>
      </c>
      <c r="V830" t="s">
        <v>5731</v>
      </c>
      <c r="W830" t="s">
        <v>5731</v>
      </c>
      <c r="X830" t="str">
        <f t="shared" si="12"/>
        <v>Inversión</v>
      </c>
      <c r="Y830" t="s">
        <v>6626</v>
      </c>
    </row>
    <row r="831" spans="1:25" x14ac:dyDescent="0.25">
      <c r="A831" t="s">
        <v>9228</v>
      </c>
      <c r="B831" t="s">
        <v>10206</v>
      </c>
      <c r="C831" t="s">
        <v>10207</v>
      </c>
      <c r="D831" t="s">
        <v>5720</v>
      </c>
      <c r="E831" t="s">
        <v>5721</v>
      </c>
      <c r="F831" t="s">
        <v>5733</v>
      </c>
      <c r="G831" t="s">
        <v>10183</v>
      </c>
      <c r="H831" t="s">
        <v>461</v>
      </c>
      <c r="I831" t="s">
        <v>644</v>
      </c>
      <c r="J831" t="s">
        <v>273</v>
      </c>
      <c r="K831" t="s">
        <v>5734</v>
      </c>
      <c r="L831" t="s">
        <v>267</v>
      </c>
      <c r="M831">
        <v>11548440</v>
      </c>
      <c r="N831">
        <v>0</v>
      </c>
      <c r="O831">
        <v>11548440</v>
      </c>
      <c r="P831">
        <v>150112</v>
      </c>
      <c r="Q831" t="s">
        <v>10208</v>
      </c>
      <c r="R831" t="s">
        <v>9228</v>
      </c>
      <c r="S831" t="s">
        <v>10209</v>
      </c>
      <c r="T831" t="s">
        <v>10210</v>
      </c>
      <c r="U831" t="s">
        <v>10211</v>
      </c>
      <c r="V831" t="s">
        <v>10212</v>
      </c>
      <c r="W831" t="s">
        <v>5731</v>
      </c>
      <c r="X831" t="str">
        <f t="shared" si="12"/>
        <v>Inversión</v>
      </c>
      <c r="Y831" t="s">
        <v>5735</v>
      </c>
    </row>
    <row r="832" spans="1:25" x14ac:dyDescent="0.25">
      <c r="A832" t="s">
        <v>9232</v>
      </c>
      <c r="B832" t="s">
        <v>8112</v>
      </c>
      <c r="C832" t="s">
        <v>10213</v>
      </c>
      <c r="D832" t="s">
        <v>5720</v>
      </c>
      <c r="E832" t="s">
        <v>5721</v>
      </c>
      <c r="F832" t="s">
        <v>5733</v>
      </c>
      <c r="G832" t="s">
        <v>10183</v>
      </c>
      <c r="H832" t="s">
        <v>461</v>
      </c>
      <c r="I832" t="s">
        <v>644</v>
      </c>
      <c r="J832" t="s">
        <v>273</v>
      </c>
      <c r="K832" t="s">
        <v>5734</v>
      </c>
      <c r="L832" t="s">
        <v>267</v>
      </c>
      <c r="M832">
        <v>3150600</v>
      </c>
      <c r="N832">
        <v>0</v>
      </c>
      <c r="O832">
        <v>3150600</v>
      </c>
      <c r="P832">
        <v>299155</v>
      </c>
      <c r="Q832" t="s">
        <v>10214</v>
      </c>
      <c r="R832" t="s">
        <v>9232</v>
      </c>
      <c r="S832" t="s">
        <v>10215</v>
      </c>
      <c r="T832" t="s">
        <v>10216</v>
      </c>
      <c r="U832" t="s">
        <v>10217</v>
      </c>
      <c r="V832" t="s">
        <v>10218</v>
      </c>
      <c r="W832" t="s">
        <v>5731</v>
      </c>
      <c r="X832" t="str">
        <f t="shared" si="12"/>
        <v>Inversión</v>
      </c>
      <c r="Y832" t="s">
        <v>5735</v>
      </c>
    </row>
    <row r="833" spans="1:25" x14ac:dyDescent="0.25">
      <c r="A833" t="s">
        <v>9292</v>
      </c>
      <c r="B833" t="s">
        <v>9606</v>
      </c>
      <c r="C833" t="s">
        <v>10219</v>
      </c>
      <c r="D833" t="s">
        <v>5720</v>
      </c>
      <c r="E833" t="s">
        <v>5721</v>
      </c>
      <c r="F833" t="s">
        <v>5733</v>
      </c>
      <c r="G833" t="s">
        <v>10183</v>
      </c>
      <c r="H833" t="s">
        <v>461</v>
      </c>
      <c r="I833" t="s">
        <v>644</v>
      </c>
      <c r="J833" t="s">
        <v>273</v>
      </c>
      <c r="K833" t="s">
        <v>5734</v>
      </c>
      <c r="L833" t="s">
        <v>267</v>
      </c>
      <c r="M833">
        <v>88522206</v>
      </c>
      <c r="N833">
        <v>-49015370</v>
      </c>
      <c r="O833">
        <v>39506836</v>
      </c>
      <c r="P833">
        <v>28820904</v>
      </c>
      <c r="Q833" t="s">
        <v>10220</v>
      </c>
      <c r="R833" t="s">
        <v>9292</v>
      </c>
      <c r="S833" t="s">
        <v>6354</v>
      </c>
      <c r="T833" t="s">
        <v>5731</v>
      </c>
      <c r="U833" t="s">
        <v>5731</v>
      </c>
      <c r="V833" t="s">
        <v>5731</v>
      </c>
      <c r="W833" t="s">
        <v>5731</v>
      </c>
      <c r="X833" t="str">
        <f t="shared" si="12"/>
        <v>Inversión</v>
      </c>
      <c r="Y833" t="s">
        <v>5735</v>
      </c>
    </row>
    <row r="834" spans="1:25" x14ac:dyDescent="0.25">
      <c r="A834" t="s">
        <v>9295</v>
      </c>
      <c r="B834" t="s">
        <v>10221</v>
      </c>
      <c r="C834" t="s">
        <v>10222</v>
      </c>
      <c r="D834" t="s">
        <v>5720</v>
      </c>
      <c r="E834" t="s">
        <v>5721</v>
      </c>
      <c r="F834" t="s">
        <v>5733</v>
      </c>
      <c r="G834" t="s">
        <v>10183</v>
      </c>
      <c r="H834" t="s">
        <v>461</v>
      </c>
      <c r="I834" t="s">
        <v>644</v>
      </c>
      <c r="J834" t="s">
        <v>273</v>
      </c>
      <c r="K834" t="s">
        <v>5734</v>
      </c>
      <c r="L834" t="s">
        <v>267</v>
      </c>
      <c r="M834">
        <v>29015370</v>
      </c>
      <c r="N834">
        <v>0</v>
      </c>
      <c r="O834">
        <v>29015370</v>
      </c>
      <c r="P834">
        <v>12511</v>
      </c>
      <c r="Q834" t="s">
        <v>10223</v>
      </c>
      <c r="R834" t="s">
        <v>9295</v>
      </c>
      <c r="S834" t="s">
        <v>10224</v>
      </c>
      <c r="T834" t="s">
        <v>6667</v>
      </c>
      <c r="U834" t="s">
        <v>7796</v>
      </c>
      <c r="V834" t="s">
        <v>10225</v>
      </c>
      <c r="W834" t="s">
        <v>5731</v>
      </c>
      <c r="X834" t="str">
        <f t="shared" ref="X834:X897" si="13">IF(LEFT(H834,1)="C","Inversión","Funcionamiento")</f>
        <v>Inversión</v>
      </c>
      <c r="Y834" t="s">
        <v>5735</v>
      </c>
    </row>
    <row r="835" spans="1:25" x14ac:dyDescent="0.25">
      <c r="A835" t="s">
        <v>9093</v>
      </c>
      <c r="B835" t="s">
        <v>10221</v>
      </c>
      <c r="C835" t="s">
        <v>10226</v>
      </c>
      <c r="D835" t="s">
        <v>5720</v>
      </c>
      <c r="E835" t="s">
        <v>5737</v>
      </c>
      <c r="F835" t="s">
        <v>5733</v>
      </c>
      <c r="G835" t="s">
        <v>10183</v>
      </c>
      <c r="H835" t="s">
        <v>461</v>
      </c>
      <c r="I835" t="s">
        <v>644</v>
      </c>
      <c r="J835" t="s">
        <v>273</v>
      </c>
      <c r="K835" t="s">
        <v>5734</v>
      </c>
      <c r="L835" t="s">
        <v>267</v>
      </c>
      <c r="M835">
        <v>20000000</v>
      </c>
      <c r="N835">
        <v>3000000</v>
      </c>
      <c r="O835">
        <v>23000000</v>
      </c>
      <c r="P835">
        <v>23000000</v>
      </c>
      <c r="Q835" t="s">
        <v>10227</v>
      </c>
      <c r="R835" t="s">
        <v>9093</v>
      </c>
      <c r="S835" t="s">
        <v>5731</v>
      </c>
      <c r="T835" t="s">
        <v>5731</v>
      </c>
      <c r="U835" t="s">
        <v>5731</v>
      </c>
      <c r="V835" t="s">
        <v>5731</v>
      </c>
      <c r="W835" t="s">
        <v>5731</v>
      </c>
      <c r="X835" t="str">
        <f t="shared" si="13"/>
        <v>Inversión</v>
      </c>
      <c r="Y835" t="s">
        <v>5735</v>
      </c>
    </row>
    <row r="836" spans="1:25" x14ac:dyDescent="0.25">
      <c r="A836" t="s">
        <v>9103</v>
      </c>
      <c r="B836" t="s">
        <v>10221</v>
      </c>
      <c r="C836" t="s">
        <v>10228</v>
      </c>
      <c r="D836" t="s">
        <v>5720</v>
      </c>
      <c r="E836" t="s">
        <v>5721</v>
      </c>
      <c r="F836" t="s">
        <v>5733</v>
      </c>
      <c r="G836" t="s">
        <v>10183</v>
      </c>
      <c r="H836" t="s">
        <v>461</v>
      </c>
      <c r="I836" t="s">
        <v>644</v>
      </c>
      <c r="J836" t="s">
        <v>266</v>
      </c>
      <c r="K836" t="s">
        <v>5724</v>
      </c>
      <c r="L836" t="s">
        <v>267</v>
      </c>
      <c r="M836">
        <v>9937396</v>
      </c>
      <c r="N836">
        <v>0</v>
      </c>
      <c r="O836">
        <v>9937396</v>
      </c>
      <c r="P836">
        <v>4286511</v>
      </c>
      <c r="Q836" t="s">
        <v>10229</v>
      </c>
      <c r="R836" t="s">
        <v>9103</v>
      </c>
      <c r="S836" t="s">
        <v>10230</v>
      </c>
      <c r="T836" t="s">
        <v>10231</v>
      </c>
      <c r="U836" t="s">
        <v>10232</v>
      </c>
      <c r="V836" t="s">
        <v>10233</v>
      </c>
      <c r="W836" t="s">
        <v>10234</v>
      </c>
      <c r="X836" t="str">
        <f t="shared" si="13"/>
        <v>Inversión</v>
      </c>
      <c r="Y836" t="s">
        <v>5735</v>
      </c>
    </row>
    <row r="837" spans="1:25" x14ac:dyDescent="0.25">
      <c r="A837" t="s">
        <v>9108</v>
      </c>
      <c r="B837" t="s">
        <v>10235</v>
      </c>
      <c r="C837" t="s">
        <v>10236</v>
      </c>
      <c r="D837" t="s">
        <v>5720</v>
      </c>
      <c r="E837" t="s">
        <v>5737</v>
      </c>
      <c r="F837" t="s">
        <v>5733</v>
      </c>
      <c r="G837" t="s">
        <v>10183</v>
      </c>
      <c r="H837" t="s">
        <v>461</v>
      </c>
      <c r="I837" t="s">
        <v>644</v>
      </c>
      <c r="J837" t="s">
        <v>273</v>
      </c>
      <c r="K837" t="s">
        <v>5734</v>
      </c>
      <c r="L837" t="s">
        <v>267</v>
      </c>
      <c r="M837">
        <v>25023137</v>
      </c>
      <c r="N837">
        <v>0</v>
      </c>
      <c r="O837">
        <v>25023137</v>
      </c>
      <c r="P837">
        <v>25023137</v>
      </c>
      <c r="Q837" t="s">
        <v>10237</v>
      </c>
      <c r="R837" t="s">
        <v>9108</v>
      </c>
      <c r="S837" t="s">
        <v>5731</v>
      </c>
      <c r="T837" t="s">
        <v>5731</v>
      </c>
      <c r="U837" t="s">
        <v>5731</v>
      </c>
      <c r="V837" t="s">
        <v>5731</v>
      </c>
      <c r="W837" t="s">
        <v>5731</v>
      </c>
      <c r="X837" t="str">
        <f t="shared" si="13"/>
        <v>Inversión</v>
      </c>
      <c r="Y837" t="s">
        <v>5735</v>
      </c>
    </row>
    <row r="838" spans="1:25" x14ac:dyDescent="0.25">
      <c r="A838" t="s">
        <v>9236</v>
      </c>
      <c r="B838" t="s">
        <v>5800</v>
      </c>
      <c r="C838" t="s">
        <v>10238</v>
      </c>
      <c r="D838" t="s">
        <v>5720</v>
      </c>
      <c r="E838" t="s">
        <v>5721</v>
      </c>
      <c r="F838" t="s">
        <v>5802</v>
      </c>
      <c r="G838" t="s">
        <v>10239</v>
      </c>
      <c r="H838" t="s">
        <v>458</v>
      </c>
      <c r="I838" t="s">
        <v>640</v>
      </c>
      <c r="J838" t="s">
        <v>266</v>
      </c>
      <c r="K838" t="s">
        <v>5724</v>
      </c>
      <c r="L838" t="s">
        <v>267</v>
      </c>
      <c r="M838">
        <v>6235653</v>
      </c>
      <c r="N838">
        <v>-694594</v>
      </c>
      <c r="O838">
        <v>5541059</v>
      </c>
      <c r="P838">
        <v>0</v>
      </c>
      <c r="Q838" t="s">
        <v>10240</v>
      </c>
      <c r="R838" t="s">
        <v>9236</v>
      </c>
      <c r="S838" t="s">
        <v>9236</v>
      </c>
      <c r="T838" t="s">
        <v>9236</v>
      </c>
      <c r="U838" t="s">
        <v>9236</v>
      </c>
      <c r="V838" t="s">
        <v>10241</v>
      </c>
      <c r="W838" t="s">
        <v>9089</v>
      </c>
      <c r="X838" t="str">
        <f t="shared" si="13"/>
        <v>Inversión</v>
      </c>
      <c r="Y838" t="s">
        <v>5810</v>
      </c>
    </row>
    <row r="839" spans="1:25" x14ac:dyDescent="0.25">
      <c r="A839" t="s">
        <v>9075</v>
      </c>
      <c r="B839" t="s">
        <v>7237</v>
      </c>
      <c r="C839" t="s">
        <v>10242</v>
      </c>
      <c r="D839" t="s">
        <v>5720</v>
      </c>
      <c r="E839" t="s">
        <v>5721</v>
      </c>
      <c r="F839" t="s">
        <v>5733</v>
      </c>
      <c r="G839" t="s">
        <v>10239</v>
      </c>
      <c r="H839" t="s">
        <v>461</v>
      </c>
      <c r="I839" t="s">
        <v>644</v>
      </c>
      <c r="J839" t="s">
        <v>266</v>
      </c>
      <c r="K839" t="s">
        <v>5724</v>
      </c>
      <c r="L839" t="s">
        <v>267</v>
      </c>
      <c r="M839">
        <v>84975000</v>
      </c>
      <c r="N839">
        <v>-19827500</v>
      </c>
      <c r="O839">
        <v>65147500</v>
      </c>
      <c r="P839">
        <v>0</v>
      </c>
      <c r="Q839" t="s">
        <v>10243</v>
      </c>
      <c r="R839" t="s">
        <v>9075</v>
      </c>
      <c r="S839" t="s">
        <v>10244</v>
      </c>
      <c r="T839" t="s">
        <v>10245</v>
      </c>
      <c r="U839" t="s">
        <v>10246</v>
      </c>
      <c r="V839" t="s">
        <v>10247</v>
      </c>
      <c r="W839" t="s">
        <v>5731</v>
      </c>
      <c r="X839" t="str">
        <f t="shared" si="13"/>
        <v>Inversión</v>
      </c>
      <c r="Y839" t="s">
        <v>5735</v>
      </c>
    </row>
    <row r="840" spans="1:25" x14ac:dyDescent="0.25">
      <c r="A840" t="s">
        <v>5844</v>
      </c>
      <c r="B840" t="s">
        <v>7237</v>
      </c>
      <c r="C840" t="s">
        <v>10248</v>
      </c>
      <c r="D840" t="s">
        <v>5720</v>
      </c>
      <c r="E840" t="s">
        <v>5721</v>
      </c>
      <c r="F840" t="s">
        <v>5733</v>
      </c>
      <c r="G840" t="s">
        <v>10239</v>
      </c>
      <c r="H840" t="s">
        <v>461</v>
      </c>
      <c r="I840" t="s">
        <v>644</v>
      </c>
      <c r="J840" t="s">
        <v>266</v>
      </c>
      <c r="K840" t="s">
        <v>5724</v>
      </c>
      <c r="L840" t="s">
        <v>267</v>
      </c>
      <c r="M840">
        <v>24043347</v>
      </c>
      <c r="N840">
        <v>-20481370</v>
      </c>
      <c r="O840">
        <v>3561977</v>
      </c>
      <c r="P840">
        <v>0</v>
      </c>
      <c r="Q840" t="s">
        <v>10249</v>
      </c>
      <c r="R840" t="s">
        <v>5844</v>
      </c>
      <c r="S840" t="s">
        <v>9108</v>
      </c>
      <c r="T840" t="s">
        <v>5981</v>
      </c>
      <c r="U840" t="s">
        <v>10250</v>
      </c>
      <c r="V840" t="s">
        <v>10251</v>
      </c>
      <c r="W840" t="s">
        <v>5731</v>
      </c>
      <c r="X840" t="str">
        <f t="shared" si="13"/>
        <v>Inversión</v>
      </c>
      <c r="Y840" t="s">
        <v>5735</v>
      </c>
    </row>
    <row r="841" spans="1:25" x14ac:dyDescent="0.25">
      <c r="A841" t="s">
        <v>9058</v>
      </c>
      <c r="B841" t="s">
        <v>7237</v>
      </c>
      <c r="C841" t="s">
        <v>10252</v>
      </c>
      <c r="D841" t="s">
        <v>5720</v>
      </c>
      <c r="E841" t="s">
        <v>5721</v>
      </c>
      <c r="F841" t="s">
        <v>5733</v>
      </c>
      <c r="G841" t="s">
        <v>10239</v>
      </c>
      <c r="H841" t="s">
        <v>461</v>
      </c>
      <c r="I841" t="s">
        <v>644</v>
      </c>
      <c r="J841" t="s">
        <v>266</v>
      </c>
      <c r="K841" t="s">
        <v>5724</v>
      </c>
      <c r="L841" t="s">
        <v>267</v>
      </c>
      <c r="M841">
        <v>10207458</v>
      </c>
      <c r="N841">
        <v>0</v>
      </c>
      <c r="O841">
        <v>10207458</v>
      </c>
      <c r="P841">
        <v>0</v>
      </c>
      <c r="Q841" t="s">
        <v>10253</v>
      </c>
      <c r="R841" t="s">
        <v>9058</v>
      </c>
      <c r="S841" t="s">
        <v>9178</v>
      </c>
      <c r="T841" t="s">
        <v>5866</v>
      </c>
      <c r="U841" t="s">
        <v>10254</v>
      </c>
      <c r="V841" t="s">
        <v>10255</v>
      </c>
      <c r="W841" t="s">
        <v>5731</v>
      </c>
      <c r="X841" t="str">
        <f t="shared" si="13"/>
        <v>Inversión</v>
      </c>
      <c r="Y841" t="s">
        <v>5735</v>
      </c>
    </row>
    <row r="842" spans="1:25" x14ac:dyDescent="0.25">
      <c r="A842" t="s">
        <v>9057</v>
      </c>
      <c r="B842" t="s">
        <v>7237</v>
      </c>
      <c r="C842" t="s">
        <v>10256</v>
      </c>
      <c r="D842" t="s">
        <v>5720</v>
      </c>
      <c r="E842" t="s">
        <v>5721</v>
      </c>
      <c r="F842" t="s">
        <v>5733</v>
      </c>
      <c r="G842" t="s">
        <v>10239</v>
      </c>
      <c r="H842" t="s">
        <v>461</v>
      </c>
      <c r="I842" t="s">
        <v>644</v>
      </c>
      <c r="J842" t="s">
        <v>266</v>
      </c>
      <c r="K842" t="s">
        <v>5724</v>
      </c>
      <c r="L842" t="s">
        <v>267</v>
      </c>
      <c r="M842">
        <v>23080365</v>
      </c>
      <c r="N842">
        <v>-699405</v>
      </c>
      <c r="O842">
        <v>22380960</v>
      </c>
      <c r="P842">
        <v>0</v>
      </c>
      <c r="Q842" t="s">
        <v>10257</v>
      </c>
      <c r="R842" t="s">
        <v>9057</v>
      </c>
      <c r="S842" t="s">
        <v>9465</v>
      </c>
      <c r="T842" t="s">
        <v>5763</v>
      </c>
      <c r="U842" t="s">
        <v>10258</v>
      </c>
      <c r="V842" t="s">
        <v>10259</v>
      </c>
      <c r="W842" t="s">
        <v>5731</v>
      </c>
      <c r="X842" t="str">
        <f t="shared" si="13"/>
        <v>Inversión</v>
      </c>
      <c r="Y842" t="s">
        <v>5735</v>
      </c>
    </row>
    <row r="843" spans="1:25" x14ac:dyDescent="0.25">
      <c r="A843" t="s">
        <v>9149</v>
      </c>
      <c r="B843" t="s">
        <v>7237</v>
      </c>
      <c r="C843" t="s">
        <v>10260</v>
      </c>
      <c r="D843" t="s">
        <v>5720</v>
      </c>
      <c r="E843" t="s">
        <v>5721</v>
      </c>
      <c r="F843" t="s">
        <v>5733</v>
      </c>
      <c r="G843" t="s">
        <v>10239</v>
      </c>
      <c r="H843" t="s">
        <v>461</v>
      </c>
      <c r="I843" t="s">
        <v>644</v>
      </c>
      <c r="J843" t="s">
        <v>266</v>
      </c>
      <c r="K843" t="s">
        <v>5724</v>
      </c>
      <c r="L843" t="s">
        <v>267</v>
      </c>
      <c r="M843">
        <v>29386313</v>
      </c>
      <c r="N843">
        <v>-17987985</v>
      </c>
      <c r="O843">
        <v>11398328</v>
      </c>
      <c r="P843">
        <v>0</v>
      </c>
      <c r="Q843" t="s">
        <v>10261</v>
      </c>
      <c r="R843" t="s">
        <v>9149</v>
      </c>
      <c r="S843" t="s">
        <v>9258</v>
      </c>
      <c r="T843" t="s">
        <v>5756</v>
      </c>
      <c r="U843" t="s">
        <v>10262</v>
      </c>
      <c r="V843" t="s">
        <v>10263</v>
      </c>
      <c r="W843" t="s">
        <v>5731</v>
      </c>
      <c r="X843" t="str">
        <f t="shared" si="13"/>
        <v>Inversión</v>
      </c>
      <c r="Y843" t="s">
        <v>5735</v>
      </c>
    </row>
    <row r="844" spans="1:25" x14ac:dyDescent="0.25">
      <c r="A844" t="s">
        <v>6935</v>
      </c>
      <c r="B844" t="s">
        <v>7237</v>
      </c>
      <c r="C844" t="s">
        <v>10264</v>
      </c>
      <c r="D844" t="s">
        <v>5720</v>
      </c>
      <c r="E844" t="s">
        <v>5721</v>
      </c>
      <c r="F844" t="s">
        <v>5733</v>
      </c>
      <c r="G844" t="s">
        <v>10239</v>
      </c>
      <c r="H844" t="s">
        <v>461</v>
      </c>
      <c r="I844" t="s">
        <v>644</v>
      </c>
      <c r="J844" t="s">
        <v>266</v>
      </c>
      <c r="K844" t="s">
        <v>5724</v>
      </c>
      <c r="L844" t="s">
        <v>267</v>
      </c>
      <c r="M844">
        <v>26714830</v>
      </c>
      <c r="N844">
        <v>-5788213</v>
      </c>
      <c r="O844">
        <v>20926617</v>
      </c>
      <c r="P844">
        <v>0</v>
      </c>
      <c r="Q844" t="s">
        <v>10265</v>
      </c>
      <c r="R844" t="s">
        <v>6935</v>
      </c>
      <c r="S844" t="s">
        <v>6019</v>
      </c>
      <c r="T844" t="s">
        <v>5752</v>
      </c>
      <c r="U844" t="s">
        <v>10266</v>
      </c>
      <c r="V844" t="s">
        <v>10267</v>
      </c>
      <c r="W844" t="s">
        <v>5731</v>
      </c>
      <c r="X844" t="str">
        <f t="shared" si="13"/>
        <v>Inversión</v>
      </c>
      <c r="Y844" t="s">
        <v>5735</v>
      </c>
    </row>
    <row r="845" spans="1:25" x14ac:dyDescent="0.25">
      <c r="A845" t="s">
        <v>9223</v>
      </c>
      <c r="B845" t="s">
        <v>7237</v>
      </c>
      <c r="C845" t="s">
        <v>10268</v>
      </c>
      <c r="D845" t="s">
        <v>5720</v>
      </c>
      <c r="E845" t="s">
        <v>5721</v>
      </c>
      <c r="F845" t="s">
        <v>5733</v>
      </c>
      <c r="G845" t="s">
        <v>10239</v>
      </c>
      <c r="H845" t="s">
        <v>461</v>
      </c>
      <c r="I845" t="s">
        <v>644</v>
      </c>
      <c r="J845" t="s">
        <v>266</v>
      </c>
      <c r="K845" t="s">
        <v>5724</v>
      </c>
      <c r="L845" t="s">
        <v>267</v>
      </c>
      <c r="M845">
        <v>30325000</v>
      </c>
      <c r="N845">
        <v>-12385833</v>
      </c>
      <c r="O845">
        <v>17939167</v>
      </c>
      <c r="P845">
        <v>0</v>
      </c>
      <c r="Q845" t="s">
        <v>10269</v>
      </c>
      <c r="R845" t="s">
        <v>9223</v>
      </c>
      <c r="S845" t="s">
        <v>6030</v>
      </c>
      <c r="T845" t="s">
        <v>6445</v>
      </c>
      <c r="U845" t="s">
        <v>10270</v>
      </c>
      <c r="V845" t="s">
        <v>10271</v>
      </c>
      <c r="W845" t="s">
        <v>5731</v>
      </c>
      <c r="X845" t="str">
        <f t="shared" si="13"/>
        <v>Inversión</v>
      </c>
      <c r="Y845" t="s">
        <v>5735</v>
      </c>
    </row>
    <row r="846" spans="1:25" x14ac:dyDescent="0.25">
      <c r="A846" t="s">
        <v>9226</v>
      </c>
      <c r="B846" t="s">
        <v>7237</v>
      </c>
      <c r="C846" t="s">
        <v>10272</v>
      </c>
      <c r="D846" t="s">
        <v>5720</v>
      </c>
      <c r="E846" t="s">
        <v>5721</v>
      </c>
      <c r="F846" t="s">
        <v>5733</v>
      </c>
      <c r="G846" t="s">
        <v>10239</v>
      </c>
      <c r="H846" t="s">
        <v>461</v>
      </c>
      <c r="I846" t="s">
        <v>644</v>
      </c>
      <c r="J846" t="s">
        <v>266</v>
      </c>
      <c r="K846" t="s">
        <v>5724</v>
      </c>
      <c r="L846" t="s">
        <v>267</v>
      </c>
      <c r="M846">
        <v>51037290</v>
      </c>
      <c r="N846">
        <v>-2268324</v>
      </c>
      <c r="O846">
        <v>48768966</v>
      </c>
      <c r="P846">
        <v>0</v>
      </c>
      <c r="Q846" t="s">
        <v>10273</v>
      </c>
      <c r="R846" t="s">
        <v>9226</v>
      </c>
      <c r="S846" t="s">
        <v>10274</v>
      </c>
      <c r="T846" t="s">
        <v>10275</v>
      </c>
      <c r="U846" t="s">
        <v>10276</v>
      </c>
      <c r="V846" t="s">
        <v>10277</v>
      </c>
      <c r="W846" t="s">
        <v>5731</v>
      </c>
      <c r="X846" t="str">
        <f t="shared" si="13"/>
        <v>Inversión</v>
      </c>
      <c r="Y846" t="s">
        <v>5735</v>
      </c>
    </row>
    <row r="847" spans="1:25" x14ac:dyDescent="0.25">
      <c r="A847" t="s">
        <v>9425</v>
      </c>
      <c r="B847" t="s">
        <v>7237</v>
      </c>
      <c r="C847" t="s">
        <v>10278</v>
      </c>
      <c r="D847" t="s">
        <v>5720</v>
      </c>
      <c r="E847" t="s">
        <v>5721</v>
      </c>
      <c r="F847" t="s">
        <v>5733</v>
      </c>
      <c r="G847" t="s">
        <v>10239</v>
      </c>
      <c r="H847" t="s">
        <v>461</v>
      </c>
      <c r="I847" t="s">
        <v>644</v>
      </c>
      <c r="J847" t="s">
        <v>266</v>
      </c>
      <c r="K847" t="s">
        <v>5724</v>
      </c>
      <c r="L847" t="s">
        <v>267</v>
      </c>
      <c r="M847">
        <v>24997856</v>
      </c>
      <c r="N847">
        <v>0</v>
      </c>
      <c r="O847">
        <v>24997856</v>
      </c>
      <c r="P847">
        <v>0</v>
      </c>
      <c r="Q847" t="s">
        <v>10279</v>
      </c>
      <c r="R847" t="s">
        <v>9425</v>
      </c>
      <c r="S847" t="s">
        <v>10280</v>
      </c>
      <c r="T847" t="s">
        <v>6041</v>
      </c>
      <c r="U847" t="s">
        <v>10281</v>
      </c>
      <c r="V847" t="s">
        <v>10282</v>
      </c>
      <c r="W847" t="s">
        <v>5731</v>
      </c>
      <c r="X847" t="str">
        <f t="shared" si="13"/>
        <v>Inversión</v>
      </c>
      <c r="Y847" t="s">
        <v>5735</v>
      </c>
    </row>
    <row r="848" spans="1:25" x14ac:dyDescent="0.25">
      <c r="A848" t="s">
        <v>9420</v>
      </c>
      <c r="B848" t="s">
        <v>7237</v>
      </c>
      <c r="C848" t="s">
        <v>10283</v>
      </c>
      <c r="D848" t="s">
        <v>5720</v>
      </c>
      <c r="E848" t="s">
        <v>5721</v>
      </c>
      <c r="F848" t="s">
        <v>6619</v>
      </c>
      <c r="G848" t="s">
        <v>10239</v>
      </c>
      <c r="H848" t="s">
        <v>455</v>
      </c>
      <c r="I848" t="s">
        <v>643</v>
      </c>
      <c r="J848" t="s">
        <v>273</v>
      </c>
      <c r="K848" t="s">
        <v>5734</v>
      </c>
      <c r="L848" t="s">
        <v>267</v>
      </c>
      <c r="M848">
        <v>35000000</v>
      </c>
      <c r="N848">
        <v>0</v>
      </c>
      <c r="O848">
        <v>35000000</v>
      </c>
      <c r="P848">
        <v>17500000</v>
      </c>
      <c r="Q848" t="s">
        <v>10284</v>
      </c>
      <c r="R848" t="s">
        <v>9420</v>
      </c>
      <c r="S848" t="s">
        <v>6069</v>
      </c>
      <c r="T848" t="s">
        <v>5731</v>
      </c>
      <c r="U848" t="s">
        <v>5731</v>
      </c>
      <c r="V848" t="s">
        <v>5731</v>
      </c>
      <c r="W848" t="s">
        <v>5731</v>
      </c>
      <c r="X848" t="str">
        <f t="shared" si="13"/>
        <v>Inversión</v>
      </c>
      <c r="Y848" t="s">
        <v>6626</v>
      </c>
    </row>
    <row r="849" spans="1:25" x14ac:dyDescent="0.25">
      <c r="A849" t="s">
        <v>9272</v>
      </c>
      <c r="B849" t="s">
        <v>9870</v>
      </c>
      <c r="C849" t="s">
        <v>10285</v>
      </c>
      <c r="D849" t="s">
        <v>5720</v>
      </c>
      <c r="E849" t="s">
        <v>5721</v>
      </c>
      <c r="F849" t="s">
        <v>6619</v>
      </c>
      <c r="G849" t="s">
        <v>10239</v>
      </c>
      <c r="H849" t="s">
        <v>455</v>
      </c>
      <c r="I849" t="s">
        <v>643</v>
      </c>
      <c r="J849" t="s">
        <v>273</v>
      </c>
      <c r="K849" t="s">
        <v>5734</v>
      </c>
      <c r="L849" t="s">
        <v>267</v>
      </c>
      <c r="M849">
        <v>5000000</v>
      </c>
      <c r="N849">
        <v>0</v>
      </c>
      <c r="O849">
        <v>5000000</v>
      </c>
      <c r="P849">
        <v>932947</v>
      </c>
      <c r="Q849" t="s">
        <v>10286</v>
      </c>
      <c r="R849" t="s">
        <v>9272</v>
      </c>
      <c r="S849" t="s">
        <v>10287</v>
      </c>
      <c r="T849" t="s">
        <v>10288</v>
      </c>
      <c r="U849" t="s">
        <v>10289</v>
      </c>
      <c r="V849" t="s">
        <v>10290</v>
      </c>
      <c r="W849" t="s">
        <v>9236</v>
      </c>
      <c r="X849" t="str">
        <f t="shared" si="13"/>
        <v>Inversión</v>
      </c>
      <c r="Y849" t="s">
        <v>6626</v>
      </c>
    </row>
    <row r="850" spans="1:25" x14ac:dyDescent="0.25">
      <c r="A850" t="s">
        <v>9324</v>
      </c>
      <c r="B850" t="s">
        <v>7608</v>
      </c>
      <c r="C850" t="s">
        <v>10291</v>
      </c>
      <c r="D850" t="s">
        <v>5720</v>
      </c>
      <c r="E850" t="s">
        <v>5721</v>
      </c>
      <c r="F850" t="s">
        <v>5733</v>
      </c>
      <c r="G850" t="s">
        <v>10239</v>
      </c>
      <c r="H850" t="s">
        <v>461</v>
      </c>
      <c r="I850" t="s">
        <v>644</v>
      </c>
      <c r="J850" t="s">
        <v>266</v>
      </c>
      <c r="K850" t="s">
        <v>5724</v>
      </c>
      <c r="L850" t="s">
        <v>267</v>
      </c>
      <c r="M850">
        <v>29554968</v>
      </c>
      <c r="N850">
        <v>0</v>
      </c>
      <c r="O850">
        <v>29554968</v>
      </c>
      <c r="P850">
        <v>2130093</v>
      </c>
      <c r="Q850" t="s">
        <v>10292</v>
      </c>
      <c r="R850" t="s">
        <v>9324</v>
      </c>
      <c r="S850" t="s">
        <v>10293</v>
      </c>
      <c r="T850" t="s">
        <v>10294</v>
      </c>
      <c r="U850" t="s">
        <v>10295</v>
      </c>
      <c r="V850" t="s">
        <v>10296</v>
      </c>
      <c r="W850" t="s">
        <v>10297</v>
      </c>
      <c r="X850" t="str">
        <f t="shared" si="13"/>
        <v>Inversión</v>
      </c>
      <c r="Y850" t="s">
        <v>5735</v>
      </c>
    </row>
    <row r="851" spans="1:25" x14ac:dyDescent="0.25">
      <c r="A851" t="s">
        <v>9269</v>
      </c>
      <c r="B851" t="s">
        <v>8077</v>
      </c>
      <c r="C851" t="s">
        <v>10298</v>
      </c>
      <c r="D851" t="s">
        <v>5720</v>
      </c>
      <c r="E851" t="s">
        <v>5721</v>
      </c>
      <c r="F851" t="s">
        <v>5733</v>
      </c>
      <c r="G851" t="s">
        <v>10239</v>
      </c>
      <c r="H851" t="s">
        <v>461</v>
      </c>
      <c r="I851" t="s">
        <v>644</v>
      </c>
      <c r="J851" t="s">
        <v>266</v>
      </c>
      <c r="K851" t="s">
        <v>5724</v>
      </c>
      <c r="L851" t="s">
        <v>267</v>
      </c>
      <c r="M851">
        <v>14177025</v>
      </c>
      <c r="N851">
        <v>0</v>
      </c>
      <c r="O851">
        <v>14177025</v>
      </c>
      <c r="P851">
        <v>0</v>
      </c>
      <c r="Q851" t="s">
        <v>10299</v>
      </c>
      <c r="R851" t="s">
        <v>9269</v>
      </c>
      <c r="S851" t="s">
        <v>5960</v>
      </c>
      <c r="T851" t="s">
        <v>6354</v>
      </c>
      <c r="U851" t="s">
        <v>10300</v>
      </c>
      <c r="V851" t="s">
        <v>10301</v>
      </c>
      <c r="W851" t="s">
        <v>5731</v>
      </c>
      <c r="X851" t="str">
        <f t="shared" si="13"/>
        <v>Inversión</v>
      </c>
      <c r="Y851" t="s">
        <v>5735</v>
      </c>
    </row>
    <row r="852" spans="1:25" x14ac:dyDescent="0.25">
      <c r="A852" t="s">
        <v>9145</v>
      </c>
      <c r="B852" t="s">
        <v>8077</v>
      </c>
      <c r="C852" t="s">
        <v>10302</v>
      </c>
      <c r="D852" t="s">
        <v>5720</v>
      </c>
      <c r="E852" t="s">
        <v>5721</v>
      </c>
      <c r="F852" t="s">
        <v>5733</v>
      </c>
      <c r="G852" t="s">
        <v>10239</v>
      </c>
      <c r="H852" t="s">
        <v>461</v>
      </c>
      <c r="I852" t="s">
        <v>644</v>
      </c>
      <c r="J852" t="s">
        <v>266</v>
      </c>
      <c r="K852" t="s">
        <v>5724</v>
      </c>
      <c r="L852" t="s">
        <v>267</v>
      </c>
      <c r="M852">
        <v>10491075</v>
      </c>
      <c r="N852">
        <v>0</v>
      </c>
      <c r="O852">
        <v>10491075</v>
      </c>
      <c r="P852">
        <v>0</v>
      </c>
      <c r="Q852" t="s">
        <v>10303</v>
      </c>
      <c r="R852" t="s">
        <v>9145</v>
      </c>
      <c r="S852" t="s">
        <v>5975</v>
      </c>
      <c r="T852" t="s">
        <v>6193</v>
      </c>
      <c r="U852" t="s">
        <v>10304</v>
      </c>
      <c r="V852" t="s">
        <v>10305</v>
      </c>
      <c r="W852" t="s">
        <v>5731</v>
      </c>
      <c r="X852" t="str">
        <f t="shared" si="13"/>
        <v>Inversión</v>
      </c>
      <c r="Y852" t="s">
        <v>5735</v>
      </c>
    </row>
    <row r="853" spans="1:25" x14ac:dyDescent="0.25">
      <c r="A853" t="s">
        <v>9295</v>
      </c>
      <c r="B853" t="s">
        <v>8593</v>
      </c>
      <c r="C853" t="s">
        <v>10306</v>
      </c>
      <c r="D853" t="s">
        <v>5720</v>
      </c>
      <c r="E853" t="s">
        <v>5721</v>
      </c>
      <c r="F853" t="s">
        <v>5733</v>
      </c>
      <c r="G853" t="s">
        <v>10239</v>
      </c>
      <c r="H853" t="s">
        <v>461</v>
      </c>
      <c r="I853" t="s">
        <v>644</v>
      </c>
      <c r="J853" t="s">
        <v>266</v>
      </c>
      <c r="K853" t="s">
        <v>5724</v>
      </c>
      <c r="L853" t="s">
        <v>267</v>
      </c>
      <c r="M853">
        <v>1000000</v>
      </c>
      <c r="N853">
        <v>0</v>
      </c>
      <c r="O853">
        <v>1000000</v>
      </c>
      <c r="P853">
        <v>0</v>
      </c>
      <c r="Q853" t="s">
        <v>10307</v>
      </c>
      <c r="R853" t="s">
        <v>9295</v>
      </c>
      <c r="S853" t="s">
        <v>6033</v>
      </c>
      <c r="T853" t="s">
        <v>7168</v>
      </c>
      <c r="U853" t="s">
        <v>8437</v>
      </c>
      <c r="V853" t="s">
        <v>10308</v>
      </c>
      <c r="W853" t="s">
        <v>5731</v>
      </c>
      <c r="X853" t="str">
        <f t="shared" si="13"/>
        <v>Inversión</v>
      </c>
      <c r="Y853" t="s">
        <v>5735</v>
      </c>
    </row>
    <row r="854" spans="1:25" x14ac:dyDescent="0.25">
      <c r="A854" t="s">
        <v>9182</v>
      </c>
      <c r="B854" t="s">
        <v>8751</v>
      </c>
      <c r="C854" t="s">
        <v>10309</v>
      </c>
      <c r="D854" t="s">
        <v>5720</v>
      </c>
      <c r="E854" t="s">
        <v>5721</v>
      </c>
      <c r="F854" t="s">
        <v>5733</v>
      </c>
      <c r="G854" t="s">
        <v>10239</v>
      </c>
      <c r="H854" t="s">
        <v>461</v>
      </c>
      <c r="I854" t="s">
        <v>644</v>
      </c>
      <c r="J854" t="s">
        <v>266</v>
      </c>
      <c r="K854" t="s">
        <v>5724</v>
      </c>
      <c r="L854" t="s">
        <v>267</v>
      </c>
      <c r="M854">
        <v>14162500</v>
      </c>
      <c r="N854">
        <v>0</v>
      </c>
      <c r="O854">
        <v>14162500</v>
      </c>
      <c r="P854">
        <v>0</v>
      </c>
      <c r="Q854" t="s">
        <v>10310</v>
      </c>
      <c r="R854" t="s">
        <v>9182</v>
      </c>
      <c r="S854" t="s">
        <v>6081</v>
      </c>
      <c r="T854" t="s">
        <v>7240</v>
      </c>
      <c r="U854" t="s">
        <v>8292</v>
      </c>
      <c r="V854" t="s">
        <v>10311</v>
      </c>
      <c r="W854" t="s">
        <v>5731</v>
      </c>
      <c r="X854" t="str">
        <f t="shared" si="13"/>
        <v>Inversión</v>
      </c>
      <c r="Y854" t="s">
        <v>5735</v>
      </c>
    </row>
    <row r="855" spans="1:25" x14ac:dyDescent="0.25">
      <c r="A855" t="s">
        <v>9098</v>
      </c>
      <c r="B855" t="s">
        <v>8751</v>
      </c>
      <c r="C855" t="s">
        <v>10312</v>
      </c>
      <c r="D855" t="s">
        <v>5720</v>
      </c>
      <c r="E855" t="s">
        <v>5721</v>
      </c>
      <c r="F855" t="s">
        <v>5733</v>
      </c>
      <c r="G855" t="s">
        <v>10239</v>
      </c>
      <c r="H855" t="s">
        <v>461</v>
      </c>
      <c r="I855" t="s">
        <v>644</v>
      </c>
      <c r="J855" t="s">
        <v>266</v>
      </c>
      <c r="K855" t="s">
        <v>5724</v>
      </c>
      <c r="L855" t="s">
        <v>267</v>
      </c>
      <c r="M855">
        <v>25518645</v>
      </c>
      <c r="N855">
        <v>0</v>
      </c>
      <c r="O855">
        <v>25518645</v>
      </c>
      <c r="P855">
        <v>1134162</v>
      </c>
      <c r="Q855" t="s">
        <v>10313</v>
      </c>
      <c r="R855" t="s">
        <v>9098</v>
      </c>
      <c r="S855" t="s">
        <v>10314</v>
      </c>
      <c r="T855" t="s">
        <v>10315</v>
      </c>
      <c r="U855" t="s">
        <v>10316</v>
      </c>
      <c r="V855" t="s">
        <v>10317</v>
      </c>
      <c r="W855" t="s">
        <v>5731</v>
      </c>
      <c r="X855" t="str">
        <f t="shared" si="13"/>
        <v>Inversión</v>
      </c>
      <c r="Y855" t="s">
        <v>5735</v>
      </c>
    </row>
    <row r="856" spans="1:25" x14ac:dyDescent="0.25">
      <c r="A856" t="s">
        <v>9106</v>
      </c>
      <c r="B856" t="s">
        <v>8784</v>
      </c>
      <c r="C856" t="s">
        <v>10318</v>
      </c>
      <c r="D856" t="s">
        <v>5720</v>
      </c>
      <c r="E856" t="s">
        <v>5737</v>
      </c>
      <c r="F856" t="s">
        <v>5722</v>
      </c>
      <c r="G856" t="s">
        <v>10239</v>
      </c>
      <c r="H856" t="s">
        <v>453</v>
      </c>
      <c r="I856" t="s">
        <v>664</v>
      </c>
      <c r="J856" t="s">
        <v>266</v>
      </c>
      <c r="K856" t="s">
        <v>5724</v>
      </c>
      <c r="L856" t="s">
        <v>267</v>
      </c>
      <c r="M856">
        <v>500000</v>
      </c>
      <c r="N856">
        <v>0</v>
      </c>
      <c r="O856">
        <v>500000</v>
      </c>
      <c r="P856">
        <v>500000</v>
      </c>
      <c r="Q856" t="s">
        <v>10319</v>
      </c>
      <c r="R856" t="s">
        <v>9106</v>
      </c>
      <c r="S856" t="s">
        <v>5731</v>
      </c>
      <c r="T856" t="s">
        <v>5731</v>
      </c>
      <c r="U856" t="s">
        <v>5731</v>
      </c>
      <c r="V856" t="s">
        <v>5731</v>
      </c>
      <c r="W856" t="s">
        <v>5731</v>
      </c>
      <c r="X856" t="str">
        <f t="shared" si="13"/>
        <v>Inversión</v>
      </c>
      <c r="Y856" t="s">
        <v>5732</v>
      </c>
    </row>
    <row r="857" spans="1:25" x14ac:dyDescent="0.25">
      <c r="A857" t="s">
        <v>9111</v>
      </c>
      <c r="B857" t="s">
        <v>8784</v>
      </c>
      <c r="C857" t="s">
        <v>10320</v>
      </c>
      <c r="D857" t="s">
        <v>5720</v>
      </c>
      <c r="E857" t="s">
        <v>5737</v>
      </c>
      <c r="F857" t="s">
        <v>5722</v>
      </c>
      <c r="G857" t="s">
        <v>10239</v>
      </c>
      <c r="H857" t="s">
        <v>453</v>
      </c>
      <c r="I857" t="s">
        <v>664</v>
      </c>
      <c r="J857" t="s">
        <v>266</v>
      </c>
      <c r="K857" t="s">
        <v>5724</v>
      </c>
      <c r="L857" t="s">
        <v>267</v>
      </c>
      <c r="M857">
        <v>1100000</v>
      </c>
      <c r="N857">
        <v>0</v>
      </c>
      <c r="O857">
        <v>1100000</v>
      </c>
      <c r="P857">
        <v>1100000</v>
      </c>
      <c r="Q857" t="s">
        <v>10321</v>
      </c>
      <c r="R857" t="s">
        <v>9111</v>
      </c>
      <c r="S857" t="s">
        <v>5731</v>
      </c>
      <c r="T857" t="s">
        <v>5731</v>
      </c>
      <c r="U857" t="s">
        <v>5731</v>
      </c>
      <c r="V857" t="s">
        <v>5731</v>
      </c>
      <c r="W857" t="s">
        <v>5731</v>
      </c>
      <c r="X857" t="str">
        <f t="shared" si="13"/>
        <v>Inversión</v>
      </c>
      <c r="Y857" t="s">
        <v>5732</v>
      </c>
    </row>
    <row r="858" spans="1:25" x14ac:dyDescent="0.25">
      <c r="A858" t="s">
        <v>5742</v>
      </c>
      <c r="B858" t="s">
        <v>10322</v>
      </c>
      <c r="C858" t="s">
        <v>10323</v>
      </c>
      <c r="D858" t="s">
        <v>5720</v>
      </c>
      <c r="E858" t="s">
        <v>5737</v>
      </c>
      <c r="F858" t="s">
        <v>5733</v>
      </c>
      <c r="G858" t="s">
        <v>10239</v>
      </c>
      <c r="H858" t="s">
        <v>461</v>
      </c>
      <c r="I858" t="s">
        <v>644</v>
      </c>
      <c r="J858" t="s">
        <v>273</v>
      </c>
      <c r="K858" t="s">
        <v>5734</v>
      </c>
      <c r="L858" t="s">
        <v>267</v>
      </c>
      <c r="M858">
        <v>24000000</v>
      </c>
      <c r="N858">
        <v>0</v>
      </c>
      <c r="O858">
        <v>24000000</v>
      </c>
      <c r="P858">
        <v>24000000</v>
      </c>
      <c r="Q858" t="s">
        <v>10324</v>
      </c>
      <c r="R858" t="s">
        <v>5742</v>
      </c>
      <c r="S858" t="s">
        <v>5731</v>
      </c>
      <c r="T858" t="s">
        <v>5731</v>
      </c>
      <c r="U858" t="s">
        <v>5731</v>
      </c>
      <c r="V858" t="s">
        <v>5731</v>
      </c>
      <c r="W858" t="s">
        <v>5731</v>
      </c>
      <c r="X858" t="str">
        <f t="shared" si="13"/>
        <v>Inversión</v>
      </c>
      <c r="Y858" t="s">
        <v>5735</v>
      </c>
    </row>
    <row r="859" spans="1:25" x14ac:dyDescent="0.25">
      <c r="A859" t="s">
        <v>5749</v>
      </c>
      <c r="B859" t="s">
        <v>10325</v>
      </c>
      <c r="C859" t="s">
        <v>10326</v>
      </c>
      <c r="D859" t="s">
        <v>5720</v>
      </c>
      <c r="E859" t="s">
        <v>5721</v>
      </c>
      <c r="F859" t="s">
        <v>6619</v>
      </c>
      <c r="G859" t="s">
        <v>10239</v>
      </c>
      <c r="H859" t="s">
        <v>455</v>
      </c>
      <c r="I859" t="s">
        <v>643</v>
      </c>
      <c r="J859" t="s">
        <v>273</v>
      </c>
      <c r="K859" t="s">
        <v>5734</v>
      </c>
      <c r="L859" t="s">
        <v>267</v>
      </c>
      <c r="M859">
        <v>1500000</v>
      </c>
      <c r="N859">
        <v>0</v>
      </c>
      <c r="O859">
        <v>1500000</v>
      </c>
      <c r="P859">
        <v>0</v>
      </c>
      <c r="Q859" t="s">
        <v>10327</v>
      </c>
      <c r="R859" t="s">
        <v>5749</v>
      </c>
      <c r="S859" t="s">
        <v>6634</v>
      </c>
      <c r="T859" t="s">
        <v>6162</v>
      </c>
      <c r="U859" t="s">
        <v>8323</v>
      </c>
      <c r="V859" t="s">
        <v>10328</v>
      </c>
      <c r="W859" t="s">
        <v>5731</v>
      </c>
      <c r="X859" t="str">
        <f t="shared" si="13"/>
        <v>Inversión</v>
      </c>
      <c r="Y859" t="s">
        <v>6626</v>
      </c>
    </row>
    <row r="860" spans="1:25" x14ac:dyDescent="0.25">
      <c r="A860" t="s">
        <v>5756</v>
      </c>
      <c r="B860" t="s">
        <v>9195</v>
      </c>
      <c r="C860" t="s">
        <v>10329</v>
      </c>
      <c r="D860" t="s">
        <v>5720</v>
      </c>
      <c r="E860" t="s">
        <v>5721</v>
      </c>
      <c r="F860" t="s">
        <v>5733</v>
      </c>
      <c r="G860" t="s">
        <v>10239</v>
      </c>
      <c r="H860" t="s">
        <v>461</v>
      </c>
      <c r="I860" t="s">
        <v>644</v>
      </c>
      <c r="J860" t="s">
        <v>266</v>
      </c>
      <c r="K860" t="s">
        <v>5724</v>
      </c>
      <c r="L860" t="s">
        <v>267</v>
      </c>
      <c r="M860">
        <v>6294645</v>
      </c>
      <c r="N860">
        <v>0</v>
      </c>
      <c r="O860">
        <v>6294645</v>
      </c>
      <c r="P860">
        <v>0</v>
      </c>
      <c r="Q860" t="s">
        <v>10330</v>
      </c>
      <c r="R860" t="s">
        <v>5756</v>
      </c>
      <c r="S860" t="s">
        <v>10331</v>
      </c>
      <c r="T860" t="s">
        <v>5731</v>
      </c>
      <c r="U860" t="s">
        <v>5731</v>
      </c>
      <c r="V860" t="s">
        <v>5731</v>
      </c>
      <c r="W860" t="s">
        <v>5731</v>
      </c>
      <c r="X860" t="str">
        <f t="shared" si="13"/>
        <v>Inversión</v>
      </c>
      <c r="Y860" t="s">
        <v>5735</v>
      </c>
    </row>
    <row r="861" spans="1:25" x14ac:dyDescent="0.25">
      <c r="A861" t="s">
        <v>5777</v>
      </c>
      <c r="B861" t="s">
        <v>9018</v>
      </c>
      <c r="C861" t="s">
        <v>10332</v>
      </c>
      <c r="D861" t="s">
        <v>5720</v>
      </c>
      <c r="E861" t="s">
        <v>5737</v>
      </c>
      <c r="F861" t="s">
        <v>6619</v>
      </c>
      <c r="G861" t="s">
        <v>10239</v>
      </c>
      <c r="H861" t="s">
        <v>455</v>
      </c>
      <c r="I861" t="s">
        <v>643</v>
      </c>
      <c r="J861" t="s">
        <v>273</v>
      </c>
      <c r="K861" t="s">
        <v>5734</v>
      </c>
      <c r="L861" t="s">
        <v>267</v>
      </c>
      <c r="M861">
        <v>18861000</v>
      </c>
      <c r="N861">
        <v>0</v>
      </c>
      <c r="O861">
        <v>18861000</v>
      </c>
      <c r="P861">
        <v>18861000</v>
      </c>
      <c r="Q861" t="s">
        <v>10333</v>
      </c>
      <c r="R861" t="s">
        <v>5777</v>
      </c>
      <c r="S861" t="s">
        <v>5731</v>
      </c>
      <c r="T861" t="s">
        <v>5731</v>
      </c>
      <c r="U861" t="s">
        <v>5731</v>
      </c>
      <c r="V861" t="s">
        <v>5731</v>
      </c>
      <c r="W861" t="s">
        <v>5731</v>
      </c>
      <c r="X861" t="str">
        <f t="shared" si="13"/>
        <v>Inversión</v>
      </c>
      <c r="Y861" t="s">
        <v>6626</v>
      </c>
    </row>
    <row r="862" spans="1:25" x14ac:dyDescent="0.25">
      <c r="A862" t="s">
        <v>9075</v>
      </c>
      <c r="B862" t="s">
        <v>7118</v>
      </c>
      <c r="C862" t="s">
        <v>10334</v>
      </c>
      <c r="D862" t="s">
        <v>5720</v>
      </c>
      <c r="E862" t="s">
        <v>5721</v>
      </c>
      <c r="F862" t="s">
        <v>5733</v>
      </c>
      <c r="G862" t="s">
        <v>10335</v>
      </c>
      <c r="H862" t="s">
        <v>461</v>
      </c>
      <c r="I862" t="s">
        <v>644</v>
      </c>
      <c r="J862" t="s">
        <v>266</v>
      </c>
      <c r="K862" t="s">
        <v>5724</v>
      </c>
      <c r="L862" t="s">
        <v>267</v>
      </c>
      <c r="M862">
        <v>124699902</v>
      </c>
      <c r="N862">
        <v>-7116292</v>
      </c>
      <c r="O862">
        <v>117583610</v>
      </c>
      <c r="P862">
        <v>0</v>
      </c>
      <c r="Q862" t="s">
        <v>10336</v>
      </c>
      <c r="R862" t="s">
        <v>9075</v>
      </c>
      <c r="S862" t="s">
        <v>10337</v>
      </c>
      <c r="T862" t="s">
        <v>10338</v>
      </c>
      <c r="U862" t="s">
        <v>10339</v>
      </c>
      <c r="V862" t="s">
        <v>10340</v>
      </c>
      <c r="W862" t="s">
        <v>5731</v>
      </c>
      <c r="X862" t="str">
        <f t="shared" si="13"/>
        <v>Inversión</v>
      </c>
      <c r="Y862" t="s">
        <v>5735</v>
      </c>
    </row>
    <row r="863" spans="1:25" x14ac:dyDescent="0.25">
      <c r="A863" t="s">
        <v>5844</v>
      </c>
      <c r="B863" t="s">
        <v>7118</v>
      </c>
      <c r="C863" t="s">
        <v>10341</v>
      </c>
      <c r="D863" t="s">
        <v>5720</v>
      </c>
      <c r="E863" t="s">
        <v>5721</v>
      </c>
      <c r="F863" t="s">
        <v>6619</v>
      </c>
      <c r="G863" t="s">
        <v>10335</v>
      </c>
      <c r="H863" t="s">
        <v>455</v>
      </c>
      <c r="I863" t="s">
        <v>643</v>
      </c>
      <c r="J863" t="s">
        <v>273</v>
      </c>
      <c r="K863" t="s">
        <v>5734</v>
      </c>
      <c r="L863" t="s">
        <v>267</v>
      </c>
      <c r="M863">
        <v>40000000</v>
      </c>
      <c r="N863">
        <v>0</v>
      </c>
      <c r="O863">
        <v>40000000</v>
      </c>
      <c r="P863">
        <v>2775140</v>
      </c>
      <c r="Q863" t="s">
        <v>10342</v>
      </c>
      <c r="R863" t="s">
        <v>5844</v>
      </c>
      <c r="S863" t="s">
        <v>10343</v>
      </c>
      <c r="T863" t="s">
        <v>10344</v>
      </c>
      <c r="U863" t="s">
        <v>10345</v>
      </c>
      <c r="V863" t="s">
        <v>10346</v>
      </c>
      <c r="W863" t="s">
        <v>5731</v>
      </c>
      <c r="X863" t="str">
        <f t="shared" si="13"/>
        <v>Inversión</v>
      </c>
      <c r="Y863" t="s">
        <v>6626</v>
      </c>
    </row>
    <row r="864" spans="1:25" x14ac:dyDescent="0.25">
      <c r="A864" t="s">
        <v>9425</v>
      </c>
      <c r="B864" t="s">
        <v>9460</v>
      </c>
      <c r="C864" t="s">
        <v>10347</v>
      </c>
      <c r="D864" t="s">
        <v>5720</v>
      </c>
      <c r="E864" t="s">
        <v>5721</v>
      </c>
      <c r="F864" t="s">
        <v>5733</v>
      </c>
      <c r="G864" t="s">
        <v>10335</v>
      </c>
      <c r="H864" t="s">
        <v>461</v>
      </c>
      <c r="I864" t="s">
        <v>644</v>
      </c>
      <c r="J864" t="s">
        <v>266</v>
      </c>
      <c r="K864" t="s">
        <v>5724</v>
      </c>
      <c r="L864" t="s">
        <v>267</v>
      </c>
      <c r="M864">
        <v>7116292</v>
      </c>
      <c r="N864">
        <v>0</v>
      </c>
      <c r="O864">
        <v>7116292</v>
      </c>
      <c r="P864">
        <v>4892011</v>
      </c>
      <c r="Q864" t="s">
        <v>10348</v>
      </c>
      <c r="R864" t="s">
        <v>9420</v>
      </c>
      <c r="S864" t="s">
        <v>10349</v>
      </c>
      <c r="T864" t="s">
        <v>10350</v>
      </c>
      <c r="U864" t="s">
        <v>10351</v>
      </c>
      <c r="V864" t="s">
        <v>10352</v>
      </c>
      <c r="W864" t="s">
        <v>9236</v>
      </c>
      <c r="X864" t="str">
        <f t="shared" si="13"/>
        <v>Inversión</v>
      </c>
      <c r="Y864" t="s">
        <v>5735</v>
      </c>
    </row>
    <row r="865" spans="1:25" x14ac:dyDescent="0.25">
      <c r="A865" t="s">
        <v>9146</v>
      </c>
      <c r="B865" t="s">
        <v>8799</v>
      </c>
      <c r="C865" t="s">
        <v>10353</v>
      </c>
      <c r="D865" t="s">
        <v>5720</v>
      </c>
      <c r="E865" t="s">
        <v>5721</v>
      </c>
      <c r="F865" t="s">
        <v>5733</v>
      </c>
      <c r="G865" t="s">
        <v>10335</v>
      </c>
      <c r="H865" t="s">
        <v>461</v>
      </c>
      <c r="I865" t="s">
        <v>644</v>
      </c>
      <c r="J865" t="s">
        <v>273</v>
      </c>
      <c r="K865" t="s">
        <v>5734</v>
      </c>
      <c r="L865" t="s">
        <v>267</v>
      </c>
      <c r="M865">
        <v>95446576</v>
      </c>
      <c r="N865">
        <v>-2354925</v>
      </c>
      <c r="O865">
        <v>93091651</v>
      </c>
      <c r="P865">
        <v>12014056</v>
      </c>
      <c r="Q865" t="s">
        <v>10354</v>
      </c>
      <c r="R865" t="s">
        <v>9269</v>
      </c>
      <c r="S865" t="s">
        <v>10355</v>
      </c>
      <c r="T865" t="s">
        <v>5731</v>
      </c>
      <c r="U865" t="s">
        <v>5731</v>
      </c>
      <c r="V865" t="s">
        <v>5731</v>
      </c>
      <c r="W865" t="s">
        <v>5731</v>
      </c>
      <c r="X865" t="str">
        <f t="shared" si="13"/>
        <v>Inversión</v>
      </c>
      <c r="Y865" t="s">
        <v>5735</v>
      </c>
    </row>
    <row r="866" spans="1:25" x14ac:dyDescent="0.25">
      <c r="A866" t="s">
        <v>9145</v>
      </c>
      <c r="B866" t="s">
        <v>9352</v>
      </c>
      <c r="C866" t="s">
        <v>10356</v>
      </c>
      <c r="D866" t="s">
        <v>5720</v>
      </c>
      <c r="E866" t="s">
        <v>5969</v>
      </c>
      <c r="F866" t="s">
        <v>5733</v>
      </c>
      <c r="G866" t="s">
        <v>10335</v>
      </c>
      <c r="H866" t="s">
        <v>461</v>
      </c>
      <c r="I866" t="s">
        <v>644</v>
      </c>
      <c r="J866" t="s">
        <v>273</v>
      </c>
      <c r="K866" t="s">
        <v>5734</v>
      </c>
      <c r="L866" t="s">
        <v>267</v>
      </c>
      <c r="M866">
        <v>8000000</v>
      </c>
      <c r="N866">
        <v>-8000000</v>
      </c>
      <c r="O866">
        <v>0</v>
      </c>
      <c r="P866">
        <v>0</v>
      </c>
      <c r="Q866" t="s">
        <v>10357</v>
      </c>
      <c r="R866" t="s">
        <v>7381</v>
      </c>
      <c r="S866" t="s">
        <v>5731</v>
      </c>
      <c r="T866" t="s">
        <v>5731</v>
      </c>
      <c r="U866" t="s">
        <v>5731</v>
      </c>
      <c r="V866" t="s">
        <v>5731</v>
      </c>
      <c r="W866" t="s">
        <v>5731</v>
      </c>
      <c r="X866" t="str">
        <f t="shared" si="13"/>
        <v>Inversión</v>
      </c>
      <c r="Y866" t="s">
        <v>5735</v>
      </c>
    </row>
    <row r="867" spans="1:25" x14ac:dyDescent="0.25">
      <c r="A867" t="s">
        <v>9122</v>
      </c>
      <c r="B867" t="s">
        <v>9352</v>
      </c>
      <c r="C867" t="s">
        <v>10358</v>
      </c>
      <c r="D867" t="s">
        <v>5720</v>
      </c>
      <c r="E867" t="s">
        <v>5721</v>
      </c>
      <c r="F867" t="s">
        <v>5733</v>
      </c>
      <c r="G867" t="s">
        <v>10335</v>
      </c>
      <c r="H867" t="s">
        <v>461</v>
      </c>
      <c r="I867" t="s">
        <v>644</v>
      </c>
      <c r="J867" t="s">
        <v>273</v>
      </c>
      <c r="K867" t="s">
        <v>5734</v>
      </c>
      <c r="L867" t="s">
        <v>267</v>
      </c>
      <c r="M867">
        <v>2354925</v>
      </c>
      <c r="N867">
        <v>0</v>
      </c>
      <c r="O867">
        <v>2354925</v>
      </c>
      <c r="P867">
        <v>1881878</v>
      </c>
      <c r="Q867" t="s">
        <v>10359</v>
      </c>
      <c r="R867" t="s">
        <v>7381</v>
      </c>
      <c r="S867" t="s">
        <v>10360</v>
      </c>
      <c r="T867" t="s">
        <v>10361</v>
      </c>
      <c r="U867" t="s">
        <v>10362</v>
      </c>
      <c r="V867" t="s">
        <v>10363</v>
      </c>
      <c r="W867" t="s">
        <v>5731</v>
      </c>
      <c r="X867" t="str">
        <f t="shared" si="13"/>
        <v>Inversión</v>
      </c>
      <c r="Y867" t="s">
        <v>5735</v>
      </c>
    </row>
    <row r="868" spans="1:25" x14ac:dyDescent="0.25">
      <c r="A868" t="s">
        <v>9090</v>
      </c>
      <c r="B868" t="s">
        <v>8996</v>
      </c>
      <c r="C868" t="s">
        <v>10364</v>
      </c>
      <c r="D868" t="s">
        <v>5720</v>
      </c>
      <c r="E868" t="s">
        <v>5737</v>
      </c>
      <c r="F868" t="s">
        <v>5722</v>
      </c>
      <c r="G868" t="s">
        <v>10335</v>
      </c>
      <c r="H868" t="s">
        <v>453</v>
      </c>
      <c r="I868" t="s">
        <v>664</v>
      </c>
      <c r="J868" t="s">
        <v>266</v>
      </c>
      <c r="K868" t="s">
        <v>5724</v>
      </c>
      <c r="L868" t="s">
        <v>267</v>
      </c>
      <c r="M868">
        <v>8600000</v>
      </c>
      <c r="N868">
        <v>0</v>
      </c>
      <c r="O868">
        <v>8600000</v>
      </c>
      <c r="P868">
        <v>8600000</v>
      </c>
      <c r="Q868" t="s">
        <v>10365</v>
      </c>
      <c r="R868" t="s">
        <v>9178</v>
      </c>
      <c r="S868" t="s">
        <v>5731</v>
      </c>
      <c r="T868" t="s">
        <v>5731</v>
      </c>
      <c r="U868" t="s">
        <v>5731</v>
      </c>
      <c r="V868" t="s">
        <v>5731</v>
      </c>
      <c r="W868" t="s">
        <v>5731</v>
      </c>
      <c r="X868" t="str">
        <f t="shared" si="13"/>
        <v>Inversión</v>
      </c>
      <c r="Y868" t="s">
        <v>5732</v>
      </c>
    </row>
    <row r="869" spans="1:25" x14ac:dyDescent="0.25">
      <c r="A869" t="s">
        <v>5809</v>
      </c>
      <c r="B869" t="s">
        <v>7237</v>
      </c>
      <c r="C869" t="s">
        <v>10366</v>
      </c>
      <c r="D869" t="s">
        <v>5720</v>
      </c>
      <c r="E869" t="s">
        <v>5721</v>
      </c>
      <c r="F869" t="s">
        <v>5733</v>
      </c>
      <c r="G869" t="s">
        <v>10367</v>
      </c>
      <c r="H869" t="s">
        <v>461</v>
      </c>
      <c r="I869" t="s">
        <v>644</v>
      </c>
      <c r="J869" t="s">
        <v>266</v>
      </c>
      <c r="K869" t="s">
        <v>5724</v>
      </c>
      <c r="L869" t="s">
        <v>267</v>
      </c>
      <c r="M869">
        <v>146817917</v>
      </c>
      <c r="N869">
        <v>0</v>
      </c>
      <c r="O869">
        <v>146817917</v>
      </c>
      <c r="P869">
        <v>2</v>
      </c>
      <c r="Q869" t="s">
        <v>10368</v>
      </c>
      <c r="R869" t="s">
        <v>5809</v>
      </c>
      <c r="S869" t="s">
        <v>10369</v>
      </c>
      <c r="T869" t="s">
        <v>10370</v>
      </c>
      <c r="U869" t="s">
        <v>10371</v>
      </c>
      <c r="V869" t="s">
        <v>10372</v>
      </c>
      <c r="W869" t="s">
        <v>5731</v>
      </c>
      <c r="X869" t="str">
        <f t="shared" si="13"/>
        <v>Inversión</v>
      </c>
      <c r="Y869" t="s">
        <v>5735</v>
      </c>
    </row>
    <row r="870" spans="1:25" x14ac:dyDescent="0.25">
      <c r="A870" t="s">
        <v>9061</v>
      </c>
      <c r="B870" t="s">
        <v>7237</v>
      </c>
      <c r="C870" t="s">
        <v>10373</v>
      </c>
      <c r="D870" t="s">
        <v>5720</v>
      </c>
      <c r="E870" t="s">
        <v>5721</v>
      </c>
      <c r="F870" t="s">
        <v>5733</v>
      </c>
      <c r="G870" t="s">
        <v>10367</v>
      </c>
      <c r="H870" t="s">
        <v>461</v>
      </c>
      <c r="I870" t="s">
        <v>644</v>
      </c>
      <c r="J870" t="s">
        <v>266</v>
      </c>
      <c r="K870" t="s">
        <v>5724</v>
      </c>
      <c r="L870" t="s">
        <v>267</v>
      </c>
      <c r="M870">
        <v>109219801</v>
      </c>
      <c r="N870">
        <v>0</v>
      </c>
      <c r="O870">
        <v>109219801</v>
      </c>
      <c r="P870">
        <v>1</v>
      </c>
      <c r="Q870" t="s">
        <v>10374</v>
      </c>
      <c r="R870" t="s">
        <v>9061</v>
      </c>
      <c r="S870" t="s">
        <v>10375</v>
      </c>
      <c r="T870" t="s">
        <v>10376</v>
      </c>
      <c r="U870" t="s">
        <v>10377</v>
      </c>
      <c r="V870" t="s">
        <v>10378</v>
      </c>
      <c r="W870" t="s">
        <v>5731</v>
      </c>
      <c r="X870" t="str">
        <f t="shared" si="13"/>
        <v>Inversión</v>
      </c>
      <c r="Y870" t="s">
        <v>5735</v>
      </c>
    </row>
    <row r="871" spans="1:25" x14ac:dyDescent="0.25">
      <c r="A871" t="s">
        <v>9068</v>
      </c>
      <c r="B871" t="s">
        <v>7237</v>
      </c>
      <c r="C871" t="s">
        <v>10379</v>
      </c>
      <c r="D871" t="s">
        <v>5720</v>
      </c>
      <c r="E871" t="s">
        <v>5721</v>
      </c>
      <c r="F871" t="s">
        <v>5733</v>
      </c>
      <c r="G871" t="s">
        <v>10367</v>
      </c>
      <c r="H871" t="s">
        <v>461</v>
      </c>
      <c r="I871" t="s">
        <v>644</v>
      </c>
      <c r="J871" t="s">
        <v>266</v>
      </c>
      <c r="K871" t="s">
        <v>5724</v>
      </c>
      <c r="L871" t="s">
        <v>267</v>
      </c>
      <c r="M871">
        <v>44901801</v>
      </c>
      <c r="N871">
        <v>0</v>
      </c>
      <c r="O871">
        <v>44901801</v>
      </c>
      <c r="P871">
        <v>0</v>
      </c>
      <c r="Q871" t="s">
        <v>10380</v>
      </c>
      <c r="R871" t="s">
        <v>9068</v>
      </c>
      <c r="S871" t="s">
        <v>10381</v>
      </c>
      <c r="T871" t="s">
        <v>10382</v>
      </c>
      <c r="U871" t="s">
        <v>10383</v>
      </c>
      <c r="V871" t="s">
        <v>10384</v>
      </c>
      <c r="W871" t="s">
        <v>5731</v>
      </c>
      <c r="X871" t="str">
        <f t="shared" si="13"/>
        <v>Inversión</v>
      </c>
      <c r="Y871" t="s">
        <v>5735</v>
      </c>
    </row>
    <row r="872" spans="1:25" x14ac:dyDescent="0.25">
      <c r="A872" t="s">
        <v>9075</v>
      </c>
      <c r="B872" t="s">
        <v>7237</v>
      </c>
      <c r="C872" t="s">
        <v>10385</v>
      </c>
      <c r="D872" t="s">
        <v>5720</v>
      </c>
      <c r="E872" t="s">
        <v>5721</v>
      </c>
      <c r="F872" t="s">
        <v>5733</v>
      </c>
      <c r="G872" t="s">
        <v>10367</v>
      </c>
      <c r="H872" t="s">
        <v>461</v>
      </c>
      <c r="I872" t="s">
        <v>644</v>
      </c>
      <c r="J872" t="s">
        <v>266</v>
      </c>
      <c r="K872" t="s">
        <v>5724</v>
      </c>
      <c r="L872" t="s">
        <v>267</v>
      </c>
      <c r="M872">
        <v>22450901</v>
      </c>
      <c r="N872">
        <v>0</v>
      </c>
      <c r="O872">
        <v>22450901</v>
      </c>
      <c r="P872">
        <v>0</v>
      </c>
      <c r="Q872" t="s">
        <v>10386</v>
      </c>
      <c r="R872" t="s">
        <v>9075</v>
      </c>
      <c r="S872" t="s">
        <v>5844</v>
      </c>
      <c r="T872" t="s">
        <v>7504</v>
      </c>
      <c r="U872" t="s">
        <v>10387</v>
      </c>
      <c r="V872" t="s">
        <v>10388</v>
      </c>
      <c r="W872" t="s">
        <v>5731</v>
      </c>
      <c r="X872" t="str">
        <f t="shared" si="13"/>
        <v>Inversión</v>
      </c>
      <c r="Y872" t="s">
        <v>5735</v>
      </c>
    </row>
    <row r="873" spans="1:25" x14ac:dyDescent="0.25">
      <c r="A873" t="s">
        <v>5844</v>
      </c>
      <c r="B873" t="s">
        <v>7237</v>
      </c>
      <c r="C873" t="s">
        <v>7283</v>
      </c>
      <c r="D873" t="s">
        <v>5720</v>
      </c>
      <c r="E873" t="s">
        <v>5721</v>
      </c>
      <c r="F873" t="s">
        <v>5733</v>
      </c>
      <c r="G873" t="s">
        <v>10367</v>
      </c>
      <c r="H873" t="s">
        <v>461</v>
      </c>
      <c r="I873" t="s">
        <v>644</v>
      </c>
      <c r="J873" t="s">
        <v>266</v>
      </c>
      <c r="K873" t="s">
        <v>5724</v>
      </c>
      <c r="L873" t="s">
        <v>267</v>
      </c>
      <c r="M873">
        <v>44901801</v>
      </c>
      <c r="N873">
        <v>0</v>
      </c>
      <c r="O873">
        <v>44901801</v>
      </c>
      <c r="P873">
        <v>0</v>
      </c>
      <c r="Q873" t="s">
        <v>10389</v>
      </c>
      <c r="R873" t="s">
        <v>5844</v>
      </c>
      <c r="S873" t="s">
        <v>10154</v>
      </c>
      <c r="T873" t="s">
        <v>9064</v>
      </c>
      <c r="U873" t="s">
        <v>10390</v>
      </c>
      <c r="V873" t="s">
        <v>10391</v>
      </c>
      <c r="W873" t="s">
        <v>5731</v>
      </c>
      <c r="X873" t="str">
        <f t="shared" si="13"/>
        <v>Inversión</v>
      </c>
      <c r="Y873" t="s">
        <v>5735</v>
      </c>
    </row>
    <row r="874" spans="1:25" x14ac:dyDescent="0.25">
      <c r="A874" t="s">
        <v>9058</v>
      </c>
      <c r="B874" t="s">
        <v>7237</v>
      </c>
      <c r="C874" t="s">
        <v>10392</v>
      </c>
      <c r="D874" t="s">
        <v>5720</v>
      </c>
      <c r="E874" t="s">
        <v>5721</v>
      </c>
      <c r="F874" t="s">
        <v>5733</v>
      </c>
      <c r="G874" t="s">
        <v>10367</v>
      </c>
      <c r="H874" t="s">
        <v>461</v>
      </c>
      <c r="I874" t="s">
        <v>644</v>
      </c>
      <c r="J874" t="s">
        <v>266</v>
      </c>
      <c r="K874" t="s">
        <v>5724</v>
      </c>
      <c r="L874" t="s">
        <v>267</v>
      </c>
      <c r="M874">
        <v>28891500</v>
      </c>
      <c r="N874">
        <v>0</v>
      </c>
      <c r="O874">
        <v>28891500</v>
      </c>
      <c r="P874">
        <v>0</v>
      </c>
      <c r="Q874" t="s">
        <v>10393</v>
      </c>
      <c r="R874" t="s">
        <v>9058</v>
      </c>
      <c r="S874" t="s">
        <v>9295</v>
      </c>
      <c r="T874" t="s">
        <v>5799</v>
      </c>
      <c r="U874" t="s">
        <v>10394</v>
      </c>
      <c r="V874" t="s">
        <v>10395</v>
      </c>
      <c r="W874" t="s">
        <v>5731</v>
      </c>
      <c r="X874" t="str">
        <f t="shared" si="13"/>
        <v>Inversión</v>
      </c>
      <c r="Y874" t="s">
        <v>5735</v>
      </c>
    </row>
    <row r="875" spans="1:25" x14ac:dyDescent="0.25">
      <c r="A875" t="s">
        <v>9057</v>
      </c>
      <c r="B875" t="s">
        <v>7237</v>
      </c>
      <c r="C875" t="s">
        <v>10396</v>
      </c>
      <c r="D875" t="s">
        <v>5720</v>
      </c>
      <c r="E875" t="s">
        <v>5721</v>
      </c>
      <c r="F875" t="s">
        <v>5733</v>
      </c>
      <c r="G875" t="s">
        <v>10367</v>
      </c>
      <c r="H875" t="s">
        <v>461</v>
      </c>
      <c r="I875" t="s">
        <v>644</v>
      </c>
      <c r="J875" t="s">
        <v>266</v>
      </c>
      <c r="K875" t="s">
        <v>5724</v>
      </c>
      <c r="L875" t="s">
        <v>267</v>
      </c>
      <c r="M875">
        <v>17636219</v>
      </c>
      <c r="N875">
        <v>0</v>
      </c>
      <c r="O875">
        <v>17636219</v>
      </c>
      <c r="P875">
        <v>0</v>
      </c>
      <c r="Q875" t="s">
        <v>10397</v>
      </c>
      <c r="R875" t="s">
        <v>9057</v>
      </c>
      <c r="S875" t="s">
        <v>9227</v>
      </c>
      <c r="T875" t="s">
        <v>5829</v>
      </c>
      <c r="U875" t="s">
        <v>10398</v>
      </c>
      <c r="V875" t="s">
        <v>10399</v>
      </c>
      <c r="W875" t="s">
        <v>5731</v>
      </c>
      <c r="X875" t="str">
        <f t="shared" si="13"/>
        <v>Inversión</v>
      </c>
      <c r="Y875" t="s">
        <v>5735</v>
      </c>
    </row>
    <row r="876" spans="1:25" x14ac:dyDescent="0.25">
      <c r="A876" t="s">
        <v>9149</v>
      </c>
      <c r="B876" t="s">
        <v>7237</v>
      </c>
      <c r="C876" t="s">
        <v>10400</v>
      </c>
      <c r="D876" t="s">
        <v>5720</v>
      </c>
      <c r="E876" t="s">
        <v>5721</v>
      </c>
      <c r="F876" t="s">
        <v>6619</v>
      </c>
      <c r="G876" t="s">
        <v>10367</v>
      </c>
      <c r="H876" t="s">
        <v>455</v>
      </c>
      <c r="I876" t="s">
        <v>643</v>
      </c>
      <c r="J876" t="s">
        <v>273</v>
      </c>
      <c r="K876" t="s">
        <v>5734</v>
      </c>
      <c r="L876" t="s">
        <v>267</v>
      </c>
      <c r="M876">
        <v>36402360</v>
      </c>
      <c r="N876">
        <v>0</v>
      </c>
      <c r="O876">
        <v>36402360</v>
      </c>
      <c r="P876">
        <v>0</v>
      </c>
      <c r="Q876" t="s">
        <v>10401</v>
      </c>
      <c r="R876" t="s">
        <v>9149</v>
      </c>
      <c r="S876" t="s">
        <v>9122</v>
      </c>
      <c r="T876" t="s">
        <v>5820</v>
      </c>
      <c r="U876" t="s">
        <v>10402</v>
      </c>
      <c r="V876" t="s">
        <v>10403</v>
      </c>
      <c r="W876" t="s">
        <v>5731</v>
      </c>
      <c r="X876" t="str">
        <f t="shared" si="13"/>
        <v>Inversión</v>
      </c>
      <c r="Y876" t="s">
        <v>6626</v>
      </c>
    </row>
    <row r="877" spans="1:25" x14ac:dyDescent="0.25">
      <c r="A877" t="s">
        <v>6935</v>
      </c>
      <c r="B877" t="s">
        <v>7237</v>
      </c>
      <c r="C877" t="s">
        <v>10404</v>
      </c>
      <c r="D877" t="s">
        <v>5720</v>
      </c>
      <c r="E877" t="s">
        <v>5721</v>
      </c>
      <c r="F877" t="s">
        <v>5733</v>
      </c>
      <c r="G877" t="s">
        <v>10367</v>
      </c>
      <c r="H877" t="s">
        <v>461</v>
      </c>
      <c r="I877" t="s">
        <v>644</v>
      </c>
      <c r="J877" t="s">
        <v>266</v>
      </c>
      <c r="K877" t="s">
        <v>5724</v>
      </c>
      <c r="L877" t="s">
        <v>267</v>
      </c>
      <c r="M877">
        <v>20573191</v>
      </c>
      <c r="N877">
        <v>0</v>
      </c>
      <c r="O877">
        <v>20573191</v>
      </c>
      <c r="P877">
        <v>0</v>
      </c>
      <c r="Q877" t="s">
        <v>10405</v>
      </c>
      <c r="R877" t="s">
        <v>6935</v>
      </c>
      <c r="S877" t="s">
        <v>9103</v>
      </c>
      <c r="T877" t="s">
        <v>5928</v>
      </c>
      <c r="U877" t="s">
        <v>10406</v>
      </c>
      <c r="V877" t="s">
        <v>10407</v>
      </c>
      <c r="W877" t="s">
        <v>5731</v>
      </c>
      <c r="X877" t="str">
        <f t="shared" si="13"/>
        <v>Inversión</v>
      </c>
      <c r="Y877" t="s">
        <v>5735</v>
      </c>
    </row>
    <row r="878" spans="1:25" x14ac:dyDescent="0.25">
      <c r="A878" t="s">
        <v>9223</v>
      </c>
      <c r="B878" t="s">
        <v>9769</v>
      </c>
      <c r="C878" t="s">
        <v>10408</v>
      </c>
      <c r="D878" t="s">
        <v>5720</v>
      </c>
      <c r="E878" t="s">
        <v>5721</v>
      </c>
      <c r="F878" t="s">
        <v>5733</v>
      </c>
      <c r="G878" t="s">
        <v>10367</v>
      </c>
      <c r="H878" t="s">
        <v>461</v>
      </c>
      <c r="I878" t="s">
        <v>644</v>
      </c>
      <c r="J878" t="s">
        <v>266</v>
      </c>
      <c r="K878" t="s">
        <v>5724</v>
      </c>
      <c r="L878" t="s">
        <v>267</v>
      </c>
      <c r="M878">
        <v>20000000</v>
      </c>
      <c r="N878">
        <v>0</v>
      </c>
      <c r="O878">
        <v>20000000</v>
      </c>
      <c r="P878">
        <v>13039704</v>
      </c>
      <c r="Q878" t="s">
        <v>10409</v>
      </c>
      <c r="R878" t="s">
        <v>9223</v>
      </c>
      <c r="S878" t="s">
        <v>10410</v>
      </c>
      <c r="T878" t="s">
        <v>10411</v>
      </c>
      <c r="U878" t="s">
        <v>10412</v>
      </c>
      <c r="V878" t="s">
        <v>10413</v>
      </c>
      <c r="W878" t="s">
        <v>5731</v>
      </c>
      <c r="X878" t="str">
        <f t="shared" si="13"/>
        <v>Inversión</v>
      </c>
      <c r="Y878" t="s">
        <v>5735</v>
      </c>
    </row>
    <row r="879" spans="1:25" x14ac:dyDescent="0.25">
      <c r="A879" t="s">
        <v>9226</v>
      </c>
      <c r="B879" t="s">
        <v>9769</v>
      </c>
      <c r="C879" t="s">
        <v>10414</v>
      </c>
      <c r="D879" t="s">
        <v>5720</v>
      </c>
      <c r="E879" t="s">
        <v>5721</v>
      </c>
      <c r="F879" t="s">
        <v>5733</v>
      </c>
      <c r="G879" t="s">
        <v>10367</v>
      </c>
      <c r="H879" t="s">
        <v>461</v>
      </c>
      <c r="I879" t="s">
        <v>644</v>
      </c>
      <c r="J879" t="s">
        <v>266</v>
      </c>
      <c r="K879" t="s">
        <v>5724</v>
      </c>
      <c r="L879" t="s">
        <v>267</v>
      </c>
      <c r="M879">
        <v>4804142</v>
      </c>
      <c r="N879">
        <v>0</v>
      </c>
      <c r="O879">
        <v>4804142</v>
      </c>
      <c r="P879">
        <v>525055</v>
      </c>
      <c r="Q879" t="s">
        <v>10415</v>
      </c>
      <c r="R879" t="s">
        <v>9226</v>
      </c>
      <c r="S879" t="s">
        <v>10416</v>
      </c>
      <c r="T879" t="s">
        <v>10417</v>
      </c>
      <c r="U879" t="s">
        <v>10418</v>
      </c>
      <c r="V879" t="s">
        <v>10419</v>
      </c>
      <c r="W879" t="s">
        <v>9089</v>
      </c>
      <c r="X879" t="str">
        <f t="shared" si="13"/>
        <v>Inversión</v>
      </c>
      <c r="Y879" t="s">
        <v>5735</v>
      </c>
    </row>
    <row r="880" spans="1:25" x14ac:dyDescent="0.25">
      <c r="A880" t="s">
        <v>9425</v>
      </c>
      <c r="B880" t="s">
        <v>9769</v>
      </c>
      <c r="C880" t="s">
        <v>10420</v>
      </c>
      <c r="D880" t="s">
        <v>5720</v>
      </c>
      <c r="E880" t="s">
        <v>5721</v>
      </c>
      <c r="F880" t="s">
        <v>6619</v>
      </c>
      <c r="G880" t="s">
        <v>10367</v>
      </c>
      <c r="H880" t="s">
        <v>455</v>
      </c>
      <c r="I880" t="s">
        <v>643</v>
      </c>
      <c r="J880" t="s">
        <v>273</v>
      </c>
      <c r="K880" t="s">
        <v>5734</v>
      </c>
      <c r="L880" t="s">
        <v>267</v>
      </c>
      <c r="M880">
        <v>3597640</v>
      </c>
      <c r="N880">
        <v>3000000</v>
      </c>
      <c r="O880">
        <v>6597640</v>
      </c>
      <c r="P880">
        <v>3421670</v>
      </c>
      <c r="Q880" t="s">
        <v>10421</v>
      </c>
      <c r="R880" t="s">
        <v>9425</v>
      </c>
      <c r="S880" t="s">
        <v>10422</v>
      </c>
      <c r="T880" t="s">
        <v>10423</v>
      </c>
      <c r="U880" t="s">
        <v>10424</v>
      </c>
      <c r="V880" t="s">
        <v>10425</v>
      </c>
      <c r="W880" t="s">
        <v>5731</v>
      </c>
      <c r="X880" t="str">
        <f t="shared" si="13"/>
        <v>Inversión</v>
      </c>
      <c r="Y880" t="s">
        <v>6626</v>
      </c>
    </row>
    <row r="881" spans="1:25" x14ac:dyDescent="0.25">
      <c r="A881" t="s">
        <v>9146</v>
      </c>
      <c r="B881" t="s">
        <v>8073</v>
      </c>
      <c r="C881" t="s">
        <v>10426</v>
      </c>
      <c r="D881" t="s">
        <v>5720</v>
      </c>
      <c r="E881" t="s">
        <v>5721</v>
      </c>
      <c r="F881" t="s">
        <v>5733</v>
      </c>
      <c r="G881" t="s">
        <v>10367</v>
      </c>
      <c r="H881" t="s">
        <v>461</v>
      </c>
      <c r="I881" t="s">
        <v>644</v>
      </c>
      <c r="J881" t="s">
        <v>273</v>
      </c>
      <c r="K881" t="s">
        <v>5734</v>
      </c>
      <c r="L881" t="s">
        <v>267</v>
      </c>
      <c r="M881">
        <v>6294645</v>
      </c>
      <c r="N881">
        <v>0</v>
      </c>
      <c r="O881">
        <v>6294645</v>
      </c>
      <c r="P881">
        <v>0</v>
      </c>
      <c r="Q881" t="s">
        <v>10427</v>
      </c>
      <c r="R881" t="s">
        <v>9146</v>
      </c>
      <c r="S881" t="s">
        <v>6102</v>
      </c>
      <c r="T881" t="s">
        <v>6996</v>
      </c>
      <c r="U881" t="s">
        <v>7734</v>
      </c>
      <c r="V881" t="s">
        <v>10428</v>
      </c>
      <c r="W881" t="s">
        <v>5731</v>
      </c>
      <c r="X881" t="str">
        <f t="shared" si="13"/>
        <v>Inversión</v>
      </c>
      <c r="Y881" t="s">
        <v>5735</v>
      </c>
    </row>
    <row r="882" spans="1:25" x14ac:dyDescent="0.25">
      <c r="A882" t="s">
        <v>9108</v>
      </c>
      <c r="B882" t="s">
        <v>8807</v>
      </c>
      <c r="C882" t="s">
        <v>10429</v>
      </c>
      <c r="D882" t="s">
        <v>5720</v>
      </c>
      <c r="E882" t="s">
        <v>5737</v>
      </c>
      <c r="F882" t="s">
        <v>5722</v>
      </c>
      <c r="G882" t="s">
        <v>10367</v>
      </c>
      <c r="H882" t="s">
        <v>453</v>
      </c>
      <c r="I882" t="s">
        <v>664</v>
      </c>
      <c r="J882" t="s">
        <v>266</v>
      </c>
      <c r="K882" t="s">
        <v>5724</v>
      </c>
      <c r="L882" t="s">
        <v>267</v>
      </c>
      <c r="M882">
        <v>1500000</v>
      </c>
      <c r="N882">
        <v>0</v>
      </c>
      <c r="O882">
        <v>1500000</v>
      </c>
      <c r="P882">
        <v>1500000</v>
      </c>
      <c r="Q882" t="s">
        <v>10430</v>
      </c>
      <c r="R882" t="s">
        <v>9108</v>
      </c>
      <c r="S882" t="s">
        <v>5731</v>
      </c>
      <c r="T882" t="s">
        <v>5731</v>
      </c>
      <c r="U882" t="s">
        <v>5731</v>
      </c>
      <c r="V882" t="s">
        <v>5731</v>
      </c>
      <c r="W882" t="s">
        <v>5731</v>
      </c>
      <c r="X882" t="str">
        <f t="shared" si="13"/>
        <v>Inversión</v>
      </c>
      <c r="Y882" t="s">
        <v>5732</v>
      </c>
    </row>
    <row r="883" spans="1:25" x14ac:dyDescent="0.25">
      <c r="A883" t="s">
        <v>9178</v>
      </c>
      <c r="B883" t="s">
        <v>9195</v>
      </c>
      <c r="C883" t="s">
        <v>10431</v>
      </c>
      <c r="D883" t="s">
        <v>5720</v>
      </c>
      <c r="E883" t="s">
        <v>5721</v>
      </c>
      <c r="F883" t="s">
        <v>5733</v>
      </c>
      <c r="G883" t="s">
        <v>10367</v>
      </c>
      <c r="H883" t="s">
        <v>461</v>
      </c>
      <c r="I883" t="s">
        <v>644</v>
      </c>
      <c r="J883" t="s">
        <v>273</v>
      </c>
      <c r="K883" t="s">
        <v>5734</v>
      </c>
      <c r="L883" t="s">
        <v>267</v>
      </c>
      <c r="M883">
        <v>56650000</v>
      </c>
      <c r="N883">
        <v>0</v>
      </c>
      <c r="O883">
        <v>56650000</v>
      </c>
      <c r="P883">
        <v>33990000</v>
      </c>
      <c r="Q883" t="s">
        <v>10432</v>
      </c>
      <c r="R883" t="s">
        <v>9178</v>
      </c>
      <c r="S883" t="s">
        <v>10433</v>
      </c>
      <c r="T883" t="s">
        <v>5731</v>
      </c>
      <c r="U883" t="s">
        <v>5731</v>
      </c>
      <c r="V883" t="s">
        <v>5731</v>
      </c>
      <c r="W883" t="s">
        <v>5731</v>
      </c>
      <c r="X883" t="str">
        <f t="shared" si="13"/>
        <v>Inversión</v>
      </c>
      <c r="Y883" t="s">
        <v>5735</v>
      </c>
    </row>
    <row r="884" spans="1:25" x14ac:dyDescent="0.25">
      <c r="A884" t="s">
        <v>9182</v>
      </c>
      <c r="B884" t="s">
        <v>9195</v>
      </c>
      <c r="C884" t="s">
        <v>10434</v>
      </c>
      <c r="D884" t="s">
        <v>5720</v>
      </c>
      <c r="E884" t="s">
        <v>5737</v>
      </c>
      <c r="F884" t="s">
        <v>5733</v>
      </c>
      <c r="G884" t="s">
        <v>10367</v>
      </c>
      <c r="H884" t="s">
        <v>461</v>
      </c>
      <c r="I884" t="s">
        <v>644</v>
      </c>
      <c r="J884" t="s">
        <v>273</v>
      </c>
      <c r="K884" t="s">
        <v>5734</v>
      </c>
      <c r="L884" t="s">
        <v>267</v>
      </c>
      <c r="M884">
        <v>8392860</v>
      </c>
      <c r="N884">
        <v>0</v>
      </c>
      <c r="O884">
        <v>8392860</v>
      </c>
      <c r="P884">
        <v>8392860</v>
      </c>
      <c r="Q884" t="s">
        <v>10435</v>
      </c>
      <c r="R884" t="s">
        <v>9182</v>
      </c>
      <c r="S884" t="s">
        <v>5731</v>
      </c>
      <c r="T884" t="s">
        <v>5731</v>
      </c>
      <c r="U884" t="s">
        <v>5731</v>
      </c>
      <c r="V884" t="s">
        <v>5731</v>
      </c>
      <c r="W884" t="s">
        <v>5731</v>
      </c>
      <c r="X884" t="str">
        <f t="shared" si="13"/>
        <v>Inversión</v>
      </c>
      <c r="Y884" t="s">
        <v>5735</v>
      </c>
    </row>
    <row r="885" spans="1:25" x14ac:dyDescent="0.25">
      <c r="A885" t="s">
        <v>9098</v>
      </c>
      <c r="B885" t="s">
        <v>9195</v>
      </c>
      <c r="C885" t="s">
        <v>10436</v>
      </c>
      <c r="D885" t="s">
        <v>5720</v>
      </c>
      <c r="E885" t="s">
        <v>5737</v>
      </c>
      <c r="F885" t="s">
        <v>5733</v>
      </c>
      <c r="G885" t="s">
        <v>10367</v>
      </c>
      <c r="H885" t="s">
        <v>461</v>
      </c>
      <c r="I885" t="s">
        <v>644</v>
      </c>
      <c r="J885" t="s">
        <v>273</v>
      </c>
      <c r="K885" t="s">
        <v>5734</v>
      </c>
      <c r="L885" t="s">
        <v>267</v>
      </c>
      <c r="M885">
        <v>13609944</v>
      </c>
      <c r="N885">
        <v>0</v>
      </c>
      <c r="O885">
        <v>13609944</v>
      </c>
      <c r="P885">
        <v>13609944</v>
      </c>
      <c r="Q885" t="s">
        <v>10437</v>
      </c>
      <c r="R885" t="s">
        <v>9098</v>
      </c>
      <c r="S885" t="s">
        <v>5731</v>
      </c>
      <c r="T885" t="s">
        <v>5731</v>
      </c>
      <c r="U885" t="s">
        <v>5731</v>
      </c>
      <c r="V885" t="s">
        <v>5731</v>
      </c>
      <c r="W885" t="s">
        <v>5731</v>
      </c>
      <c r="X885" t="str">
        <f t="shared" si="13"/>
        <v>Inversión</v>
      </c>
      <c r="Y885" t="s">
        <v>5735</v>
      </c>
    </row>
    <row r="886" spans="1:25" x14ac:dyDescent="0.25">
      <c r="A886" t="s">
        <v>9106</v>
      </c>
      <c r="B886" t="s">
        <v>9195</v>
      </c>
      <c r="C886" t="s">
        <v>10438</v>
      </c>
      <c r="D886" t="s">
        <v>5720</v>
      </c>
      <c r="E886" t="s">
        <v>5737</v>
      </c>
      <c r="F886" t="s">
        <v>5733</v>
      </c>
      <c r="G886" t="s">
        <v>10367</v>
      </c>
      <c r="H886" t="s">
        <v>461</v>
      </c>
      <c r="I886" t="s">
        <v>644</v>
      </c>
      <c r="J886" t="s">
        <v>273</v>
      </c>
      <c r="K886" t="s">
        <v>5734</v>
      </c>
      <c r="L886" t="s">
        <v>267</v>
      </c>
      <c r="M886">
        <v>21371864</v>
      </c>
      <c r="N886">
        <v>0</v>
      </c>
      <c r="O886">
        <v>21371864</v>
      </c>
      <c r="P886">
        <v>21371864</v>
      </c>
      <c r="Q886" t="s">
        <v>10439</v>
      </c>
      <c r="R886" t="s">
        <v>9106</v>
      </c>
      <c r="S886" t="s">
        <v>5731</v>
      </c>
      <c r="T886" t="s">
        <v>5731</v>
      </c>
      <c r="U886" t="s">
        <v>5731</v>
      </c>
      <c r="V886" t="s">
        <v>5731</v>
      </c>
      <c r="W886" t="s">
        <v>5731</v>
      </c>
      <c r="X886" t="str">
        <f t="shared" si="13"/>
        <v>Inversión</v>
      </c>
      <c r="Y886" t="s">
        <v>5735</v>
      </c>
    </row>
    <row r="887" spans="1:25" x14ac:dyDescent="0.25">
      <c r="A887" t="s">
        <v>9111</v>
      </c>
      <c r="B887" t="s">
        <v>9195</v>
      </c>
      <c r="C887" t="s">
        <v>10440</v>
      </c>
      <c r="D887" t="s">
        <v>5720</v>
      </c>
      <c r="E887" t="s">
        <v>5737</v>
      </c>
      <c r="F887" t="s">
        <v>5733</v>
      </c>
      <c r="G887" t="s">
        <v>10367</v>
      </c>
      <c r="H887" t="s">
        <v>461</v>
      </c>
      <c r="I887" t="s">
        <v>644</v>
      </c>
      <c r="J887" t="s">
        <v>273</v>
      </c>
      <c r="K887" t="s">
        <v>5734</v>
      </c>
      <c r="L887" t="s">
        <v>267</v>
      </c>
      <c r="M887">
        <v>8636690</v>
      </c>
      <c r="N887">
        <v>0</v>
      </c>
      <c r="O887">
        <v>8636690</v>
      </c>
      <c r="P887">
        <v>8636690</v>
      </c>
      <c r="Q887" t="s">
        <v>10441</v>
      </c>
      <c r="R887" t="s">
        <v>9111</v>
      </c>
      <c r="S887" t="s">
        <v>5731</v>
      </c>
      <c r="T887" t="s">
        <v>5731</v>
      </c>
      <c r="U887" t="s">
        <v>5731</v>
      </c>
      <c r="V887" t="s">
        <v>5731</v>
      </c>
      <c r="W887" t="s">
        <v>5731</v>
      </c>
      <c r="X887" t="str">
        <f t="shared" si="13"/>
        <v>Inversión</v>
      </c>
      <c r="Y887" t="s">
        <v>5735</v>
      </c>
    </row>
    <row r="888" spans="1:25" x14ac:dyDescent="0.25">
      <c r="A888" t="s">
        <v>5742</v>
      </c>
      <c r="B888" t="s">
        <v>9003</v>
      </c>
      <c r="C888" t="s">
        <v>10442</v>
      </c>
      <c r="D888" t="s">
        <v>5720</v>
      </c>
      <c r="E888" t="s">
        <v>5737</v>
      </c>
      <c r="F888" t="s">
        <v>5733</v>
      </c>
      <c r="G888" t="s">
        <v>10367</v>
      </c>
      <c r="H888" t="s">
        <v>461</v>
      </c>
      <c r="I888" t="s">
        <v>644</v>
      </c>
      <c r="J888" t="s">
        <v>273</v>
      </c>
      <c r="K888" t="s">
        <v>5734</v>
      </c>
      <c r="L888" t="s">
        <v>267</v>
      </c>
      <c r="M888">
        <v>24529540</v>
      </c>
      <c r="N888">
        <v>0</v>
      </c>
      <c r="O888">
        <v>24529540</v>
      </c>
      <c r="P888">
        <v>24529540</v>
      </c>
      <c r="Q888" t="s">
        <v>10443</v>
      </c>
      <c r="R888" t="s">
        <v>5742</v>
      </c>
      <c r="S888" t="s">
        <v>5731</v>
      </c>
      <c r="T888" t="s">
        <v>5731</v>
      </c>
      <c r="U888" t="s">
        <v>5731</v>
      </c>
      <c r="V888" t="s">
        <v>5731</v>
      </c>
      <c r="W888" t="s">
        <v>5731</v>
      </c>
      <c r="X888" t="str">
        <f t="shared" si="13"/>
        <v>Inversión</v>
      </c>
      <c r="Y888" t="s">
        <v>5735</v>
      </c>
    </row>
    <row r="889" spans="1:25" x14ac:dyDescent="0.25">
      <c r="A889" t="s">
        <v>9202</v>
      </c>
      <c r="B889" t="s">
        <v>10444</v>
      </c>
      <c r="C889" t="s">
        <v>10445</v>
      </c>
      <c r="D889" t="s">
        <v>5720</v>
      </c>
      <c r="E889" t="s">
        <v>5969</v>
      </c>
      <c r="F889" t="s">
        <v>5722</v>
      </c>
      <c r="G889" t="s">
        <v>10446</v>
      </c>
      <c r="H889" t="s">
        <v>448</v>
      </c>
      <c r="I889" t="s">
        <v>663</v>
      </c>
      <c r="J889" t="s">
        <v>266</v>
      </c>
      <c r="K889" t="s">
        <v>5724</v>
      </c>
      <c r="L889" t="s">
        <v>267</v>
      </c>
      <c r="M889">
        <v>25400000</v>
      </c>
      <c r="N889">
        <v>-25400000</v>
      </c>
      <c r="O889">
        <v>0</v>
      </c>
      <c r="P889">
        <v>0</v>
      </c>
      <c r="Q889" t="s">
        <v>10447</v>
      </c>
      <c r="R889" t="s">
        <v>9236</v>
      </c>
      <c r="S889" t="s">
        <v>5731</v>
      </c>
      <c r="T889" t="s">
        <v>5731</v>
      </c>
      <c r="U889" t="s">
        <v>5731</v>
      </c>
      <c r="V889" t="s">
        <v>5731</v>
      </c>
      <c r="W889" t="s">
        <v>5731</v>
      </c>
      <c r="X889" t="str">
        <f t="shared" si="13"/>
        <v>Inversión</v>
      </c>
      <c r="Y889" t="s">
        <v>5732</v>
      </c>
    </row>
    <row r="890" spans="1:25" x14ac:dyDescent="0.25">
      <c r="A890" t="s">
        <v>9236</v>
      </c>
      <c r="B890" t="s">
        <v>10444</v>
      </c>
      <c r="C890" t="s">
        <v>10448</v>
      </c>
      <c r="D890" t="s">
        <v>5720</v>
      </c>
      <c r="E890" t="s">
        <v>5721</v>
      </c>
      <c r="F890" t="s">
        <v>5722</v>
      </c>
      <c r="G890" t="s">
        <v>10446</v>
      </c>
      <c r="H890" t="s">
        <v>448</v>
      </c>
      <c r="I890" t="s">
        <v>663</v>
      </c>
      <c r="J890" t="s">
        <v>266</v>
      </c>
      <c r="K890" t="s">
        <v>5724</v>
      </c>
      <c r="L890" t="s">
        <v>267</v>
      </c>
      <c r="M890">
        <v>25400000</v>
      </c>
      <c r="N890">
        <v>0</v>
      </c>
      <c r="O890">
        <v>25400000</v>
      </c>
      <c r="P890">
        <v>0</v>
      </c>
      <c r="Q890" t="s">
        <v>10447</v>
      </c>
      <c r="R890" t="s">
        <v>9236</v>
      </c>
      <c r="S890" t="s">
        <v>10449</v>
      </c>
      <c r="T890" t="s">
        <v>10450</v>
      </c>
      <c r="U890" t="s">
        <v>10451</v>
      </c>
      <c r="V890" t="s">
        <v>10452</v>
      </c>
      <c r="W890" t="s">
        <v>5731</v>
      </c>
      <c r="X890" t="str">
        <f t="shared" si="13"/>
        <v>Inversión</v>
      </c>
      <c r="Y890" t="s">
        <v>5732</v>
      </c>
    </row>
    <row r="891" spans="1:25" x14ac:dyDescent="0.25">
      <c r="A891" t="s">
        <v>9075</v>
      </c>
      <c r="B891" t="s">
        <v>7237</v>
      </c>
      <c r="C891" t="s">
        <v>10453</v>
      </c>
      <c r="D891" t="s">
        <v>5720</v>
      </c>
      <c r="E891" t="s">
        <v>5721</v>
      </c>
      <c r="F891" t="s">
        <v>5733</v>
      </c>
      <c r="G891" t="s">
        <v>10446</v>
      </c>
      <c r="H891" t="s">
        <v>461</v>
      </c>
      <c r="I891" t="s">
        <v>644</v>
      </c>
      <c r="J891" t="s">
        <v>266</v>
      </c>
      <c r="K891" t="s">
        <v>5724</v>
      </c>
      <c r="L891" t="s">
        <v>267</v>
      </c>
      <c r="M891">
        <v>20982150</v>
      </c>
      <c r="N891">
        <v>0</v>
      </c>
      <c r="O891">
        <v>20982150</v>
      </c>
      <c r="P891">
        <v>0</v>
      </c>
      <c r="Q891" t="s">
        <v>10454</v>
      </c>
      <c r="R891" t="s">
        <v>9075</v>
      </c>
      <c r="S891" t="s">
        <v>5787</v>
      </c>
      <c r="T891" t="s">
        <v>5975</v>
      </c>
      <c r="U891" t="s">
        <v>10455</v>
      </c>
      <c r="V891" t="s">
        <v>10456</v>
      </c>
      <c r="W891" t="s">
        <v>5731</v>
      </c>
      <c r="X891" t="str">
        <f t="shared" si="13"/>
        <v>Inversión</v>
      </c>
      <c r="Y891" t="s">
        <v>5735</v>
      </c>
    </row>
    <row r="892" spans="1:25" x14ac:dyDescent="0.25">
      <c r="A892" t="s">
        <v>5844</v>
      </c>
      <c r="B892" t="s">
        <v>7237</v>
      </c>
      <c r="C892" t="s">
        <v>10457</v>
      </c>
      <c r="D892" t="s">
        <v>5720</v>
      </c>
      <c r="E892" t="s">
        <v>5721</v>
      </c>
      <c r="F892" t="s">
        <v>5733</v>
      </c>
      <c r="G892" t="s">
        <v>10446</v>
      </c>
      <c r="H892" t="s">
        <v>461</v>
      </c>
      <c r="I892" t="s">
        <v>644</v>
      </c>
      <c r="J892" t="s">
        <v>266</v>
      </c>
      <c r="K892" t="s">
        <v>5724</v>
      </c>
      <c r="L892" t="s">
        <v>267</v>
      </c>
      <c r="M892">
        <v>36402360</v>
      </c>
      <c r="N892">
        <v>0</v>
      </c>
      <c r="O892">
        <v>36402360</v>
      </c>
      <c r="P892">
        <v>0</v>
      </c>
      <c r="Q892" t="s">
        <v>10458</v>
      </c>
      <c r="R892" t="s">
        <v>5844</v>
      </c>
      <c r="S892" t="s">
        <v>5848</v>
      </c>
      <c r="T892" t="s">
        <v>5978</v>
      </c>
      <c r="U892" t="s">
        <v>10459</v>
      </c>
      <c r="V892" t="s">
        <v>10460</v>
      </c>
      <c r="W892" t="s">
        <v>5731</v>
      </c>
      <c r="X892" t="str">
        <f t="shared" si="13"/>
        <v>Inversión</v>
      </c>
      <c r="Y892" t="s">
        <v>5735</v>
      </c>
    </row>
    <row r="893" spans="1:25" x14ac:dyDescent="0.25">
      <c r="A893" t="s">
        <v>9058</v>
      </c>
      <c r="B893" t="s">
        <v>7237</v>
      </c>
      <c r="C893" t="s">
        <v>10461</v>
      </c>
      <c r="D893" t="s">
        <v>5720</v>
      </c>
      <c r="E893" t="s">
        <v>5721</v>
      </c>
      <c r="F893" t="s">
        <v>5733</v>
      </c>
      <c r="G893" t="s">
        <v>10446</v>
      </c>
      <c r="H893" t="s">
        <v>461</v>
      </c>
      <c r="I893" t="s">
        <v>644</v>
      </c>
      <c r="J893" t="s">
        <v>266</v>
      </c>
      <c r="K893" t="s">
        <v>5724</v>
      </c>
      <c r="L893" t="s">
        <v>267</v>
      </c>
      <c r="M893">
        <v>17012430</v>
      </c>
      <c r="N893">
        <v>0</v>
      </c>
      <c r="O893">
        <v>17012430</v>
      </c>
      <c r="P893">
        <v>0</v>
      </c>
      <c r="Q893" t="s">
        <v>10462</v>
      </c>
      <c r="R893" t="s">
        <v>9058</v>
      </c>
      <c r="S893" t="s">
        <v>5794</v>
      </c>
      <c r="T893" t="s">
        <v>5967</v>
      </c>
      <c r="U893" t="s">
        <v>10463</v>
      </c>
      <c r="V893" t="s">
        <v>10464</v>
      </c>
      <c r="W893" t="s">
        <v>5731</v>
      </c>
      <c r="X893" t="str">
        <f t="shared" si="13"/>
        <v>Inversión</v>
      </c>
      <c r="Y893" t="s">
        <v>5735</v>
      </c>
    </row>
    <row r="894" spans="1:25" x14ac:dyDescent="0.25">
      <c r="A894" t="s">
        <v>9057</v>
      </c>
      <c r="B894" t="s">
        <v>7237</v>
      </c>
      <c r="C894" t="s">
        <v>10465</v>
      </c>
      <c r="D894" t="s">
        <v>5720</v>
      </c>
      <c r="E894" t="s">
        <v>5721</v>
      </c>
      <c r="F894" t="s">
        <v>5733</v>
      </c>
      <c r="G894" t="s">
        <v>10446</v>
      </c>
      <c r="H894" t="s">
        <v>461</v>
      </c>
      <c r="I894" t="s">
        <v>644</v>
      </c>
      <c r="J894" t="s">
        <v>266</v>
      </c>
      <c r="K894" t="s">
        <v>5724</v>
      </c>
      <c r="L894" t="s">
        <v>267</v>
      </c>
      <c r="M894">
        <v>26714830</v>
      </c>
      <c r="N894">
        <v>0</v>
      </c>
      <c r="O894">
        <v>26714830</v>
      </c>
      <c r="P894">
        <v>0</v>
      </c>
      <c r="Q894" t="s">
        <v>10466</v>
      </c>
      <c r="R894" t="s">
        <v>9057</v>
      </c>
      <c r="S894" t="s">
        <v>5740</v>
      </c>
      <c r="T894" t="s">
        <v>5972</v>
      </c>
      <c r="U894" t="s">
        <v>10467</v>
      </c>
      <c r="V894" t="s">
        <v>10468</v>
      </c>
      <c r="W894" t="s">
        <v>5731</v>
      </c>
      <c r="X894" t="str">
        <f t="shared" si="13"/>
        <v>Inversión</v>
      </c>
      <c r="Y894" t="s">
        <v>5735</v>
      </c>
    </row>
    <row r="895" spans="1:25" x14ac:dyDescent="0.25">
      <c r="A895" t="s">
        <v>9149</v>
      </c>
      <c r="B895" t="s">
        <v>7237</v>
      </c>
      <c r="C895" t="s">
        <v>10469</v>
      </c>
      <c r="D895" t="s">
        <v>5720</v>
      </c>
      <c r="E895" t="s">
        <v>5721</v>
      </c>
      <c r="F895" t="s">
        <v>6619</v>
      </c>
      <c r="G895" t="s">
        <v>10446</v>
      </c>
      <c r="H895" t="s">
        <v>455</v>
      </c>
      <c r="I895" t="s">
        <v>643</v>
      </c>
      <c r="J895" t="s">
        <v>273</v>
      </c>
      <c r="K895" t="s">
        <v>5734</v>
      </c>
      <c r="L895" t="s">
        <v>267</v>
      </c>
      <c r="M895">
        <v>36402360</v>
      </c>
      <c r="N895">
        <v>-29364570</v>
      </c>
      <c r="O895">
        <v>7037790</v>
      </c>
      <c r="P895">
        <v>0</v>
      </c>
      <c r="Q895" t="s">
        <v>10470</v>
      </c>
      <c r="R895" t="s">
        <v>9149</v>
      </c>
      <c r="S895" t="s">
        <v>5784</v>
      </c>
      <c r="T895" t="s">
        <v>6388</v>
      </c>
      <c r="U895" t="s">
        <v>10471</v>
      </c>
      <c r="V895" t="s">
        <v>10472</v>
      </c>
      <c r="W895" t="s">
        <v>5731</v>
      </c>
      <c r="X895" t="str">
        <f t="shared" si="13"/>
        <v>Inversión</v>
      </c>
      <c r="Y895" t="s">
        <v>6626</v>
      </c>
    </row>
    <row r="896" spans="1:25" x14ac:dyDescent="0.25">
      <c r="A896" t="s">
        <v>6935</v>
      </c>
      <c r="B896" t="s">
        <v>7237</v>
      </c>
      <c r="C896" t="s">
        <v>9694</v>
      </c>
      <c r="D896" t="s">
        <v>5720</v>
      </c>
      <c r="E896" t="s">
        <v>5721</v>
      </c>
      <c r="F896" t="s">
        <v>6619</v>
      </c>
      <c r="G896" t="s">
        <v>10446</v>
      </c>
      <c r="H896" t="s">
        <v>455</v>
      </c>
      <c r="I896" t="s">
        <v>643</v>
      </c>
      <c r="J896" t="s">
        <v>273</v>
      </c>
      <c r="K896" t="s">
        <v>5734</v>
      </c>
      <c r="L896" t="s">
        <v>267</v>
      </c>
      <c r="M896">
        <v>3597640</v>
      </c>
      <c r="N896">
        <v>2669506</v>
      </c>
      <c r="O896">
        <v>6267146</v>
      </c>
      <c r="P896">
        <v>2391993</v>
      </c>
      <c r="Q896" t="s">
        <v>10473</v>
      </c>
      <c r="R896" t="s">
        <v>6935</v>
      </c>
      <c r="S896" t="s">
        <v>10474</v>
      </c>
      <c r="T896" t="s">
        <v>10475</v>
      </c>
      <c r="U896" t="s">
        <v>10476</v>
      </c>
      <c r="V896" t="s">
        <v>10477</v>
      </c>
      <c r="W896" t="s">
        <v>5731</v>
      </c>
      <c r="X896" t="str">
        <f t="shared" si="13"/>
        <v>Inversión</v>
      </c>
      <c r="Y896" t="s">
        <v>6626</v>
      </c>
    </row>
    <row r="897" spans="1:25" x14ac:dyDescent="0.25">
      <c r="A897" t="s">
        <v>9223</v>
      </c>
      <c r="B897" t="s">
        <v>7237</v>
      </c>
      <c r="C897" t="s">
        <v>10478</v>
      </c>
      <c r="D897" t="s">
        <v>5720</v>
      </c>
      <c r="E897" t="s">
        <v>5721</v>
      </c>
      <c r="F897" t="s">
        <v>5733</v>
      </c>
      <c r="G897" t="s">
        <v>10446</v>
      </c>
      <c r="H897" t="s">
        <v>461</v>
      </c>
      <c r="I897" t="s">
        <v>644</v>
      </c>
      <c r="J897" t="s">
        <v>266</v>
      </c>
      <c r="K897" t="s">
        <v>5724</v>
      </c>
      <c r="L897" t="s">
        <v>267</v>
      </c>
      <c r="M897">
        <v>29121888</v>
      </c>
      <c r="N897">
        <v>8979249</v>
      </c>
      <c r="O897">
        <v>38101137</v>
      </c>
      <c r="P897">
        <v>8979249</v>
      </c>
      <c r="Q897" t="s">
        <v>10479</v>
      </c>
      <c r="R897" t="s">
        <v>9223</v>
      </c>
      <c r="S897" t="s">
        <v>5823</v>
      </c>
      <c r="T897" t="s">
        <v>5960</v>
      </c>
      <c r="U897" t="s">
        <v>10480</v>
      </c>
      <c r="V897" t="s">
        <v>10481</v>
      </c>
      <c r="W897" t="s">
        <v>5731</v>
      </c>
      <c r="X897" t="str">
        <f t="shared" si="13"/>
        <v>Inversión</v>
      </c>
      <c r="Y897" t="s">
        <v>5735</v>
      </c>
    </row>
    <row r="898" spans="1:25" x14ac:dyDescent="0.25">
      <c r="A898" t="s">
        <v>9226</v>
      </c>
      <c r="B898" t="s">
        <v>7237</v>
      </c>
      <c r="C898" t="s">
        <v>10482</v>
      </c>
      <c r="D898" t="s">
        <v>5720</v>
      </c>
      <c r="E898" t="s">
        <v>5737</v>
      </c>
      <c r="F898" t="s">
        <v>5733</v>
      </c>
      <c r="G898" t="s">
        <v>10446</v>
      </c>
      <c r="H898" t="s">
        <v>461</v>
      </c>
      <c r="I898" t="s">
        <v>644</v>
      </c>
      <c r="J898" t="s">
        <v>266</v>
      </c>
      <c r="K898" t="s">
        <v>5724</v>
      </c>
      <c r="L898" t="s">
        <v>267</v>
      </c>
      <c r="M898">
        <v>1203112</v>
      </c>
      <c r="N898">
        <v>0</v>
      </c>
      <c r="O898">
        <v>1203112</v>
      </c>
      <c r="P898">
        <v>1203112</v>
      </c>
      <c r="Q898" t="s">
        <v>10483</v>
      </c>
      <c r="R898" t="s">
        <v>9226</v>
      </c>
      <c r="S898" t="s">
        <v>5852</v>
      </c>
      <c r="T898" t="s">
        <v>5731</v>
      </c>
      <c r="U898" t="s">
        <v>5731</v>
      </c>
      <c r="V898" t="s">
        <v>5731</v>
      </c>
      <c r="W898" t="s">
        <v>5731</v>
      </c>
      <c r="X898" t="str">
        <f t="shared" ref="X898:X945" si="14">IF(LEFT(H898,1)="C","Inversión","Funcionamiento")</f>
        <v>Inversión</v>
      </c>
      <c r="Y898" t="s">
        <v>5735</v>
      </c>
    </row>
    <row r="899" spans="1:25" x14ac:dyDescent="0.25">
      <c r="A899" t="s">
        <v>9272</v>
      </c>
      <c r="B899" t="s">
        <v>7237</v>
      </c>
      <c r="C899" t="s">
        <v>10484</v>
      </c>
      <c r="D899" t="s">
        <v>5720</v>
      </c>
      <c r="E899" t="s">
        <v>5721</v>
      </c>
      <c r="F899" t="s">
        <v>5733</v>
      </c>
      <c r="G899" t="s">
        <v>10446</v>
      </c>
      <c r="H899" t="s">
        <v>461</v>
      </c>
      <c r="I899" t="s">
        <v>644</v>
      </c>
      <c r="J899" t="s">
        <v>266</v>
      </c>
      <c r="K899" t="s">
        <v>5724</v>
      </c>
      <c r="L899" t="s">
        <v>267</v>
      </c>
      <c r="M899">
        <v>67161122</v>
      </c>
      <c r="N899">
        <v>0</v>
      </c>
      <c r="O899">
        <v>67161122</v>
      </c>
      <c r="P899">
        <v>36676258</v>
      </c>
      <c r="Q899" t="s">
        <v>10485</v>
      </c>
      <c r="R899" t="s">
        <v>9272</v>
      </c>
      <c r="S899" t="s">
        <v>10486</v>
      </c>
      <c r="T899" t="s">
        <v>10487</v>
      </c>
      <c r="U899" t="s">
        <v>10488</v>
      </c>
      <c r="V899" t="s">
        <v>10489</v>
      </c>
      <c r="W899" t="s">
        <v>9089</v>
      </c>
      <c r="X899" t="str">
        <f t="shared" si="14"/>
        <v>Inversión</v>
      </c>
      <c r="Y899" t="s">
        <v>5735</v>
      </c>
    </row>
    <row r="900" spans="1:25" x14ac:dyDescent="0.25">
      <c r="A900" t="s">
        <v>9258</v>
      </c>
      <c r="B900" t="s">
        <v>7809</v>
      </c>
      <c r="C900" t="s">
        <v>10490</v>
      </c>
      <c r="D900" t="s">
        <v>5720</v>
      </c>
      <c r="E900" t="s">
        <v>5721</v>
      </c>
      <c r="F900" t="s">
        <v>5802</v>
      </c>
      <c r="G900" t="s">
        <v>10446</v>
      </c>
      <c r="H900" t="s">
        <v>444</v>
      </c>
      <c r="I900" t="s">
        <v>634</v>
      </c>
      <c r="J900" t="s">
        <v>266</v>
      </c>
      <c r="K900" t="s">
        <v>5724</v>
      </c>
      <c r="L900" t="s">
        <v>267</v>
      </c>
      <c r="M900">
        <v>1042773</v>
      </c>
      <c r="N900">
        <v>-95000</v>
      </c>
      <c r="O900">
        <v>947773</v>
      </c>
      <c r="P900">
        <v>0</v>
      </c>
      <c r="Q900" t="s">
        <v>10491</v>
      </c>
      <c r="R900" t="s">
        <v>9258</v>
      </c>
      <c r="S900" t="s">
        <v>5907</v>
      </c>
      <c r="T900" t="s">
        <v>5981</v>
      </c>
      <c r="U900" t="s">
        <v>6123</v>
      </c>
      <c r="V900" t="s">
        <v>10492</v>
      </c>
      <c r="W900" t="s">
        <v>5731</v>
      </c>
      <c r="X900" t="str">
        <f t="shared" si="14"/>
        <v>Inversión</v>
      </c>
      <c r="Y900" t="s">
        <v>5810</v>
      </c>
    </row>
    <row r="901" spans="1:25" x14ac:dyDescent="0.25">
      <c r="A901" t="s">
        <v>7504</v>
      </c>
      <c r="B901" t="s">
        <v>10206</v>
      </c>
      <c r="C901" t="s">
        <v>10493</v>
      </c>
      <c r="D901" t="s">
        <v>5720</v>
      </c>
      <c r="E901" t="s">
        <v>5721</v>
      </c>
      <c r="F901" t="s">
        <v>5733</v>
      </c>
      <c r="G901" t="s">
        <v>10446</v>
      </c>
      <c r="H901" t="s">
        <v>461</v>
      </c>
      <c r="I901" t="s">
        <v>644</v>
      </c>
      <c r="J901" t="s">
        <v>273</v>
      </c>
      <c r="K901" t="s">
        <v>5734</v>
      </c>
      <c r="L901" t="s">
        <v>267</v>
      </c>
      <c r="M901">
        <v>17322660</v>
      </c>
      <c r="N901">
        <v>0</v>
      </c>
      <c r="O901">
        <v>17322660</v>
      </c>
      <c r="P901">
        <v>0</v>
      </c>
      <c r="Q901" t="s">
        <v>10494</v>
      </c>
      <c r="R901" t="s">
        <v>7504</v>
      </c>
      <c r="S901" t="s">
        <v>10495</v>
      </c>
      <c r="T901" t="s">
        <v>10496</v>
      </c>
      <c r="U901" t="s">
        <v>10497</v>
      </c>
      <c r="V901" t="s">
        <v>10498</v>
      </c>
      <c r="W901" t="s">
        <v>5731</v>
      </c>
      <c r="X901" t="str">
        <f t="shared" si="14"/>
        <v>Inversión</v>
      </c>
      <c r="Y901" t="s">
        <v>5735</v>
      </c>
    </row>
    <row r="902" spans="1:25" x14ac:dyDescent="0.25">
      <c r="A902" t="s">
        <v>9269</v>
      </c>
      <c r="B902" t="s">
        <v>8097</v>
      </c>
      <c r="C902" t="s">
        <v>10499</v>
      </c>
      <c r="D902" t="s">
        <v>5720</v>
      </c>
      <c r="E902" t="s">
        <v>5721</v>
      </c>
      <c r="F902" t="s">
        <v>5733</v>
      </c>
      <c r="G902" t="s">
        <v>10446</v>
      </c>
      <c r="H902" t="s">
        <v>461</v>
      </c>
      <c r="I902" t="s">
        <v>644</v>
      </c>
      <c r="J902" t="s">
        <v>273</v>
      </c>
      <c r="K902" t="s">
        <v>5734</v>
      </c>
      <c r="L902" t="s">
        <v>267</v>
      </c>
      <c r="M902">
        <v>18883935</v>
      </c>
      <c r="N902">
        <v>0</v>
      </c>
      <c r="O902">
        <v>18883935</v>
      </c>
      <c r="P902">
        <v>0</v>
      </c>
      <c r="Q902" t="s">
        <v>10500</v>
      </c>
      <c r="R902" t="s">
        <v>9269</v>
      </c>
      <c r="S902" t="s">
        <v>10501</v>
      </c>
      <c r="T902" t="s">
        <v>10502</v>
      </c>
      <c r="U902" t="s">
        <v>10503</v>
      </c>
      <c r="V902" t="s">
        <v>10504</v>
      </c>
      <c r="W902" t="s">
        <v>5731</v>
      </c>
      <c r="X902" t="str">
        <f t="shared" si="14"/>
        <v>Inversión</v>
      </c>
      <c r="Y902" t="s">
        <v>5735</v>
      </c>
    </row>
    <row r="903" spans="1:25" x14ac:dyDescent="0.25">
      <c r="A903" t="s">
        <v>9093</v>
      </c>
      <c r="B903" t="s">
        <v>9160</v>
      </c>
      <c r="C903" t="s">
        <v>10505</v>
      </c>
      <c r="D903" t="s">
        <v>5720</v>
      </c>
      <c r="E903" t="s">
        <v>5721</v>
      </c>
      <c r="F903" t="s">
        <v>5733</v>
      </c>
      <c r="G903" t="s">
        <v>10446</v>
      </c>
      <c r="H903" t="s">
        <v>461</v>
      </c>
      <c r="I903" t="s">
        <v>644</v>
      </c>
      <c r="J903" t="s">
        <v>273</v>
      </c>
      <c r="K903" t="s">
        <v>5734</v>
      </c>
      <c r="L903" t="s">
        <v>267</v>
      </c>
      <c r="M903">
        <v>6831050</v>
      </c>
      <c r="N903">
        <v>0</v>
      </c>
      <c r="O903">
        <v>6831050</v>
      </c>
      <c r="P903">
        <v>0</v>
      </c>
      <c r="Q903" t="s">
        <v>10506</v>
      </c>
      <c r="R903" t="s">
        <v>9093</v>
      </c>
      <c r="S903" t="s">
        <v>6144</v>
      </c>
      <c r="T903" t="s">
        <v>6131</v>
      </c>
      <c r="U903" t="s">
        <v>7669</v>
      </c>
      <c r="V903" t="s">
        <v>10507</v>
      </c>
      <c r="W903" t="s">
        <v>5731</v>
      </c>
      <c r="X903" t="str">
        <f t="shared" si="14"/>
        <v>Inversión</v>
      </c>
      <c r="Y903" t="s">
        <v>5735</v>
      </c>
    </row>
    <row r="904" spans="1:25" x14ac:dyDescent="0.25">
      <c r="A904" t="s">
        <v>9098</v>
      </c>
      <c r="B904" t="s">
        <v>10508</v>
      </c>
      <c r="C904" t="s">
        <v>10509</v>
      </c>
      <c r="D904" t="s">
        <v>5720</v>
      </c>
      <c r="E904" t="s">
        <v>5969</v>
      </c>
      <c r="F904" t="s">
        <v>5722</v>
      </c>
      <c r="G904" t="s">
        <v>10446</v>
      </c>
      <c r="H904" t="s">
        <v>453</v>
      </c>
      <c r="I904" t="s">
        <v>664</v>
      </c>
      <c r="J904" t="s">
        <v>266</v>
      </c>
      <c r="K904" t="s">
        <v>5724</v>
      </c>
      <c r="L904" t="s">
        <v>267</v>
      </c>
      <c r="M904">
        <v>700000</v>
      </c>
      <c r="N904">
        <v>-700000</v>
      </c>
      <c r="O904">
        <v>0</v>
      </c>
      <c r="P904">
        <v>0</v>
      </c>
      <c r="Q904" t="s">
        <v>10510</v>
      </c>
      <c r="R904" t="s">
        <v>9098</v>
      </c>
      <c r="S904" t="s">
        <v>5731</v>
      </c>
      <c r="T904" t="s">
        <v>5731</v>
      </c>
      <c r="U904" t="s">
        <v>5731</v>
      </c>
      <c r="V904" t="s">
        <v>5731</v>
      </c>
      <c r="W904" t="s">
        <v>5731</v>
      </c>
      <c r="X904" t="str">
        <f t="shared" si="14"/>
        <v>Inversión</v>
      </c>
      <c r="Y904" t="s">
        <v>5732</v>
      </c>
    </row>
    <row r="905" spans="1:25" x14ac:dyDescent="0.25">
      <c r="A905" t="s">
        <v>5717</v>
      </c>
      <c r="B905" t="s">
        <v>9606</v>
      </c>
      <c r="C905" t="s">
        <v>10511</v>
      </c>
      <c r="D905" t="s">
        <v>5720</v>
      </c>
      <c r="E905" t="s">
        <v>5721</v>
      </c>
      <c r="F905" t="s">
        <v>5722</v>
      </c>
      <c r="G905" t="s">
        <v>10446</v>
      </c>
      <c r="H905" t="s">
        <v>453</v>
      </c>
      <c r="I905" t="s">
        <v>664</v>
      </c>
      <c r="J905" t="s">
        <v>266</v>
      </c>
      <c r="K905" t="s">
        <v>5724</v>
      </c>
      <c r="L905" t="s">
        <v>267</v>
      </c>
      <c r="M905">
        <v>700000</v>
      </c>
      <c r="N905">
        <v>0</v>
      </c>
      <c r="O905">
        <v>700000</v>
      </c>
      <c r="P905">
        <v>250000</v>
      </c>
      <c r="Q905" t="s">
        <v>10512</v>
      </c>
      <c r="R905" t="s">
        <v>5726</v>
      </c>
      <c r="S905" t="s">
        <v>6323</v>
      </c>
      <c r="T905" t="s">
        <v>5731</v>
      </c>
      <c r="U905" t="s">
        <v>5731</v>
      </c>
      <c r="V905" t="s">
        <v>5731</v>
      </c>
      <c r="W905" t="s">
        <v>5731</v>
      </c>
      <c r="X905" t="str">
        <f t="shared" si="14"/>
        <v>Inversión</v>
      </c>
      <c r="Y905" t="s">
        <v>5732</v>
      </c>
    </row>
    <row r="906" spans="1:25" x14ac:dyDescent="0.25">
      <c r="A906" t="s">
        <v>9068</v>
      </c>
      <c r="B906" t="s">
        <v>10513</v>
      </c>
      <c r="C906" t="s">
        <v>10514</v>
      </c>
      <c r="D906" t="s">
        <v>5720</v>
      </c>
      <c r="E906" t="s">
        <v>5721</v>
      </c>
      <c r="F906" t="s">
        <v>5733</v>
      </c>
      <c r="G906" t="s">
        <v>10515</v>
      </c>
      <c r="H906" t="s">
        <v>461</v>
      </c>
      <c r="I906" t="s">
        <v>644</v>
      </c>
      <c r="J906" t="s">
        <v>266</v>
      </c>
      <c r="K906" t="s">
        <v>5724</v>
      </c>
      <c r="L906" t="s">
        <v>267</v>
      </c>
      <c r="M906">
        <v>170124300</v>
      </c>
      <c r="N906">
        <v>0</v>
      </c>
      <c r="O906">
        <v>170124300</v>
      </c>
      <c r="P906">
        <v>55573938</v>
      </c>
      <c r="Q906" t="s">
        <v>10516</v>
      </c>
      <c r="R906" t="s">
        <v>9068</v>
      </c>
      <c r="S906" t="s">
        <v>10517</v>
      </c>
      <c r="T906" t="s">
        <v>10518</v>
      </c>
      <c r="U906" t="s">
        <v>10519</v>
      </c>
      <c r="V906" t="s">
        <v>10520</v>
      </c>
      <c r="W906" t="s">
        <v>5731</v>
      </c>
      <c r="X906" t="str">
        <f t="shared" si="14"/>
        <v>Inversión</v>
      </c>
      <c r="Y906" t="s">
        <v>5735</v>
      </c>
    </row>
    <row r="907" spans="1:25" x14ac:dyDescent="0.25">
      <c r="A907" t="s">
        <v>9075</v>
      </c>
      <c r="B907" t="s">
        <v>10513</v>
      </c>
      <c r="C907" t="s">
        <v>10521</v>
      </c>
      <c r="D907" t="s">
        <v>5720</v>
      </c>
      <c r="E907" t="s">
        <v>5721</v>
      </c>
      <c r="F907" t="s">
        <v>5733</v>
      </c>
      <c r="G907" t="s">
        <v>10515</v>
      </c>
      <c r="H907" t="s">
        <v>461</v>
      </c>
      <c r="I907" t="s">
        <v>644</v>
      </c>
      <c r="J907" t="s">
        <v>266</v>
      </c>
      <c r="K907" t="s">
        <v>5724</v>
      </c>
      <c r="L907" t="s">
        <v>267</v>
      </c>
      <c r="M907">
        <v>100714320</v>
      </c>
      <c r="N907">
        <v>0</v>
      </c>
      <c r="O907">
        <v>100714320</v>
      </c>
      <c r="P907">
        <v>27276795</v>
      </c>
      <c r="Q907" t="s">
        <v>10522</v>
      </c>
      <c r="R907" t="s">
        <v>9075</v>
      </c>
      <c r="S907" t="s">
        <v>10523</v>
      </c>
      <c r="T907" t="s">
        <v>10524</v>
      </c>
      <c r="U907" t="s">
        <v>10525</v>
      </c>
      <c r="V907" t="s">
        <v>10526</v>
      </c>
      <c r="W907" t="s">
        <v>5731</v>
      </c>
      <c r="X907" t="str">
        <f t="shared" si="14"/>
        <v>Inversión</v>
      </c>
      <c r="Y907" t="s">
        <v>5735</v>
      </c>
    </row>
    <row r="908" spans="1:25" x14ac:dyDescent="0.25">
      <c r="A908" t="s">
        <v>5844</v>
      </c>
      <c r="B908" t="s">
        <v>10513</v>
      </c>
      <c r="C908" t="s">
        <v>10527</v>
      </c>
      <c r="D908" t="s">
        <v>5720</v>
      </c>
      <c r="E908" t="s">
        <v>5721</v>
      </c>
      <c r="F908" t="s">
        <v>5733</v>
      </c>
      <c r="G908" t="s">
        <v>10515</v>
      </c>
      <c r="H908" t="s">
        <v>461</v>
      </c>
      <c r="I908" t="s">
        <v>644</v>
      </c>
      <c r="J908" t="s">
        <v>266</v>
      </c>
      <c r="K908" t="s">
        <v>5724</v>
      </c>
      <c r="L908" t="s">
        <v>267</v>
      </c>
      <c r="M908">
        <v>283250000</v>
      </c>
      <c r="N908">
        <v>-10700000</v>
      </c>
      <c r="O908">
        <v>272550000</v>
      </c>
      <c r="P908">
        <v>85605000</v>
      </c>
      <c r="Q908" t="s">
        <v>10528</v>
      </c>
      <c r="R908" t="s">
        <v>5844</v>
      </c>
      <c r="S908" t="s">
        <v>10529</v>
      </c>
      <c r="T908" t="s">
        <v>10530</v>
      </c>
      <c r="U908" t="s">
        <v>10531</v>
      </c>
      <c r="V908" t="s">
        <v>10532</v>
      </c>
      <c r="W908" t="s">
        <v>5731</v>
      </c>
      <c r="X908" t="str">
        <f t="shared" si="14"/>
        <v>Inversión</v>
      </c>
      <c r="Y908" t="s">
        <v>5735</v>
      </c>
    </row>
    <row r="909" spans="1:25" x14ac:dyDescent="0.25">
      <c r="A909" t="s">
        <v>9058</v>
      </c>
      <c r="B909" t="s">
        <v>10513</v>
      </c>
      <c r="C909" t="s">
        <v>10533</v>
      </c>
      <c r="D909" t="s">
        <v>5720</v>
      </c>
      <c r="E909" t="s">
        <v>5721</v>
      </c>
      <c r="F909" t="s">
        <v>5733</v>
      </c>
      <c r="G909" t="s">
        <v>10515</v>
      </c>
      <c r="H909" t="s">
        <v>461</v>
      </c>
      <c r="I909" t="s">
        <v>644</v>
      </c>
      <c r="J909" t="s">
        <v>266</v>
      </c>
      <c r="K909" t="s">
        <v>5724</v>
      </c>
      <c r="L909" t="s">
        <v>267</v>
      </c>
      <c r="M909">
        <v>25492500</v>
      </c>
      <c r="N909">
        <v>0</v>
      </c>
      <c r="O909">
        <v>25492500</v>
      </c>
      <c r="P909">
        <v>8497500</v>
      </c>
      <c r="Q909" t="s">
        <v>10534</v>
      </c>
      <c r="R909" t="s">
        <v>9058</v>
      </c>
      <c r="S909" t="s">
        <v>6935</v>
      </c>
      <c r="T909" t="s">
        <v>9149</v>
      </c>
      <c r="U909" t="s">
        <v>10535</v>
      </c>
      <c r="V909" t="s">
        <v>10536</v>
      </c>
      <c r="W909" t="s">
        <v>5731</v>
      </c>
      <c r="X909" t="str">
        <f t="shared" si="14"/>
        <v>Inversión</v>
      </c>
      <c r="Y909" t="s">
        <v>5735</v>
      </c>
    </row>
    <row r="910" spans="1:25" x14ac:dyDescent="0.25">
      <c r="A910" t="s">
        <v>9057</v>
      </c>
      <c r="B910" t="s">
        <v>10513</v>
      </c>
      <c r="C910" t="s">
        <v>10537</v>
      </c>
      <c r="D910" t="s">
        <v>5720</v>
      </c>
      <c r="E910" t="s">
        <v>5721</v>
      </c>
      <c r="F910" t="s">
        <v>5733</v>
      </c>
      <c r="G910" t="s">
        <v>10515</v>
      </c>
      <c r="H910" t="s">
        <v>461</v>
      </c>
      <c r="I910" t="s">
        <v>644</v>
      </c>
      <c r="J910" t="s">
        <v>266</v>
      </c>
      <c r="K910" t="s">
        <v>5724</v>
      </c>
      <c r="L910" t="s">
        <v>267</v>
      </c>
      <c r="M910">
        <v>37400762</v>
      </c>
      <c r="N910">
        <v>10700000</v>
      </c>
      <c r="O910">
        <v>48100762</v>
      </c>
      <c r="P910">
        <v>16042968</v>
      </c>
      <c r="Q910" t="s">
        <v>10538</v>
      </c>
      <c r="R910" t="s">
        <v>9057</v>
      </c>
      <c r="S910" t="s">
        <v>10539</v>
      </c>
      <c r="T910" t="s">
        <v>10540</v>
      </c>
      <c r="U910" t="s">
        <v>10541</v>
      </c>
      <c r="V910" t="s">
        <v>10542</v>
      </c>
      <c r="W910" t="s">
        <v>5731</v>
      </c>
      <c r="X910" t="str">
        <f t="shared" si="14"/>
        <v>Inversión</v>
      </c>
      <c r="Y910" t="s">
        <v>5735</v>
      </c>
    </row>
    <row r="911" spans="1:25" x14ac:dyDescent="0.25">
      <c r="A911" t="s">
        <v>9149</v>
      </c>
      <c r="B911" t="s">
        <v>10513</v>
      </c>
      <c r="C911" t="s">
        <v>10543</v>
      </c>
      <c r="D911" t="s">
        <v>5720</v>
      </c>
      <c r="E911" t="s">
        <v>5721</v>
      </c>
      <c r="F911" t="s">
        <v>5733</v>
      </c>
      <c r="G911" t="s">
        <v>10515</v>
      </c>
      <c r="H911" t="s">
        <v>461</v>
      </c>
      <c r="I911" t="s">
        <v>644</v>
      </c>
      <c r="J911" t="s">
        <v>266</v>
      </c>
      <c r="K911" t="s">
        <v>5724</v>
      </c>
      <c r="L911" t="s">
        <v>267</v>
      </c>
      <c r="M911">
        <v>18700381</v>
      </c>
      <c r="N911">
        <v>0</v>
      </c>
      <c r="O911">
        <v>18700381</v>
      </c>
      <c r="P911">
        <v>2671483</v>
      </c>
      <c r="Q911" t="s">
        <v>10544</v>
      </c>
      <c r="R911" t="s">
        <v>9149</v>
      </c>
      <c r="S911" t="s">
        <v>5886</v>
      </c>
      <c r="T911" t="s">
        <v>6023</v>
      </c>
      <c r="U911" t="s">
        <v>10545</v>
      </c>
      <c r="V911" t="s">
        <v>10546</v>
      </c>
      <c r="W911" t="s">
        <v>5731</v>
      </c>
      <c r="X911" t="str">
        <f t="shared" si="14"/>
        <v>Inversión</v>
      </c>
      <c r="Y911" t="s">
        <v>5735</v>
      </c>
    </row>
    <row r="912" spans="1:25" x14ac:dyDescent="0.25">
      <c r="A912" t="s">
        <v>6935</v>
      </c>
      <c r="B912" t="s">
        <v>10513</v>
      </c>
      <c r="C912" t="s">
        <v>10547</v>
      </c>
      <c r="D912" t="s">
        <v>5720</v>
      </c>
      <c r="E912" t="s">
        <v>5721</v>
      </c>
      <c r="F912" t="s">
        <v>5733</v>
      </c>
      <c r="G912" t="s">
        <v>10515</v>
      </c>
      <c r="H912" t="s">
        <v>461</v>
      </c>
      <c r="I912" t="s">
        <v>644</v>
      </c>
      <c r="J912" t="s">
        <v>266</v>
      </c>
      <c r="K912" t="s">
        <v>5724</v>
      </c>
      <c r="L912" t="s">
        <v>267</v>
      </c>
      <c r="M912">
        <v>72100000</v>
      </c>
      <c r="N912">
        <v>0</v>
      </c>
      <c r="O912">
        <v>72100000</v>
      </c>
      <c r="P912">
        <v>28840000</v>
      </c>
      <c r="Q912" t="s">
        <v>10548</v>
      </c>
      <c r="R912" t="s">
        <v>6935</v>
      </c>
      <c r="S912" t="s">
        <v>9362</v>
      </c>
      <c r="T912" t="s">
        <v>10549</v>
      </c>
      <c r="U912" t="s">
        <v>10550</v>
      </c>
      <c r="V912" t="s">
        <v>10551</v>
      </c>
      <c r="W912" t="s">
        <v>5731</v>
      </c>
      <c r="X912" t="str">
        <f t="shared" si="14"/>
        <v>Inversión</v>
      </c>
      <c r="Y912" t="s">
        <v>5735</v>
      </c>
    </row>
    <row r="913" spans="1:25" x14ac:dyDescent="0.25">
      <c r="A913" t="s">
        <v>9223</v>
      </c>
      <c r="B913" t="s">
        <v>10513</v>
      </c>
      <c r="C913" t="s">
        <v>10552</v>
      </c>
      <c r="D913" t="s">
        <v>5720</v>
      </c>
      <c r="E913" t="s">
        <v>5721</v>
      </c>
      <c r="F913" t="s">
        <v>5733</v>
      </c>
      <c r="G913" t="s">
        <v>10515</v>
      </c>
      <c r="H913" t="s">
        <v>461</v>
      </c>
      <c r="I913" t="s">
        <v>644</v>
      </c>
      <c r="J913" t="s">
        <v>266</v>
      </c>
      <c r="K913" t="s">
        <v>5724</v>
      </c>
      <c r="L913" t="s">
        <v>267</v>
      </c>
      <c r="M913">
        <v>31247320</v>
      </c>
      <c r="N913">
        <v>0</v>
      </c>
      <c r="O913">
        <v>31247320</v>
      </c>
      <c r="P913">
        <v>3124732</v>
      </c>
      <c r="Q913" t="s">
        <v>10553</v>
      </c>
      <c r="R913" t="s">
        <v>9223</v>
      </c>
      <c r="S913" t="s">
        <v>9149</v>
      </c>
      <c r="T913" t="s">
        <v>5844</v>
      </c>
      <c r="U913" t="s">
        <v>10554</v>
      </c>
      <c r="V913" t="s">
        <v>10555</v>
      </c>
      <c r="W913" t="s">
        <v>5731</v>
      </c>
      <c r="X913" t="str">
        <f t="shared" si="14"/>
        <v>Inversión</v>
      </c>
      <c r="Y913" t="s">
        <v>5735</v>
      </c>
    </row>
    <row r="914" spans="1:25" x14ac:dyDescent="0.25">
      <c r="A914" t="s">
        <v>9226</v>
      </c>
      <c r="B914" t="s">
        <v>10513</v>
      </c>
      <c r="C914" t="s">
        <v>10556</v>
      </c>
      <c r="D914" t="s">
        <v>5720</v>
      </c>
      <c r="E914" t="s">
        <v>5721</v>
      </c>
      <c r="F914" t="s">
        <v>5733</v>
      </c>
      <c r="G914" t="s">
        <v>10515</v>
      </c>
      <c r="H914" t="s">
        <v>461</v>
      </c>
      <c r="I914" t="s">
        <v>644</v>
      </c>
      <c r="J914" t="s">
        <v>266</v>
      </c>
      <c r="K914" t="s">
        <v>5724</v>
      </c>
      <c r="L914" t="s">
        <v>267</v>
      </c>
      <c r="M914">
        <v>53662581</v>
      </c>
      <c r="N914">
        <v>0</v>
      </c>
      <c r="O914">
        <v>53662581</v>
      </c>
      <c r="P914">
        <v>44598196</v>
      </c>
      <c r="Q914" t="s">
        <v>10557</v>
      </c>
      <c r="R914" t="s">
        <v>9226</v>
      </c>
      <c r="S914" t="s">
        <v>10558</v>
      </c>
      <c r="T914" t="s">
        <v>10559</v>
      </c>
      <c r="U914" t="s">
        <v>10560</v>
      </c>
      <c r="V914" t="s">
        <v>10561</v>
      </c>
      <c r="W914" t="s">
        <v>10562</v>
      </c>
      <c r="X914" t="str">
        <f t="shared" si="14"/>
        <v>Inversión</v>
      </c>
      <c r="Y914" t="s">
        <v>5735</v>
      </c>
    </row>
    <row r="915" spans="1:25" x14ac:dyDescent="0.25">
      <c r="A915" t="s">
        <v>9425</v>
      </c>
      <c r="B915" t="s">
        <v>10513</v>
      </c>
      <c r="C915" t="s">
        <v>10563</v>
      </c>
      <c r="D915" t="s">
        <v>5720</v>
      </c>
      <c r="E915" t="s">
        <v>5737</v>
      </c>
      <c r="F915" t="s">
        <v>5733</v>
      </c>
      <c r="G915" t="s">
        <v>10515</v>
      </c>
      <c r="H915" t="s">
        <v>461</v>
      </c>
      <c r="I915" t="s">
        <v>644</v>
      </c>
      <c r="J915" t="s">
        <v>266</v>
      </c>
      <c r="K915" t="s">
        <v>5724</v>
      </c>
      <c r="L915" t="s">
        <v>267</v>
      </c>
      <c r="M915">
        <v>2000000</v>
      </c>
      <c r="N915">
        <v>0</v>
      </c>
      <c r="O915">
        <v>2000000</v>
      </c>
      <c r="P915">
        <v>2000000</v>
      </c>
      <c r="Q915" t="s">
        <v>10564</v>
      </c>
      <c r="R915" t="s">
        <v>9425</v>
      </c>
      <c r="S915" t="s">
        <v>5731</v>
      </c>
      <c r="T915" t="s">
        <v>5731</v>
      </c>
      <c r="U915" t="s">
        <v>5731</v>
      </c>
      <c r="V915" t="s">
        <v>5731</v>
      </c>
      <c r="W915" t="s">
        <v>5731</v>
      </c>
      <c r="X915" t="str">
        <f t="shared" si="14"/>
        <v>Inversión</v>
      </c>
      <c r="Y915" t="s">
        <v>5735</v>
      </c>
    </row>
    <row r="916" spans="1:25" x14ac:dyDescent="0.25">
      <c r="A916" t="s">
        <v>9420</v>
      </c>
      <c r="B916" t="s">
        <v>10513</v>
      </c>
      <c r="C916" t="s">
        <v>10565</v>
      </c>
      <c r="D916" t="s">
        <v>5720</v>
      </c>
      <c r="E916" t="s">
        <v>5721</v>
      </c>
      <c r="F916" t="s">
        <v>6619</v>
      </c>
      <c r="G916" t="s">
        <v>10515</v>
      </c>
      <c r="H916" t="s">
        <v>455</v>
      </c>
      <c r="I916" t="s">
        <v>643</v>
      </c>
      <c r="J916" t="s">
        <v>273</v>
      </c>
      <c r="K916" t="s">
        <v>5734</v>
      </c>
      <c r="L916" t="s">
        <v>267</v>
      </c>
      <c r="M916">
        <v>40000000</v>
      </c>
      <c r="N916">
        <v>0</v>
      </c>
      <c r="O916">
        <v>40000000</v>
      </c>
      <c r="P916">
        <v>0</v>
      </c>
      <c r="Q916" t="s">
        <v>10566</v>
      </c>
      <c r="R916" t="s">
        <v>9420</v>
      </c>
      <c r="S916" t="s">
        <v>10567</v>
      </c>
      <c r="T916" t="s">
        <v>5731</v>
      </c>
      <c r="U916" t="s">
        <v>5731</v>
      </c>
      <c r="V916" t="s">
        <v>5731</v>
      </c>
      <c r="W916" t="s">
        <v>5731</v>
      </c>
      <c r="X916" t="str">
        <f t="shared" si="14"/>
        <v>Inversión</v>
      </c>
      <c r="Y916" t="s">
        <v>6626</v>
      </c>
    </row>
    <row r="917" spans="1:25" x14ac:dyDescent="0.25">
      <c r="A917" t="s">
        <v>9232</v>
      </c>
      <c r="B917" t="s">
        <v>10568</v>
      </c>
      <c r="C917" t="s">
        <v>10569</v>
      </c>
      <c r="D917" t="s">
        <v>5720</v>
      </c>
      <c r="E917" t="s">
        <v>5721</v>
      </c>
      <c r="F917" t="s">
        <v>5733</v>
      </c>
      <c r="G917" t="s">
        <v>10515</v>
      </c>
      <c r="H917" t="s">
        <v>461</v>
      </c>
      <c r="I917" t="s">
        <v>644</v>
      </c>
      <c r="J917" t="s">
        <v>273</v>
      </c>
      <c r="K917" t="s">
        <v>5734</v>
      </c>
      <c r="L917" t="s">
        <v>267</v>
      </c>
      <c r="M917">
        <v>5774220</v>
      </c>
      <c r="N917">
        <v>0</v>
      </c>
      <c r="O917">
        <v>5774220</v>
      </c>
      <c r="P917">
        <v>25017</v>
      </c>
      <c r="Q917" t="s">
        <v>10570</v>
      </c>
      <c r="R917" t="s">
        <v>9232</v>
      </c>
      <c r="S917" t="s">
        <v>5787</v>
      </c>
      <c r="T917" t="s">
        <v>5756</v>
      </c>
      <c r="U917" t="s">
        <v>10571</v>
      </c>
      <c r="V917" t="s">
        <v>10572</v>
      </c>
      <c r="W917" t="s">
        <v>5731</v>
      </c>
      <c r="X917" t="str">
        <f t="shared" si="14"/>
        <v>Inversión</v>
      </c>
      <c r="Y917" t="s">
        <v>5735</v>
      </c>
    </row>
    <row r="918" spans="1:25" x14ac:dyDescent="0.25">
      <c r="A918" t="s">
        <v>9145</v>
      </c>
      <c r="B918" t="s">
        <v>9339</v>
      </c>
      <c r="C918" t="s">
        <v>10573</v>
      </c>
      <c r="D918" t="s">
        <v>5720</v>
      </c>
      <c r="E918" t="s">
        <v>5737</v>
      </c>
      <c r="F918" t="s">
        <v>5733</v>
      </c>
      <c r="G918" t="s">
        <v>10515</v>
      </c>
      <c r="H918" t="s">
        <v>461</v>
      </c>
      <c r="I918" t="s">
        <v>644</v>
      </c>
      <c r="J918" t="s">
        <v>273</v>
      </c>
      <c r="K918" t="s">
        <v>5734</v>
      </c>
      <c r="L918" t="s">
        <v>267</v>
      </c>
      <c r="M918">
        <v>631687974</v>
      </c>
      <c r="N918">
        <v>-631687974</v>
      </c>
      <c r="O918">
        <v>0</v>
      </c>
      <c r="P918">
        <v>0</v>
      </c>
      <c r="Q918" t="s">
        <v>10574</v>
      </c>
      <c r="R918" t="s">
        <v>9145</v>
      </c>
      <c r="S918" t="s">
        <v>5731</v>
      </c>
      <c r="T918" t="s">
        <v>5731</v>
      </c>
      <c r="U918" t="s">
        <v>5731</v>
      </c>
      <c r="V918" t="s">
        <v>5731</v>
      </c>
      <c r="W918" t="s">
        <v>5731</v>
      </c>
      <c r="X918" t="str">
        <f t="shared" si="14"/>
        <v>Inversión</v>
      </c>
      <c r="Y918" t="s">
        <v>5735</v>
      </c>
    </row>
    <row r="919" spans="1:25" x14ac:dyDescent="0.25">
      <c r="A919" t="s">
        <v>7381</v>
      </c>
      <c r="B919" t="s">
        <v>9339</v>
      </c>
      <c r="C919" t="s">
        <v>10575</v>
      </c>
      <c r="D919" t="s">
        <v>5720</v>
      </c>
      <c r="E919" t="s">
        <v>5721</v>
      </c>
      <c r="F919" t="s">
        <v>5733</v>
      </c>
      <c r="G919" t="s">
        <v>10515</v>
      </c>
      <c r="H919" t="s">
        <v>461</v>
      </c>
      <c r="I919" t="s">
        <v>644</v>
      </c>
      <c r="J919" t="s">
        <v>273</v>
      </c>
      <c r="K919" t="s">
        <v>5734</v>
      </c>
      <c r="L919" t="s">
        <v>267</v>
      </c>
      <c r="M919">
        <v>48086694</v>
      </c>
      <c r="N919">
        <v>0</v>
      </c>
      <c r="O919">
        <v>48086694</v>
      </c>
      <c r="P919">
        <v>1335741</v>
      </c>
      <c r="Q919" t="s">
        <v>10576</v>
      </c>
      <c r="R919" t="s">
        <v>7381</v>
      </c>
      <c r="S919" t="s">
        <v>10577</v>
      </c>
      <c r="T919" t="s">
        <v>5731</v>
      </c>
      <c r="U919" t="s">
        <v>5731</v>
      </c>
      <c r="V919" t="s">
        <v>5731</v>
      </c>
      <c r="W919" t="s">
        <v>5731</v>
      </c>
      <c r="X919" t="str">
        <f t="shared" si="14"/>
        <v>Inversión</v>
      </c>
      <c r="Y919" t="s">
        <v>5735</v>
      </c>
    </row>
    <row r="920" spans="1:25" x14ac:dyDescent="0.25">
      <c r="A920" t="s">
        <v>9122</v>
      </c>
      <c r="B920" t="s">
        <v>9339</v>
      </c>
      <c r="C920" t="s">
        <v>10578</v>
      </c>
      <c r="D920" t="s">
        <v>5720</v>
      </c>
      <c r="E920" t="s">
        <v>5721</v>
      </c>
      <c r="F920" t="s">
        <v>5733</v>
      </c>
      <c r="G920" t="s">
        <v>10515</v>
      </c>
      <c r="H920" t="s">
        <v>461</v>
      </c>
      <c r="I920" t="s">
        <v>644</v>
      </c>
      <c r="J920" t="s">
        <v>273</v>
      </c>
      <c r="K920" t="s">
        <v>5734</v>
      </c>
      <c r="L920" t="s">
        <v>267</v>
      </c>
      <c r="M920">
        <v>86520000</v>
      </c>
      <c r="N920">
        <v>0</v>
      </c>
      <c r="O920">
        <v>86520000</v>
      </c>
      <c r="P920">
        <v>24153501</v>
      </c>
      <c r="Q920" t="s">
        <v>10579</v>
      </c>
      <c r="R920" t="s">
        <v>9122</v>
      </c>
      <c r="S920" t="s">
        <v>10580</v>
      </c>
      <c r="T920" t="s">
        <v>5731</v>
      </c>
      <c r="U920" t="s">
        <v>5731</v>
      </c>
      <c r="V920" t="s">
        <v>5731</v>
      </c>
      <c r="W920" t="s">
        <v>5731</v>
      </c>
      <c r="X920" t="str">
        <f t="shared" si="14"/>
        <v>Inversión</v>
      </c>
      <c r="Y920" t="s">
        <v>5735</v>
      </c>
    </row>
    <row r="921" spans="1:25" x14ac:dyDescent="0.25">
      <c r="A921" t="s">
        <v>9090</v>
      </c>
      <c r="B921" t="s">
        <v>9339</v>
      </c>
      <c r="C921" t="s">
        <v>10581</v>
      </c>
      <c r="D921" t="s">
        <v>5720</v>
      </c>
      <c r="E921" t="s">
        <v>5721</v>
      </c>
      <c r="F921" t="s">
        <v>5733</v>
      </c>
      <c r="G921" t="s">
        <v>10515</v>
      </c>
      <c r="H921" t="s">
        <v>461</v>
      </c>
      <c r="I921" t="s">
        <v>644</v>
      </c>
      <c r="J921" t="s">
        <v>273</v>
      </c>
      <c r="K921" t="s">
        <v>5734</v>
      </c>
      <c r="L921" t="s">
        <v>267</v>
      </c>
      <c r="M921">
        <v>224980704</v>
      </c>
      <c r="N921">
        <v>0</v>
      </c>
      <c r="O921">
        <v>224980704</v>
      </c>
      <c r="P921">
        <v>8957569</v>
      </c>
      <c r="Q921" t="s">
        <v>10582</v>
      </c>
      <c r="R921" t="s">
        <v>9090</v>
      </c>
      <c r="S921" t="s">
        <v>10583</v>
      </c>
      <c r="T921" t="s">
        <v>5731</v>
      </c>
      <c r="U921" t="s">
        <v>5731</v>
      </c>
      <c r="V921" t="s">
        <v>5731</v>
      </c>
      <c r="W921" t="s">
        <v>5731</v>
      </c>
      <c r="X921" t="str">
        <f t="shared" si="14"/>
        <v>Inversión</v>
      </c>
      <c r="Y921" t="s">
        <v>5735</v>
      </c>
    </row>
    <row r="922" spans="1:25" x14ac:dyDescent="0.25">
      <c r="A922" t="s">
        <v>9227</v>
      </c>
      <c r="B922" t="s">
        <v>9339</v>
      </c>
      <c r="C922" t="s">
        <v>10584</v>
      </c>
      <c r="D922" t="s">
        <v>5720</v>
      </c>
      <c r="E922" t="s">
        <v>5721</v>
      </c>
      <c r="F922" t="s">
        <v>5733</v>
      </c>
      <c r="G922" t="s">
        <v>10515</v>
      </c>
      <c r="H922" t="s">
        <v>461</v>
      </c>
      <c r="I922" t="s">
        <v>644</v>
      </c>
      <c r="J922" t="s">
        <v>273</v>
      </c>
      <c r="K922" t="s">
        <v>5734</v>
      </c>
      <c r="L922" t="s">
        <v>267</v>
      </c>
      <c r="M922">
        <v>33540000</v>
      </c>
      <c r="N922">
        <v>0</v>
      </c>
      <c r="O922">
        <v>33540000</v>
      </c>
      <c r="P922">
        <v>8205711</v>
      </c>
      <c r="Q922" t="s">
        <v>10585</v>
      </c>
      <c r="R922" t="s">
        <v>9227</v>
      </c>
      <c r="S922" t="s">
        <v>6235</v>
      </c>
      <c r="T922" t="s">
        <v>5731</v>
      </c>
      <c r="U922" t="s">
        <v>5731</v>
      </c>
      <c r="V922" t="s">
        <v>5731</v>
      </c>
      <c r="W922" t="s">
        <v>5731</v>
      </c>
      <c r="X922" t="str">
        <f t="shared" si="14"/>
        <v>Inversión</v>
      </c>
      <c r="Y922" t="s">
        <v>5735</v>
      </c>
    </row>
    <row r="923" spans="1:25" x14ac:dyDescent="0.25">
      <c r="A923" t="s">
        <v>9292</v>
      </c>
      <c r="B923" t="s">
        <v>9339</v>
      </c>
      <c r="C923" t="s">
        <v>10586</v>
      </c>
      <c r="D923" t="s">
        <v>5720</v>
      </c>
      <c r="E923" t="s">
        <v>5721</v>
      </c>
      <c r="F923" t="s">
        <v>5733</v>
      </c>
      <c r="G923" t="s">
        <v>10515</v>
      </c>
      <c r="H923" t="s">
        <v>461</v>
      </c>
      <c r="I923" t="s">
        <v>644</v>
      </c>
      <c r="J923" t="s">
        <v>273</v>
      </c>
      <c r="K923" t="s">
        <v>5734</v>
      </c>
      <c r="L923" t="s">
        <v>267</v>
      </c>
      <c r="M923">
        <v>59717088</v>
      </c>
      <c r="N923">
        <v>0</v>
      </c>
      <c r="O923">
        <v>59717088</v>
      </c>
      <c r="P923">
        <v>4312902</v>
      </c>
      <c r="Q923" t="s">
        <v>10587</v>
      </c>
      <c r="R923" t="s">
        <v>9292</v>
      </c>
      <c r="S923" t="s">
        <v>10588</v>
      </c>
      <c r="T923" t="s">
        <v>5731</v>
      </c>
      <c r="U923" t="s">
        <v>5731</v>
      </c>
      <c r="V923" t="s">
        <v>5731</v>
      </c>
      <c r="W923" t="s">
        <v>5731</v>
      </c>
      <c r="X923" t="str">
        <f t="shared" si="14"/>
        <v>Inversión</v>
      </c>
      <c r="Y923" t="s">
        <v>5735</v>
      </c>
    </row>
    <row r="924" spans="1:25" x14ac:dyDescent="0.25">
      <c r="A924" t="s">
        <v>9295</v>
      </c>
      <c r="B924" t="s">
        <v>9339</v>
      </c>
      <c r="C924" t="s">
        <v>10589</v>
      </c>
      <c r="D924" t="s">
        <v>5720</v>
      </c>
      <c r="E924" t="s">
        <v>5721</v>
      </c>
      <c r="F924" t="s">
        <v>5733</v>
      </c>
      <c r="G924" t="s">
        <v>10515</v>
      </c>
      <c r="H924" t="s">
        <v>461</v>
      </c>
      <c r="I924" t="s">
        <v>644</v>
      </c>
      <c r="J924" t="s">
        <v>273</v>
      </c>
      <c r="K924" t="s">
        <v>5734</v>
      </c>
      <c r="L924" t="s">
        <v>267</v>
      </c>
      <c r="M924">
        <v>21841416</v>
      </c>
      <c r="N924">
        <v>0</v>
      </c>
      <c r="O924">
        <v>21841416</v>
      </c>
      <c r="P924">
        <v>1334753</v>
      </c>
      <c r="Q924" t="s">
        <v>10590</v>
      </c>
      <c r="R924" t="s">
        <v>9295</v>
      </c>
      <c r="S924" t="s">
        <v>6136</v>
      </c>
      <c r="T924" t="s">
        <v>5731</v>
      </c>
      <c r="U924" t="s">
        <v>5731</v>
      </c>
      <c r="V924" t="s">
        <v>5731</v>
      </c>
      <c r="W924" t="s">
        <v>5731</v>
      </c>
      <c r="X924" t="str">
        <f t="shared" si="14"/>
        <v>Inversión</v>
      </c>
      <c r="Y924" t="s">
        <v>5735</v>
      </c>
    </row>
    <row r="925" spans="1:25" x14ac:dyDescent="0.25">
      <c r="A925" t="s">
        <v>9093</v>
      </c>
      <c r="B925" t="s">
        <v>9339</v>
      </c>
      <c r="C925" t="s">
        <v>10591</v>
      </c>
      <c r="D925" t="s">
        <v>5720</v>
      </c>
      <c r="E925" t="s">
        <v>5721</v>
      </c>
      <c r="F925" t="s">
        <v>5733</v>
      </c>
      <c r="G925" t="s">
        <v>10515</v>
      </c>
      <c r="H925" t="s">
        <v>461</v>
      </c>
      <c r="I925" t="s">
        <v>644</v>
      </c>
      <c r="J925" t="s">
        <v>273</v>
      </c>
      <c r="K925" t="s">
        <v>5734</v>
      </c>
      <c r="L925" t="s">
        <v>267</v>
      </c>
      <c r="M925">
        <v>52247856</v>
      </c>
      <c r="N925">
        <v>0</v>
      </c>
      <c r="O925">
        <v>52247856</v>
      </c>
      <c r="P925">
        <v>3483191</v>
      </c>
      <c r="Q925" t="s">
        <v>10592</v>
      </c>
      <c r="R925" t="s">
        <v>9093</v>
      </c>
      <c r="S925" t="s">
        <v>6070</v>
      </c>
      <c r="T925" t="s">
        <v>5731</v>
      </c>
      <c r="U925" t="s">
        <v>5731</v>
      </c>
      <c r="V925" t="s">
        <v>5731</v>
      </c>
      <c r="W925" t="s">
        <v>5731</v>
      </c>
      <c r="X925" t="str">
        <f t="shared" si="14"/>
        <v>Inversión</v>
      </c>
      <c r="Y925" t="s">
        <v>5735</v>
      </c>
    </row>
    <row r="926" spans="1:25" x14ac:dyDescent="0.25">
      <c r="A926" t="s">
        <v>9103</v>
      </c>
      <c r="B926" t="s">
        <v>9339</v>
      </c>
      <c r="C926" t="s">
        <v>10593</v>
      </c>
      <c r="D926" t="s">
        <v>5720</v>
      </c>
      <c r="E926" t="s">
        <v>5721</v>
      </c>
      <c r="F926" t="s">
        <v>5733</v>
      </c>
      <c r="G926" t="s">
        <v>10515</v>
      </c>
      <c r="H926" t="s">
        <v>461</v>
      </c>
      <c r="I926" t="s">
        <v>644</v>
      </c>
      <c r="J926" t="s">
        <v>273</v>
      </c>
      <c r="K926" t="s">
        <v>5734</v>
      </c>
      <c r="L926" t="s">
        <v>267</v>
      </c>
      <c r="M926">
        <v>34546758</v>
      </c>
      <c r="N926">
        <v>0</v>
      </c>
      <c r="O926">
        <v>34546758</v>
      </c>
      <c r="P926">
        <v>6333573</v>
      </c>
      <c r="Q926" t="s">
        <v>10594</v>
      </c>
      <c r="R926" t="s">
        <v>9103</v>
      </c>
      <c r="S926" t="s">
        <v>6227</v>
      </c>
      <c r="T926" t="s">
        <v>5731</v>
      </c>
      <c r="U926" t="s">
        <v>5731</v>
      </c>
      <c r="V926" t="s">
        <v>5731</v>
      </c>
      <c r="W926" t="s">
        <v>5731</v>
      </c>
      <c r="X926" t="str">
        <f t="shared" si="14"/>
        <v>Inversión</v>
      </c>
      <c r="Y926" t="s">
        <v>5735</v>
      </c>
    </row>
    <row r="927" spans="1:25" x14ac:dyDescent="0.25">
      <c r="A927" t="s">
        <v>9108</v>
      </c>
      <c r="B927" t="s">
        <v>9339</v>
      </c>
      <c r="C927" t="s">
        <v>10595</v>
      </c>
      <c r="D927" t="s">
        <v>5720</v>
      </c>
      <c r="E927" t="s">
        <v>5737</v>
      </c>
      <c r="F927" t="s">
        <v>5733</v>
      </c>
      <c r="G927" t="s">
        <v>10515</v>
      </c>
      <c r="H927" t="s">
        <v>461</v>
      </c>
      <c r="I927" t="s">
        <v>644</v>
      </c>
      <c r="J927" t="s">
        <v>273</v>
      </c>
      <c r="K927" t="s">
        <v>5734</v>
      </c>
      <c r="L927" t="s">
        <v>267</v>
      </c>
      <c r="M927">
        <v>60000000</v>
      </c>
      <c r="N927">
        <v>0</v>
      </c>
      <c r="O927">
        <v>60000000</v>
      </c>
      <c r="P927">
        <v>60000000</v>
      </c>
      <c r="Q927" t="s">
        <v>10596</v>
      </c>
      <c r="R927" t="s">
        <v>9108</v>
      </c>
      <c r="S927" t="s">
        <v>5731</v>
      </c>
      <c r="T927" t="s">
        <v>5731</v>
      </c>
      <c r="U927" t="s">
        <v>5731</v>
      </c>
      <c r="V927" t="s">
        <v>5731</v>
      </c>
      <c r="W927" t="s">
        <v>5731</v>
      </c>
      <c r="X927" t="str">
        <f t="shared" si="14"/>
        <v>Inversión</v>
      </c>
      <c r="Y927" t="s">
        <v>5735</v>
      </c>
    </row>
    <row r="928" spans="1:25" x14ac:dyDescent="0.25">
      <c r="A928" t="s">
        <v>9178</v>
      </c>
      <c r="B928" t="s">
        <v>8654</v>
      </c>
      <c r="C928" t="s">
        <v>10597</v>
      </c>
      <c r="D928" t="s">
        <v>5720</v>
      </c>
      <c r="E928" t="s">
        <v>5721</v>
      </c>
      <c r="F928" t="s">
        <v>5733</v>
      </c>
      <c r="G928" t="s">
        <v>10515</v>
      </c>
      <c r="H928" t="s">
        <v>461</v>
      </c>
      <c r="I928" t="s">
        <v>644</v>
      </c>
      <c r="J928" t="s">
        <v>273</v>
      </c>
      <c r="K928" t="s">
        <v>5734</v>
      </c>
      <c r="L928" t="s">
        <v>267</v>
      </c>
      <c r="M928">
        <v>10207458</v>
      </c>
      <c r="N928">
        <v>0</v>
      </c>
      <c r="O928">
        <v>10207458</v>
      </c>
      <c r="P928">
        <v>283540</v>
      </c>
      <c r="Q928" t="s">
        <v>10598</v>
      </c>
      <c r="R928" t="s">
        <v>9178</v>
      </c>
      <c r="S928" t="s">
        <v>6078</v>
      </c>
      <c r="T928" t="s">
        <v>5731</v>
      </c>
      <c r="U928" t="s">
        <v>5731</v>
      </c>
      <c r="V928" t="s">
        <v>5731</v>
      </c>
      <c r="W928" t="s">
        <v>5731</v>
      </c>
      <c r="X928" t="str">
        <f t="shared" si="14"/>
        <v>Inversión</v>
      </c>
      <c r="Y928" t="s">
        <v>5735</v>
      </c>
    </row>
    <row r="929" spans="1:25" x14ac:dyDescent="0.25">
      <c r="A929" t="s">
        <v>9106</v>
      </c>
      <c r="B929" t="s">
        <v>8799</v>
      </c>
      <c r="C929" t="s">
        <v>10599</v>
      </c>
      <c r="D929" t="s">
        <v>5720</v>
      </c>
      <c r="E929" t="s">
        <v>5737</v>
      </c>
      <c r="F929" t="s">
        <v>5733</v>
      </c>
      <c r="G929" t="s">
        <v>10515</v>
      </c>
      <c r="H929" t="s">
        <v>461</v>
      </c>
      <c r="I929" t="s">
        <v>644</v>
      </c>
      <c r="J929" t="s">
        <v>273</v>
      </c>
      <c r="K929" t="s">
        <v>5734</v>
      </c>
      <c r="L929" t="s">
        <v>267</v>
      </c>
      <c r="M929">
        <v>5103729</v>
      </c>
      <c r="N929">
        <v>0</v>
      </c>
      <c r="O929">
        <v>5103729</v>
      </c>
      <c r="P929">
        <v>5103729</v>
      </c>
      <c r="Q929" t="s">
        <v>10600</v>
      </c>
      <c r="R929" t="s">
        <v>9106</v>
      </c>
      <c r="S929" t="s">
        <v>5731</v>
      </c>
      <c r="T929" t="s">
        <v>5731</v>
      </c>
      <c r="U929" t="s">
        <v>5731</v>
      </c>
      <c r="V929" t="s">
        <v>5731</v>
      </c>
      <c r="W929" t="s">
        <v>5731</v>
      </c>
      <c r="X929" t="str">
        <f t="shared" si="14"/>
        <v>Inversión</v>
      </c>
      <c r="Y929" t="s">
        <v>5735</v>
      </c>
    </row>
    <row r="930" spans="1:25" x14ac:dyDescent="0.25">
      <c r="A930" t="s">
        <v>9111</v>
      </c>
      <c r="B930" t="s">
        <v>8799</v>
      </c>
      <c r="C930" t="s">
        <v>10601</v>
      </c>
      <c r="D930" t="s">
        <v>5720</v>
      </c>
      <c r="E930" t="s">
        <v>5721</v>
      </c>
      <c r="F930" t="s">
        <v>5733</v>
      </c>
      <c r="G930" t="s">
        <v>10515</v>
      </c>
      <c r="H930" t="s">
        <v>461</v>
      </c>
      <c r="I930" t="s">
        <v>644</v>
      </c>
      <c r="J930" t="s">
        <v>273</v>
      </c>
      <c r="K930" t="s">
        <v>5734</v>
      </c>
      <c r="L930" t="s">
        <v>267</v>
      </c>
      <c r="M930">
        <v>9374196</v>
      </c>
      <c r="N930">
        <v>0</v>
      </c>
      <c r="O930">
        <v>9374196</v>
      </c>
      <c r="P930">
        <v>0</v>
      </c>
      <c r="Q930" t="s">
        <v>10602</v>
      </c>
      <c r="R930" t="s">
        <v>9111</v>
      </c>
      <c r="S930" t="s">
        <v>5963</v>
      </c>
      <c r="T930" t="s">
        <v>5731</v>
      </c>
      <c r="U930" t="s">
        <v>5731</v>
      </c>
      <c r="V930" t="s">
        <v>5731</v>
      </c>
      <c r="W930" t="s">
        <v>5731</v>
      </c>
      <c r="X930" t="str">
        <f t="shared" si="14"/>
        <v>Inversión</v>
      </c>
      <c r="Y930" t="s">
        <v>5735</v>
      </c>
    </row>
    <row r="931" spans="1:25" x14ac:dyDescent="0.25">
      <c r="A931" t="s">
        <v>5717</v>
      </c>
      <c r="B931" t="s">
        <v>8799</v>
      </c>
      <c r="C931" t="s">
        <v>10603</v>
      </c>
      <c r="D931" t="s">
        <v>5720</v>
      </c>
      <c r="E931" t="s">
        <v>5737</v>
      </c>
      <c r="F931" t="s">
        <v>5733</v>
      </c>
      <c r="G931" t="s">
        <v>10515</v>
      </c>
      <c r="H931" t="s">
        <v>461</v>
      </c>
      <c r="I931" t="s">
        <v>644</v>
      </c>
      <c r="J931" t="s">
        <v>273</v>
      </c>
      <c r="K931" t="s">
        <v>5734</v>
      </c>
      <c r="L931" t="s">
        <v>267</v>
      </c>
      <c r="M931">
        <v>5342966</v>
      </c>
      <c r="N931">
        <v>0</v>
      </c>
      <c r="O931">
        <v>5342966</v>
      </c>
      <c r="P931">
        <v>5342966</v>
      </c>
      <c r="Q931" t="s">
        <v>10604</v>
      </c>
      <c r="R931" t="s">
        <v>5717</v>
      </c>
      <c r="S931" t="s">
        <v>5731</v>
      </c>
      <c r="T931" t="s">
        <v>5731</v>
      </c>
      <c r="U931" t="s">
        <v>5731</v>
      </c>
      <c r="V931" t="s">
        <v>5731</v>
      </c>
      <c r="W931" t="s">
        <v>5731</v>
      </c>
      <c r="X931" t="str">
        <f t="shared" si="14"/>
        <v>Inversión</v>
      </c>
      <c r="Y931" t="s">
        <v>5735</v>
      </c>
    </row>
    <row r="932" spans="1:25" x14ac:dyDescent="0.25">
      <c r="A932" t="s">
        <v>5726</v>
      </c>
      <c r="B932" t="s">
        <v>8799</v>
      </c>
      <c r="C932" t="s">
        <v>10605</v>
      </c>
      <c r="D932" t="s">
        <v>5720</v>
      </c>
      <c r="E932" t="s">
        <v>5721</v>
      </c>
      <c r="F932" t="s">
        <v>5733</v>
      </c>
      <c r="G932" t="s">
        <v>10515</v>
      </c>
      <c r="H932" t="s">
        <v>461</v>
      </c>
      <c r="I932" t="s">
        <v>644</v>
      </c>
      <c r="J932" t="s">
        <v>273</v>
      </c>
      <c r="K932" t="s">
        <v>5734</v>
      </c>
      <c r="L932" t="s">
        <v>267</v>
      </c>
      <c r="M932">
        <v>6804972</v>
      </c>
      <c r="N932">
        <v>0</v>
      </c>
      <c r="O932">
        <v>6804972</v>
      </c>
      <c r="P932">
        <v>0</v>
      </c>
      <c r="Q932" t="s">
        <v>10606</v>
      </c>
      <c r="R932" t="s">
        <v>5726</v>
      </c>
      <c r="S932" t="s">
        <v>5955</v>
      </c>
      <c r="T932" t="s">
        <v>5731</v>
      </c>
      <c r="U932" t="s">
        <v>5731</v>
      </c>
      <c r="V932" t="s">
        <v>5731</v>
      </c>
      <c r="W932" t="s">
        <v>5731</v>
      </c>
      <c r="X932" t="str">
        <f t="shared" si="14"/>
        <v>Inversión</v>
      </c>
      <c r="Y932" t="s">
        <v>5735</v>
      </c>
    </row>
    <row r="933" spans="1:25" x14ac:dyDescent="0.25">
      <c r="A933" t="s">
        <v>5742</v>
      </c>
      <c r="B933" t="s">
        <v>8799</v>
      </c>
      <c r="C933" t="s">
        <v>10607</v>
      </c>
      <c r="D933" t="s">
        <v>5720</v>
      </c>
      <c r="E933" t="s">
        <v>5737</v>
      </c>
      <c r="F933" t="s">
        <v>5733</v>
      </c>
      <c r="G933" t="s">
        <v>10515</v>
      </c>
      <c r="H933" t="s">
        <v>461</v>
      </c>
      <c r="I933" t="s">
        <v>644</v>
      </c>
      <c r="J933" t="s">
        <v>273</v>
      </c>
      <c r="K933" t="s">
        <v>5734</v>
      </c>
      <c r="L933" t="s">
        <v>267</v>
      </c>
      <c r="M933">
        <v>1750000</v>
      </c>
      <c r="N933">
        <v>0</v>
      </c>
      <c r="O933">
        <v>1750000</v>
      </c>
      <c r="P933">
        <v>1750000</v>
      </c>
      <c r="Q933" t="s">
        <v>10608</v>
      </c>
      <c r="R933" t="s">
        <v>5742</v>
      </c>
      <c r="S933" t="s">
        <v>5731</v>
      </c>
      <c r="T933" t="s">
        <v>5731</v>
      </c>
      <c r="U933" t="s">
        <v>5731</v>
      </c>
      <c r="V933" t="s">
        <v>5731</v>
      </c>
      <c r="W933" t="s">
        <v>5731</v>
      </c>
      <c r="X933" t="str">
        <f t="shared" si="14"/>
        <v>Inversión</v>
      </c>
      <c r="Y933" t="s">
        <v>5735</v>
      </c>
    </row>
    <row r="934" spans="1:25" x14ac:dyDescent="0.25">
      <c r="A934" t="s">
        <v>5749</v>
      </c>
      <c r="B934" t="s">
        <v>8799</v>
      </c>
      <c r="C934" t="s">
        <v>10609</v>
      </c>
      <c r="D934" t="s">
        <v>5720</v>
      </c>
      <c r="E934" t="s">
        <v>5737</v>
      </c>
      <c r="F934" t="s">
        <v>5733</v>
      </c>
      <c r="G934" t="s">
        <v>10515</v>
      </c>
      <c r="H934" t="s">
        <v>461</v>
      </c>
      <c r="I934" t="s">
        <v>644</v>
      </c>
      <c r="J934" t="s">
        <v>273</v>
      </c>
      <c r="K934" t="s">
        <v>5734</v>
      </c>
      <c r="L934" t="s">
        <v>267</v>
      </c>
      <c r="M934">
        <v>3871218</v>
      </c>
      <c r="N934">
        <v>0</v>
      </c>
      <c r="O934">
        <v>3871218</v>
      </c>
      <c r="P934">
        <v>3871218</v>
      </c>
      <c r="Q934" t="s">
        <v>10610</v>
      </c>
      <c r="R934" t="s">
        <v>5749</v>
      </c>
      <c r="S934" t="s">
        <v>5731</v>
      </c>
      <c r="T934" t="s">
        <v>5731</v>
      </c>
      <c r="U934" t="s">
        <v>5731</v>
      </c>
      <c r="V934" t="s">
        <v>5731</v>
      </c>
      <c r="W934" t="s">
        <v>5731</v>
      </c>
      <c r="X934" t="str">
        <f t="shared" si="14"/>
        <v>Inversión</v>
      </c>
      <c r="Y934" t="s">
        <v>5735</v>
      </c>
    </row>
    <row r="935" spans="1:25" x14ac:dyDescent="0.25">
      <c r="A935" t="s">
        <v>5770</v>
      </c>
      <c r="B935" t="s">
        <v>9014</v>
      </c>
      <c r="C935" t="s">
        <v>10611</v>
      </c>
      <c r="D935" t="s">
        <v>5720</v>
      </c>
      <c r="E935" t="s">
        <v>5737</v>
      </c>
      <c r="F935" t="s">
        <v>5733</v>
      </c>
      <c r="G935" t="s">
        <v>10515</v>
      </c>
      <c r="H935" t="s">
        <v>461</v>
      </c>
      <c r="I935" t="s">
        <v>644</v>
      </c>
      <c r="J935" t="s">
        <v>273</v>
      </c>
      <c r="K935" t="s">
        <v>5734</v>
      </c>
      <c r="L935" t="s">
        <v>267</v>
      </c>
      <c r="M935">
        <v>23031172</v>
      </c>
      <c r="N935">
        <v>0</v>
      </c>
      <c r="O935">
        <v>23031172</v>
      </c>
      <c r="P935">
        <v>23031172</v>
      </c>
      <c r="Q935" t="s">
        <v>10612</v>
      </c>
      <c r="R935" t="s">
        <v>5770</v>
      </c>
      <c r="S935" t="s">
        <v>5731</v>
      </c>
      <c r="T935" t="s">
        <v>5731</v>
      </c>
      <c r="U935" t="s">
        <v>5731</v>
      </c>
      <c r="V935" t="s">
        <v>5731</v>
      </c>
      <c r="W935" t="s">
        <v>5731</v>
      </c>
      <c r="X935" t="str">
        <f t="shared" si="14"/>
        <v>Inversión</v>
      </c>
      <c r="Y935" t="s">
        <v>5735</v>
      </c>
    </row>
    <row r="936" spans="1:25" x14ac:dyDescent="0.25">
      <c r="A936" t="s">
        <v>5777</v>
      </c>
      <c r="B936" t="s">
        <v>9014</v>
      </c>
      <c r="C936" t="s">
        <v>10613</v>
      </c>
      <c r="D936" t="s">
        <v>5720</v>
      </c>
      <c r="E936" t="s">
        <v>5737</v>
      </c>
      <c r="F936" t="s">
        <v>5733</v>
      </c>
      <c r="G936" t="s">
        <v>10515</v>
      </c>
      <c r="H936" t="s">
        <v>461</v>
      </c>
      <c r="I936" t="s">
        <v>644</v>
      </c>
      <c r="J936" t="s">
        <v>273</v>
      </c>
      <c r="K936" t="s">
        <v>5734</v>
      </c>
      <c r="L936" t="s">
        <v>267</v>
      </c>
      <c r="M936">
        <v>6804972</v>
      </c>
      <c r="N936">
        <v>0</v>
      </c>
      <c r="O936">
        <v>6804972</v>
      </c>
      <c r="P936">
        <v>6804972</v>
      </c>
      <c r="Q936" t="s">
        <v>10614</v>
      </c>
      <c r="R936" t="s">
        <v>5777</v>
      </c>
      <c r="S936" t="s">
        <v>5731</v>
      </c>
      <c r="T936" t="s">
        <v>5731</v>
      </c>
      <c r="U936" t="s">
        <v>5731</v>
      </c>
      <c r="V936" t="s">
        <v>5731</v>
      </c>
      <c r="W936" t="s">
        <v>5731</v>
      </c>
      <c r="X936" t="str">
        <f t="shared" si="14"/>
        <v>Inversión</v>
      </c>
      <c r="Y936" t="s">
        <v>5735</v>
      </c>
    </row>
    <row r="937" spans="1:25" x14ac:dyDescent="0.25">
      <c r="A937" t="s">
        <v>5784</v>
      </c>
      <c r="B937" t="s">
        <v>9014</v>
      </c>
      <c r="C937" t="s">
        <v>10615</v>
      </c>
      <c r="D937" t="s">
        <v>5720</v>
      </c>
      <c r="E937" t="s">
        <v>5737</v>
      </c>
      <c r="F937" t="s">
        <v>5733</v>
      </c>
      <c r="G937" t="s">
        <v>10515</v>
      </c>
      <c r="H937" t="s">
        <v>461</v>
      </c>
      <c r="I937" t="s">
        <v>644</v>
      </c>
      <c r="J937" t="s">
        <v>273</v>
      </c>
      <c r="K937" t="s">
        <v>5734</v>
      </c>
      <c r="L937" t="s">
        <v>267</v>
      </c>
      <c r="M937">
        <v>62494640</v>
      </c>
      <c r="N937">
        <v>0</v>
      </c>
      <c r="O937">
        <v>62494640</v>
      </c>
      <c r="P937">
        <v>62494640</v>
      </c>
      <c r="Q937" t="s">
        <v>10616</v>
      </c>
      <c r="R937" t="s">
        <v>5784</v>
      </c>
      <c r="S937" t="s">
        <v>5731</v>
      </c>
      <c r="T937" t="s">
        <v>5731</v>
      </c>
      <c r="U937" t="s">
        <v>5731</v>
      </c>
      <c r="V937" t="s">
        <v>5731</v>
      </c>
      <c r="W937" t="s">
        <v>5731</v>
      </c>
      <c r="X937" t="str">
        <f t="shared" si="14"/>
        <v>Inversión</v>
      </c>
      <c r="Y937" t="s">
        <v>5735</v>
      </c>
    </row>
    <row r="938" spans="1:25" x14ac:dyDescent="0.25">
      <c r="A938" t="s">
        <v>5787</v>
      </c>
      <c r="B938" t="s">
        <v>9014</v>
      </c>
      <c r="C938" t="s">
        <v>10617</v>
      </c>
      <c r="D938" t="s">
        <v>5720</v>
      </c>
      <c r="E938" t="s">
        <v>5737</v>
      </c>
      <c r="F938" t="s">
        <v>5733</v>
      </c>
      <c r="G938" t="s">
        <v>10515</v>
      </c>
      <c r="H938" t="s">
        <v>461</v>
      </c>
      <c r="I938" t="s">
        <v>644</v>
      </c>
      <c r="J938" t="s">
        <v>273</v>
      </c>
      <c r="K938" t="s">
        <v>5734</v>
      </c>
      <c r="L938" t="s">
        <v>267</v>
      </c>
      <c r="M938">
        <v>33990000</v>
      </c>
      <c r="N938">
        <v>0</v>
      </c>
      <c r="O938">
        <v>33990000</v>
      </c>
      <c r="P938">
        <v>33990000</v>
      </c>
      <c r="Q938" t="s">
        <v>10618</v>
      </c>
      <c r="R938" t="s">
        <v>5787</v>
      </c>
      <c r="S938" t="s">
        <v>5731</v>
      </c>
      <c r="T938" t="s">
        <v>5731</v>
      </c>
      <c r="U938" t="s">
        <v>5731</v>
      </c>
      <c r="V938" t="s">
        <v>5731</v>
      </c>
      <c r="W938" t="s">
        <v>5731</v>
      </c>
      <c r="X938" t="str">
        <f t="shared" si="14"/>
        <v>Inversión</v>
      </c>
      <c r="Y938" t="s">
        <v>5735</v>
      </c>
    </row>
    <row r="939" spans="1:25" x14ac:dyDescent="0.25">
      <c r="A939" t="s">
        <v>5740</v>
      </c>
      <c r="B939" t="s">
        <v>9014</v>
      </c>
      <c r="C939" t="s">
        <v>10619</v>
      </c>
      <c r="D939" t="s">
        <v>5720</v>
      </c>
      <c r="E939" t="s">
        <v>5737</v>
      </c>
      <c r="F939" t="s">
        <v>5733</v>
      </c>
      <c r="G939" t="s">
        <v>10515</v>
      </c>
      <c r="H939" t="s">
        <v>461</v>
      </c>
      <c r="I939" t="s">
        <v>644</v>
      </c>
      <c r="J939" t="s">
        <v>273</v>
      </c>
      <c r="K939" t="s">
        <v>5734</v>
      </c>
      <c r="L939" t="s">
        <v>267</v>
      </c>
      <c r="M939">
        <v>23031172</v>
      </c>
      <c r="N939">
        <v>0</v>
      </c>
      <c r="O939">
        <v>23031172</v>
      </c>
      <c r="P939">
        <v>23031172</v>
      </c>
      <c r="Q939" t="s">
        <v>10620</v>
      </c>
      <c r="R939" t="s">
        <v>5740</v>
      </c>
      <c r="S939" t="s">
        <v>5731</v>
      </c>
      <c r="T939" t="s">
        <v>5731</v>
      </c>
      <c r="U939" t="s">
        <v>5731</v>
      </c>
      <c r="V939" t="s">
        <v>5731</v>
      </c>
      <c r="W939" t="s">
        <v>5731</v>
      </c>
      <c r="X939" t="str">
        <f t="shared" si="14"/>
        <v>Inversión</v>
      </c>
      <c r="Y939" t="s">
        <v>5735</v>
      </c>
    </row>
    <row r="940" spans="1:25" x14ac:dyDescent="0.25">
      <c r="A940" t="s">
        <v>5794</v>
      </c>
      <c r="B940" t="s">
        <v>9014</v>
      </c>
      <c r="C940" t="s">
        <v>10621</v>
      </c>
      <c r="D940" t="s">
        <v>5720</v>
      </c>
      <c r="E940" t="s">
        <v>5737</v>
      </c>
      <c r="F940" t="s">
        <v>5733</v>
      </c>
      <c r="G940" t="s">
        <v>10515</v>
      </c>
      <c r="H940" t="s">
        <v>461</v>
      </c>
      <c r="I940" t="s">
        <v>644</v>
      </c>
      <c r="J940" t="s">
        <v>273</v>
      </c>
      <c r="K940" t="s">
        <v>5734</v>
      </c>
      <c r="L940" t="s">
        <v>267</v>
      </c>
      <c r="M940">
        <v>28840000</v>
      </c>
      <c r="N940">
        <v>0</v>
      </c>
      <c r="O940">
        <v>28840000</v>
      </c>
      <c r="P940">
        <v>28840000</v>
      </c>
      <c r="Q940" t="s">
        <v>10622</v>
      </c>
      <c r="R940" t="s">
        <v>5794</v>
      </c>
      <c r="S940" t="s">
        <v>5731</v>
      </c>
      <c r="T940" t="s">
        <v>5731</v>
      </c>
      <c r="U940" t="s">
        <v>5731</v>
      </c>
      <c r="V940" t="s">
        <v>5731</v>
      </c>
      <c r="W940" t="s">
        <v>5731</v>
      </c>
      <c r="X940" t="str">
        <f t="shared" si="14"/>
        <v>Inversión</v>
      </c>
      <c r="Y940" t="s">
        <v>5735</v>
      </c>
    </row>
    <row r="941" spans="1:25" x14ac:dyDescent="0.25">
      <c r="A941" t="s">
        <v>5848</v>
      </c>
      <c r="B941" t="s">
        <v>9014</v>
      </c>
      <c r="C941" t="s">
        <v>10623</v>
      </c>
      <c r="D941" t="s">
        <v>5720</v>
      </c>
      <c r="E941" t="s">
        <v>5737</v>
      </c>
      <c r="F941" t="s">
        <v>5733</v>
      </c>
      <c r="G941" t="s">
        <v>10515</v>
      </c>
      <c r="H941" t="s">
        <v>461</v>
      </c>
      <c r="I941" t="s">
        <v>644</v>
      </c>
      <c r="J941" t="s">
        <v>273</v>
      </c>
      <c r="K941" t="s">
        <v>5734</v>
      </c>
      <c r="L941" t="s">
        <v>267</v>
      </c>
      <c r="M941">
        <v>14560944</v>
      </c>
      <c r="N941">
        <v>0</v>
      </c>
      <c r="O941">
        <v>14560944</v>
      </c>
      <c r="P941">
        <v>14560944</v>
      </c>
      <c r="Q941" t="s">
        <v>10624</v>
      </c>
      <c r="R941" t="s">
        <v>5848</v>
      </c>
      <c r="S941" t="s">
        <v>5731</v>
      </c>
      <c r="T941" t="s">
        <v>5731</v>
      </c>
      <c r="U941" t="s">
        <v>5731</v>
      </c>
      <c r="V941" t="s">
        <v>5731</v>
      </c>
      <c r="W941" t="s">
        <v>5731</v>
      </c>
      <c r="X941" t="str">
        <f t="shared" si="14"/>
        <v>Inversión</v>
      </c>
      <c r="Y941" t="s">
        <v>5735</v>
      </c>
    </row>
    <row r="942" spans="1:25" x14ac:dyDescent="0.25">
      <c r="A942" t="s">
        <v>5823</v>
      </c>
      <c r="B942" t="s">
        <v>9014</v>
      </c>
      <c r="C942" t="s">
        <v>10625</v>
      </c>
      <c r="D942" t="s">
        <v>5720</v>
      </c>
      <c r="E942" t="s">
        <v>5737</v>
      </c>
      <c r="F942" t="s">
        <v>5733</v>
      </c>
      <c r="G942" t="s">
        <v>10515</v>
      </c>
      <c r="H942" t="s">
        <v>461</v>
      </c>
      <c r="I942" t="s">
        <v>644</v>
      </c>
      <c r="J942" t="s">
        <v>273</v>
      </c>
      <c r="K942" t="s">
        <v>5734</v>
      </c>
      <c r="L942" t="s">
        <v>267</v>
      </c>
      <c r="M942">
        <v>21371864</v>
      </c>
      <c r="N942">
        <v>0</v>
      </c>
      <c r="O942">
        <v>21371864</v>
      </c>
      <c r="P942">
        <v>21371864</v>
      </c>
      <c r="Q942" t="s">
        <v>10626</v>
      </c>
      <c r="R942" t="s">
        <v>5823</v>
      </c>
      <c r="S942" t="s">
        <v>5731</v>
      </c>
      <c r="T942" t="s">
        <v>5731</v>
      </c>
      <c r="U942" t="s">
        <v>5731</v>
      </c>
      <c r="V942" t="s">
        <v>5731</v>
      </c>
      <c r="W942" t="s">
        <v>5731</v>
      </c>
      <c r="X942" t="str">
        <f t="shared" si="14"/>
        <v>Inversión</v>
      </c>
      <c r="Y942" t="s">
        <v>5735</v>
      </c>
    </row>
    <row r="943" spans="1:25" x14ac:dyDescent="0.25">
      <c r="A943" t="s">
        <v>5839</v>
      </c>
      <c r="B943" t="s">
        <v>9014</v>
      </c>
      <c r="C943" t="s">
        <v>10627</v>
      </c>
      <c r="D943" t="s">
        <v>5720</v>
      </c>
      <c r="E943" t="s">
        <v>5737</v>
      </c>
      <c r="F943" t="s">
        <v>5733</v>
      </c>
      <c r="G943" t="s">
        <v>10515</v>
      </c>
      <c r="H943" t="s">
        <v>461</v>
      </c>
      <c r="I943" t="s">
        <v>644</v>
      </c>
      <c r="J943" t="s">
        <v>273</v>
      </c>
      <c r="K943" t="s">
        <v>5734</v>
      </c>
      <c r="L943" t="s">
        <v>267</v>
      </c>
      <c r="M943">
        <v>19905696</v>
      </c>
      <c r="N943">
        <v>0</v>
      </c>
      <c r="O943">
        <v>19905696</v>
      </c>
      <c r="P943">
        <v>19905696</v>
      </c>
      <c r="Q943" t="s">
        <v>10628</v>
      </c>
      <c r="R943" t="s">
        <v>5839</v>
      </c>
      <c r="S943" t="s">
        <v>5731</v>
      </c>
      <c r="T943" t="s">
        <v>5731</v>
      </c>
      <c r="U943" t="s">
        <v>5731</v>
      </c>
      <c r="V943" t="s">
        <v>5731</v>
      </c>
      <c r="W943" t="s">
        <v>5731</v>
      </c>
      <c r="X943" t="str">
        <f t="shared" si="14"/>
        <v>Inversión</v>
      </c>
      <c r="Y943" t="s">
        <v>5735</v>
      </c>
    </row>
    <row r="944" spans="1:25" x14ac:dyDescent="0.25">
      <c r="A944" t="s">
        <v>5814</v>
      </c>
      <c r="B944" t="s">
        <v>9014</v>
      </c>
      <c r="C944" t="s">
        <v>10629</v>
      </c>
      <c r="D944" t="s">
        <v>5720</v>
      </c>
      <c r="E944" t="s">
        <v>5737</v>
      </c>
      <c r="F944" t="s">
        <v>5733</v>
      </c>
      <c r="G944" t="s">
        <v>10515</v>
      </c>
      <c r="H944" t="s">
        <v>461</v>
      </c>
      <c r="I944" t="s">
        <v>644</v>
      </c>
      <c r="J944" t="s">
        <v>273</v>
      </c>
      <c r="K944" t="s">
        <v>5734</v>
      </c>
      <c r="L944" t="s">
        <v>267</v>
      </c>
      <c r="M944">
        <v>23031172</v>
      </c>
      <c r="N944">
        <v>0</v>
      </c>
      <c r="O944">
        <v>23031172</v>
      </c>
      <c r="P944">
        <v>23031172</v>
      </c>
      <c r="Q944" t="s">
        <v>10630</v>
      </c>
      <c r="R944" t="s">
        <v>5814</v>
      </c>
      <c r="S944" t="s">
        <v>5731</v>
      </c>
      <c r="T944" t="s">
        <v>5731</v>
      </c>
      <c r="U944" t="s">
        <v>5731</v>
      </c>
      <c r="V944" t="s">
        <v>5731</v>
      </c>
      <c r="W944" t="s">
        <v>5731</v>
      </c>
      <c r="X944" t="str">
        <f t="shared" si="14"/>
        <v>Inversión</v>
      </c>
      <c r="Y944" t="s">
        <v>5735</v>
      </c>
    </row>
    <row r="945" spans="1:25" x14ac:dyDescent="0.25">
      <c r="A945" t="s">
        <v>5804</v>
      </c>
      <c r="B945" t="s">
        <v>9014</v>
      </c>
      <c r="C945" t="s">
        <v>10631</v>
      </c>
      <c r="D945" t="s">
        <v>5720</v>
      </c>
      <c r="E945" t="s">
        <v>5737</v>
      </c>
      <c r="F945" t="s">
        <v>5733</v>
      </c>
      <c r="G945" t="s">
        <v>10515</v>
      </c>
      <c r="H945" t="s">
        <v>461</v>
      </c>
      <c r="I945" t="s">
        <v>644</v>
      </c>
      <c r="J945" t="s">
        <v>273</v>
      </c>
      <c r="K945" t="s">
        <v>5734</v>
      </c>
      <c r="L945" t="s">
        <v>267</v>
      </c>
      <c r="M945">
        <v>40000000</v>
      </c>
      <c r="N945">
        <v>0</v>
      </c>
      <c r="O945">
        <v>40000000</v>
      </c>
      <c r="P945">
        <v>40000000</v>
      </c>
      <c r="Q945" t="s">
        <v>10632</v>
      </c>
      <c r="R945" t="s">
        <v>5804</v>
      </c>
      <c r="S945" t="s">
        <v>5731</v>
      </c>
      <c r="T945" t="s">
        <v>5731</v>
      </c>
      <c r="U945" t="s">
        <v>5731</v>
      </c>
      <c r="V945" t="s">
        <v>5731</v>
      </c>
      <c r="W945" t="s">
        <v>5731</v>
      </c>
      <c r="X945" t="str">
        <f t="shared" si="14"/>
        <v>Inversión</v>
      </c>
      <c r="Y945" t="s">
        <v>5735</v>
      </c>
    </row>
  </sheetData>
  <autoFilter ref="A1:Y1" xr:uid="{F3288CBA-5ACE-45BF-A5BA-E0FE4B30B6E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Validaciones</vt:lpstr>
      <vt:lpstr>archivo_ejec</vt:lpstr>
      <vt:lpstr>Archivo_terri</vt:lpstr>
      <vt:lpstr>Tablas Ingresos</vt:lpstr>
      <vt:lpstr>Archivo_prd</vt:lpstr>
      <vt:lpstr>archivo_reserva</vt:lpstr>
      <vt:lpstr>archivo_PAA terri</vt:lpstr>
      <vt:lpstr>archivo_PAA</vt:lpstr>
      <vt:lpstr>archivo_CDP</vt:lpstr>
      <vt:lpstr>Inicio</vt:lpstr>
      <vt:lpstr>Ejecución presupuestal</vt:lpstr>
      <vt:lpstr>Plan de compras</vt:lpstr>
      <vt:lpstr>Reservas reducido</vt:lpstr>
      <vt:lpstr>Territoriales</vt:lpstr>
      <vt:lpstr>Proyectos</vt:lpstr>
      <vt:lpstr>Productos</vt:lpstr>
      <vt:lpstr>CDP</vt:lpstr>
      <vt:lpstr>Reservas</vt:lpstr>
      <vt:lpstr>Resumen Ingresos</vt:lpstr>
      <vt:lpstr>Metas G&amp;P</vt:lpstr>
      <vt:lpstr>Metas PDN</vt:lpstr>
      <vt:lpstr>PAA procesos</vt:lpstr>
      <vt:lpstr>PAA terri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Daniel Fernando Gallego Moreno</cp:lastModifiedBy>
  <cp:revision/>
  <dcterms:created xsi:type="dcterms:W3CDTF">2020-04-21T15:43:09Z</dcterms:created>
  <dcterms:modified xsi:type="dcterms:W3CDTF">2021-12-01T13:23:23Z</dcterms:modified>
  <cp:category/>
  <cp:contentStatus/>
</cp:coreProperties>
</file>